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ФХД'!$AJ$96</definedName>
    <definedName name="B_FHD_CHECK_INDEX_2">'Показатели ФХД'!$AJ$98</definedName>
    <definedName name="B_FHD_COSTS_INDEX_1">'Показатели ФХД'!$H$95:$AH$95</definedName>
    <definedName name="B_FHD_COSTS_INDEX_2">'Показатели ФХД'!$H$97:$AH$97</definedName>
    <definedName name="B_FHD_DATA_TOP80_ACTIVITY">'Показатели ФХД'!$H$111:$AH$111</definedName>
    <definedName name="B_FHD_diff_1">'Показатели ФХД'!$I$25:$I$27</definedName>
    <definedName name="B_FHD_diff_51111">'Показатели ФХД'!$J$25:$J$27</definedName>
    <definedName name="B_FHD_diff_51111111111111111111">'Показатели ФХД'!$K$25:$K$27</definedName>
    <definedName name="B_FHD_diff_511111111111111111111">'Показатели ФХД'!$L$25:$L$27</definedName>
    <definedName name="B_FHD_diff_5111111111111111111111">'Показатели ФХД'!$M$25:$M$27</definedName>
    <definedName name="B_FHD_diff_51111111111111111111111">'Показатели ФХД'!$N$25:$N$27</definedName>
    <definedName name="B_FHD_diff_511111111111111111111111">'Показатели ФХД'!$O$25:$O$27</definedName>
    <definedName name="B_FHD_diff_5111111111111111111111111">'Показатели ФХД'!$P$25:$P$27</definedName>
    <definedName name="B_FHD_diff_51111111111111111111111111">'Показатели ФХД'!$Q$25:$Q$27</definedName>
    <definedName name="B_FHD_diff_511111111111111111111111111">'Показатели ФХД'!$R$25:$R$27</definedName>
    <definedName name="B_FHD_diff_5111111111111111111111111111">'Показатели ФХД'!$S$25:$S$27</definedName>
    <definedName name="B_FHD_diff_51111111111111111111111111111">'Показатели ФХД'!$T$25:$T$27</definedName>
    <definedName name="B_FHD_diff_511111111111111111111111111111">'Показатели ФХД'!$U$25:$U$27</definedName>
    <definedName name="B_FHD_diff_5111111111111111111111111111111">'Показатели ФХД'!$V$25:$V$27</definedName>
    <definedName name="B_FHD_diff_51111111111111111111111111111111">'Показатели ФХД'!$W$25:$W$27</definedName>
    <definedName name="B_FHD_diff_511111111111111111111111111111111">'Показатели ФХД'!#REF!</definedName>
    <definedName name="B_FHD_diff_5111111111111111111111111111111111">'Показатели ФХД'!#REF!</definedName>
    <definedName name="B_FHD_diff_51111111111111111111111111111111111">'Показатели ФХД'!#REF!</definedName>
    <definedName name="B_FHD_diff_511111111111111111111111111111111111">'Показатели ФХД'!#REF!</definedName>
    <definedName name="B_FHD_diff_5111111111111111111111111111111111111">'Показатели ФХД'!#REF!</definedName>
    <definedName name="B_FHD_diff_51111111111111111111111111111111111111">'Показатели ФХД'!#REF!</definedName>
    <definedName name="B_FHD_diff_511111111111111111111111111111111111111">'Показатели ФХД'!#REF!</definedName>
    <definedName name="B_FHD_diff_5111111111111111111111111111111111111111">'Показатели ФХД'!#REF!</definedName>
    <definedName name="B_FHD_diff_51111111111111111111111111111111111111111">'Показатели ФХД'!#REF!</definedName>
    <definedName name="B_FHD_diff_511111111111111111111111111111111111111111">'Показатели ФХД'!#REF!</definedName>
    <definedName name="B_FHD_diff_5111111111111111111111111111111111111111111">'Показатели ФХД'!$X$25:$X$27</definedName>
    <definedName name="B_FHD_diff_51111111111111111111111111111111111111111111">'Показатели ФХД'!$Y$25:$Y$27</definedName>
    <definedName name="B_FHD_diff_511111111111111111111111111111111111111111111">'Показатели ФХД'!$Z$25:$Z$27</definedName>
    <definedName name="B_FHD_diff_5111111111111111111111111111111111111111111111">'Показатели ФХД'!$AA$25:$AA$27</definedName>
    <definedName name="B_FHD_diff_51111111111111111111111111111111111111111111111">'Показатели ФХД'!$AB$25:$AB$27</definedName>
    <definedName name="B_FHD_diff_511111111111111111111111111111111111111111111111">'Показатели ФХД'!$AC$25:$AC$27</definedName>
    <definedName name="B_FHD_diff_5111111111111111111111111111111111111111111111111">'Показатели ФХД'!$AD$25:$AD$27</definedName>
    <definedName name="B_FHD_FLAG_DIFFERENTIATION">'Показатели ФХД'!$H$24:$AH$24</definedName>
    <definedName name="B_FHD_FLAG_INDEX_1">'Показатели ФХД'!$H$96:$AH$96</definedName>
    <definedName name="B_FHD_FLAG_INDEX_2">'Показатели ФХД'!$H$98:$AH$98</definedName>
    <definedName name="B_FHD_TKO_DATA_TOP80_ACTIVITY">'ТКО. Показатели ФХД'!$H$45:$AR$45</definedName>
    <definedName name="B_FHD_TKO_diff_1">'ТКО. Показатели ФХД'!$I$10:$I$12</definedName>
    <definedName name="B_FHD_TKO_diff_51111">'ТКО. Показатели ФХД'!$J$10:$J$12</definedName>
    <definedName name="B_FHD_TKO_diff_51111111111111111111">'ТКО. Показатели ФХД'!$K$10:$K$12</definedName>
    <definedName name="B_FHD_TKO_diff_511111111111111111111">'ТКО. Показатели ФХД'!$L$10:$L$12</definedName>
    <definedName name="B_FHD_TKO_diff_5111111111111111111111">'ТКО. Показатели ФХД'!$M$10:$M$12</definedName>
    <definedName name="B_FHD_TKO_diff_51111111111111111111111">'ТКО. Показатели ФХД'!$N$10:$N$12</definedName>
    <definedName name="B_FHD_TKO_diff_511111111111111111111111">'ТКО. Показатели ФХД'!$O$10:$O$12</definedName>
    <definedName name="B_FHD_TKO_diff_5111111111111111111111111">'ТКО. Показатели ФХД'!$P$10:$P$12</definedName>
    <definedName name="B_FHD_TKO_diff_51111111111111111111111111">'ТКО. Показатели ФХД'!$Q$10:$Q$12</definedName>
    <definedName name="B_FHD_TKO_diff_511111111111111111111111111">'ТКО. Показатели ФХД'!$R$10:$R$12</definedName>
    <definedName name="B_FHD_TKO_diff_5111111111111111111111111111">'ТКО. Показатели ФХД'!$S$10:$S$12</definedName>
    <definedName name="B_FHD_TKO_diff_51111111111111111111111111111">'ТКО. Показатели ФХД'!$T$10:$T$12</definedName>
    <definedName name="B_FHD_TKO_diff_511111111111111111111111111111">'ТКО. Показатели ФХД'!$U$10:$U$12</definedName>
    <definedName name="B_FHD_TKO_diff_5111111111111111111111111111111">'ТКО. Показатели ФХД'!$V$10:$V$12</definedName>
    <definedName name="B_FHD_TKO_diff_51111111111111111111111111111111">'ТКО. Показатели ФХД'!$W$10:$W$12</definedName>
    <definedName name="B_FHD_TKO_diff_511111111111111111111111111111111">'ТКО. Показатели ФХД'!$X$10:$X$12</definedName>
    <definedName name="B_FHD_TKO_diff_5111111111111111111111111111111111">'ТКО. Показатели ФХД'!$Y$10:$Y$12</definedName>
    <definedName name="B_FHD_TKO_diff_51111111111111111111111111111111111">'ТКО. Показатели ФХД'!$Z$10:$Z$12</definedName>
    <definedName name="B_FHD_TKO_diff_511111111111111111111111111111111111">'ТКО. Показатели ФХД'!$AA$10:$AA$12</definedName>
    <definedName name="B_FHD_TKO_diff_5111111111111111111111111111111111111">'ТКО. Показатели ФХД'!$AB$10:$AB$12</definedName>
    <definedName name="B_FHD_TKO_diff_51111111111111111111111111111111111111">'ТКО. Показатели ФХД'!$AC$10:$AC$12</definedName>
    <definedName name="B_FHD_TKO_diff_511111111111111111111111111111111111111">'ТКО. Показатели ФХД'!$AD$10:$AD$12</definedName>
    <definedName name="B_FHD_TKO_diff_5111111111111111111111111111111111111111">'ТКО. Показатели ФХД'!$AE$10:$AE$12</definedName>
    <definedName name="B_FHD_TKO_diff_51111111111111111111111111111111111111111">'ТКО. Показатели ФХД'!$AF$10:$AF$12</definedName>
    <definedName name="B_FHD_TKO_diff_511111111111111111111111111111111111111111">'ТКО. Показатели ФХД'!$AG$10:$AG$12</definedName>
    <definedName name="B_FHD_TKO_diff_5111111111111111111111111111111111111111111">'ТКО. Показатели ФХД'!$AH$10:$AH$12</definedName>
    <definedName name="B_FHD_TKO_diff_51111111111111111111111111111111111111111111">'ТКО. Показатели ФХД'!$AI$10:$AI$12</definedName>
    <definedName name="B_FHD_TKO_diff_511111111111111111111111111111111111111111111">'ТКО. Показатели ФХД'!$AJ$10:$AJ$12</definedName>
    <definedName name="B_FHD_TKO_diff_5111111111111111111111111111111111111111111111">'ТКО. Показатели ФХД'!$AK$10:$AK$12</definedName>
    <definedName name="B_FHD_TKO_diff_51111111111111111111111111111111111111111111111">'ТКО. Показатели ФХД'!$AL$10:$AL$12</definedName>
    <definedName name="B_FHD_TKO_diff_511111111111111111111111111111111111111111111111">'ТКО. Показатели ФХД'!$AM$10:$AM$12</definedName>
    <definedName name="B_FHD_TKO_diff_5111111111111111111111111111111111111111111111111">'ТКО. Показатели ФХД'!$AN$10:$AN$12</definedName>
    <definedName name="B_FHD_TKO_FLAG_DIFFERENTIATION">'ТКО. Показатели ФХД'!$H$9:$AR$9</definedName>
    <definedName name="B_FHD_TKO_TRANS_DATA_TOP80_ACTIVITY">'ТКО. Транс. Показатели ФХД'!$H$36:$AR$36</definedName>
    <definedName name="B_FHD_TKO_TRANS_diff_1">'ТКО. Транс. Показатели ФХД'!$I$10:$I$12</definedName>
    <definedName name="B_FHD_TKO_TRANS_diff_51111">'ТКО. Транс. Показатели ФХД'!$J$10:$J$12</definedName>
    <definedName name="B_FHD_TKO_TRANS_diff_51111111111111111111">'ТКО. Транс. Показатели ФХД'!$K$10:$K$12</definedName>
    <definedName name="B_FHD_TKO_TRANS_diff_511111111111111111111">'ТКО. Транс. Показатели ФХД'!$L$10:$L$12</definedName>
    <definedName name="B_FHD_TKO_TRANS_diff_5111111111111111111111">'ТКО. Транс. Показатели ФХД'!$M$10:$M$12</definedName>
    <definedName name="B_FHD_TKO_TRANS_diff_51111111111111111111111">'ТКО. Транс. Показатели ФХД'!$N$10:$N$12</definedName>
    <definedName name="B_FHD_TKO_TRANS_diff_511111111111111111111111">'ТКО. Транс. Показатели ФХД'!$O$10:$O$12</definedName>
    <definedName name="B_FHD_TKO_TRANS_diff_5111111111111111111111111">'ТКО. Транс. Показатели ФХД'!$P$10:$P$12</definedName>
    <definedName name="B_FHD_TKO_TRANS_diff_51111111111111111111111111">'ТКО. Транс. Показатели ФХД'!$Q$10:$Q$12</definedName>
    <definedName name="B_FHD_TKO_TRANS_diff_511111111111111111111111111">'ТКО. Транс. Показатели ФХД'!$R$10:$R$12</definedName>
    <definedName name="B_FHD_TKO_TRANS_diff_5111111111111111111111111111">'ТКО. Транс. Показатели ФХД'!$S$10:$S$12</definedName>
    <definedName name="B_FHD_TKO_TRANS_diff_51111111111111111111111111111">'ТКО. Транс. Показатели ФХД'!$T$10:$T$12</definedName>
    <definedName name="B_FHD_TKO_TRANS_diff_511111111111111111111111111111">'ТКО. Транс. Показатели ФХД'!$U$10:$U$12</definedName>
    <definedName name="B_FHD_TKO_TRANS_diff_5111111111111111111111111111111">'ТКО. Транс. Показатели ФХД'!$V$10:$V$12</definedName>
    <definedName name="B_FHD_TKO_TRANS_diff_51111111111111111111111111111111">'ТКО. Транс. Показатели ФХД'!$W$10:$W$12</definedName>
    <definedName name="B_FHD_TKO_TRANS_diff_511111111111111111111111111111111">'ТКО. Транс. Показатели ФХД'!$X$10:$X$12</definedName>
    <definedName name="B_FHD_TKO_TRANS_diff_5111111111111111111111111111111111">'ТКО. Транс. Показатели ФХД'!$Y$10:$Y$12</definedName>
    <definedName name="B_FHD_TKO_TRANS_diff_51111111111111111111111111111111111">'ТКО. Транс. Показатели ФХД'!$Z$10:$Z$12</definedName>
    <definedName name="B_FHD_TKO_TRANS_diff_511111111111111111111111111111111111">'ТКО. Транс. Показатели ФХД'!$AA$10:$AA$12</definedName>
    <definedName name="B_FHD_TKO_TRANS_diff_5111111111111111111111111111111111111">'ТКО. Транс. Показатели ФХД'!$AB$10:$AB$12</definedName>
    <definedName name="B_FHD_TKO_TRANS_diff_51111111111111111111111111111111111111">'ТКО. Транс. Показатели ФХД'!$AC$10:$AC$12</definedName>
    <definedName name="B_FHD_TKO_TRANS_diff_511111111111111111111111111111111111111">'ТКО. Транс. Показатели ФХД'!$AD$10:$AD$12</definedName>
    <definedName name="B_FHD_TKO_TRANS_diff_5111111111111111111111111111111111111111">'ТКО. Транс. Показатели ФХД'!$AE$10:$AE$12</definedName>
    <definedName name="B_FHD_TKO_TRANS_diff_51111111111111111111111111111111111111111">'ТКО. Транс. Показатели ФХД'!$AF$10:$AF$12</definedName>
    <definedName name="B_FHD_TKO_TRANS_diff_511111111111111111111111111111111111111111">'ТКО. Транс. Показатели ФХД'!$AG$10:$AG$12</definedName>
    <definedName name="B_FHD_TKO_TRANS_diff_5111111111111111111111111111111111111111111">'ТКО. Транс. Показатели ФХД'!$AH$10:$AH$12</definedName>
    <definedName name="B_FHD_TKO_TRANS_diff_51111111111111111111111111111111111111111111">'ТКО. Транс. Показатели ФХД'!$AI$10:$AI$12</definedName>
    <definedName name="B_FHD_TKO_TRANS_diff_511111111111111111111111111111111111111111111">'ТКО. Транс. Показатели ФХД'!$AJ$10:$AJ$12</definedName>
    <definedName name="B_FHD_TKO_TRANS_diff_5111111111111111111111111111111111111111111111">'ТКО. Транс. Показатели ФХД'!$AK$10:$AK$12</definedName>
    <definedName name="B_FHD_TKO_TRANS_diff_51111111111111111111111111111111111111111111111">'ТКО. Транс. Показатели ФХД'!$AL$10:$AL$12</definedName>
    <definedName name="B_FHD_TKO_TRANS_diff_511111111111111111111111111111111111111111111111">'ТКО. Транс. Показатели ФХД'!$AM$10:$AM$12</definedName>
    <definedName name="B_FHD_TKO_TRANS_diff_5111111111111111111111111111111111111111111111111">'ТКО. Транс. Показатели ФХД'!$AN$10:$AN$12</definedName>
    <definedName name="B_FHD_TKO_TRANS_FLAG_DIFFERENTIATION">'ТКО. Транс. Показатели ФХД'!$H$9:$AR$9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1111">'Показатели ФХД &gt;20%'!$H$23:$R$25</definedName>
    <definedName name="B_FHD20_diff_51111111111111111111">'Показатели ФХД &gt;20%'!$H$32:$R$34</definedName>
    <definedName name="B_FHD20_diff_511111111111111111111">'Показатели ФХД &gt;20%'!$H$41:$R$43</definedName>
    <definedName name="B_FHD20_diff_5111111111111111111111">'Показатели ФХД &gt;20%'!$H$50:$R$52</definedName>
    <definedName name="B_FHD20_diff_51111111111111111111111">'Показатели ФХД &gt;20%'!$H$59:$R$61</definedName>
    <definedName name="B_FHD20_diff_511111111111111111111111">'Показатели ФХД &gt;20%'!$H$68:$R$70</definedName>
    <definedName name="B_FHD20_diff_5111111111111111111111111">'Показатели ФХД &gt;20%'!$H$77:$R$79</definedName>
    <definedName name="B_FHD20_diff_51111111111111111111111111">'Показатели ФХД &gt;20%'!$H$86:$R$88</definedName>
    <definedName name="B_FHD20_diff_511111111111111111111111111">'Показатели ФХД &gt;20%'!$H$95:$R$97</definedName>
    <definedName name="B_FHD20_diff_5111111111111111111111111111">'Показатели ФХД &gt;20%'!$H$104:$R$106</definedName>
    <definedName name="B_FHD20_diff_51111111111111111111111111111">'Показатели ФХД &gt;20%'!$H$113:$R$115</definedName>
    <definedName name="B_FHD20_diff_511111111111111111111111111111">'Показатели ФХД &gt;20%'!$H$122:$R$124</definedName>
    <definedName name="B_FHD20_diff_5111111111111111111111111111111">'Показатели ФХД &gt;20%'!$H$131:$R$133</definedName>
    <definedName name="B_FHD20_diff_51111111111111111111111111111111">'Показатели ФХД &gt;20%'!$H$140:$R$142</definedName>
    <definedName name="B_FHD20_diff_511111111111111111111111111111111">'Показатели ФХД &gt;20%'!$H$149:$R$151</definedName>
    <definedName name="B_FHD20_diff_5111111111111111111111111111111111">'Показатели ФХД &gt;20%'!$H$158:$R$160</definedName>
    <definedName name="B_FHD20_diff_51111111111111111111111111111111111">'Показатели ФХД &gt;20%'!$H$167:$R$169</definedName>
    <definedName name="B_FHD20_diff_511111111111111111111111111111111111">'Показатели ФХД &gt;20%'!$H$176:$R$178</definedName>
    <definedName name="B_FHD20_diff_5111111111111111111111111111111111111">'Показатели ФХД &gt;20%'!$H$185:$R$187</definedName>
    <definedName name="B_FHD20_diff_51111111111111111111111111111111111111">'Показатели ФХД &gt;20%'!$H$194:$R$196</definedName>
    <definedName name="B_FHD20_diff_511111111111111111111111111111111111111">'Показатели ФХД &gt;20%'!$H$203:$R$205</definedName>
    <definedName name="B_FHD20_diff_5111111111111111111111111111111111111111">'Показатели ФХД &gt;20%'!$H$212:$R$214</definedName>
    <definedName name="B_FHD20_diff_51111111111111111111111111111111111111111">'Показатели ФХД &gt;20%'!$H$221:$R$223</definedName>
    <definedName name="B_FHD20_diff_511111111111111111111111111111111111111111">'Показатели ФХД &gt;20%'!$H$230:$R$232</definedName>
    <definedName name="B_FHD20_diff_5111111111111111111111111111111111111111111">'Показатели ФХД &gt;20%'!$H$239:$R$241</definedName>
    <definedName name="B_FHD20_diff_51111111111111111111111111111111111111111111">'Показатели ФХД &gt;20%'!$H$248:$R$250</definedName>
    <definedName name="B_FHD20_diff_511111111111111111111111111111111111111111111">'Показатели ФХД &gt;20%'!$H$257:$R$259</definedName>
    <definedName name="B_FHD20_diff_5111111111111111111111111111111111111111111111">'Показатели ФХД &gt;20%'!$H$266:$R$268</definedName>
    <definedName name="B_FHD20_diff_51111111111111111111111111111111111111111111111">'Показатели ФХД &gt;20%'!$H$275:$R$277</definedName>
    <definedName name="B_FHD20_diff_511111111111111111111111111111111111111111111111">'Показатели ФХД &gt;20%'!$H$284:$R$286</definedName>
    <definedName name="B_FHD20_diff_5111111111111111111111111111111111111111111111111">'Показатели ФХД &gt;20%'!$H$293:$R$295</definedName>
    <definedName name="B_FHD20_FLAG_FHD">'Показатели ФХД &gt;20%'!$V$11:$V$329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1111">'Показатели КНЭ'!$K$7:$L$9</definedName>
    <definedName name="B_KNE_diff_51111111111111111111">'Показатели КНЭ'!$M$7:$N$9</definedName>
    <definedName name="B_KNE_diff_511111111111111111111">'Показатели КНЭ'!$O$7:$P$9</definedName>
    <definedName name="B_KNE_diff_5111111111111111111111">'Показатели КНЭ'!$Q$7:$R$9</definedName>
    <definedName name="B_KNE_diff_51111111111111111111111">'Показатели КНЭ'!$S$7:$T$9</definedName>
    <definedName name="B_KNE_diff_511111111111111111111111">'Показатели КНЭ'!$U$7:$V$9</definedName>
    <definedName name="B_KNE_diff_5111111111111111111111111">'Показатели КНЭ'!$W$7:$X$9</definedName>
    <definedName name="B_KNE_diff_51111111111111111111111111">'Показатели КНЭ'!$Y$7:$Z$9</definedName>
    <definedName name="B_KNE_diff_511111111111111111111111111">'Показатели КНЭ'!$AA$7:$AB$9</definedName>
    <definedName name="B_KNE_diff_5111111111111111111111111111">'Показатели КНЭ'!$AC$7:$AD$9</definedName>
    <definedName name="B_KNE_diff_51111111111111111111111111111">'Показатели КНЭ'!$AE$7:$AF$9</definedName>
    <definedName name="B_KNE_diff_511111111111111111111111111111">'Показатели КНЭ'!$AG$7:$AH$9</definedName>
    <definedName name="B_KNE_diff_5111111111111111111111111111111">'Показатели КНЭ'!$AI$7:$AJ$9</definedName>
    <definedName name="B_KNE_diff_51111111111111111111111111111111">'Показатели КНЭ'!$AK$7:$AL$9</definedName>
    <definedName name="B_KNE_diff_511111111111111111111111111111111">'Показатели КНЭ'!$AM$7:$AN$9</definedName>
    <definedName name="B_KNE_diff_5111111111111111111111111111111111">'Показатели КНЭ'!$AO$7:$AP$9</definedName>
    <definedName name="B_KNE_diff_51111111111111111111111111111111111">'Показатели КНЭ'!$AQ$7:$AR$9</definedName>
    <definedName name="B_KNE_diff_511111111111111111111111111111111111">'Показатели КНЭ'!$AS$7:$AT$9</definedName>
    <definedName name="B_KNE_diff_5111111111111111111111111111111111111">'Показатели КНЭ'!$AU$7:$AV$9</definedName>
    <definedName name="B_KNE_diff_51111111111111111111111111111111111111">'Показатели КНЭ'!$AW$7:$AX$9</definedName>
    <definedName name="B_KNE_diff_511111111111111111111111111111111111111">'Показатели КНЭ'!$AY$7:$AZ$9</definedName>
    <definedName name="B_KNE_diff_5111111111111111111111111111111111111111">'Показатели КНЭ'!$BA$7:$BB$9</definedName>
    <definedName name="B_KNE_diff_51111111111111111111111111111111111111111">'Показатели КНЭ'!$BC$7:$BD$9</definedName>
    <definedName name="B_KNE_diff_511111111111111111111111111111111111111111">'Показатели КНЭ'!$BE$7:$BF$9</definedName>
    <definedName name="B_KNE_diff_5111111111111111111111111111111111111111111">'Показатели КНЭ'!$BG$7:$BH$9</definedName>
    <definedName name="B_KNE_diff_51111111111111111111111111111111111111111111">'Показатели КНЭ'!$BI$7:$BJ$9</definedName>
    <definedName name="B_KNE_diff_511111111111111111111111111111111111111111111">'Показатели КНЭ'!$BK$7:$BL$9</definedName>
    <definedName name="B_KNE_diff_5111111111111111111111111111111111111111111111">'Показатели КНЭ'!$BM$7:$BN$9</definedName>
    <definedName name="B_KNE_diff_51111111111111111111111111111111111111111111111">'Показатели КНЭ'!$BO$7:$BP$9</definedName>
    <definedName name="B_KNE_diff_511111111111111111111111111111111111111111111111">'Показатели КНЭ'!$BQ$7:$BR$9</definedName>
    <definedName name="B_KNE_diff_5111111111111111111111111111111111111111111111111">'Показатели КНЭ'!$BS$7:$BT$9</definedName>
    <definedName name="B_OTEP_diff_1">'Показатели ОТЭП'!$L$10:$L$12</definedName>
    <definedName name="B_OTEP_diff_51111">'Показатели ОТЭП'!$N$10:$N$12</definedName>
    <definedName name="B_OTEP_diff_51111111111111111111">'Показатели ОТЭП'!$O$10:$O$12</definedName>
    <definedName name="B_OTEP_diff_511111111111111111111">'Показатели ОТЭП'!$P$10:$P$12</definedName>
    <definedName name="B_OTEP_diff_5111111111111111111111">'Показатели ОТЭП'!$Q$10:$Q$12</definedName>
    <definedName name="B_OTEP_diff_51111111111111111111111">'Показатели ОТЭП'!$R$10:$R$12</definedName>
    <definedName name="B_OTEP_diff_511111111111111111111111">'Показатели ОТЭП'!$S$10:$S$12</definedName>
    <definedName name="B_OTEP_diff_5111111111111111111111111">'Показатели ОТЭП'!$T$10:$T$12</definedName>
    <definedName name="B_OTEP_diff_51111111111111111111111111">'Показатели ОТЭП'!$U$10:$U$12</definedName>
    <definedName name="B_OTEP_diff_511111111111111111111111111">'Показатели ОТЭП'!$V$10:$V$12</definedName>
    <definedName name="B_OTEP_diff_5111111111111111111111111111">'Показатели ОТЭП'!$W$10:$W$12</definedName>
    <definedName name="B_OTEP_diff_51111111111111111111111111111">'Показатели ОТЭП'!$X$10:$X$12</definedName>
    <definedName name="B_OTEP_diff_511111111111111111111111111111">'Показатели ОТЭП'!$Y$10:$Y$12</definedName>
    <definedName name="B_OTEP_diff_5111111111111111111111111111111">'Показатели ОТЭП'!$Z$10:$Z$12</definedName>
    <definedName name="B_OTEP_diff_51111111111111111111111111111111">'Показатели ОТЭП'!$AA$10:$AA$12</definedName>
    <definedName name="B_OTEP_diff_511111111111111111111111111111111">'Показатели ОТЭП'!$AB$10:$AB$12</definedName>
    <definedName name="B_OTEP_diff_5111111111111111111111111111111111">'Показатели ОТЭП'!$AC$10:$AC$12</definedName>
    <definedName name="B_OTEP_diff_51111111111111111111111111111111111">'Показатели ОТЭП'!$AD$10:$AD$12</definedName>
    <definedName name="B_OTEP_diff_511111111111111111111111111111111111">'Показатели ОТЭП'!$AE$10:$AE$12</definedName>
    <definedName name="B_OTEP_diff_5111111111111111111111111111111111111">'Показатели ОТЭП'!$AF$10:$AF$12</definedName>
    <definedName name="B_OTEP_diff_51111111111111111111111111111111111111">'Показатели ОТЭП'!$AG$10:$AG$12</definedName>
    <definedName name="B_OTEP_diff_511111111111111111111111111111111111111">'Показатели ОТЭП'!$AH$10:$AH$12</definedName>
    <definedName name="B_OTEP_diff_5111111111111111111111111111111111111111">'Показатели ОТЭП'!$AI$10:$AI$12</definedName>
    <definedName name="B_OTEP_diff_51111111111111111111111111111111111111111">'Показатели ОТЭП'!$AJ$10:$AJ$12</definedName>
    <definedName name="B_OTEP_diff_511111111111111111111111111111111111111111">'Показатели ОТЭП'!$AK$10:$AK$12</definedName>
    <definedName name="B_OTEP_diff_5111111111111111111111111111111111111111111">'Показатели ОТЭП'!$AL$10:$AL$12</definedName>
    <definedName name="B_OTEP_diff_51111111111111111111111111111111111111111111">'Показатели ОТЭП'!$AM$10:$AM$12</definedName>
    <definedName name="B_OTEP_diff_511111111111111111111111111111111111111111111">'Показатели ОТЭП'!$AN$10:$AN$12</definedName>
    <definedName name="B_OTEP_diff_5111111111111111111111111111111111111111111111">'Показатели ОТЭП'!$AO$10:$AO$12</definedName>
    <definedName name="B_OTEP_diff_51111111111111111111111111111111111111111111111">'Показатели ОТЭП'!$AP$10:$AP$12</definedName>
    <definedName name="B_OTEP_diff_511111111111111111111111111111111111111111111111">'Показатели ОТЭП'!$AQ$10:$AQ$12</definedName>
    <definedName name="B_OTEP_diff_5111111111111111111111111111111111111111111111111">'Показатели ОТЭП'!$AR$10:$AR$12</definedName>
    <definedName name="B_OTEP_FLAG_DIFFERENTIATION">'Показатели ОТЭП'!$L$9:$AW$9</definedName>
    <definedName name="B_OTEP_HEAT_DATA_TOP80_ACTIVITY">'Показатели ОТЭП'!$L$15:$AW$15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ФХД'!$112:$120</definedName>
    <definedName name="BLOCK_POK_FHD_COLDVSNA_P2">'Показатели ФХД'!$145:$149</definedName>
    <definedName name="BLOCK_POK_FHD_HEAT_ONLY_REG_ORG_P1">'Показатели ФХД'!$86:$87</definedName>
    <definedName name="BLOCK_POK_FHD_HEAT_ONLY_REG_ORG_P2">'Показатели ФХД'!$110:$161</definedName>
    <definedName name="BLOCK_POK_FHD_HEAT_P1">'Показатели ФХД'!$33:$70</definedName>
    <definedName name="BLOCK_POK_FHD_HEAT_P2">'Показатели ФХД'!$102:$102</definedName>
    <definedName name="BLOCK_POK_FHD_HEAT_P3">'Показатели ФХД'!$129:$141</definedName>
    <definedName name="BLOCK_POK_FHD_HEAT_P4">'Показатели ФХД'!$143:$143</definedName>
    <definedName name="BLOCK_POK_FHD_HEAT_P5">'Показатели ФХД'!$150:$160</definedName>
    <definedName name="BLOCK_POK_FHD_HEAT_P6">'Показатели ФХД'!$77:$77</definedName>
    <definedName name="BLOCK_POK_FHD_HOTVSNA_P1">'Показатели ФХД'!$71:$73</definedName>
    <definedName name="BLOCK_POK_FHD_HOTVSNA_P2">'Показатели ФХД'!$121:$125</definedName>
    <definedName name="BLOCK_POK_FHD_NOT_HEAT_P1">'Показатели ФХД'!$97:$98</definedName>
    <definedName name="BLOCK_POK_FHD_NOT_HEAT_P2">'Показатели ФХД'!$110:$110</definedName>
    <definedName name="BLOCK_POK_FHD_NOT_HOTVSNA">'Показатели ФХД'!$78:$78</definedName>
    <definedName name="BLOCK_POK_FHD_VOTV_P1">'Показатели ФХД'!$126:$128</definedName>
    <definedName name="BLOCK_POK_FHD_VSNA">'Показатели ФХД'!$144:$144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территорий'!$E$37:$I$37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Дифференциация!$I$12:$I$63</definedName>
    <definedName name="DIFFERENTIATION_AREA_ID">Дифференциация!$U$11:$U$64</definedName>
    <definedName name="DIFFERENTIATION_CheckC">Дифференциация!$D$12:$M$63</definedName>
    <definedName name="DIFFERENTIATION_fieldMarker">Дифференциация!$W$12:$W$63</definedName>
    <definedName name="DIFFERENTIATION_ID">TEHSHEET!$E$57</definedName>
    <definedName name="DIFFERENTIATION_ID_DIFF">Дифференциация!$O$12:$O$63</definedName>
    <definedName name="DIFFERENTIATION_SYSTEM">Дифференциация!$M$12:$M$63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Дифференциация!$Q$12:$Q$63</definedName>
    <definedName name="DIFFERENTIATION_UNMERGE_SYSTEM">Дифференциация!$R$12:$R$63</definedName>
    <definedName name="DIFFERENTIATION_UNMERGE_VD">Дифференциация!$P$12:$P$63</definedName>
    <definedName name="DIFFERENTIATION_VD">Дифференциация!$E$12:$E$63</definedName>
    <definedName name="DIFFERENTIATION_VD_ID">Дифференциация!$V$11:$V$64</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Ограничения!$F$36:$CA$36</definedName>
    <definedName name="flag_Q_LIMIT_p4">Ограничения!$F$38:$CA$38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Детализация'!$14:$353</definedName>
    <definedName name="IP_DETAILED_IST_FIN_FACT_COLUMN_MARKER">'ИП. Детализация'!$AD$7</definedName>
    <definedName name="IP_DETAILED_LIST_IP_ID">'ИП. Детализация'!$A$354:$A$354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план'!$K$11:$T$11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Комментарии!$C$11:$C$20</definedName>
    <definedName name="pDel_DIFFERENTIATION_AREA">Дифференциация!$G$12:$G$63</definedName>
    <definedName name="pDel_DIFFERENTIATION_SYSTEM">Дифференциация!$K$12:$K$63</definedName>
    <definedName name="pDel_DIFFERENTIATION_VD">Дифференциация!$C$12:$C$63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территорий'!$C$12:$C$37</definedName>
    <definedName name="pDel_LT_MO">'Список территорий'!$D$11:$D$37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ФХД'!$F$70</definedName>
    <definedName name="pIns_B_FHD_2">'Показатели ФХД'!$F$101</definedName>
    <definedName name="pIns_B_FHD_3">'Показатели ФХД'!$F$131</definedName>
    <definedName name="pIns_B_FHD_4">'Показатели ФХД'!$F$149</definedName>
    <definedName name="pIns_B_FHD_5">'Показатели ФХД'!$F$152</definedName>
    <definedName name="pIns_B_FHD_6">'Показатели ФХД'!$F$155</definedName>
    <definedName name="pIns_B_FHD_DIFFERENTIATION">'Показатели ФХД'!$AH$24</definedName>
    <definedName name="pIns_B_FHD_TKO_2">'ТКО. Показатели ФХД'!$F$34</definedName>
    <definedName name="pIns_B_FHD_TKO_DIFFERENTIATION">'ТКО. Показатели ФХД'!$AR$9</definedName>
    <definedName name="pIns_B_FHD_TKO_TRANS_2">'ТКО. Транс. Показатели ФХД'!$F$29</definedName>
    <definedName name="pIns_B_FHD_TKO_TRANS_DIFFERENTIATION">'ТКО. Транс. Показатели ФХД'!$AR$9</definedName>
    <definedName name="pIns_B_FHD20_DIFFERENTIATION">'Показатели ФХД &gt;20%'!$D$329</definedName>
    <definedName name="pIns_B_KNE_DIFFERENTIATION">'Показатели КНЭ'!$CA$6</definedName>
    <definedName name="pIns_B_OTEP_2">'Показатели ОТЭП'!$J$18</definedName>
    <definedName name="pIns_B_OTEP_DIFFERENTIATION">'Показатели ОТЭП'!$AV$9</definedName>
    <definedName name="pIns_B_STANDARTS">'Стандарты качества'!$J$13</definedName>
    <definedName name="pIns_CHANGE_INFO">'Сведения об изменении'!$E$13</definedName>
    <definedName name="pIns_Comm">Комментарии!$E$20</definedName>
    <definedName name="pIns_ED">ЭД!$E$13</definedName>
    <definedName name="pIns_IP_DETAILED">'ИП. Детализация'!$F$354</definedName>
    <definedName name="pIns_IP_FIN_PLAN">'ИП. Финансовый план'!$U$8</definedName>
    <definedName name="pIns_IP_MAIN">ИП!$G$15</definedName>
    <definedName name="pIns_IP_QRE">'ИП. КНЭ'!$F$24</definedName>
    <definedName name="pIns_List07">'Сведения об изменении'!$E$13</definedName>
    <definedName name="pIns_LT_AREA">'Список территорий'!$G$37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Ограничения!$CA$25</definedName>
    <definedName name="pIns_Q_PH_DIFFERENTIATION">'Потребительские характеристики'!$CA$8</definedName>
    <definedName name="pIns_Q_TP_1">ТП!$E$22</definedName>
    <definedName name="pIns_Q_TP_DIFFERENTIATION">ТП!$AQ$8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Ограничения!$CA$26</definedName>
    <definedName name="pNote_Q_PH">'Потребительские характеристики'!$CA$9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Ограничения!$E$32:$CA$39</definedName>
    <definedName name="Q_LIMIT_diff_1">Ограничения!$I$26:$J$28</definedName>
    <definedName name="Q_Limit_diff_51111">Ограничения!$K$26:$L$28</definedName>
    <definedName name="Q_Limit_diff_51111111111111111111">Ограничения!$M$26:$N$28</definedName>
    <definedName name="Q_Limit_diff_511111111111111111111">Ограничения!$O$26:$P$28</definedName>
    <definedName name="Q_Limit_diff_5111111111111111111111">Ограничения!$Q$26:$R$28</definedName>
    <definedName name="Q_Limit_diff_51111111111111111111111">Ограничения!$S$26:$T$28</definedName>
    <definedName name="Q_Limit_diff_511111111111111111111111">Ограничения!$U$26:$V$28</definedName>
    <definedName name="Q_Limit_diff_5111111111111111111111111">Ограничения!$W$26:$X$28</definedName>
    <definedName name="Q_Limit_diff_51111111111111111111111111">Ограничения!$Y$26:$Z$28</definedName>
    <definedName name="Q_Limit_diff_511111111111111111111111111">Ограничения!$AA$26:$AB$28</definedName>
    <definedName name="Q_Limit_diff_5111111111111111111111111111">Ограничения!$AC$26:$AD$28</definedName>
    <definedName name="Q_Limit_diff_51111111111111111111111111111">Ограничения!$AE$26:$AF$28</definedName>
    <definedName name="Q_Limit_diff_511111111111111111111111111111">Ограничения!$AG$26:$AH$28</definedName>
    <definedName name="Q_Limit_diff_5111111111111111111111111111111">Ограничения!$AI$26:$AJ$28</definedName>
    <definedName name="Q_Limit_diff_51111111111111111111111111111111">Ограничения!$AK$26:$AL$28</definedName>
    <definedName name="Q_Limit_diff_511111111111111111111111111111111">Ограничения!$AM$26:$AN$28</definedName>
    <definedName name="Q_Limit_diff_5111111111111111111111111111111111">Ограничения!$AO$26:$AP$28</definedName>
    <definedName name="Q_Limit_diff_51111111111111111111111111111111111">Ограничения!$AQ$26:$AR$28</definedName>
    <definedName name="Q_Limit_diff_511111111111111111111111111111111111">Ограничения!$AS$26:$AT$28</definedName>
    <definedName name="Q_Limit_diff_5111111111111111111111111111111111111">Ограничения!$AU$26:$AV$28</definedName>
    <definedName name="Q_Limit_diff_51111111111111111111111111111111111111">Ограничения!$AW$26:$AX$28</definedName>
    <definedName name="Q_Limit_diff_511111111111111111111111111111111111111">Ограничения!$AY$26:$AZ$28</definedName>
    <definedName name="Q_Limit_diff_5111111111111111111111111111111111111111">Ограничения!$BA$26:$BB$28</definedName>
    <definedName name="Q_Limit_diff_51111111111111111111111111111111111111111">Ограничения!$BC$26:$BD$28</definedName>
    <definedName name="Q_Limit_diff_511111111111111111111111111111111111111111">Ограничения!$BE$26:$BF$28</definedName>
    <definedName name="Q_Limit_diff_5111111111111111111111111111111111111111111">Ограничения!$BG$26:$BH$28</definedName>
    <definedName name="Q_Limit_diff_51111111111111111111111111111111111111111111">Ограничения!$BI$26:$BJ$28</definedName>
    <definedName name="Q_Limit_diff_511111111111111111111111111111111111111111111">Ограничения!$BK$26:$BL$28</definedName>
    <definedName name="Q_Limit_diff_5111111111111111111111111111111111111111111111">Ограничения!$BM$26:$BN$28</definedName>
    <definedName name="Q_Limit_diff_51111111111111111111111111111111111111111111111">Ограничения!$BO$26:$BP$28</definedName>
    <definedName name="Q_Limit_diff_511111111111111111111111111111111111111111111111">Ограничения!$BQ$26:$BR$28</definedName>
    <definedName name="Q_Limit_diff_5111111111111111111111111111111111111111111111111">Ограничения!$BS$26:$BT$28</definedName>
    <definedName name="Q_LIMIT_p3">Ограничения!$F$36:$CA$37</definedName>
    <definedName name="Q_LIMIT_p4">Ограничения!$F$38:$CA$39</definedName>
    <definedName name="Q_PH_diff_1">'Потребительские характеристики'!$I$9:$J$11</definedName>
    <definedName name="Q_PH_diff_51111">'Потребительские характеристики'!$K$9:$L$11</definedName>
    <definedName name="Q_PH_diff_51111111111111111111">'Потребительские характеристики'!$M$9:$N$11</definedName>
    <definedName name="Q_PH_diff_511111111111111111111">'Потребительские характеристики'!$O$9:$P$11</definedName>
    <definedName name="Q_PH_diff_5111111111111111111111">'Потребительские характеристики'!$Q$9:$R$11</definedName>
    <definedName name="Q_PH_diff_51111111111111111111111">'Потребительские характеристики'!$S$9:$T$11</definedName>
    <definedName name="Q_PH_diff_511111111111111111111111">'Потребительские характеристики'!$U$9:$V$11</definedName>
    <definedName name="Q_PH_diff_5111111111111111111111111">'Потребительские характеристики'!$W$9:$X$11</definedName>
    <definedName name="Q_PH_diff_51111111111111111111111111">'Потребительские характеристики'!$Y$9:$Z$11</definedName>
    <definedName name="Q_PH_diff_511111111111111111111111111">'Потребительские характеристики'!$AA$9:$AB$11</definedName>
    <definedName name="Q_PH_diff_5111111111111111111111111111">'Потребительские характеристики'!$AC$9:$AD$11</definedName>
    <definedName name="Q_PH_diff_51111111111111111111111111111">'Потребительские характеристики'!$AE$9:$AF$11</definedName>
    <definedName name="Q_PH_diff_511111111111111111111111111111">'Потребительские характеристики'!$AG$9:$AH$11</definedName>
    <definedName name="Q_PH_diff_5111111111111111111111111111111">'Потребительские характеристики'!$AI$9:$AJ$11</definedName>
    <definedName name="Q_PH_diff_51111111111111111111111111111111">'Потребительские характеристики'!$AK$9:$AL$11</definedName>
    <definedName name="Q_PH_diff_511111111111111111111111111111111">'Потребительские характеристики'!$AM$9:$AN$11</definedName>
    <definedName name="Q_PH_diff_5111111111111111111111111111111111">'Потребительские характеристики'!$AO$9:$AP$11</definedName>
    <definedName name="Q_PH_diff_51111111111111111111111111111111111">'Потребительские характеристики'!$AQ$9:$AR$11</definedName>
    <definedName name="Q_PH_diff_511111111111111111111111111111111111">'Потребительские характеристики'!$AS$9:$AT$11</definedName>
    <definedName name="Q_PH_diff_5111111111111111111111111111111111111">'Потребительские характеристики'!$AU$9:$AV$11</definedName>
    <definedName name="Q_PH_diff_51111111111111111111111111111111111111">'Потребительские характеристики'!$AW$9:$AX$11</definedName>
    <definedName name="Q_PH_diff_511111111111111111111111111111111111111">'Потребительские характеристики'!$AY$9:$AZ$11</definedName>
    <definedName name="Q_PH_diff_5111111111111111111111111111111111111111">'Потребительские характеристики'!$BA$9:$BB$11</definedName>
    <definedName name="Q_PH_diff_51111111111111111111111111111111111111111">'Потребительские характеристики'!$BC$9:$BD$11</definedName>
    <definedName name="Q_PH_diff_511111111111111111111111111111111111111111">'Потребительские характеристики'!$BE$9:$BF$11</definedName>
    <definedName name="Q_PH_diff_5111111111111111111111111111111111111111111">'Потребительские характеристики'!$BG$9:$BH$11</definedName>
    <definedName name="Q_PH_diff_51111111111111111111111111111111111111111111">'Потребительские характеристики'!$BI$9:$BJ$11</definedName>
    <definedName name="Q_PH_diff_511111111111111111111111111111111111111111111">'Потребительские характеристики'!$BK$9:$BL$11</definedName>
    <definedName name="Q_PH_diff_5111111111111111111111111111111111111111111111">'Потребительские характеристики'!$BM$9:$BN$11</definedName>
    <definedName name="Q_PH_diff_51111111111111111111111111111111111111111111111">'Потребительские характеристики'!$BO$9:$BP$11</definedName>
    <definedName name="Q_PH_diff_511111111111111111111111111111111111111111111111">'Потребительские характеристики'!$BQ$9:$BR$11</definedName>
    <definedName name="Q_PH_diff_5111111111111111111111111111111111111111111111111">'Потребительские характеристики'!$BS$9:$BT$11</definedName>
    <definedName name="Q_TP_COUNT_REFUSAL">ТП!$H$17:$H$17</definedName>
    <definedName name="Q_TP_diff_1">ТП!$H$9:$H$11</definedName>
    <definedName name="Q_TP_diff_51111">ТП!$I$9:$I$11</definedName>
    <definedName name="Q_TP_diff_51111111111111111111">ТП!$J$9:$J$11</definedName>
    <definedName name="Q_TP_diff_511111111111111111111">ТП!$K$9:$K$11</definedName>
    <definedName name="Q_TP_diff_5111111111111111111111">ТП!$L$9:$L$11</definedName>
    <definedName name="Q_TP_diff_51111111111111111111111">ТП!$M$9:$M$11</definedName>
    <definedName name="Q_TP_diff_511111111111111111111111">ТП!$N$9:$N$11</definedName>
    <definedName name="Q_TP_diff_5111111111111111111111111">ТП!$O$9:$O$11</definedName>
    <definedName name="Q_TP_diff_51111111111111111111111111">ТП!$P$9:$P$11</definedName>
    <definedName name="Q_TP_diff_511111111111111111111111111">ТП!$Q$9:$Q$11</definedName>
    <definedName name="Q_TP_diff_5111111111111111111111111111">ТП!$R$9:$R$11</definedName>
    <definedName name="Q_TP_diff_51111111111111111111111111111">ТП!$S$9:$S$11</definedName>
    <definedName name="Q_TP_diff_511111111111111111111111111111">ТП!$T$9:$T$11</definedName>
    <definedName name="Q_TP_diff_5111111111111111111111111111111">ТП!$U$9:$U$11</definedName>
    <definedName name="Q_TP_diff_51111111111111111111111111111111">ТП!$V$9:$V$11</definedName>
    <definedName name="Q_TP_diff_511111111111111111111111111111111">ТП!$W$9:$W$11</definedName>
    <definedName name="Q_TP_diff_5111111111111111111111111111111111">ТП!$X$9:$X$11</definedName>
    <definedName name="Q_TP_diff_51111111111111111111111111111111111">ТП!$Y$9:$Y$11</definedName>
    <definedName name="Q_TP_diff_511111111111111111111111111111111111">ТП!$Z$9:$Z$11</definedName>
    <definedName name="Q_TP_diff_5111111111111111111111111111111111111">ТП!$AA$9:$AA$11</definedName>
    <definedName name="Q_TP_diff_51111111111111111111111111111111111111">ТП!$AB$9:$AB$11</definedName>
    <definedName name="Q_TP_diff_511111111111111111111111111111111111111">ТП!$AC$9:$AC$11</definedName>
    <definedName name="Q_TP_diff_5111111111111111111111111111111111111111">ТП!$AD$9:$AD$11</definedName>
    <definedName name="Q_TP_diff_51111111111111111111111111111111111111111">ТП!$AE$9:$AE$11</definedName>
    <definedName name="Q_TP_diff_511111111111111111111111111111111111111111">ТП!$AF$9:$AF$11</definedName>
    <definedName name="Q_TP_diff_5111111111111111111111111111111111111111111">ТП!$AG$9:$AG$11</definedName>
    <definedName name="Q_TP_diff_51111111111111111111111111111111111111111111">ТП!$AH$9:$AH$11</definedName>
    <definedName name="Q_TP_diff_511111111111111111111111111111111111111111111">ТП!$AI$9:$AI$11</definedName>
    <definedName name="Q_TP_diff_5111111111111111111111111111111111111111111111">ТП!$AJ$9:$AJ$11</definedName>
    <definedName name="Q_TP_diff_51111111111111111111111111111111111111111111111">ТП!$AK$9:$AK$11</definedName>
    <definedName name="Q_TP_diff_511111111111111111111111111111111111111111111111">ТП!$AL$9:$AL$11</definedName>
    <definedName name="Q_TP_diff_5111111111111111111111111111111111111111111111111">ТП!$AM$9:$AM$11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ФХД'!$AH$161</definedName>
    <definedName name="tblEnd_1_B_FHD_TKO">'ТКО. Показатели ФХД'!$AR$49</definedName>
    <definedName name="tblEnd_1_B_FHD_TKO_TRANS">'ТКО. Транс. Показатели ФХД'!$AR$43</definedName>
    <definedName name="tblEnd_1_B_KNE">'Показатели КНЭ'!$J$101</definedName>
    <definedName name="tblEnd_1_B_OTEP">'Показатели ОТЭП'!$AV$34</definedName>
    <definedName name="tblEnd_1_B_STANDARTS">'Стандарты качества'!$L$13</definedName>
    <definedName name="tblEnd_1_CHANGE_INFO">'Сведения об изменении'!$E$14</definedName>
    <definedName name="tblEnd_1_DIFFERENTIATION">Дифференциация!$M$64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Детализация'!$AH$354</definedName>
    <definedName name="tblEnd_1_IP_FIN_PLAN">'ИП. Финансовый план'!$U$58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Ограничения!$CA$40</definedName>
    <definedName name="tblEnd_1_Q_PH">'Потребительские характеристики'!$CA$21</definedName>
    <definedName name="tblEnd_1_Q_TP">ТП!$AQ$23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5">'Список территорий'!$G$17:$I$17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территорий'!$E$11:$I$37</definedName>
    <definedName name="TERRITORY_ID">TEHSHEET!$E$56</definedName>
    <definedName name="TERRITORY_LIST_ID">'Список территорий'!$F$11:$F$37</definedName>
    <definedName name="TERRITORY_MO_LIST">'Список территорий'!$H$11:$H$37</definedName>
    <definedName name="TERRITORY_MR_LIST">'Список территорий'!$G$11:$G$37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Дифференциация!$F$12:$F$63</definedName>
    <definedName name="Y_N_DIFFERENTIATION_SYSTEM">Дифференциация!$J$12:$J$63</definedName>
    <definedName name="year_list">TEHSHEET!$C$2:$C$6</definedName>
    <definedName name="year_list1">TEHSHEET!$B$2:$B$27</definedName>
    <definedName name="Q_PH_diff_51111111111111111111111111111111111111111111111111111">'Потребительские характеристики'!$BU$9:$BV$11</definedName>
    <definedName name="Q_TP_diff_51111111111111111111111111111111111111111111111111111">ТП!$AN$9:$AN$11</definedName>
    <definedName name="Q_Limit_diff_51111111111111111111111111111111111111111111111111111">Ограничения!$BU$26:$BV$28</definedName>
    <definedName name="B_FHD_diff_51111111111111111111111111111111111111111111111111111">'Показатели ФХД'!$AE$25:$AE$27</definedName>
    <definedName name="B_OTEP_diff_51111111111111111111111111111111111111111111111111111">'Показатели ОТЭП'!$AS$10:$AS$12</definedName>
    <definedName name="B_FHD20_diff_51111111111111111111111111111111111111111111111111111">'Показатели ФХД &gt;20%'!$H$302:$R$304</definedName>
    <definedName name="B_KNE_diff_51111111111111111111111111111111111111111111111111111">'Показатели КНЭ'!$BU$7:$BV$9</definedName>
    <definedName name="B_FHD_TKO_diff_51111111111111111111111111111111111111111111111111111">'ТКО. Показатели ФХД'!$AO$10:$AO$12</definedName>
    <definedName name="B_FHD_TKO_TRANS_diff_51111111111111111111111111111111111111111111111111111">'ТКО. Транс. Показатели ФХД'!$AO$10:$AO$12</definedName>
    <definedName name="Q_PH_diff_511111111111111111111111111111111111111111111111111111">'Потребительские характеристики'!$BW$9:$BX$11</definedName>
    <definedName name="Q_TP_diff_511111111111111111111111111111111111111111111111111111">ТП!$AO$9:$AO$11</definedName>
    <definedName name="Q_Limit_diff_511111111111111111111111111111111111111111111111111111">Ограничения!$BW$26:$BX$28</definedName>
    <definedName name="B_FHD_diff_511111111111111111111111111111111111111111111111111111">'Показатели ФХД'!$AF$25:$AF$27</definedName>
    <definedName name="B_OTEP_diff_511111111111111111111111111111111111111111111111111111">'Показатели ОТЭП'!$AT$10:$AT$12</definedName>
    <definedName name="B_FHD20_diff_511111111111111111111111111111111111111111111111111111">'Показатели ФХД &gt;20%'!$H$311:$R$313</definedName>
    <definedName name="B_KNE_diff_511111111111111111111111111111111111111111111111111111">'Показатели КНЭ'!$BW$7:$BX$9</definedName>
    <definedName name="B_FHD_TKO_diff_511111111111111111111111111111111111111111111111111111">'ТКО. Показатели ФХД'!$AP$10:$AP$12</definedName>
    <definedName name="B_FHD_TKO_TRANS_diff_511111111111111111111111111111111111111111111111111111">'ТКО. Транс. Показатели ФХД'!$AP$10:$AP$12</definedName>
    <definedName name="DESCRIPTION_TERRITORY">REESTR_DS!$B$2:$B$9</definedName>
    <definedName name="Q_PH_diff_5111111111111111111111111111111111111111111111111111111">'Потребительские характеристики'!$BY$9:$BZ$11</definedName>
    <definedName name="Q_TP_diff_5111111111111111111111111111111111111111111111111111111">ТП!$AP$9:$AP$11</definedName>
    <definedName name="Q_Limit_diff_5111111111111111111111111111111111111111111111111111111">Ограничения!$BY$26:$BZ$28</definedName>
    <definedName name="B_FHD_diff_5111111111111111111111111111111111111111111111111111111">'Показатели ФХД'!$AG$25:$AG$27</definedName>
    <definedName name="B_OTEP_diff_5111111111111111111111111111111111111111111111111111111">'Показатели ОТЭП'!$AU$10:$AU$12</definedName>
    <definedName name="B_FHD20_diff_5111111111111111111111111111111111111111111111111111111">'Показатели ФХД &gt;20%'!$H$320:$R$322</definedName>
    <definedName name="B_KNE_diff_5111111111111111111111111111111111111111111111111111111">'Показатели КНЭ'!$BY$7:$BZ$9</definedName>
    <definedName name="B_FHD_TKO_diff_5111111111111111111111111111111111111111111111111111111">'ТКО. Показатели ФХД'!$AQ$10:$AQ$12</definedName>
    <definedName name="B_FHD_TKO_TRANS_diff_5111111111111111111111111111111111111111111111111111111">'ТКО. Транс. Показатели ФХД'!$AQ$10:$AQ$12</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<sst xmlns="http://schemas.openxmlformats.org/spreadsheetml/2006/main" count="22032" uniqueCount="4150">
  <si>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</si>
  <si>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</si>
  <si>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</si>
  <si>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</si>
  <si>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</si>
  <si>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</si>
  <si>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</si>
  <si>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</si>
  <si>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</si>
  <si>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</si>
  <si>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</si>
  <si>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</si>
  <si>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</si>
  <si>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</si>
  <si>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</si>
  <si>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</si>
  <si>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</si>
  <si>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</si>
  <si>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</si>
  <si>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</si>
  <si>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</si>
  <si>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</si>
  <si>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</si>
  <si>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</si>
  <si>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</si>
  <si>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</si>
  <si>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</si>
  <si>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</si>
  <si>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</si>
  <si>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</si>
  <si>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</si>
  <si>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</si>
  <si>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</si>
  <si>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</si>
  <si>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</si>
  <si>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</si>
  <si>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</si>
  <si>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</si>
  <si>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</si>
  <si>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</si>
  <si>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</si>
  <si>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</si>
  <si>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</si>
  <si>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</si>
  <si>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</si>
  <si>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</si>
  <si>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</si>
  <si>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</si>
  <si>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</si>
  <si>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</si>
  <si>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</si>
  <si>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</si>
  <si>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</si>
  <si>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</si>
  <si>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</si>
  <si>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</si>
  <si>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</si>
  <si>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</si>
  <si>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</si>
  <si>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</si>
  <si>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</si>
  <si>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</si>
  <si>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</si>
  <si>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</si>
  <si>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</si>
  <si>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</si>
  <si>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</si>
  <si>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</si>
  <si>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</si>
  <si>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</si>
  <si>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</si>
  <si>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</si>
  <si>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</si>
  <si>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</si>
  <si>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</si>
  <si>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</si>
  <si>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</si>
  <si>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</si>
  <si>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</si>
  <si>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</si>
  <si>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</si>
  <si>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</si>
  <si>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</si>
  <si>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</si>
  <si>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</si>
  <si>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</si>
  <si>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</si>
  <si>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</si>
  <si>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</si>
  <si>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</si>
  <si>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</si>
  <si>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</si>
  <si>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</si>
  <si>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</si>
  <si>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</si>
  <si>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</si>
  <si>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</si>
  <si>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</si>
  <si>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</si>
  <si>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</si>
  <si>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</si>
  <si>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</si>
  <si>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2</t>
  </si>
  <si>
    <t>×</t>
  </si>
  <si>
    <t>210</t>
  </si>
  <si>
    <t>Хабаровский муниципальный район</t>
  </si>
  <si>
    <t>08655000</t>
  </si>
  <si>
    <t>Добавить МО</t>
  </si>
  <si>
    <t>ter_5</t>
  </si>
  <si>
    <t>74</t>
  </si>
  <si>
    <t>Город Комсомольск-на-Амуре</t>
  </si>
  <si>
    <t>08709000</t>
  </si>
  <si>
    <t>ter_51</t>
  </si>
  <si>
    <t>Амурский муниципальный район</t>
  </si>
  <si>
    <t>Город Амурск</t>
  </si>
  <si>
    <t>08603101</t>
  </si>
  <si>
    <t>ter_511</t>
  </si>
  <si>
    <t>144</t>
  </si>
  <si>
    <t>Советско-Гаванский муниципальный район</t>
  </si>
  <si>
    <t>Поселок Майский</t>
  </si>
  <si>
    <t>08642165</t>
  </si>
  <si>
    <t>5</t>
  </si>
  <si>
    <t>ter_5111</t>
  </si>
  <si>
    <t>113</t>
  </si>
  <si>
    <t>Николаевский муниципальный район</t>
  </si>
  <si>
    <t>Город Николаевск-на-Амуре</t>
  </si>
  <si>
    <t>08631101</t>
  </si>
  <si>
    <t>ter_51111</t>
  </si>
  <si>
    <t>45</t>
  </si>
  <si>
    <t>Верхнебуреинский муниципальный район</t>
  </si>
  <si>
    <t>Поселок Чегдомын</t>
  </si>
  <si>
    <t>08614151</t>
  </si>
  <si>
    <t>ter_511111</t>
  </si>
  <si>
    <t>140</t>
  </si>
  <si>
    <t>Город Советская Гавань</t>
  </si>
  <si>
    <t>08642101</t>
  </si>
  <si>
    <t>8</t>
  </si>
  <si>
    <t>ter_5111111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</si>
  <si>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</si>
  <si>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</si>
  <si>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</si>
  <si>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</si>
  <si>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</si>
  <si>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</si>
  <si>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</si>
  <si>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</si>
  <si>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</si>
  <si>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</si>
  <si>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</si>
  <si>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Хабаровская ТЭЦ - 1</t>
  </si>
  <si>
    <t>diff_1</t>
  </si>
  <si>
    <t>4190066</t>
  </si>
  <si>
    <t>a</t>
  </si>
  <si>
    <t>Хабаровская ТЭЦ - 3</t>
  </si>
  <si>
    <t>diff_51111</t>
  </si>
  <si>
    <t>Добавить централизованную систему</t>
  </si>
  <si>
    <t>Комсомольская ТЭЦ - 2</t>
  </si>
  <si>
    <t>diff_51111111111111111111</t>
  </si>
  <si>
    <t>Комсомольская ТЭЦ - 3</t>
  </si>
  <si>
    <t>diff_511111111111111111111</t>
  </si>
  <si>
    <t>Амурская ТЭЦ - 1</t>
  </si>
  <si>
    <t>diff_5111111111111111111111</t>
  </si>
  <si>
    <t>Майская ГРЭС</t>
  </si>
  <si>
    <t>diff_51111111111111111111111</t>
  </si>
  <si>
    <t>Николаевская ТЭЦ</t>
  </si>
  <si>
    <t>diff_511111111111111111111111</t>
  </si>
  <si>
    <t>Добавить описание территории</t>
  </si>
  <si>
    <t>г. Хабаровск, Хабаровский муниципальный район</t>
  </si>
  <si>
    <t>diff_5111111111111111111111111</t>
  </si>
  <si>
    <t>4190067</t>
  </si>
  <si>
    <t>г. Комсомольск-на-Амуре</t>
  </si>
  <si>
    <t>diff_51111111111111111111111111</t>
  </si>
  <si>
    <t>г. Амурск</t>
  </si>
  <si>
    <t>diff_511111111111111111111111111</t>
  </si>
  <si>
    <t>п. Майский</t>
  </si>
  <si>
    <t>diff_5111111111111111111111111111</t>
  </si>
  <si>
    <t>г. Николаевск-на-Амуре</t>
  </si>
  <si>
    <t>diff_51111111111111111111111111111</t>
  </si>
  <si>
    <t>п. Чегдомын</t>
  </si>
  <si>
    <t>diff_511111111111111111111111111111</t>
  </si>
  <si>
    <t>г. Советская Гавань</t>
  </si>
  <si>
    <t>diff_5111111111111111111111111111111</t>
  </si>
  <si>
    <t>Хабаровская ТЭЦ-2</t>
  </si>
  <si>
    <t>diff_51111111111111111111111111111111</t>
  </si>
  <si>
    <t>4190064</t>
  </si>
  <si>
    <t>Некрасовская котельная</t>
  </si>
  <si>
    <t>diff_5111111111111111111111111111111111111111111</t>
  </si>
  <si>
    <t>котельная "Дземги"</t>
  </si>
  <si>
    <t>diff_51111111111111111111111111111111111111111111</t>
  </si>
  <si>
    <t>Майская котельная</t>
  </si>
  <si>
    <t>diff_511111111111111111111111111111111111111111111</t>
  </si>
  <si>
    <t>Ургальская котельная</t>
  </si>
  <si>
    <t>diff_5111111111111111111111111111111111111111111111</t>
  </si>
  <si>
    <t>Комсомольские тепловые сети</t>
  </si>
  <si>
    <t>diff_51111111111111111111111111111111111111111111111</t>
  </si>
  <si>
    <t>4190068; 4190069; 4190070; 4190071</t>
  </si>
  <si>
    <t>Хабаровские тепловые сети</t>
  </si>
  <si>
    <t>diff_511111111111111111111111111111111111111111111111</t>
  </si>
  <si>
    <t>ТЭЦ в г. Советская Гавань</t>
  </si>
  <si>
    <t>diff_5111111111111111111111111111111111111111111111111</t>
  </si>
  <si>
    <t>4190064; 4190066; 4190068; 4190069; 4190070; 4190071</t>
  </si>
  <si>
    <t>котельная "Аэропорт"</t>
  </si>
  <si>
    <t>diff_51111111111111111111111111111111111111111111111111111</t>
  </si>
  <si>
    <t>4190064; 4190068; 4190070</t>
  </si>
  <si>
    <t>котельная в Волочаевском городке</t>
  </si>
  <si>
    <t>diff_511111111111111111111111111111111111111111111111111111</t>
  </si>
  <si>
    <t>diff_5111111111111111111111111111111111111111111111111111111</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</si>
  <si>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</si>
  <si>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</si>
  <si>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</si>
  <si>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</si>
  <si>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</si>
  <si>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</si>
  <si>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</si>
  <si>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</si>
  <si>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</si>
  <si>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</si>
  <si>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</si>
  <si>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</si>
  <si>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</si>
  <si>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</si>
  <si>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</si>
  <si>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</si>
  <si>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</si>
  <si>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</si>
  <si>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</si>
  <si>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</si>
  <si>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</si>
  <si>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</si>
  <si>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</si>
  <si>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</si>
  <si>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</si>
  <si>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</si>
  <si>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</si>
  <si>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</si>
  <si>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</si>
  <si>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</si>
  <si>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</si>
  <si>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</si>
  <si>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</si>
  <si>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</si>
  <si>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</si>
  <si>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</si>
  <si>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</si>
  <si>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</si>
  <si>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</si>
  <si>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</si>
  <si>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</si>
  <si>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</si>
  <si>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</si>
  <si>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</si>
  <si>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</si>
  <si>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</si>
  <si>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</si>
  <si>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</si>
  <si>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</si>
  <si>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</si>
  <si>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</si>
  <si>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</si>
  <si>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</si>
  <si>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</si>
  <si>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</si>
  <si>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</si>
  <si>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</si>
  <si>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</si>
  <si>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</si>
  <si>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</si>
  <si>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</si>
  <si>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</si>
  <si>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</si>
  <si>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</si>
  <si>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</si>
  <si>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</si>
  <si>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</si>
  <si>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</si>
  <si>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</si>
  <si>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</si>
  <si>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</si>
  <si>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</si>
  <si>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</si>
  <si>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</si>
  <si>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</si>
  <si>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</si>
  <si>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</si>
  <si>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</si>
  <si>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</si>
  <si>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</si>
  <si>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</si>
  <si>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</si>
  <si>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</si>
  <si>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</si>
  <si>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</si>
  <si>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</si>
  <si>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</si>
  <si>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</si>
  <si>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</si>
  <si>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</si>
  <si>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</si>
  <si>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</si>
  <si>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</si>
  <si>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</si>
  <si>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</si>
  <si>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</si>
  <si>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</si>
  <si>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</si>
  <si>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</si>
  <si>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</si>
  <si>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</si>
  <si>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</si>
  <si>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</si>
  <si>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</si>
  <si>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</si>
  <si>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</si>
  <si>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</si>
  <si>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</si>
  <si>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</si>
  <si>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</si>
  <si>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</si>
  <si>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</si>
  <si>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</si>
  <si>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</si>
  <si>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</si>
  <si>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</si>
  <si>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</si>
  <si>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</si>
  <si>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</si>
  <si>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</si>
  <si>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</si>
  <si>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</si>
  <si>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</si>
  <si>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</si>
  <si>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</si>
  <si>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</si>
  <si>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</si>
  <si>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</si>
  <si>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</si>
  <si>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</si>
  <si>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</si>
  <si>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</si>
  <si>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</si>
  <si>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</si>
  <si>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</si>
  <si>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</si>
  <si>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</si>
  <si>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</si>
  <si>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</si>
  <si>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</si>
  <si>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</si>
  <si>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</si>
  <si>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</si>
  <si>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</si>
  <si>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</si>
  <si>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</si>
  <si>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</si>
  <si>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</si>
  <si>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</si>
  <si>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</si>
  <si>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</si>
  <si>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</si>
  <si>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</si>
  <si>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</si>
  <si>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</si>
  <si>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</si>
  <si>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</si>
  <si>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</si>
  <si>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</si>
  <si>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</si>
  <si>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</si>
  <si>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</si>
  <si>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</si>
  <si>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</si>
  <si>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</si>
  <si>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</si>
  <si>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</si>
  <si>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</si>
  <si>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</si>
  <si>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</si>
  <si>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</si>
  <si>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</si>
  <si>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</si>
  <si>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</si>
  <si>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</si>
  <si>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</si>
  <si>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</si>
  <si>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</si>
  <si>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</si>
  <si>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</si>
  <si>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</si>
  <si>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</si>
  <si>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</si>
  <si>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</si>
  <si>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</si>
  <si>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</si>
  <si>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</si>
  <si>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</si>
  <si>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</si>
  <si>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</si>
  <si>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</si>
  <si>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</si>
  <si>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</si>
  <si>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</si>
  <si>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</si>
  <si>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</si>
  <si>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</si>
  <si>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</si>
  <si>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</si>
  <si>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</si>
  <si>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</si>
  <si>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</si>
  <si>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</si>
  <si>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</si>
  <si>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</si>
  <si>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</si>
  <si>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</si>
  <si>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</si>
  <si>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</si>
  <si>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</si>
  <si>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</si>
  <si>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</si>
  <si>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</si>
  <si>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</si>
  <si>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</si>
  <si>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</si>
  <si>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</si>
  <si>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</si>
  <si>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</si>
  <si>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</si>
  <si>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</si>
  <si>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</si>
  <si>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</si>
  <si>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</si>
  <si>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</si>
  <si>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</si>
  <si>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</si>
  <si>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</si>
  <si>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</si>
  <si>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</si>
  <si>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</si>
  <si>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</si>
  <si>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</si>
  <si>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</si>
  <si>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</si>
  <si>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</si>
  <si>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</si>
  <si>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</si>
  <si>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</si>
  <si>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</si>
  <si>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</si>
  <si>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</si>
  <si>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</si>
  <si>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</si>
  <si>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</si>
  <si>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</si>
  <si>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</si>
  <si>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</si>
  <si>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</si>
  <si>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</si>
  <si>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</si>
  <si>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</si>
  <si>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</si>
  <si>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</si>
  <si>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</si>
  <si>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</si>
  <si>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</si>
  <si>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</si>
  <si>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</si>
  <si>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</si>
  <si>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</si>
  <si>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</si>
  <si>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</si>
  <si>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</si>
  <si>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</si>
  <si>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</si>
  <si>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</si>
  <si>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</si>
  <si>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</si>
  <si>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</si>
  <si>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</si>
  <si>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</si>
  <si>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</si>
  <si>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</si>
  <si>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</si>
  <si>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</si>
  <si>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</si>
  <si>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</si>
  <si>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</si>
  <si>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</si>
  <si>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</si>
  <si>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</si>
  <si>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</si>
  <si>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</si>
  <si>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</si>
  <si>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</si>
  <si>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</si>
  <si>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</si>
  <si>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</si>
  <si>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</si>
  <si>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</si>
  <si>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</si>
  <si>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</si>
  <si>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</si>
  <si>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</si>
  <si>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</si>
  <si>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</si>
  <si>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</si>
  <si>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</si>
  <si>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</si>
  <si>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</si>
  <si>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</si>
  <si>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</si>
  <si>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</si>
  <si>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</si>
  <si>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</si>
  <si>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</si>
  <si>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</si>
  <si>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</si>
  <si>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</si>
  <si>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</si>
  <si>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</si>
  <si>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</si>
  <si>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</si>
  <si>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</si>
  <si>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</si>
  <si>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</si>
  <si>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</si>
  <si>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</si>
  <si>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</si>
  <si>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</si>
  <si>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</si>
  <si>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</si>
  <si>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</si>
  <si>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</si>
  <si>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</si>
  <si>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</si>
  <si>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</si>
  <si>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</si>
  <si>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</si>
  <si>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</si>
  <si>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</si>
  <si>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</si>
  <si>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</si>
  <si>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</si>
  <si>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</si>
  <si>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</si>
  <si>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</si>
  <si>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</si>
  <si>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</si>
  <si>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</si>
  <si>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</si>
  <si>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</si>
  <si>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</si>
  <si>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</si>
  <si>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</si>
  <si>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</si>
  <si>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</si>
  <si>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</si>
  <si>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</si>
  <si>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</si>
  <si>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</si>
  <si>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</si>
  <si>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</si>
  <si>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</si>
  <si>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</si>
  <si>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</si>
  <si>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</si>
  <si>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</si>
  <si>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</si>
  <si>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</si>
  <si>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</si>
  <si>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</si>
  <si>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</si>
  <si>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</si>
  <si>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</si>
  <si>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</si>
  <si>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</si>
  <si>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</si>
  <si>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</si>
  <si>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</si>
  <si>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</si>
  <si>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</si>
  <si>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</si>
  <si>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</si>
  <si>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</si>
  <si>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</si>
  <si>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</si>
  <si>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</si>
  <si>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</si>
  <si>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</si>
  <si>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</si>
  <si>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</si>
  <si>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</si>
  <si>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</si>
  <si>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</si>
  <si>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</si>
  <si>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</si>
  <si>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</si>
  <si>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</si>
  <si>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</si>
  <si>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</si>
  <si>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</si>
  <si>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</si>
  <si>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</si>
  <si>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</si>
  <si>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</si>
  <si>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</si>
  <si>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</si>
  <si>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</si>
  <si>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</si>
  <si>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</si>
  <si>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</si>
  <si>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</si>
  <si>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</si>
  <si>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</si>
  <si>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</si>
  <si>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</si>
  <si>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</si>
  <si>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</si>
  <si>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</si>
  <si>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</si>
  <si>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</si>
  <si>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</si>
  <si>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</si>
  <si>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</si>
  <si>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</si>
  <si>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</si>
  <si>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</si>
  <si>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</si>
  <si>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</si>
  <si>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</si>
  <si>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</si>
  <si>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</si>
  <si>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</si>
  <si>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</si>
  <si>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</si>
  <si>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</si>
  <si>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</si>
  <si>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</si>
  <si>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</si>
  <si>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</si>
  <si>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</si>
  <si>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</si>
  <si>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</si>
  <si>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</si>
  <si>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</si>
  <si>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</si>
  <si>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</si>
  <si>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</si>
  <si>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</si>
  <si>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</si>
  <si>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</si>
  <si>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</si>
  <si>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</si>
  <si>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</si>
  <si>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</si>
  <si>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нерегулируемой цене</t>
  </si>
  <si>
    <t>тыс м3</t>
  </si>
  <si>
    <t>Прямые договора без торгов</t>
  </si>
  <si>
    <t>уголь бурый</t>
  </si>
  <si>
    <t>тонны</t>
  </si>
  <si>
    <t>Торги/аукционы</t>
  </si>
  <si>
    <t>уголь каменный</t>
  </si>
  <si>
    <t>мазут</t>
  </si>
  <si>
    <t>дизельное топливо</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</si>
  <si>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</si>
  <si>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</si>
  <si>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</si>
  <si>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</si>
  <si>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</si>
  <si>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</si>
  <si>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</si>
  <si>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</si>
  <si>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</si>
  <si>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</si>
  <si>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</si>
  <si>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</si>
  <si>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https://portal.eias.ru/Portal/DownloadPage.aspx?type=12&amp;guid=1b06e2e7-77b0-4897-b534-c34f22742186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</si>
  <si>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</si>
  <si>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</si>
  <si>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</si>
  <si>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</si>
  <si>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</si>
  <si>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</si>
  <si>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</si>
  <si>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</si>
  <si>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</si>
  <si>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</si>
  <si>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</si>
  <si>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</si>
  <si>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</si>
  <si>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</si>
  <si>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</si>
  <si>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</si>
  <si>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</si>
  <si>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</si>
  <si>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</si>
  <si>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</si>
  <si>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</si>
  <si>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</si>
  <si>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</si>
  <si>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</si>
  <si>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</si>
  <si>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</si>
  <si>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</si>
  <si>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</si>
  <si>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</si>
  <si>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</si>
  <si>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</si>
  <si>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</si>
  <si>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</si>
  <si>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</si>
  <si>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111111</t>
  </si>
  <si>
    <t>Добавить поставщика</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</si>
  <si>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</si>
  <si>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</si>
  <si>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</si>
  <si>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</si>
  <si>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</si>
  <si>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</si>
  <si>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</si>
  <si>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</si>
  <si>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</si>
  <si>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</si>
  <si>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</si>
  <si>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</si>
  <si>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</si>
  <si>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diff_511111111111111111111111111111111</t>
  </si>
  <si>
    <t>11111111111111111111</t>
  </si>
  <si>
    <t>diff_5111111111111111111111111111111111</t>
  </si>
  <si>
    <t>111111111111111111111</t>
  </si>
  <si>
    <t>diff_51111111111111111111111111111111111</t>
  </si>
  <si>
    <t>1111111111111111111111</t>
  </si>
  <si>
    <t>diff_511111111111111111111111111111111111</t>
  </si>
  <si>
    <t>11111111111111111111111</t>
  </si>
  <si>
    <t>diff_5111111111111111111111111111111111111</t>
  </si>
  <si>
    <t>111111111111111111111111</t>
  </si>
  <si>
    <t>diff_51111111111111111111111111111111111111</t>
  </si>
  <si>
    <t>1111111111111111111111111</t>
  </si>
  <si>
    <t>diff_511111111111111111111111111111111111111</t>
  </si>
  <si>
    <t>11111111111111111111111111</t>
  </si>
  <si>
    <t>diff_5111111111111111111111111111111111111111</t>
  </si>
  <si>
    <t>111111111111111111111111111</t>
  </si>
  <si>
    <t>diff_51111111111111111111111111111111111111111</t>
  </si>
  <si>
    <t>1111111111111111111111111111</t>
  </si>
  <si>
    <t>diff_511111111111111111111111111111111111111111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</si>
  <si>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</si>
  <si>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</si>
  <si>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</si>
  <si>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</si>
  <si>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</si>
  <si>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</si>
  <si>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</si>
  <si>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</si>
  <si>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</si>
  <si>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</si>
  <si>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</si>
  <si>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</si>
  <si>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</si>
  <si>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</si>
  <si>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</si>
  <si>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</si>
  <si>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</si>
  <si>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</si>
  <si>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</si>
  <si>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</si>
  <si>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</si>
  <si>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</si>
  <si>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</si>
  <si>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</si>
  <si>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</si>
  <si>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</si>
  <si>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</si>
  <si>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</si>
  <si>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</si>
  <si>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</si>
  <si>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</si>
  <si>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</si>
  <si>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</si>
  <si>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</si>
  <si>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</si>
  <si>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</si>
  <si>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</si>
  <si>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</si>
  <si>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</si>
  <si>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</si>
  <si>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</si>
  <si>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</si>
  <si>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</si>
  <si>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</si>
  <si>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</si>
  <si>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</si>
  <si>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</si>
  <si>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</si>
  <si>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</si>
  <si>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</si>
  <si>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</si>
  <si>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</si>
  <si>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</si>
  <si>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</si>
  <si>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</si>
  <si>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</si>
  <si>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</si>
  <si>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</si>
  <si>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</si>
  <si>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</si>
  <si>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</si>
  <si>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</si>
  <si>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</si>
  <si>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</si>
  <si>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</si>
  <si>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</si>
  <si>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</si>
  <si>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</si>
  <si>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</si>
  <si>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</si>
  <si>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</si>
  <si>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</si>
  <si>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</si>
  <si>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</si>
  <si>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</si>
  <si>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</si>
  <si>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</si>
  <si>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</si>
  <si>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</si>
  <si>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</si>
  <si>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</si>
  <si>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</si>
  <si>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</si>
  <si>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</si>
  <si>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</si>
  <si>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</si>
  <si>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</si>
  <si>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</si>
  <si>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</si>
  <si>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</si>
  <si>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</si>
  <si>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</si>
  <si>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</si>
  <si>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</si>
  <si>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</si>
  <si>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</si>
  <si>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</si>
  <si>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</si>
  <si>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</si>
  <si>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</si>
  <si>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</si>
  <si>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</si>
  <si>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</si>
  <si>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</si>
  <si>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</si>
  <si>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</si>
  <si>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</si>
  <si>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</si>
  <si>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</si>
  <si>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</si>
  <si>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</si>
  <si>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</si>
  <si>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</si>
  <si>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</si>
  <si>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</si>
  <si>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</si>
  <si>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</si>
  <si>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</si>
  <si>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</si>
  <si>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</si>
  <si>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</si>
  <si>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</si>
  <si>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</si>
  <si>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</si>
  <si>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</si>
  <si>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</si>
  <si>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</si>
  <si>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</si>
  <si>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</si>
  <si>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</si>
  <si>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</si>
  <si>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</si>
  <si>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</si>
  <si>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</si>
  <si>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</si>
  <si>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</si>
  <si>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</si>
  <si>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</si>
  <si>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</si>
  <si>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</si>
  <si>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</si>
  <si>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</si>
  <si>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</si>
  <si>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</si>
  <si>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</si>
  <si>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</si>
  <si>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</si>
  <si>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</si>
  <si>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</si>
  <si>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</si>
  <si>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</si>
  <si>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</si>
  <si>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</si>
  <si>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</si>
  <si>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</si>
  <si>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</si>
  <si>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</si>
  <si>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</si>
  <si>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</si>
  <si>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</si>
  <si>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</si>
  <si>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</si>
  <si>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</si>
  <si>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</si>
  <si>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</si>
  <si>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</si>
  <si>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</si>
  <si>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</si>
  <si>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</si>
  <si>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</si>
  <si>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</si>
  <si>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</si>
  <si>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</si>
  <si>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</si>
  <si>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</si>
  <si>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</si>
  <si>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</si>
  <si>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</si>
  <si>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</si>
  <si>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</si>
  <si>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</si>
  <si>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</si>
  <si>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</si>
  <si>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</si>
  <si>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</si>
  <si>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</si>
  <si>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</si>
  <si>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</si>
  <si>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</si>
  <si>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</si>
  <si>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</si>
  <si>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</si>
  <si>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</si>
  <si>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</si>
  <si>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</si>
  <si>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</si>
  <si>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</si>
  <si>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</si>
  <si>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</si>
  <si>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</si>
  <si>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</si>
  <si>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</si>
  <si>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</si>
  <si>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</si>
  <si>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</si>
  <si>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</si>
  <si>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</si>
  <si>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</si>
  <si>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</si>
  <si>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</si>
  <si>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</si>
  <si>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</si>
  <si>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</si>
  <si>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</si>
  <si>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</si>
  <si>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</si>
  <si>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</si>
  <si>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</si>
  <si>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</si>
  <si>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</si>
  <si>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</si>
  <si>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</si>
  <si>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</si>
  <si>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</si>
  <si>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</si>
  <si>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</si>
  <si>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</si>
  <si>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</si>
  <si>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</si>
  <si>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</si>
  <si>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</si>
  <si>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</si>
  <si>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</si>
  <si>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</si>
  <si>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</si>
  <si>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</si>
  <si>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</si>
  <si>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Постановление комитета по ценам и тарифам правительства Хабаровского края  от 18.12.2020 № 41/2 (ед. измерения кг/Гкал)</t>
  </si>
  <si>
    <t>Постановление Комитета по ценам и тарифам Правительства Хабаровского края от 14.12.2018 № 38/2 (ед. измерения по п. 4.2.1.2 - Гкал/м2, по п. 4.2.3.2 - тыс. Гкал)</t>
  </si>
  <si>
    <t>Не утверждены</t>
  </si>
  <si>
    <t>Постановление комитета по ценам и тарифам правительства Хабаровского края  от 18.12.2020 № 41/2 (ед. измерения по п. 4.2.1.2 - Гкал/м2, по п. 4.2.3.2 - тыс. Гкал)</t>
  </si>
  <si>
    <t>Постановление Комитета по ценам и тарифам Правительства Хабаровского края от 11.11.2020 № 34/14 (показатели не утверждались)</t>
  </si>
  <si>
    <t>Постановление Комитета по ценам и тарифам правительства Хабаровского края от 23.12.2020 №42/1 (показатели не утверждались)</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</si>
  <si>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</si>
  <si>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</si>
  <si>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</si>
  <si>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</si>
  <si>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</si>
  <si>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</si>
  <si>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</si>
  <si>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</si>
  <si>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</si>
  <si>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</si>
  <si>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</si>
  <si>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</si>
  <si>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</si>
  <si>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</si>
  <si>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</si>
  <si>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</si>
  <si>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</si>
  <si>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</si>
  <si>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</si>
  <si>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</si>
  <si>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</si>
  <si>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</si>
  <si>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</si>
  <si>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</si>
  <si>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</si>
  <si>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</si>
  <si>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</si>
  <si>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</si>
  <si>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</si>
  <si>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</si>
  <si>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</si>
  <si>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</si>
  <si>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</si>
  <si>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</si>
  <si>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</si>
  <si>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</si>
  <si>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</si>
  <si>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</si>
  <si>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</si>
  <si>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</si>
  <si>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</si>
  <si>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</si>
  <si>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</si>
  <si>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</si>
  <si>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</si>
  <si>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</si>
  <si>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</si>
  <si>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</si>
  <si>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</si>
  <si>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</si>
  <si>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</si>
  <si>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</si>
  <si>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</si>
  <si>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</si>
  <si>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</si>
  <si>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</si>
  <si>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</si>
  <si>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</si>
  <si>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</si>
  <si>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</si>
  <si>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</si>
  <si>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</si>
  <si>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</si>
  <si>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</si>
  <si>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</si>
  <si>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</si>
  <si>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</si>
  <si>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</si>
  <si>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</si>
  <si>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</si>
  <si>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</si>
  <si>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</si>
  <si>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</si>
  <si>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</si>
  <si>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</si>
  <si>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</si>
  <si>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</si>
  <si>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</si>
  <si>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</si>
  <si>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</si>
  <si>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</si>
  <si>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</si>
  <si>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</si>
  <si>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</si>
  <si>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</si>
  <si>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</si>
  <si>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</si>
  <si>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</si>
  <si>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</si>
  <si>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</si>
  <si>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</si>
  <si>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</si>
  <si>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</si>
  <si>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</si>
  <si>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</si>
  <si>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</si>
  <si>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</si>
  <si>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</si>
  <si>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</si>
  <si>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</si>
  <si>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</si>
  <si>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</si>
  <si>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</si>
  <si>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</si>
  <si>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</si>
  <si>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</si>
  <si>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</si>
  <si>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</si>
  <si>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</si>
  <si>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</si>
  <si>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</si>
  <si>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</si>
  <si>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</si>
  <si>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</si>
  <si>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</si>
  <si>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</si>
  <si>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</si>
  <si>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</si>
  <si>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</si>
  <si>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</si>
  <si>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</si>
  <si>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</si>
  <si>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</si>
  <si>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</si>
  <si>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</si>
  <si>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</si>
  <si>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</si>
  <si>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</si>
  <si>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</si>
  <si>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</si>
  <si>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</si>
  <si>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</si>
  <si>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</si>
  <si>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</si>
  <si>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</si>
  <si>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</si>
  <si>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</si>
  <si>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</si>
  <si>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</si>
  <si>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</si>
  <si>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</si>
  <si>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</si>
  <si>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</si>
  <si>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</si>
  <si>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</si>
  <si>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</si>
  <si>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</si>
  <si>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</si>
  <si>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</si>
  <si>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</si>
  <si>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</si>
  <si>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</si>
  <si>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</si>
  <si>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</si>
  <si>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</si>
  <si>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</si>
  <si>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</si>
  <si>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</si>
  <si>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</si>
  <si>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</si>
  <si>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</si>
  <si>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</si>
  <si>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</si>
  <si>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</si>
  <si>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01.01.2020</t>
  </si>
  <si>
    <t>31.12.2027</t>
  </si>
  <si>
    <t>Об утверждении инвестиционной программы АО "ДГК" на 2020-2024 годы и изменений, вносимых в инвестиционную программу АО "ДГК", утвержденную приказом Минэнерго России от 14.12.22018 № 21@</t>
  </si>
  <si>
    <t>приказ</t>
  </si>
  <si>
    <t>23@</t>
  </si>
  <si>
    <t>12.12.2019</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</si>
  <si>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</si>
  <si>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</si>
  <si>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28.12.2023</t>
  </si>
  <si>
    <t>б/н от 05.10.2020</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</si>
  <si>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</si>
  <si>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</si>
  <si>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</si>
  <si>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</si>
  <si>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</si>
  <si>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</si>
  <si>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</si>
  <si>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</si>
  <si>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</si>
  <si>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</si>
  <si>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</si>
  <si>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</si>
  <si>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</si>
  <si>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</si>
  <si>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</si>
  <si>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</si>
  <si>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</si>
  <si>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</si>
  <si>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</si>
  <si>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</si>
  <si>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</si>
  <si>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</si>
  <si>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</si>
  <si>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</si>
  <si>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</si>
  <si>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</si>
  <si>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</si>
  <si>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</si>
  <si>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</si>
  <si>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</si>
  <si>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</si>
  <si>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</si>
  <si>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</si>
  <si>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ip_51</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</si>
  <si>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</si>
  <si>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</si>
  <si>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</si>
  <si>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 xml:space="preserve"> Расширение автоматической котельной в п. Некрасовка 2 я очередь с  реконструкцией насосной и вспомогательного оборудования J_505-ХТСКх-75 </t>
  </si>
  <si>
    <t>Октябрь</t>
  </si>
  <si>
    <t>2024</t>
  </si>
  <si>
    <t xml:space="preserve">      Амортизационные отчисления с выделением результатов переоценки основных средств и нематериальных активов</t>
  </si>
  <si>
    <t xml:space="preserve">      Прочие амортизационные отчисления</t>
  </si>
  <si>
    <t>Добавить источник финансирования</t>
  </si>
  <si>
    <t>Добавить объект инфраструктуры</t>
  </si>
  <si>
    <t xml:space="preserve"> Реконструкция бака-запаса горячей воды емк. 5000 м3,  СП Хабаровская ТЭЦ-2 F_505-ХТСКх-8 </t>
  </si>
  <si>
    <t>Декабрь</t>
  </si>
  <si>
    <t>2026</t>
  </si>
  <si>
    <t xml:space="preserve">  Прочие собственные средства</t>
  </si>
  <si>
    <t xml:space="preserve"> Техперевооружение комплекса инженерно-технических средств физической защиты Хабаровской ТЭЦ-2 F_505-ХТСКх-5 </t>
  </si>
  <si>
    <t>2023</t>
  </si>
  <si>
    <t xml:space="preserve"> Техперевооружение комплекса инженерно-технических средств физической защиты Котельный цех №2 Ургал.СП Хабаровская ТЭЦ-2 H_505-ХТСКх-35 </t>
  </si>
  <si>
    <t xml:space="preserve"> Модернизация АСУ ТП  котельного оборудования Хабаровской ТЭЦ-2 I_505-ХТСКх-64 </t>
  </si>
  <si>
    <t>2028</t>
  </si>
  <si>
    <t xml:space="preserve"> Техперевооружение системы управления информационной безопасности, СП Хабаровская ТЭЦ-2 K_505-ХТЭЦ2-1 </t>
  </si>
  <si>
    <t>Мероприятия по подготовке проектной документации</t>
  </si>
  <si>
    <t xml:space="preserve"> Разработка технико-экономического обоснования для реконструкции Ургальской котельной K_505-ХТЭЦ2-5 </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</si>
  <si>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</si>
  <si>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Покупка оборудования, не входящего в сметы строек ХТЭЦ-2</t>
  </si>
  <si>
    <t>реконструкция или модернизация существующих тепловых сетей</t>
  </si>
  <si>
    <t>Реконструкция теплотрассы № 2 от ТК 3-17 до ТК 2-12б, от ТК 9-14 до ТК «пр. Мира, 29 в г.Комсомольске-на-Амуре.(СП КТС) F_505-ХТСКх-12</t>
  </si>
  <si>
    <t xml:space="preserve"> Техперевооружение теплотрассы №3 г. Комсомольск-на-Амуре.(СП КТС) H_505-ХТСКх-9-36 </t>
  </si>
  <si>
    <t>2029</t>
  </si>
  <si>
    <t xml:space="preserve"> Техперевооружение теплотрассы №4 г. Комсомольск-на-Амуре.(СП КТС) H_505-ХТСКх-9-37 </t>
  </si>
  <si>
    <t>2027</t>
  </si>
  <si>
    <t xml:space="preserve"> Техперевооружение теплотрассы №15 г. Амурск.(СП КТС) H_505-ХТСКх-9-41 </t>
  </si>
  <si>
    <t xml:space="preserve"> Техперевооружение теплотрассы №16 г. Амурск.(СП КТС) H_505-ХТСКх-9-42 </t>
  </si>
  <si>
    <t xml:space="preserve"> Техперевооружение теплотрассы №11 г. Комсомольск-на-Амуре.(СП КТС) H_505-ХТСКх-9-46 </t>
  </si>
  <si>
    <t>15</t>
  </si>
  <si>
    <t xml:space="preserve"> Техперевооружение теплотрассы №18 г. Комсомольск-на-Амуре H_505-ХТСКх-9-49 </t>
  </si>
  <si>
    <t>16</t>
  </si>
  <si>
    <t xml:space="preserve"> Техперевооружение теплотрассы №17 г. Комсомольск-на-Амуре I_505-ХТСКх-9-50</t>
  </si>
  <si>
    <t>17</t>
  </si>
  <si>
    <t xml:space="preserve"> Техперевооружение системы управления информационной безопасности, Комсомольские тепловые сети K_505-КТС-1 </t>
  </si>
  <si>
    <t>18</t>
  </si>
  <si>
    <t>Техническое перевооружение системы контроля параметров работы системы централизованного теплоснабжения (технический учет) в г. Амурске  N_505-КТС-3</t>
  </si>
  <si>
    <t xml:space="preserve">      Прочие займы</t>
  </si>
  <si>
    <t>19</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</si>
  <si>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</si>
  <si>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 Строительство подкачивающей насосной станции "Таежная" в г.Комсомольске-на-Амуре (производительность - 580 т/час) (СП КТС) H_505-ХТСКх-48 </t>
  </si>
  <si>
    <t>20</t>
  </si>
  <si>
    <t>Покупка оборудования, не входящего в сметы строек КТС</t>
  </si>
  <si>
    <t xml:space="preserve">  За счет платы за технологическое присоединение</t>
  </si>
  <si>
    <t>21</t>
  </si>
  <si>
    <t>Реконструкция тепломагистрали ТМ-32 от узла 326 до ТК 328.26 с увеличением диаметра Ду=700/800мм на Ду=1000мм протяженностью L=3418х2м.п., СП ХТС H_505-ХТСКх-39</t>
  </si>
  <si>
    <t>2030</t>
  </si>
  <si>
    <t>22</t>
  </si>
  <si>
    <t>Реконструкция ТМ-17 от ПНС-172 до ТК 731.04 с увеличением диаметра с Dy = 500/600 мм на Dy = 600/700 мм общей протяженностью 642,5х2м.п. L_505-ХТС-2тп</t>
  </si>
  <si>
    <t>23</t>
  </si>
  <si>
    <t xml:space="preserve"> Реконструкция тепломагистрали ТМ-18 от ПНС-184 "кубяка" "точка А" до узла 187 протяженностью 3443х2м.п. с увеличеснием диаметров с 700мм на 800мм. N_505-ХТС-3тп </t>
  </si>
  <si>
    <t>24</t>
  </si>
  <si>
    <t xml:space="preserve"> «Прокладка тепловой сети для подключения объекта: «Автомоечный комплекс» находящийся по адресу Тихоокеанская 182б в г. Хабаровске». N_505-ХТС-4тп </t>
  </si>
  <si>
    <t>25</t>
  </si>
  <si>
    <t>Реконструкция ТМ-18 блок 626 от ТК-188.40б (уз.626) в сторону ПНС-626, Дн=720х10мм, L=530 м.п., СП ХТС N_505-ХТС-14</t>
  </si>
  <si>
    <t>26</t>
  </si>
  <si>
    <t xml:space="preserve"> Техперевооружение тепломагистрали "Горьковская" г. Хабаровск. СП ХТС H_505-ХТСКх-10-17 </t>
  </si>
  <si>
    <t>27</t>
  </si>
  <si>
    <t xml:space="preserve"> Техперевооружение тепломагистрали №32 г. Хабаровск. СП ХТС H_505-ХТСКх-10-23 </t>
  </si>
  <si>
    <t>28</t>
  </si>
  <si>
    <t xml:space="preserve"> Техперевооружение тепломагистрали №17 г. Хабаровск. СП ХТС H_505-ХТСКх-10-25 </t>
  </si>
  <si>
    <t>2025</t>
  </si>
  <si>
    <t>29</t>
  </si>
  <si>
    <t xml:space="preserve"> Техперевооружение тепломагистрали ТМ-31 г.Хабаровск H_505-ХТСКх-10-26 </t>
  </si>
  <si>
    <t>30</t>
  </si>
  <si>
    <t xml:space="preserve"> Техперевооружение тепломагистрали ТМ-25 г.Хабаровск H_505-ХТСКх-10-28 </t>
  </si>
  <si>
    <t>31</t>
  </si>
  <si>
    <t xml:space="preserve"> Техперевооружение ТМ-18 от ТК 626.01 до узла 626 г.Хабаровск, Дн=530х10 мм, L=192х2 м.п.,СП ХТС N_505-ХТС-10 </t>
  </si>
  <si>
    <t>32</t>
  </si>
  <si>
    <t xml:space="preserve"> Техперевооружение ТМ-17 блок 733 от опоры 15(03-04) до узла 732.00, Дн=530х10мм, L=422х2 м.п. (подземная в непроходном канале), СП ХТС N_505-ХТС-12 </t>
  </si>
  <si>
    <t>33</t>
  </si>
  <si>
    <t xml:space="preserve"> Техперевооружение ТМ-17 блок 173 от узла 172.00 до ТК-173.02, Дн=820х10 мм, L=107,5х2 м.п.(подземная в непроходном канале), СП ХТС N_505-ХТС-13 </t>
  </si>
  <si>
    <t>34</t>
  </si>
  <si>
    <t>Мероприятия, направленные на повышение экологической эффективности</t>
  </si>
  <si>
    <t xml:space="preserve"> Техперевооружение системы управления информационной безопасности, Хабаровские тепловые сети K_505-ХТС-1 </t>
  </si>
  <si>
    <t>35</t>
  </si>
  <si>
    <t>Мероприятия, направленные на повышение энергоэффективности в сфере теплоснабжения</t>
  </si>
  <si>
    <t>Программа мероприятий по установке приборов учета тепловой энергии на границе балансовой принадлежности между АО "ДГК" и предприятиями транспортировщиками ХТС, КТС (80 шт.) F_505-ХТСКх-27</t>
  </si>
  <si>
    <t>36</t>
  </si>
  <si>
    <t>Реконструкция паропровода протяженностью L= 5479 м (от ХТЭЦ-1 до узла П11 с Ду 500 мм на Ду 200мм L=442 м; от ХТЭЦ-1 до узла П34.40: с Ду 600-700 мм на Ду 450 мм L=1822 м, с Ду 500 мм на Ду 450 L=363 м, с Ду 500 мм на Ду 400 L=683 м, с Ду 400 мм на Ду 200 мм L=1067 м, с Ду 400 мм на Ду 150 мм L=30 м, с Ду 250 мм на Ду 150 мм L=1072 м), СП ХТС N_505-ХТС-11</t>
  </si>
  <si>
    <t>37</t>
  </si>
  <si>
    <t>Техническое перевооружение системы контроля параметров работы системы централизованного теплоснабжения (технический учет) в г. Хабаровске на объектах: ПНС-111 (1 шт.), ПНС-172 (2шт.), Узел 393 (2 шт.), СП ХТС N_505-ХТС-15</t>
  </si>
  <si>
    <t>38</t>
  </si>
  <si>
    <t xml:space="preserve"> Разработка ПИР для реализации проекта "Установка гелиосистемы на основе солнечных коллекторов для преобразования солнечной энергии в тепловую (с. Ракитное)", СП ХТС N_505-ХТС-16 </t>
  </si>
  <si>
    <t>39</t>
  </si>
  <si>
    <t>Покупка оборудования, не входящего в сметы строек ХТС</t>
  </si>
  <si>
    <t>40</t>
  </si>
  <si>
    <t xml:space="preserve"> Строительство котельной для отопления поселения «Рабочий поселок Майский», мощностью 13,760 Гкал/ч (16,00 МВт) F_505-ХГ-44 </t>
  </si>
  <si>
    <t>Февраль</t>
  </si>
  <si>
    <t>41</t>
  </si>
  <si>
    <t xml:space="preserve"> Реконструкция насосного оборудования на ЦТП-6 в г. Советская Гавань, СП ТЭЦ Советская Гавань N_505-ХГ-209 </t>
  </si>
  <si>
    <t>42</t>
  </si>
  <si>
    <t>Техперевооружение котельной в п. Майский, СП Советская Гавань   N_505-ТЭЦСов.Гавань-8</t>
  </si>
  <si>
    <t>43</t>
  </si>
  <si>
    <t xml:space="preserve"> Техническое перевооружение (реконструкция) тепловых сетей по концессионному соглашению в г. Советская Гавань (от котельных №1; 2; 3; ИК-5; 6; 8; 9; 10) L_505-ХГ-173 </t>
  </si>
  <si>
    <t xml:space="preserve">  Кредиты</t>
  </si>
  <si>
    <t>44</t>
  </si>
  <si>
    <t>Замена насосного оборудования на ЦТП-8 (3шт.), СП ТЭЦ Советская Гавань N_505-ТЭЦСов.Гавань-7-1</t>
  </si>
  <si>
    <t xml:space="preserve"> Строительство ЦТП-1 для передачи тепловой мощности от магистральной теплосети ТЭЦ в г.Советская Гавань" N_505-ХГ-188 </t>
  </si>
  <si>
    <t>46</t>
  </si>
  <si>
    <t>Покупка самосвал КАМАЗ-6520 грузоподъемностью 20т, 2 шт., котельная в п. Майский, СП Советская Гавань  N_505-ТЭЦСов.Гавань-45-5</t>
  </si>
  <si>
    <t>47</t>
  </si>
  <si>
    <t>Техперевооружение Хабаровской ТЭЦ-3 для обеспечения выдачи тепловой энергии в тепломагистраль ТМ-35 N_505-ХТЭЦ-3-22тп</t>
  </si>
  <si>
    <t>48</t>
  </si>
  <si>
    <t xml:space="preserve"> Реконструкция ТМ-31 блок 394 от узла 393 (ул.Карла-Маркса) до узла 199 (ул. Промышленная), 2Ду800/1000 мм, L=2,8 км. ХТС F_505-ХТСКх-14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</si>
  <si>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</si>
  <si>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</si>
  <si>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</si>
  <si>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</si>
  <si>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</si>
  <si>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</si>
  <si>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</si>
  <si>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</si>
  <si>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</si>
  <si>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</si>
  <si>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</si>
  <si>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</si>
  <si>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</si>
  <si>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</si>
  <si>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</si>
  <si>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</si>
  <si>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</si>
  <si>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</si>
  <si>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</si>
  <si>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</si>
  <si>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</si>
  <si>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</si>
  <si>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</si>
  <si>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</si>
  <si>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</si>
  <si>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</si>
  <si>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</si>
  <si>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</si>
  <si>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</si>
  <si>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</si>
  <si>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</si>
  <si>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</si>
  <si>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</si>
  <si>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</si>
  <si>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</si>
  <si>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</si>
  <si>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</si>
  <si>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</si>
  <si>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</si>
  <si>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</si>
  <si>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</si>
  <si>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</si>
  <si>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</si>
  <si>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</si>
  <si>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</si>
  <si>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</si>
  <si>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</si>
  <si>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</si>
  <si>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</si>
  <si>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</si>
  <si>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</si>
  <si>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</si>
  <si>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</si>
  <si>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</si>
  <si>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</si>
  <si>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</si>
  <si>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</si>
  <si>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</si>
  <si>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</si>
  <si>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</si>
  <si>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</si>
  <si>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</si>
  <si>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</si>
  <si>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</si>
  <si>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</si>
  <si>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</si>
  <si>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</si>
  <si>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</si>
  <si>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</si>
  <si>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</si>
  <si>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</si>
  <si>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</si>
  <si>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</si>
  <si>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</si>
  <si>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</si>
  <si>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</si>
  <si>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</si>
  <si>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</si>
  <si>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</si>
  <si>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</si>
  <si>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</si>
  <si>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</si>
  <si>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</si>
  <si>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</si>
  <si>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</si>
  <si>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</si>
  <si>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</si>
  <si>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</si>
  <si>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</si>
  <si>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</si>
  <si>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</si>
  <si>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</si>
  <si>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</si>
  <si>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</si>
  <si>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</si>
  <si>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</si>
  <si>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</si>
  <si>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</si>
  <si>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</si>
  <si>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</si>
  <si>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</si>
  <si>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</si>
  <si>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</si>
  <si>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</si>
  <si>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</si>
  <si>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</si>
  <si>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</si>
  <si>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</si>
  <si>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</si>
  <si>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</si>
  <si>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</si>
  <si>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</si>
  <si>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</si>
  <si>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</si>
  <si>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</si>
  <si>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</si>
  <si>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</si>
  <si>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</si>
  <si>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</si>
  <si>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</si>
  <si>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</si>
  <si>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</si>
  <si>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</si>
  <si>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</si>
  <si>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</si>
  <si>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</si>
  <si>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</si>
  <si>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</si>
  <si>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</si>
  <si>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</si>
  <si>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</si>
  <si>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</si>
  <si>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</si>
  <si>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</si>
  <si>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</si>
  <si>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</si>
  <si>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</si>
  <si>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</si>
  <si>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</si>
  <si>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</si>
  <si>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</si>
  <si>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</si>
  <si>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</si>
  <si>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</si>
  <si>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</si>
  <si>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</si>
  <si>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</si>
  <si>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</si>
  <si>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</si>
  <si>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</si>
  <si>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</si>
  <si>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</si>
  <si>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</si>
  <si>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</si>
  <si>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</si>
  <si>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</si>
  <si>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</si>
  <si>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</si>
  <si>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</si>
  <si>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</si>
  <si>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</si>
  <si>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</si>
  <si>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</si>
  <si>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</si>
  <si>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</si>
  <si>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</si>
  <si>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</si>
  <si>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</si>
  <si>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</si>
  <si>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</si>
  <si>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</si>
  <si>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</si>
  <si>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</si>
  <si>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</si>
  <si>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</si>
  <si>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</si>
  <si>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</si>
  <si>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</si>
  <si>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</si>
  <si>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</si>
  <si>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</si>
  <si>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</si>
  <si>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</si>
  <si>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</si>
  <si>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</si>
  <si>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</si>
  <si>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</si>
  <si>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</si>
  <si>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</si>
  <si>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</si>
  <si>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</si>
  <si>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</si>
  <si>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</si>
  <si>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</si>
  <si>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</si>
  <si>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</si>
  <si>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</si>
  <si>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</si>
  <si>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</si>
  <si>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</si>
  <si>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</si>
  <si>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</si>
  <si>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</si>
  <si>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</si>
  <si>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</si>
  <si>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</si>
  <si>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</si>
  <si>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</si>
  <si>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</si>
  <si>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</si>
  <si>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</si>
  <si>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</si>
  <si>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</si>
  <si>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</si>
  <si>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</si>
  <si>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</si>
  <si>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</si>
  <si>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</si>
  <si>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</si>
  <si>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</si>
  <si>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</si>
  <si>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</si>
  <si>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</si>
  <si>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</si>
  <si>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</si>
  <si>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</si>
  <si>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</si>
  <si>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</si>
  <si>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</si>
  <si>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</si>
  <si>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</si>
  <si>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</si>
  <si>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</si>
  <si>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</si>
  <si>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</si>
  <si>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</si>
  <si>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</si>
  <si>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</si>
  <si>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</si>
  <si>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</si>
  <si>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</si>
  <si>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</si>
  <si>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</si>
  <si>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</si>
  <si>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</si>
  <si>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</si>
  <si>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</si>
  <si>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</si>
  <si>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</si>
  <si>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</si>
  <si>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</si>
  <si>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</si>
  <si>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</si>
  <si>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</si>
  <si>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</si>
  <si>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</si>
  <si>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</si>
  <si>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</si>
  <si>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</si>
  <si>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</si>
  <si>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</si>
  <si>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</si>
  <si>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</si>
  <si>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</si>
  <si>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</si>
  <si>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</si>
  <si>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</si>
  <si>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</si>
  <si>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</si>
  <si>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</si>
  <si>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</si>
  <si>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</si>
  <si>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</si>
  <si>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</si>
  <si>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</si>
  <si>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</si>
  <si>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</si>
  <si>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</si>
  <si>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</si>
  <si>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</si>
  <si>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</si>
  <si>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</si>
  <si>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</si>
  <si>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</si>
  <si>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</si>
  <si>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</si>
  <si>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</si>
  <si>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</si>
  <si>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</si>
  <si>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</si>
  <si>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</si>
  <si>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</si>
  <si>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</si>
  <si>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</si>
  <si>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</si>
  <si>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</si>
  <si>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</si>
  <si>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</si>
  <si>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</si>
  <si>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</si>
  <si>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</si>
  <si>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</si>
  <si>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</si>
  <si>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</si>
  <si>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</si>
  <si>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</si>
  <si>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</si>
  <si>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</si>
  <si>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</si>
  <si>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</si>
  <si>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</si>
  <si>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</si>
  <si>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</si>
  <si>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</si>
  <si>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</si>
  <si>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</si>
  <si>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</si>
  <si>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</si>
  <si>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</si>
  <si>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</si>
  <si>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</si>
  <si>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</si>
  <si>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</si>
  <si>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</si>
  <si>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</si>
  <si>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</si>
  <si>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</si>
  <si>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</si>
  <si>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</si>
  <si>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</si>
  <si>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</si>
  <si>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</si>
  <si>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</si>
  <si>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</si>
  <si>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</si>
  <si>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</si>
  <si>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</si>
  <si>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</si>
  <si>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</si>
  <si>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</si>
  <si>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</si>
  <si>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</si>
  <si>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</si>
  <si>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</si>
  <si>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</si>
  <si>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</si>
  <si>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</si>
  <si>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</si>
  <si>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</si>
  <si>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</si>
  <si>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</si>
  <si>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</si>
  <si>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</si>
  <si>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</si>
  <si>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</si>
  <si>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</si>
  <si>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</si>
  <si>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</si>
  <si>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</si>
  <si>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</si>
  <si>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</si>
  <si>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Амортизационные отчисления за исключением переоценки основных средств и нематериальных активов</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</si>
  <si>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</si>
  <si>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</si>
  <si>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</si>
  <si>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</si>
  <si>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</si>
  <si>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</si>
  <si>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</si>
  <si>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</si>
  <si>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</si>
  <si>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</si>
  <si>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</si>
  <si>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</si>
  <si>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</si>
  <si>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</si>
  <si>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</si>
  <si>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</si>
  <si>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</si>
  <si>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</si>
  <si>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</si>
  <si>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</si>
  <si>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</si>
  <si>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</si>
  <si>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</si>
  <si>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</si>
  <si>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Июль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</si>
  <si>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</si>
  <si>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</si>
  <si>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</si>
  <si>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</si>
  <si>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</si>
  <si>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</si>
  <si>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</si>
  <si>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</si>
  <si>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</si>
  <si>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</si>
  <si>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</si>
  <si>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</si>
  <si>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</si>
  <si>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</si>
  <si>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</si>
  <si>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</si>
  <si>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</si>
  <si>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</si>
  <si>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</si>
  <si>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</si>
  <si>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</si>
  <si>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</si>
  <si>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</si>
  <si>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</si>
  <si>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</si>
  <si>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</si>
  <si>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</si>
  <si>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</si>
  <si>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</si>
  <si>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</si>
  <si>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</si>
  <si>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</si>
  <si>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</si>
  <si>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</si>
  <si>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</si>
  <si>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</si>
  <si>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</si>
  <si>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</si>
  <si>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</si>
  <si>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</si>
  <si>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</si>
  <si>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</si>
  <si>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</si>
  <si>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</si>
  <si>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</si>
  <si>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</si>
  <si>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</si>
  <si>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</si>
  <si>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</si>
  <si>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</si>
  <si>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</si>
  <si>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</si>
  <si>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</si>
  <si>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</si>
  <si>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</si>
  <si>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</si>
  <si>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</si>
  <si>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</si>
  <si>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</si>
  <si>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</si>
  <si>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</si>
  <si>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</si>
  <si>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</si>
  <si>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</si>
  <si>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</si>
  <si>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</si>
  <si>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</si>
  <si>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</si>
  <si>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</si>
  <si>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</si>
  <si>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</si>
  <si>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</si>
  <si>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</si>
  <si>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</si>
  <si>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</si>
  <si>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</si>
  <si>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</si>
  <si>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</si>
  <si>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</si>
  <si>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</si>
  <si>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</si>
  <si>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</si>
  <si>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</si>
  <si>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</si>
  <si>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</si>
  <si>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</si>
  <si>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</si>
  <si>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</si>
  <si>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</si>
  <si>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</si>
  <si>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</si>
  <si>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</si>
  <si>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</si>
  <si>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</si>
  <si>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</si>
  <si>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</si>
  <si>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</si>
  <si>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</si>
  <si>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</si>
  <si>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</si>
  <si>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</si>
  <si>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</si>
  <si>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</si>
  <si>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</si>
  <si>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</si>
  <si>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</si>
  <si>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</si>
  <si>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</si>
  <si>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</si>
  <si>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</si>
  <si>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</si>
  <si>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</si>
  <si>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</si>
  <si>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</si>
  <si>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</si>
  <si>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</si>
  <si>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</si>
  <si>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</si>
  <si>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</si>
  <si>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</si>
  <si>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</si>
  <si>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</si>
  <si>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</si>
  <si>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</si>
  <si>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</si>
  <si>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</si>
  <si>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</si>
  <si>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</si>
  <si>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</si>
  <si>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</si>
  <si>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</si>
  <si>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</si>
  <si>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</si>
  <si>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</si>
  <si>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</si>
  <si>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</si>
  <si>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</si>
  <si>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</si>
  <si>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</si>
  <si>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</si>
  <si>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</si>
  <si>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</si>
  <si>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</si>
  <si>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</si>
  <si>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</si>
  <si>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</si>
  <si>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</si>
  <si>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</si>
  <si>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</si>
  <si>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</si>
  <si>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</si>
  <si>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</si>
  <si>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</si>
  <si>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</si>
  <si>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</si>
  <si>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</si>
  <si>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</si>
  <si>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</si>
  <si>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</si>
  <si>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</si>
  <si>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</si>
  <si>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</si>
  <si>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</si>
  <si>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</si>
  <si>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</si>
  <si>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</si>
  <si>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</si>
  <si>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</si>
  <si>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</si>
  <si>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</si>
  <si>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</si>
  <si>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</si>
  <si>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</si>
  <si>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</si>
  <si>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</si>
  <si>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</si>
  <si>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</si>
  <si>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</si>
  <si>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</si>
  <si>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</si>
  <si>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</si>
  <si>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</si>
  <si>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</si>
  <si>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</si>
  <si>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</si>
  <si>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</si>
  <si>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</si>
  <si>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</si>
  <si>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</si>
  <si>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</si>
  <si>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</si>
  <si>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</si>
  <si>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</si>
  <si>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</si>
  <si>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</si>
  <si>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</si>
  <si>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</si>
  <si>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</si>
  <si>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</si>
  <si>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</si>
  <si>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</si>
  <si>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</si>
  <si>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</si>
  <si>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</si>
  <si>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</si>
  <si>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</si>
  <si>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</si>
  <si>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</si>
  <si>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</si>
  <si>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</si>
  <si>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</si>
  <si>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</si>
  <si>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</si>
  <si>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</si>
  <si>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</si>
  <si>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</si>
  <si>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</si>
  <si>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</si>
  <si>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</si>
  <si>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</si>
  <si>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</si>
  <si>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</si>
  <si>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</si>
  <si>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</si>
  <si>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</si>
  <si>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</si>
  <si>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</si>
  <si>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</si>
  <si>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</si>
  <si>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</si>
  <si>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</si>
  <si>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</si>
  <si>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</si>
  <si>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</si>
  <si>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</si>
  <si>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</si>
  <si>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</si>
  <si>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t>
  </si>
  <si>
    <t>начинать только с 2, остальное по умолчанию</t>
  </si>
  <si>
    <t>54</t>
  </si>
  <si>
    <t>Республика Калмыкия</t>
  </si>
  <si>
    <t>DIFFERENTIATION_ID</t>
  </si>
  <si>
    <t>51111111111111111111111111111111111111111111111111111111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</si>
  <si>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</si>
  <si>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</si>
  <si>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</si>
  <si>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</si>
  <si>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</si>
  <si>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</si>
  <si>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</si>
  <si>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</si>
  <si>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</si>
  <si>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</si>
  <si>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</si>
  <si>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</si>
  <si>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</si>
  <si>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</si>
  <si>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</si>
  <si>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</si>
  <si>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</si>
  <si>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</si>
  <si>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</si>
  <si>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</si>
  <si>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</si>
  <si>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</si>
  <si>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</si>
  <si>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</si>
  <si>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</si>
  <si>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</si>
  <si>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</si>
  <si>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</si>
  <si>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</si>
  <si>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</si>
  <si>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</si>
  <si>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</si>
  <si>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</si>
  <si>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</si>
  <si>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</si>
  <si>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</si>
  <si>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</si>
  <si>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</si>
  <si>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</si>
  <si>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</si>
  <si>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</si>
  <si>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</si>
  <si>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</si>
  <si>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</si>
  <si>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</si>
  <si>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</si>
  <si>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</si>
  <si>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</si>
  <si>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</si>
  <si>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</si>
  <si>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</si>
  <si>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</si>
  <si>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</si>
  <si>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</si>
  <si>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</si>
  <si>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</si>
  <si>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</si>
  <si>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</si>
  <si>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</si>
  <si>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</si>
  <si>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</si>
  <si>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</si>
  <si>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</si>
  <si>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</si>
  <si>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</si>
  <si>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</si>
  <si>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</si>
  <si>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</si>
  <si>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</si>
  <si>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</si>
  <si>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</si>
  <si>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</si>
  <si>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</si>
  <si>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</si>
  <si>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</si>
  <si>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</si>
  <si>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</si>
  <si>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</si>
  <si>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</si>
  <si>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</si>
  <si>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</si>
  <si>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</si>
  <si>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</si>
  <si>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</si>
  <si>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</si>
  <si>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</si>
  <si>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</si>
  <si>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</si>
  <si>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</si>
  <si>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</si>
  <si>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</si>
  <si>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</si>
  <si>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</si>
  <si>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</si>
  <si>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</si>
  <si>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</si>
  <si>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</si>
  <si>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</si>
  <si>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</si>
  <si>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</si>
  <si>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</si>
  <si>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</si>
  <si>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</si>
  <si>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</si>
  <si>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</si>
  <si>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</si>
  <si>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</si>
  <si>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</si>
  <si>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</si>
  <si>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</si>
  <si>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</si>
  <si>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</si>
  <si>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</si>
  <si>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</si>
  <si>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</si>
  <si>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</si>
  <si>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</si>
  <si>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</si>
  <si>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</si>
  <si>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</si>
  <si>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</si>
  <si>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</si>
  <si>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</si>
  <si>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</si>
  <si>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</si>
  <si>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</si>
  <si>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</si>
  <si>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</si>
  <si>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</si>
  <si>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</si>
  <si>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</si>
  <si>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</si>
  <si>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</si>
  <si>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</si>
  <si>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</si>
  <si>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</si>
  <si>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</si>
  <si>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</si>
  <si>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</si>
  <si>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</si>
  <si>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</si>
  <si>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</si>
  <si>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</si>
  <si>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</si>
  <si>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</si>
  <si>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</si>
  <si>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</si>
  <si>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</si>
  <si>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</si>
  <si>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</si>
  <si>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</si>
  <si>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</si>
  <si>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</si>
  <si>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</si>
  <si>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</si>
  <si>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</si>
  <si>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</si>
  <si>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</si>
  <si>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</si>
  <si>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</si>
  <si>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</si>
  <si>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</si>
  <si>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</si>
  <si>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</si>
  <si>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</si>
  <si>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</si>
  <si>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</si>
  <si>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</si>
  <si>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</si>
  <si>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</si>
  <si>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</si>
  <si>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</si>
  <si>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</si>
  <si>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</si>
  <si>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</si>
  <si>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</si>
  <si>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</si>
  <si>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</si>
  <si>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</si>
  <si>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</si>
  <si>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</si>
  <si>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</si>
  <si>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</si>
  <si>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</si>
  <si>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</si>
  <si>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</si>
  <si>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</si>
  <si>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</si>
  <si>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</si>
  <si>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</si>
  <si>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</si>
  <si>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</si>
  <si>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</si>
  <si>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</si>
  <si>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</si>
  <si>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</si>
  <si>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</si>
  <si>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</si>
  <si>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</si>
  <si>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</si>
  <si>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Из плановых показателей исключены отрицательные значения так как шаблон не принимает к рассмотрению отрицательные значения.</t>
  </si>
  <si>
    <t>В шаблоне не учтены затраты по внеплановым проектам: 1. Выкуп ПНС (г. Хабаровск, пер. Владивостокский, д.2) S=61.9 кв.м и тепловой сети (г.Хабаровск, ул. К.Маркса, д.76) L=482 п.м., СП ХТС в размере 95,175 тыс.рублей за счет средств от реализации активов; 2.приобретение Муниципального имущества г.Амурск, 32 участков т/т в размере 110,25 тыс. рублей за счет средств от реализации активов.</t>
  </si>
  <si>
    <t>Проекты СП ХТС: 1.Реконструкция паропровода протяженностью L= 5479 м (от ХТЭЦ-1 до узла П11 с Ду 500 мм на Ду 200мм L=442 м; от ХТЭЦ-1 до узла П34.40: с Ду 600-700 мм на Ду 450 мм L=1822 м, с Ду 500 мм на Ду 450 L=363 м, с Ду 500 мм на Ду 400 L=683 м, с Ду 400 мм на Ду 200 мм L=1067 м, с Ду 400 мм на Ду 150 мм L=30 м, с Ду 250 мм на Ду 150 мм L=1072 м) 2.Техперевооружение ТМ-17 блок 733 от опоры 15(03-04) до узла 732.00, Дн=530х10мм, L=422х2 м.п. (подземная в непроходном канале), 3.Техперевооружение ТМ-17 блок 173 от узла 172.00 до ТК-173.02, Дн=820х10 мм, L=107,5х2 м.п.(подземная в непроходном канале) осуществлены за счет прочего источника - повышающего коэффициента</t>
  </si>
  <si>
    <t>Проекты СП ХТС  4.Реконструкция ТМ-18 блок 626 от ТК-188.40б (уз.626) в сторону ПНС-626, Дн=720х10мм, L=530 м.п. 5.Разработка ПИР для реализации проекта "Установка гелиосистемы на основе солнечных коллекторов для преобразования солнечной энергии в тепловую (с. Ракитное)" 6.Техническое перевооружение системы контроля параметров работы системы централизованного теплоснабжения (технический учет) в г. Хабаровске на объектах: ПНС-111 (1 шт.), ПНС-172 (2шт.), Узел 393 (2 шт.), СП ХТС  осуществлены за счет прочего источника - повышающего коэффициента</t>
  </si>
  <si>
    <t>Покупка оборудования не входящего в смету строек г. Комсомольск-на-Амуре (Покупка томографа акустический (течеискатель)) в сумме 1,028 млн. руб. осуществлена за счет прочего источника - повышающего коэффициента</t>
  </si>
  <si>
    <t>В отчете раскрыта информация по плановым и фактическим мероприятиям, реализованным в 2023 году.</t>
  </si>
  <si>
    <t>В листе "ИП.КНЭ" показатели "Надежности и энергетической эффективности" отсутствуют, так как не утверждены инвестиционной программой.</t>
  </si>
  <si>
    <t>В листе "ИП. Детализация" источник финансирования "Прочие собственные средства" -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</si>
  <si>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</si>
  <si>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</si>
  <si>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</si>
  <si>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</si>
  <si>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</si>
  <si>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</si>
  <si>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</si>
  <si>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</si>
  <si>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</si>
  <si>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</si>
  <si>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</si>
  <si>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</si>
  <si>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</si>
  <si>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</si>
  <si>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</si>
  <si>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</si>
  <si>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</si>
  <si>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</si>
  <si>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</si>
  <si>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</si>
  <si>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</si>
  <si>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</si>
  <si>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</si>
  <si>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</si>
  <si>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</si>
  <si>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</si>
  <si>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</si>
  <si>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</si>
  <si>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</si>
  <si>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</si>
  <si>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</si>
  <si>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</si>
  <si>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</si>
  <si>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</si>
  <si>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</si>
  <si>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</si>
  <si>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</si>
  <si>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</si>
  <si>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</si>
  <si>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</si>
  <si>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</si>
  <si>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</si>
  <si>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</si>
  <si>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</si>
  <si>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</si>
  <si>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</si>
  <si>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</si>
  <si>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</si>
  <si>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</si>
  <si>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</si>
  <si>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</si>
  <si>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</si>
  <si>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</si>
  <si>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</si>
  <si>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</si>
  <si>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</si>
  <si>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</si>
  <si>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</si>
  <si>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</si>
  <si>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</si>
  <si>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</si>
  <si>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</si>
  <si>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</si>
  <si>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</si>
  <si>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</si>
  <si>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</si>
  <si>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</si>
  <si>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</si>
  <si>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</si>
  <si>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</si>
  <si>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</si>
  <si>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</si>
  <si>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</si>
  <si>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</si>
  <si>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</si>
  <si>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</si>
  <si>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</si>
  <si>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</si>
  <si>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</si>
  <si>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</si>
  <si>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</si>
  <si>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</si>
  <si>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</si>
  <si>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</si>
  <si>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</si>
  <si>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</si>
  <si>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</si>
  <si>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</si>
  <si>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</si>
  <si>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</si>
  <si>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</si>
  <si>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</si>
  <si>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</si>
  <si>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</si>
  <si>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</si>
  <si>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</si>
  <si>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</si>
  <si>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</si>
  <si>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</si>
  <si>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</si>
  <si>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</si>
  <si>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</si>
  <si>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</si>
  <si>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</si>
  <si>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</si>
  <si>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</si>
  <si>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</si>
  <si>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</si>
  <si>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</si>
  <si>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</si>
  <si>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</si>
  <si>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</si>
  <si>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</si>
  <si>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</si>
  <si>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</si>
  <si>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</si>
  <si>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</si>
  <si>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</si>
  <si>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</si>
  <si>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</si>
  <si>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</si>
  <si>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</si>
  <si>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</si>
  <si>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</si>
  <si>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</si>
  <si>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</si>
  <si>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</si>
  <si>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</si>
  <si>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</si>
  <si>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</si>
  <si>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</si>
  <si>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</si>
  <si>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</si>
  <si>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</si>
  <si>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</si>
  <si>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</si>
  <si>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</si>
  <si>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</si>
  <si>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</si>
  <si>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</si>
  <si>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</si>
  <si>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</si>
  <si>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</si>
  <si>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</si>
  <si>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</si>
  <si>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</si>
  <si>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</si>
  <si>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</si>
  <si>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</si>
  <si>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</si>
  <si>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</si>
  <si>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</si>
  <si>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</si>
  <si>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</si>
  <si>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</si>
  <si>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</si>
  <si>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</si>
  <si>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</si>
  <si>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</si>
  <si>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</si>
  <si>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</si>
  <si>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</si>
  <si>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</si>
  <si>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</si>
  <si>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</si>
  <si>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</si>
  <si>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</si>
  <si>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</si>
  <si>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</si>
  <si>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</si>
  <si>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</si>
  <si>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</si>
  <si>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</si>
  <si>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</si>
  <si>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</si>
  <si>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</si>
  <si>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</si>
  <si>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</si>
  <si>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</si>
  <si>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</si>
  <si>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</si>
  <si>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</si>
  <si>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</si>
  <si>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</si>
  <si>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</si>
  <si>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</si>
  <si>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</si>
  <si>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</si>
  <si>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</si>
  <si>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</si>
  <si>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</si>
  <si>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</si>
  <si>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</si>
  <si>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</si>
  <si>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</si>
  <si>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</si>
  <si>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</si>
  <si>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</si>
  <si>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</si>
  <si>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</si>
  <si>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</si>
  <si>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</si>
  <si>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</si>
  <si>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</si>
  <si>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</si>
  <si>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</si>
  <si>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</si>
  <si>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</si>
  <si>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</si>
  <si>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</si>
  <si>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</si>
  <si>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</si>
  <si>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</si>
  <si>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</si>
  <si>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</si>
  <si>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</si>
  <si>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</si>
  <si>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</si>
  <si>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</si>
  <si>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</si>
  <si>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</si>
  <si>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</si>
  <si>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</si>
  <si>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</si>
  <si>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</si>
  <si>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</si>
  <si>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</si>
  <si>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</si>
  <si>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</si>
  <si>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</si>
  <si>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</si>
  <si>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</si>
  <si>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</si>
  <si>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</si>
  <si>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</si>
  <si>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</si>
  <si>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</si>
  <si>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</si>
  <si>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</si>
  <si>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</si>
  <si>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</si>
  <si>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</si>
  <si>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</si>
  <si>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</si>
  <si>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</si>
  <si>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</si>
  <si>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</si>
  <si>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</si>
  <si>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</si>
  <si>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</si>
  <si>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</si>
  <si>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</si>
  <si>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</si>
  <si>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</si>
  <si>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</si>
  <si>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</si>
  <si>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</si>
  <si>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</si>
  <si>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</si>
  <si>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</si>
  <si>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</si>
  <si>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</si>
  <si>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</si>
  <si>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</si>
  <si>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</si>
  <si>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</si>
  <si>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</si>
  <si>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</si>
  <si>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</si>
  <si>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</si>
  <si>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</si>
  <si>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</si>
  <si>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</si>
  <si>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</si>
  <si>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</si>
  <si>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</si>
  <si>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</si>
  <si>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</si>
  <si>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</si>
  <si>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</si>
  <si>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</si>
  <si>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</si>
  <si>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</si>
  <si>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</si>
  <si>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</si>
  <si>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</si>
  <si>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</si>
  <si>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</si>
  <si>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</si>
  <si>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</si>
  <si>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</si>
  <si>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</si>
  <si>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</si>
  <si>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</si>
  <si>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</si>
  <si>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</si>
  <si>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</si>
  <si>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</si>
  <si>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</si>
  <si>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</si>
  <si>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</si>
  <si>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</si>
  <si>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</si>
  <si>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</si>
  <si>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</si>
  <si>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</si>
  <si>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</si>
  <si>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</si>
  <si>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</si>
  <si>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</si>
  <si>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</si>
  <si>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</si>
  <si>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</si>
  <si>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</si>
  <si>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</si>
  <si>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</si>
  <si>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</si>
  <si>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</si>
  <si>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</si>
  <si>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</si>
  <si>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</si>
  <si>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</si>
  <si>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</si>
  <si>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</si>
  <si>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</si>
  <si>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</si>
  <si>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</si>
  <si>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</si>
  <si>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</si>
  <si>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</si>
  <si>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</si>
  <si>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</si>
  <si>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</si>
  <si>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</si>
  <si>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</si>
  <si>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</si>
  <si>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</si>
  <si>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</si>
  <si>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</si>
  <si>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</si>
  <si>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</si>
  <si>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</si>
  <si>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</si>
  <si>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</si>
  <si>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</si>
  <si>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</si>
  <si>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</si>
  <si>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</si>
  <si>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</si>
  <si>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</si>
  <si>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</si>
  <si>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</si>
  <si>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</si>
  <si>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</si>
  <si>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</si>
  <si>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</si>
  <si>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</si>
  <si>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</si>
  <si>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</si>
  <si>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</si>
  <si>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</si>
  <si>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</si>
  <si>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</si>
  <si>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</si>
  <si>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</si>
  <si>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</si>
  <si>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</si>
  <si>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</si>
  <si>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</si>
  <si>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</si>
  <si>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</si>
  <si>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</si>
  <si>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</si>
  <si>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</si>
  <si>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</si>
  <si>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</si>
  <si>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</si>
  <si>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</si>
  <si>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</si>
  <si>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</si>
  <si>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</si>
  <si>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</si>
  <si>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</si>
  <si>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</si>
  <si>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</si>
  <si>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</si>
  <si>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</si>
  <si>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</si>
  <si>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</si>
  <si>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</si>
  <si>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</si>
  <si>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</si>
  <si>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</si>
  <si>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</si>
  <si>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</si>
  <si>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</si>
  <si>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</si>
  <si>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</si>
  <si>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</si>
  <si>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</si>
  <si>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</si>
  <si>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</si>
  <si>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</si>
  <si>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</si>
  <si>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</si>
  <si>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</si>
  <si>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</si>
  <si>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</si>
  <si>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</si>
  <si>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</si>
  <si>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</si>
  <si>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</si>
  <si>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</si>
  <si>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</si>
  <si>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</si>
  <si>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</si>
  <si>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</si>
  <si>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</si>
  <si>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</si>
  <si>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</si>
  <si>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</si>
  <si>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</si>
  <si>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</si>
  <si>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</si>
  <si>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</si>
  <si>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</si>
  <si>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</si>
  <si>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</si>
  <si>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</si>
  <si>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</si>
  <si>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</si>
  <si>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</si>
  <si>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</si>
  <si>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</si>
  <si>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</si>
  <si>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</si>
  <si>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</si>
  <si>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</si>
  <si>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</si>
  <si>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</si>
  <si>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</si>
  <si>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</si>
  <si>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</si>
  <si>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</si>
  <si>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</si>
  <si>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</si>
  <si>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</si>
  <si>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</si>
  <si>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</si>
  <si>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</si>
  <si>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</si>
  <si>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</si>
  <si>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</si>
  <si>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</si>
  <si>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</si>
  <si>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</si>
  <si>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</si>
  <si>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</si>
  <si>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</si>
  <si>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</si>
  <si>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</si>
  <si>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</si>
  <si>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</si>
  <si>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</si>
  <si>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</si>
  <si>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</si>
  <si>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</si>
  <si>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</si>
  <si>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</si>
  <si>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</si>
  <si>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</si>
  <si>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</si>
  <si>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</si>
  <si>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</si>
  <si>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</si>
  <si>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</si>
  <si>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</si>
  <si>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</si>
  <si>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</si>
  <si>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</si>
  <si>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</si>
  <si>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</si>
  <si>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</si>
  <si>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</si>
  <si>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</si>
  <si>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</si>
  <si>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</si>
  <si>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</si>
  <si>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</si>
  <si>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</si>
  <si>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</si>
  <si>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</si>
  <si>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</si>
  <si>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</si>
  <si>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</si>
  <si>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</si>
  <si>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</si>
  <si>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</si>
  <si>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</si>
  <si>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</si>
  <si>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</si>
  <si>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</si>
  <si>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</si>
  <si>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</si>
  <si>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</si>
  <si>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</si>
  <si>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</si>
  <si>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</si>
  <si>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</si>
  <si>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</si>
  <si>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</si>
  <si>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</si>
  <si>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</si>
  <si>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</si>
  <si>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</si>
  <si>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</si>
  <si>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</si>
  <si>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</si>
  <si>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</si>
  <si>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</si>
  <si>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</si>
  <si>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</si>
  <si>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</si>
  <si>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</si>
  <si>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</si>
  <si>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</si>
  <si>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</si>
  <si>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</si>
  <si>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</si>
  <si>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</si>
  <si>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</si>
  <si>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</si>
  <si>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</si>
  <si>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</si>
  <si>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</si>
  <si>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</si>
  <si>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</si>
  <si>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</si>
  <si>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</si>
  <si>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</si>
  <si>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</si>
  <si>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</si>
  <si>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</si>
  <si>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</si>
  <si>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</si>
  <si>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</si>
  <si>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</si>
  <si>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</si>
  <si>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</si>
  <si>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</si>
  <si>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</si>
  <si>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</si>
  <si>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</si>
  <si>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</si>
  <si>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</si>
  <si>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</si>
  <si>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</si>
  <si>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</si>
  <si>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</si>
  <si>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</si>
  <si>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</si>
  <si>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</si>
  <si>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</si>
  <si>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</si>
  <si>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</si>
  <si>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</si>
  <si>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</si>
  <si>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</si>
  <si>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</si>
  <si>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</si>
  <si>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</si>
  <si>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</si>
  <si>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</si>
  <si>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</si>
  <si>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</si>
  <si>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</si>
  <si>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</si>
  <si>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</si>
  <si>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</si>
  <si>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</si>
  <si>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</si>
  <si>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</si>
  <si>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</si>
  <si>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</si>
  <si>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</si>
  <si>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</si>
  <si>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</si>
  <si>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</si>
  <si>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</si>
  <si>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</si>
  <si>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</si>
  <si>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</si>
  <si>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</si>
  <si>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</si>
  <si>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</si>
  <si>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</si>
  <si>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</si>
  <si>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</si>
  <si>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</si>
  <si>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</si>
  <si>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</si>
  <si>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</si>
  <si>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</si>
  <si>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</si>
  <si>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</si>
  <si>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</si>
  <si>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</si>
  <si>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</si>
  <si>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</si>
  <si>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</si>
  <si>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</si>
  <si>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</si>
  <si>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</si>
  <si>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</si>
  <si>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</si>
  <si>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</si>
  <si>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</si>
  <si>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</si>
  <si>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</si>
  <si>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</si>
  <si>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</si>
  <si>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</si>
  <si>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</si>
  <si>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</si>
  <si>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</si>
  <si>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</si>
  <si>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</si>
  <si>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</si>
  <si>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</si>
  <si>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</si>
  <si>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</si>
  <si>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</si>
  <si>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</si>
  <si>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</si>
  <si>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</si>
  <si>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</si>
  <si>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</si>
  <si>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</si>
  <si>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</si>
  <si>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</si>
  <si>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</si>
  <si>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</si>
  <si>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</si>
  <si>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</si>
  <si>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</si>
  <si>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</si>
  <si>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</si>
  <si>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</si>
  <si>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</si>
  <si>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</si>
  <si>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</si>
  <si>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</si>
  <si>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</si>
  <si>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</si>
  <si>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</si>
  <si>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</si>
  <si>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</si>
  <si>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</si>
  <si>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</si>
  <si>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</si>
  <si>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</si>
  <si>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</si>
  <si>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</si>
  <si>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</si>
  <si>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</si>
  <si>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</si>
  <si>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</si>
  <si>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</si>
  <si>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</si>
  <si>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</si>
  <si>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</si>
  <si>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</si>
  <si>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</si>
  <si>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</si>
  <si>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</si>
  <si>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</si>
  <si>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</si>
  <si>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</si>
  <si>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</si>
  <si>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</si>
  <si>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</si>
  <si>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</si>
  <si>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</si>
  <si>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</si>
  <si>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</si>
  <si>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</si>
  <si>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</si>
  <si>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</si>
  <si>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</si>
  <si>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</si>
  <si>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</si>
  <si>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</si>
  <si>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</si>
  <si>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</si>
  <si>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</si>
  <si>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</si>
  <si>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</si>
  <si>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</si>
  <si>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</si>
  <si>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</si>
  <si>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</si>
  <si>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</si>
  <si>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</si>
  <si>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</si>
  <si>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</si>
  <si>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</si>
  <si>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</si>
  <si>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</si>
  <si>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</si>
  <si>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</si>
  <si>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</si>
  <si>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</si>
  <si>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</si>
  <si>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</si>
  <si>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</si>
  <si>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</si>
  <si>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</si>
  <si>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</si>
  <si>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</si>
  <si>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</si>
  <si>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</si>
  <si>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</si>
  <si>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</si>
  <si>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</si>
  <si>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</si>
  <si>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</si>
  <si>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</si>
  <si>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</si>
  <si>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</si>
  <si>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</si>
  <si>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</si>
  <si>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</si>
  <si>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</si>
  <si>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</si>
  <si>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</si>
  <si>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</si>
  <si>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</si>
  <si>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</si>
  <si>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</si>
  <si>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</si>
  <si>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</si>
  <si>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</si>
  <si>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</si>
  <si>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</si>
  <si>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</si>
  <si>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</si>
  <si>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</si>
  <si>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</si>
  <si>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</si>
  <si>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</si>
  <si>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</si>
  <si>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</si>
  <si>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</si>
  <si>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</si>
  <si>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</si>
  <si>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</si>
  <si>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</si>
  <si>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</si>
  <si>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</si>
  <si>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</si>
  <si>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</si>
  <si>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</si>
  <si>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</si>
  <si>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</si>
  <si>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</si>
  <si>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</si>
  <si>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</si>
  <si>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</si>
  <si>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</si>
  <si>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</si>
  <si>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</si>
  <si>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</si>
  <si>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</si>
  <si>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</si>
  <si>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</si>
  <si>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</si>
  <si>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</si>
  <si>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</si>
  <si>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</si>
  <si>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</si>
  <si>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</si>
  <si>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</si>
  <si>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</si>
  <si>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</si>
  <si>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</si>
  <si>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</si>
  <si>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</si>
  <si>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</si>
  <si>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</si>
  <si>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</si>
  <si>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</si>
  <si>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</si>
  <si>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</si>
  <si>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</si>
  <si>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</si>
  <si>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</si>
  <si>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</si>
  <si>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</si>
  <si>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</si>
  <si>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</si>
  <si>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</si>
  <si>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</si>
  <si>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</si>
  <si>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</si>
  <si>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</si>
  <si>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</si>
  <si>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</si>
  <si>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</si>
  <si>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</si>
  <si>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</si>
  <si>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</si>
  <si>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</si>
  <si>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</si>
  <si>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</si>
  <si>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</si>
  <si>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</si>
  <si>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</si>
  <si>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</si>
  <si>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</si>
  <si>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</si>
  <si>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</si>
  <si>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</si>
  <si>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</si>
  <si>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</si>
  <si>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</si>
  <si>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</si>
  <si>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</si>
  <si>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</si>
  <si>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</si>
  <si>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</si>
  <si>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</si>
  <si>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</si>
  <si>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</si>
  <si>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</si>
  <si>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</si>
  <si>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</si>
  <si>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</si>
  <si>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</si>
  <si>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</si>
  <si>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</si>
  <si>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</si>
  <si>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</si>
  <si>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</si>
  <si>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</si>
  <si>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</si>
  <si>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</si>
  <si>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</si>
  <si>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</si>
  <si>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</si>
  <si>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</si>
  <si>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</si>
  <si>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</si>
  <si>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</si>
  <si>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</si>
  <si>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</si>
  <si>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</si>
  <si>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</si>
  <si>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</si>
  <si>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</si>
  <si>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</si>
  <si>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</si>
  <si>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</si>
  <si>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</si>
  <si>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</si>
  <si>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</si>
  <si>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</si>
  <si>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</si>
  <si>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</si>
  <si>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</si>
  <si>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</si>
  <si>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</si>
  <si>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</si>
  <si>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</si>
  <si>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</si>
  <si>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</si>
  <si>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</si>
  <si>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</si>
  <si>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</si>
  <si>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</si>
  <si>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</si>
  <si>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</si>
  <si>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</si>
  <si>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</si>
  <si>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</si>
  <si>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</si>
  <si>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</si>
  <si>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</si>
  <si>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</si>
  <si>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</si>
  <si>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</si>
  <si>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</si>
  <si>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</si>
  <si>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</si>
  <si>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</si>
  <si>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</si>
  <si>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</si>
  <si>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</si>
  <si>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</si>
  <si>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</si>
  <si>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</si>
  <si>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</si>
  <si>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</si>
  <si>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</si>
  <si>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</si>
  <si>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</si>
  <si>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</si>
  <si>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</si>
  <si>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</si>
  <si>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</si>
  <si>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</si>
  <si>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</si>
  <si>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</si>
  <si>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</si>
  <si>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</si>
  <si>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</si>
  <si>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</si>
  <si>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</si>
  <si>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</si>
  <si>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</si>
  <si>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</si>
  <si>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</si>
  <si>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</si>
  <si>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</si>
  <si>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</si>
  <si>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</si>
  <si>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</si>
  <si>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</si>
  <si>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</si>
  <si>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</si>
  <si>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</si>
  <si>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</si>
  <si>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</si>
  <si>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</si>
  <si>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</si>
  <si>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</si>
  <si>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</si>
  <si>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</si>
  <si>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</si>
  <si>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</si>
  <si>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</si>
  <si>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</si>
  <si>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</si>
  <si>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</si>
  <si>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</si>
  <si>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</si>
  <si>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</si>
  <si>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</si>
  <si>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</si>
  <si>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</si>
  <si>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</si>
  <si>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</si>
  <si>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</si>
  <si>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</si>
  <si>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</si>
  <si>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</si>
  <si>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</si>
  <si>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</si>
  <si>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</si>
  <si>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</si>
  <si>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</si>
  <si>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</si>
  <si>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</si>
  <si>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</si>
  <si>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</si>
  <si>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</si>
  <si>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</si>
  <si>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</si>
  <si>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</si>
  <si>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</si>
  <si>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</si>
  <si>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</si>
  <si>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</si>
  <si>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</si>
  <si>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</si>
  <si>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</si>
  <si>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</si>
  <si>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</si>
  <si>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</si>
  <si>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</si>
  <si>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</si>
  <si>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</si>
  <si>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</si>
  <si>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</si>
  <si>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</si>
  <si>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</si>
  <si>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</si>
  <si>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</si>
  <si>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</si>
  <si>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</si>
  <si>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</si>
  <si>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</si>
  <si>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</si>
  <si>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</si>
  <si>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</si>
  <si>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</si>
  <si>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</si>
  <si>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</si>
  <si>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</si>
  <si>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</si>
  <si>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</si>
  <si>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</si>
  <si>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</si>
  <si>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</si>
  <si>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</si>
  <si>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</si>
  <si>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</si>
  <si>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</si>
  <si>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</si>
  <si>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</si>
  <si>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</si>
  <si>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</si>
  <si>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</si>
  <si>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</si>
  <si>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</si>
  <si>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</si>
  <si>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</si>
  <si>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</si>
  <si>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</si>
  <si>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</si>
  <si>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</si>
  <si>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</si>
  <si>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</si>
  <si>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</si>
  <si>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</si>
  <si>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</si>
  <si>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</si>
  <si>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</si>
  <si>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</si>
  <si>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</si>
  <si>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</si>
  <si>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</si>
  <si>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</si>
  <si>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</si>
  <si>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</si>
  <si>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</si>
  <si>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</si>
  <si>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</si>
  <si>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</si>
  <si>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</si>
  <si>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</si>
  <si>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</si>
  <si>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</si>
  <si>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</si>
  <si>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</si>
  <si>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</si>
  <si>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</si>
  <si>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</si>
  <si>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</si>
  <si>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</si>
  <si>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</si>
  <si>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</si>
  <si>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</si>
  <si>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</si>
  <si>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</si>
  <si>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</si>
  <si>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</si>
  <si>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</si>
  <si>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</si>
  <si>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</si>
  <si>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</si>
  <si>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</si>
  <si>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</si>
  <si>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</si>
  <si>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</si>
  <si>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</si>
  <si>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</si>
  <si>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</si>
  <si>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</si>
  <si>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</si>
  <si>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</si>
  <si>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</si>
  <si>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</si>
  <si>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</si>
  <si>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</si>
  <si>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</si>
  <si>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</si>
  <si>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</si>
  <si>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</si>
  <si>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</si>
  <si>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</si>
  <si>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</si>
  <si>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</si>
  <si>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</si>
  <si>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</si>
  <si>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</si>
  <si>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</si>
  <si>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</si>
  <si>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</si>
  <si>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</si>
  <si>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</si>
  <si>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</si>
  <si>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</si>
  <si>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</si>
  <si>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</si>
  <si>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</si>
  <si>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</si>
  <si>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</si>
  <si>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</si>
  <si>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</si>
  <si>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</si>
  <si>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</si>
  <si>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</si>
  <si>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</si>
  <si>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</si>
  <si>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</si>
  <si>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</si>
  <si>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</si>
  <si>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</si>
  <si>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</si>
  <si>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</si>
  <si>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</si>
  <si>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</si>
  <si>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</si>
  <si>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</si>
  <si>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</si>
  <si>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</si>
  <si>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</si>
  <si>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</si>
  <si>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</si>
  <si>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</si>
  <si>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</si>
  <si>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</si>
  <si>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</si>
  <si>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</si>
  <si>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</si>
  <si>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</si>
  <si>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</si>
  <si>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</si>
  <si>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</si>
  <si>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</si>
  <si>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</si>
  <si>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</si>
  <si>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</si>
  <si>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</si>
  <si>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</si>
  <si>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</si>
  <si>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</si>
  <si>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</si>
  <si>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</si>
  <si>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</si>
  <si>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</si>
  <si>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</si>
  <si>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</si>
  <si>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</si>
  <si>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</si>
  <si>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</si>
  <si>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</si>
  <si>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</si>
  <si>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</si>
  <si>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</si>
  <si>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</si>
  <si>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</si>
  <si>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</si>
  <si>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</si>
  <si>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</si>
  <si>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</si>
  <si>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</si>
  <si>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</si>
  <si>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</si>
  <si>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</si>
  <si>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</si>
  <si>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</si>
  <si>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</si>
  <si>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</si>
  <si>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</si>
  <si>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</si>
  <si>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</si>
  <si>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</si>
  <si>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</si>
  <si>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</si>
  <si>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</si>
  <si>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</si>
  <si>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</si>
  <si>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</si>
  <si>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</si>
  <si>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</si>
  <si>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</si>
  <si>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</si>
  <si>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</si>
  <si>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</si>
  <si>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</si>
  <si>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</si>
  <si>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</si>
  <si>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</si>
  <si>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</si>
  <si>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</si>
  <si>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</si>
  <si>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</si>
  <si>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</si>
  <si>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</si>
  <si>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</si>
  <si>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</si>
  <si>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</si>
  <si>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</si>
  <si>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</si>
  <si>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</si>
  <si>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</si>
  <si>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</si>
  <si>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</si>
  <si>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</si>
  <si>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</si>
  <si>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</si>
  <si>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</si>
  <si>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</si>
  <si>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</si>
  <si>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</si>
  <si>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</si>
  <si>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</si>
  <si>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</si>
  <si>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</si>
  <si>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</si>
  <si>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</si>
  <si>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</si>
  <si>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</si>
  <si>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</si>
  <si>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</si>
  <si>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</si>
  <si>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</si>
  <si>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</si>
  <si>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</si>
  <si>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</si>
  <si>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</si>
  <si>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</si>
  <si>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</si>
  <si>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</si>
  <si>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</si>
  <si>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</si>
  <si>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</si>
  <si>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</si>
  <si>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</si>
  <si>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</si>
  <si>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</si>
  <si>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</si>
  <si>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</si>
  <si>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</si>
  <si>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</si>
  <si>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</si>
  <si>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</si>
  <si>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</si>
  <si>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</si>
  <si>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</si>
  <si>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</si>
  <si>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</si>
  <si>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</si>
  <si>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</si>
  <si>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</si>
  <si>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</si>
  <si>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</si>
  <si>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</si>
  <si>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</si>
  <si>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</si>
  <si>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</si>
  <si>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</si>
  <si>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</si>
  <si>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</si>
  <si>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</si>
  <si>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</si>
  <si>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</si>
  <si>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</si>
  <si>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</si>
  <si>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</si>
  <si>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</si>
  <si>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</si>
  <si>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</si>
  <si>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</si>
  <si>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</si>
  <si>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</si>
  <si>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</si>
  <si>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</si>
  <si>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</si>
  <si>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</si>
  <si>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</si>
  <si>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</si>
  <si>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</si>
  <si>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</si>
  <si>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</si>
  <si>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</si>
  <si>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</si>
  <si>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</si>
  <si>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</si>
  <si>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</si>
  <si>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</si>
  <si>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</si>
  <si>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</si>
  <si>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</si>
  <si>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</si>
  <si>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</si>
  <si>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</si>
  <si>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</si>
  <si>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</si>
  <si>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</si>
  <si>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</si>
  <si>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</si>
  <si>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</si>
  <si>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</si>
  <si>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</si>
  <si>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</si>
  <si>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</si>
  <si>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</si>
  <si>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</si>
  <si>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</si>
  <si>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</si>
  <si>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</si>
  <si>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</si>
  <si>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</si>
  <si>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</si>
  <si>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</si>
  <si>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</si>
  <si>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</si>
  <si>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</si>
  <si>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</si>
  <si>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</si>
  <si>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</si>
  <si>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</si>
  <si>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</si>
  <si>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</si>
  <si>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</si>
  <si>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</si>
  <si>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</si>
  <si>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</si>
  <si>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</si>
  <si>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</si>
  <si>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</si>
  <si>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</si>
  <si>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</si>
  <si>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</si>
  <si>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</si>
  <si>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</si>
  <si>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</si>
  <si>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</si>
  <si>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</si>
  <si>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</si>
  <si>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</si>
  <si>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</si>
  <si>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</si>
  <si>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</si>
  <si>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</si>
  <si>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</si>
  <si>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</si>
  <si>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</si>
  <si>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</si>
  <si>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</si>
  <si>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</si>
  <si>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</si>
  <si>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</si>
  <si>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</si>
  <si>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</si>
  <si>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</si>
  <si>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</si>
  <si>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</si>
  <si>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</si>
  <si>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</si>
  <si>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</si>
  <si>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</si>
  <si>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</si>
  <si>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</si>
  <si>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</si>
  <si>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</si>
  <si>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</si>
  <si>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</si>
  <si>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</si>
  <si>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</si>
  <si>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</si>
  <si>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</si>
  <si>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</si>
  <si>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</si>
  <si>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</si>
  <si>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</si>
  <si>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</si>
  <si>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</si>
  <si>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</si>
  <si>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</si>
  <si>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</si>
  <si>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</si>
  <si>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</si>
  <si>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</si>
  <si>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</si>
  <si>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</si>
  <si>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</si>
  <si>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</si>
  <si>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</si>
  <si>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</si>
  <si>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</si>
  <si>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</si>
  <si>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</si>
  <si>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</si>
  <si>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</si>
  <si>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</si>
  <si>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</si>
  <si>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</si>
  <si>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</si>
  <si>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</si>
  <si>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</si>
  <si>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</si>
  <si>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</si>
  <si>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</si>
  <si>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</si>
  <si>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</si>
  <si>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</si>
  <si>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</si>
  <si>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</si>
  <si>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</si>
  <si>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</si>
  <si>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</si>
  <si>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</si>
  <si>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</si>
  <si>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</si>
  <si>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</si>
  <si>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</si>
  <si>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</si>
  <si>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</si>
  <si>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</si>
  <si>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</si>
  <si>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</si>
  <si>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</si>
  <si>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</si>
  <si>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</si>
  <si>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</si>
  <si>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</si>
  <si>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</si>
  <si>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</si>
  <si>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</si>
  <si>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</si>
  <si>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</si>
  <si>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</si>
  <si>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</si>
  <si>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</si>
  <si>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</si>
  <si>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</si>
  <si>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</si>
  <si>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</si>
  <si>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</si>
  <si>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</si>
  <si>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</si>
  <si>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</si>
  <si>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</si>
  <si>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</si>
  <si>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</si>
  <si>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</si>
  <si>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</si>
  <si>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</si>
  <si>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</si>
  <si>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</si>
  <si>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</si>
  <si>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</si>
  <si>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</si>
  <si>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</si>
  <si>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</si>
  <si>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</si>
  <si>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</si>
  <si>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</si>
  <si>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</si>
  <si>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</si>
  <si>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</si>
  <si>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</si>
  <si>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</si>
  <si>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</si>
  <si>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</si>
  <si>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</si>
  <si>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</si>
  <si>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</si>
  <si>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</si>
  <si>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</si>
  <si>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</si>
  <si>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</si>
  <si>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</si>
  <si>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</si>
  <si>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</si>
  <si>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</si>
  <si>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</si>
  <si>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</si>
  <si>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</si>
  <si>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</si>
  <si>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</si>
  <si>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</si>
  <si>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</si>
  <si>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</si>
  <si>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</si>
  <si>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</si>
  <si>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</si>
  <si>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</si>
  <si>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</si>
  <si>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</si>
  <si>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</si>
  <si>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</si>
  <si>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</si>
  <si>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</si>
  <si>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</si>
  <si>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</si>
  <si>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</si>
  <si>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</si>
  <si>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</si>
  <si>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</si>
  <si>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</si>
  <si>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</si>
  <si>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</si>
  <si>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</si>
  <si>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</si>
  <si>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</si>
  <si>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</si>
  <si>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</si>
  <si>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</si>
  <si>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</si>
  <si>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</si>
  <si>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</si>
  <si>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</si>
  <si>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</si>
  <si>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</si>
  <si>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</si>
  <si>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</si>
  <si>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</si>
  <si>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</si>
  <si>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</si>
  <si>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</si>
  <si>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</si>
  <si>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</si>
  <si>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</si>
  <si>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</si>
  <si>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</si>
  <si>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</si>
  <si>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</si>
  <si>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</si>
  <si>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</si>
  <si>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</si>
  <si>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</si>
  <si>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</si>
  <si>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</si>
  <si>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</si>
  <si>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</si>
  <si>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</si>
  <si>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</si>
  <si>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</si>
  <si>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</si>
  <si>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</si>
  <si>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</si>
  <si>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</si>
  <si>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</si>
  <si>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</si>
  <si>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</si>
  <si>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</si>
  <si>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</si>
  <si>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</si>
  <si>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</si>
  <si>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</si>
  <si>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</si>
  <si>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</si>
  <si>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</si>
  <si>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</si>
  <si>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</si>
  <si>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</si>
  <si>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</si>
  <si>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</si>
  <si>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</si>
  <si>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</si>
  <si>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</si>
  <si>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</si>
  <si>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</si>
  <si>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</si>
  <si>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</si>
  <si>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</si>
  <si>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</si>
  <si>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</si>
  <si>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</si>
  <si>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</si>
  <si>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</si>
  <si>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</si>
  <si>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</si>
  <si>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</si>
  <si>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</si>
  <si>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</si>
  <si>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</si>
  <si>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</si>
  <si>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</si>
  <si>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</si>
  <si>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</si>
  <si>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</si>
  <si>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</si>
  <si>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</si>
  <si>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</si>
  <si>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</si>
  <si>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</si>
  <si>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</si>
  <si>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</si>
  <si>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</si>
  <si>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</si>
  <si>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</si>
  <si>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</si>
  <si>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</si>
  <si>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</si>
  <si>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</si>
  <si>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</si>
  <si>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</si>
  <si>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</si>
  <si>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</si>
  <si>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</si>
  <si>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</si>
  <si>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</si>
  <si>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</si>
  <si>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</si>
  <si>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</si>
  <si>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</si>
  <si>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</si>
  <si>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</si>
  <si>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</si>
  <si>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</si>
  <si>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</si>
  <si>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</si>
  <si>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</si>
  <si>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</si>
  <si>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</si>
  <si>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</si>
  <si>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</si>
  <si>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</si>
  <si>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</si>
  <si>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</si>
  <si>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</si>
  <si>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</si>
  <si>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</si>
  <si>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</si>
  <si>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</si>
  <si>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</si>
  <si>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</si>
  <si>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</si>
  <si>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</si>
  <si>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</si>
  <si>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</si>
  <si>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</si>
  <si>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</si>
  <si>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</si>
  <si>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</si>
  <si>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</si>
  <si>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</si>
  <si>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</si>
  <si>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</si>
  <si>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</si>
  <si>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</si>
  <si>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</si>
  <si>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</si>
  <si>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</si>
  <si>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</si>
  <si>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</si>
  <si>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</si>
  <si>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</si>
  <si>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</si>
  <si>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</si>
  <si>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</si>
  <si>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</si>
  <si>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</si>
  <si>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</si>
  <si>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</si>
  <si>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</si>
  <si>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</si>
  <si>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</si>
  <si>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</si>
  <si>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</si>
  <si>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</si>
  <si>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</si>
  <si>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</si>
  <si>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</si>
  <si>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</si>
  <si>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</si>
  <si>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</si>
  <si>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</si>
  <si>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</si>
  <si>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</si>
  <si>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</si>
  <si>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</si>
  <si>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</si>
  <si>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</si>
  <si>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</si>
  <si>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</si>
  <si>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</si>
  <si>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</si>
  <si>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</si>
  <si>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</si>
  <si>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</si>
  <si>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</si>
  <si>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</si>
  <si>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</si>
  <si>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</si>
  <si>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</si>
  <si>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</si>
  <si>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</si>
  <si>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</si>
  <si>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</si>
  <si>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</si>
  <si>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</si>
  <si>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</si>
  <si>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</si>
  <si>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</si>
  <si>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</si>
  <si>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</si>
  <si>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</si>
  <si>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</si>
  <si>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</si>
  <si>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</si>
  <si>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</si>
  <si>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</si>
  <si>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</si>
  <si>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</si>
  <si>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</si>
  <si>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</si>
  <si>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</si>
  <si>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</si>
  <si>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</si>
  <si>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</si>
  <si>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</si>
  <si>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</si>
  <si>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</si>
  <si>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</si>
  <si>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</si>
  <si>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</si>
  <si>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</si>
  <si>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</si>
  <si>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</si>
  <si>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</si>
  <si>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</si>
  <si>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</si>
  <si>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</si>
  <si>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</si>
  <si>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</si>
  <si>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</si>
  <si>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</si>
  <si>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</si>
  <si>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</si>
  <si>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</si>
  <si>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</si>
  <si>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</si>
  <si>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</si>
  <si>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</si>
  <si>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</si>
  <si>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</si>
  <si>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</si>
  <si>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</si>
  <si>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</si>
  <si>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</si>
  <si>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</si>
  <si>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</si>
  <si>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</si>
  <si>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</si>
  <si>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</si>
  <si>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</si>
  <si>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</si>
  <si>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</si>
  <si>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</si>
  <si>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</si>
  <si>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</si>
  <si>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</si>
  <si>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</si>
  <si>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</si>
  <si>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</si>
  <si>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</si>
  <si>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</si>
  <si>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</si>
  <si>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</si>
  <si>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</si>
  <si>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</si>
  <si>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</si>
  <si>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</si>
  <si>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</si>
  <si>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</si>
  <si>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</si>
  <si>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</si>
  <si>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</si>
  <si>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</si>
  <si>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</si>
  <si>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</si>
  <si>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</si>
  <si>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</si>
  <si>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</si>
  <si>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</si>
  <si>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</si>
  <si>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</si>
  <si>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</si>
  <si>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</si>
  <si>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</si>
  <si>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</si>
  <si>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</si>
  <si>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</si>
  <si>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</si>
  <si>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</si>
  <si>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</si>
  <si>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</si>
  <si>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</si>
  <si>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</si>
  <si>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</si>
  <si>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</si>
  <si>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</si>
  <si>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</si>
  <si>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</si>
  <si>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</si>
  <si>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</si>
  <si>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</si>
  <si>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</si>
  <si>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</si>
  <si>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</si>
  <si>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</si>
  <si>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</si>
  <si>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</si>
  <si>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</si>
  <si>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</si>
  <si>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</si>
  <si>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</si>
  <si>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</si>
  <si>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</si>
  <si>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7626798067</t>
  </si>
  <si>
    <t>TER_NAME</t>
  </si>
  <si>
    <t>Территория 1</t>
  </si>
  <si>
    <t>Территория 2</t>
  </si>
  <si>
    <t>Территория 3</t>
  </si>
  <si>
    <t>Территория 4</t>
  </si>
  <si>
    <t>Территория 5</t>
  </si>
  <si>
    <t>Территория 6</t>
  </si>
  <si>
    <t>Территория 7</t>
  </si>
  <si>
    <t>Территория 8</t>
  </si>
  <si>
    <t>ID_TARIFF_NAME</t>
  </si>
  <si>
    <t>TARIFF_NAME</t>
  </si>
  <si>
    <t>VED_NAME</t>
  </si>
  <si>
    <t>4190065</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</si>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</sst>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2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sz val="8"/>
      <color auto="1"/>
      <name val="Helv"/>
    </font>
    <font>
      <sz val="10"/>
      <color auto="1"/>
      <name val="Arial"/>
    </font>
    <font>
      <sz val="10"/>
      <color auto="1"/>
      <name val="Arial Cyr"/>
    </font>
    <font>
      <u/>
      <sz val="9"/>
      <color theme="11"/>
      <name val="Tahoma"/>
    </font>
    <font>
      <sz val="11"/>
      <color rgb="FF000000"/>
      <name val="Calibri"/>
    </font>
    <font>
      <sz val="10"/>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theme="0" tint="-0.1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8DB4E2"/>
      </patternFill>
    </fill>
    <fill>
      <patternFill patternType="solid">
        <fgColor theme="2" tint="-0.1"/>
      </patternFill>
    </fill>
    <fill>
      <patternFill patternType="solid">
        <fgColor theme="9" tint="-0.25"/>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top style="thin">
        <color rgb="FFBCBCBC"/>
      </top>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C0C0C0"/>
      </left>
      <right style="thin">
        <color rgb="FFC0C0C0"/>
      </right>
      <top style="thin">
        <color rgb="FFC0C0C0"/>
      </top>
      <bottom style="medium">
        <color rgb="FFC0C0C0"/>
      </bottom>
    </border>
    <border>
      <left style="thin">
        <color rgb="FFBCBCBC"/>
      </left>
      <right/>
      <top style="thin">
        <color rgb="FFBCBCBC"/>
      </top>
      <bottom style="thin">
        <color rgb="FFC0C0C0"/>
      </bottom>
    </border>
  </borders>
  <cellStyleXfs count="62">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64" fontId="20" fillId="0" borderId="0" applyFont="1" applyFill="0" applyBorder="0" applyNumberFormat="1"/>
    <xf numFmtId="38" fontId="21" fillId="0" borderId="0" applyFont="1" applyFill="0" applyBorder="0" applyNumberFormat="1">
      <alignment vertical="top"/>
    </xf>
    <xf numFmtId="165" fontId="22" fillId="33" borderId="0" applyFont="1" applyFill="1" applyBorder="0" applyNumberFormat="1">
      <protection locked="0"/>
    </xf>
    <xf numFmtId="0" fontId="23" fillId="0" borderId="0" applyFont="1" applyFill="0" applyBorder="0">
      <alignment vertical="center"/>
    </xf>
    <xf numFmtId="166" fontId="22" fillId="33" borderId="0" applyFont="1" applyFill="1" applyBorder="0" applyNumberFormat="1">
      <protection locked="0"/>
    </xf>
    <xf numFmtId="16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xf numFmtId="49" fontId="22" fillId="0" borderId="0" applyFont="1" applyFill="0" applyBorder="0" applyNumberFormat="1">
      <alignment vertical="top"/>
    </xf>
    <xf numFmtId="0" fontId="26" fillId="0" borderId="0" applyFont="1" applyFill="0" applyBorder="0"/>
    <xf numFmtId="49" fontId="0" fillId="0" borderId="0" applyFont="1" applyFill="0" applyBorder="0" applyNumberFormat="1">
      <alignment vertical="top"/>
    </xf>
    <xf numFmtId="0" fontId="27" fillId="0" borderId="0" applyFont="1" applyFill="0" applyBorder="0"/>
    <xf numFmtId="0" fontId="28" fillId="0" borderId="0" applyFont="1" applyFill="0" applyBorder="0">
      <alignment vertical="top"/>
    </xf>
  </cellStyleXfs>
  <cellXfs count="135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64" fontId="20" fillId="0" borderId="0" xfId="49" applyFont="1" applyNumberFormat="1"/>
    <xf numFmtId="38" fontId="21" fillId="0" borderId="0" xfId="50" applyFont="1" applyNumberFormat="1">
      <alignment vertical="top"/>
    </xf>
    <xf numFmtId="165" fontId="22" fillId="33" borderId="0" xfId="51" applyFont="1" applyFill="1" applyNumberFormat="1">
      <protection locked="0"/>
    </xf>
    <xf numFmtId="0" fontId="23" fillId="0" borderId="0" xfId="52" applyFont="1">
      <alignment vertical="center"/>
    </xf>
    <xf numFmtId="166" fontId="22" fillId="33" borderId="0" xfId="53" applyFont="1" applyFill="1" applyNumberFormat="1">
      <protection locked="0"/>
    </xf>
    <xf numFmtId="167" fontId="22" fillId="33" borderId="0" xfId="54" applyFont="1" applyFill="1" applyNumberFormat="1">
      <protection locked="0"/>
    </xf>
    <xf numFmtId="0" fontId="24" fillId="0" borderId="0" xfId="55" applyFont="1">
      <alignment vertical="top"/>
    </xf>
    <xf numFmtId="0" fontId="25" fillId="0" borderId="0" xfId="56" applyFont="1"/>
    <xf numFmtId="49" fontId="22" fillId="0" borderId="0" xfId="57" applyFont="1" applyNumberFormat="1">
      <alignment vertical="top"/>
    </xf>
    <xf numFmtId="0" fontId="26" fillId="0" borderId="0" xfId="58" applyFont="1"/>
    <xf numFmtId="49" fontId="0" fillId="0" borderId="0" xfId="59" applyFont="1" applyNumberFormat="1">
      <alignment vertical="top"/>
    </xf>
    <xf numFmtId="0" fontId="27" fillId="0" borderId="0" xfId="60" applyFont="1"/>
    <xf numFmtId="0" fontId="28" fillId="0" borderId="0" xfId="61"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29" fillId="0" borderId="0" xfId="28" applyFont="1" applyNumberFormat="1">
      <alignment vertical="top"/>
    </xf>
    <xf numFmtId="41" fontId="29" fillId="0" borderId="0" xfId="29" applyFont="1" applyNumberFormat="1">
      <alignment vertical="top"/>
    </xf>
    <xf numFmtId="44" fontId="29" fillId="0" borderId="0" xfId="30" applyFont="1" applyNumberFormat="1">
      <alignment vertical="top"/>
    </xf>
    <xf numFmtId="42" fontId="2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29" fillId="32" borderId="7" xfId="42" applyFont="1" applyFill="1" applyBorder="1" applyNumberFormat="1">
      <alignment vertical="top"/>
    </xf>
    <xf numFmtId="0" fontId="16" fillId="27" borderId="8" xfId="43" applyFont="1" applyFill="1" applyBorder="1" applyNumberFormat="1">
      <alignment vertical="top"/>
    </xf>
    <xf numFmtId="9" fontId="29"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xf numFmtId="0" fontId="26" fillId="0" borderId="0" xfId="58" applyFont="1" applyNumberFormat="1"/>
    <xf numFmtId="49" fontId="0" fillId="0" borderId="0" xfId="59" applyFont="1" applyNumberFormat="1">
      <alignment vertical="top"/>
    </xf>
    <xf numFmtId="0" fontId="27" fillId="0" borderId="0" xfId="0" applyFont="1" applyNumberFormat="1"/>
    <xf numFmtId="0" fontId="28" fillId="0" borderId="0" xfId="61"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29" fillId="0" borderId="0" xfId="28" applyFont="1" applyNumberFormat="1">
      <alignment vertical="top"/>
    </xf>
    <xf numFmtId="41" fontId="29" fillId="0" borderId="0" xfId="29" applyFont="1" applyNumberFormat="1">
      <alignment vertical="top"/>
    </xf>
    <xf numFmtId="44" fontId="29" fillId="0" borderId="0" xfId="30" applyFont="1" applyNumberFormat="1">
      <alignment vertical="top"/>
    </xf>
    <xf numFmtId="42" fontId="2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29" fillId="32" borderId="7" xfId="42" applyFont="1" applyFill="1" applyBorder="1" applyNumberFormat="1">
      <alignment vertical="top"/>
    </xf>
    <xf numFmtId="0" fontId="16" fillId="27" borderId="8" xfId="43" applyFont="1" applyFill="1" applyBorder="1" applyNumberFormat="1">
      <alignment vertical="top"/>
    </xf>
    <xf numFmtId="9" fontId="29"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xf numFmtId="0" fontId="26" fillId="0" borderId="0" xfId="58" applyFont="1" applyNumberFormat="1"/>
    <xf numFmtId="49" fontId="0" fillId="0" borderId="0" xfId="59" applyFont="1" applyNumberFormat="1">
      <alignment vertical="top"/>
    </xf>
    <xf numFmtId="0" fontId="27" fillId="0" borderId="0" xfId="0" applyFont="1" applyNumberFormat="1"/>
    <xf numFmtId="0" fontId="28" fillId="0" borderId="0" xfId="61" applyFont="1" applyNumberFormat="1">
      <alignment vertical="top"/>
    </xf>
    <xf numFmtId="0" fontId="30" fillId="34" borderId="10" xfId="0" applyFont="1" applyFill="1" applyBorder="1" applyNumberFormat="1">
      <alignment horizontal="right" vertical="center" wrapText="1" indent="1"/>
    </xf>
    <xf numFmtId="0" fontId="27" fillId="0" borderId="0" xfId="0" applyFont="1" applyNumberFormat="1"/>
    <xf numFmtId="49" fontId="0" fillId="0" borderId="0" xfId="59"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5" borderId="11"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6" borderId="0" xfId="0" applyFont="1" applyFill="1" applyNumberFormat="1"/>
    <xf numFmtId="0" fontId="31" fillId="0" borderId="0" xfId="0" applyFont="1" applyNumberFormat="1">
      <alignment vertical="center" wrapText="1"/>
    </xf>
    <xf numFmtId="0" fontId="32" fillId="0" borderId="0" xfId="0" applyFont="1" applyNumberFormat="1">
      <alignment vertical="center" wrapText="1"/>
    </xf>
    <xf numFmtId="0" fontId="22" fillId="36" borderId="0" xfId="0" applyFont="1" applyFill="1" applyNumberFormat="1">
      <alignment vertical="center" wrapText="1"/>
    </xf>
    <xf numFmtId="0" fontId="22" fillId="0" borderId="0" xfId="0" applyFont="1" applyNumberFormat="1">
      <alignment vertical="center" wrapText="1"/>
    </xf>
    <xf numFmtId="0" fontId="33" fillId="36" borderId="0" xfId="0" applyFont="1" applyFill="1" applyNumberFormat="1">
      <alignment vertical="center" wrapText="1"/>
    </xf>
    <xf numFmtId="0" fontId="22" fillId="36" borderId="0" xfId="0" applyFont="1" applyFill="1" applyNumberFormat="1">
      <alignment horizontal="right" vertical="center" wrapText="1" indent="1"/>
    </xf>
    <xf numFmtId="0" fontId="22" fillId="36" borderId="0" xfId="0" applyFont="1" applyFill="1" applyNumberFormat="1">
      <alignment horizontal="center" vertical="center" wrapText="1"/>
    </xf>
    <xf numFmtId="0" fontId="32" fillId="0" borderId="0" xfId="0" applyFont="1" applyNumberFormat="1">
      <alignment horizontal="center" vertical="center" wrapText="1"/>
    </xf>
    <xf numFmtId="0" fontId="34" fillId="36" borderId="0" xfId="0" applyFont="1" applyFill="1" applyNumberFormat="1">
      <alignment horizontal="center" vertical="center" wrapText="1"/>
    </xf>
    <xf numFmtId="0" fontId="22" fillId="0" borderId="0" xfId="0" applyFont="1" applyNumberFormat="1">
      <alignment vertical="center"/>
    </xf>
    <xf numFmtId="49" fontId="22" fillId="36" borderId="0" xfId="0" applyFont="1" applyFill="1" applyNumberFormat="1">
      <alignment horizontal="right" vertical="center" wrapText="1" indent="1"/>
    </xf>
    <xf numFmtId="49" fontId="33" fillId="36" borderId="0" xfId="0" applyFont="1" applyFill="1" applyNumberFormat="1">
      <alignment horizontal="center" vertical="center" wrapText="1"/>
    </xf>
    <xf numFmtId="0" fontId="22" fillId="0" borderId="0" xfId="0" applyFont="1" applyNumberFormat="1">
      <alignment vertical="center" wrapText="1"/>
    </xf>
    <xf numFmtId="0" fontId="22" fillId="36" borderId="0" xfId="0" applyFont="1" applyFill="1" applyNumberFormat="1">
      <alignment vertical="center" wrapText="1"/>
    </xf>
    <xf numFmtId="0" fontId="22" fillId="36" borderId="0" xfId="0" applyFont="1" applyFill="1" applyNumberFormat="1">
      <alignment horizontal="right" vertical="center" wrapText="1"/>
    </xf>
    <xf numFmtId="49" fontId="0" fillId="36" borderId="0" xfId="0" applyFont="1" applyFill="1" applyNumberFormat="1">
      <alignment horizontal="right" vertical="center" wrapText="1" indent="1"/>
    </xf>
    <xf numFmtId="49" fontId="3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6" borderId="0" xfId="0" applyFont="1" applyFill="1" applyNumberFormat="1">
      <alignment horizontal="center" vertical="center" wrapText="1"/>
    </xf>
    <xf numFmtId="0" fontId="36" fillId="0" borderId="0" xfId="0" applyFont="1" applyNumberFormat="1">
      <alignment horizontal="center" vertical="center"/>
    </xf>
    <xf numFmtId="0" fontId="36" fillId="36" borderId="0" xfId="0" applyFont="1" applyFill="1" applyNumberFormat="1">
      <alignment horizontal="center" vertical="center"/>
    </xf>
    <xf numFmtId="49" fontId="37" fillId="0" borderId="12" xfId="0" applyFont="1" applyBorder="1" applyNumberFormat="1">
      <alignment vertical="top" wrapText="1"/>
    </xf>
    <xf numFmtId="0" fontId="0" fillId="0" borderId="12" xfId="0" applyFont="1" applyBorder="1" applyNumberFormat="1">
      <alignment vertical="top" wrapText="1"/>
    </xf>
    <xf numFmtId="0" fontId="22" fillId="36" borderId="0" xfId="0" applyFont="1" applyFill="1" applyNumberFormat="1">
      <alignment horizontal="center" vertical="center" wrapText="1"/>
    </xf>
    <xf numFmtId="0" fontId="38" fillId="36" borderId="0" xfId="0" applyFont="1" applyFill="1" applyNumberFormat="1">
      <alignment vertical="center" wrapText="1"/>
    </xf>
    <xf numFmtId="0" fontId="38" fillId="0" borderId="0" xfId="0" applyFont="1" applyNumberFormat="1">
      <alignment vertical="center" wrapText="1"/>
    </xf>
    <xf numFmtId="0" fontId="31" fillId="0" borderId="0" xfId="0" applyFont="1" applyNumberFormat="1">
      <alignment horizontal="left" vertical="center" wrapText="1"/>
    </xf>
    <xf numFmtId="49" fontId="31"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0" fontId="22" fillId="0" borderId="0" xfId="0" applyFont="1" applyNumberFormat="1">
      <alignment vertical="center" wrapText="1"/>
    </xf>
    <xf numFmtId="0" fontId="0" fillId="0" borderId="0" xfId="0" applyFont="1" applyNumberFormat="1">
      <alignment vertical="center"/>
    </xf>
    <xf numFmtId="0" fontId="22" fillId="36" borderId="13" xfId="0" applyFont="1" applyFill="1" applyBorder="1" applyNumberFormat="1">
      <alignment horizontal="center" vertical="center" wrapText="1"/>
    </xf>
    <xf numFmtId="49" fontId="22" fillId="37" borderId="13" xfId="0" applyFont="1" applyFill="1" applyBorder="1" applyNumberFormat="1">
      <alignment horizontal="left" vertical="center" wrapText="1"/>
      <protection locked="0"/>
    </xf>
    <xf numFmtId="49" fontId="39" fillId="38" borderId="14" xfId="0" applyFont="1" applyFill="1" applyBorder="1" applyNumberFormat="1">
      <alignment horizontal="left" vertical="center"/>
    </xf>
    <xf numFmtId="0" fontId="0" fillId="0" borderId="13" xfId="0" applyFont="1" applyBorder="1" applyNumberFormat="1">
      <alignment horizontal="center" vertical="center" wrapText="1"/>
    </xf>
    <xf numFmtId="0" fontId="22" fillId="38" borderId="15" xfId="0" applyFont="1" applyFill="1" applyBorder="1" applyNumberFormat="1">
      <alignment vertical="center" wrapText="1"/>
    </xf>
    <xf numFmtId="0" fontId="22" fillId="0" borderId="13" xfId="0" applyFont="1" applyBorder="1" applyNumberFormat="1">
      <alignment horizontal="center" vertical="center" wrapText="1"/>
    </xf>
    <xf numFmtId="0" fontId="40" fillId="0" borderId="0" xfId="0" applyFont="1" applyNumberFormat="1">
      <alignment vertical="center"/>
    </xf>
    <xf numFmtId="49" fontId="22" fillId="0" borderId="13" xfId="0" applyFont="1" applyBorder="1" applyNumberFormat="1">
      <alignment horizontal="center" vertical="center" wrapText="1"/>
    </xf>
    <xf numFmtId="0" fontId="22" fillId="36" borderId="13" xfId="0" applyFont="1" applyFill="1" applyBorder="1" applyNumberFormat="1">
      <alignment horizontal="center" vertical="center"/>
    </xf>
    <xf numFmtId="49" fontId="22" fillId="37" borderId="13" xfId="0" applyFont="1" applyFill="1" applyBorder="1" applyNumberFormat="1">
      <alignment horizontal="left" vertical="center" wrapText="1"/>
      <protection locked="0"/>
    </xf>
    <xf numFmtId="0" fontId="31" fillId="0" borderId="0" xfId="0" applyFont="1" applyNumberFormat="1">
      <alignment vertical="center" wrapText="1"/>
    </xf>
    <xf numFmtId="0" fontId="41" fillId="0" borderId="0" xfId="0" applyFont="1" applyNumberForma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6" borderId="0" xfId="0" applyFont="1" applyFill="1" applyNumberFormat="1"/>
    <xf numFmtId="0" fontId="42" fillId="36" borderId="0" xfId="0" applyFont="1" applyFill="1" applyNumberFormat="1">
      <alignment horizontal="center" vertical="center" wrapText="1"/>
    </xf>
    <xf numFmtId="0" fontId="31" fillId="36" borderId="0" xfId="0" applyFont="1" applyFill="1" applyNumberFormat="1"/>
    <xf numFmtId="49" fontId="22" fillId="0" borderId="0" xfId="0" applyFont="1" applyNumberFormat="1">
      <alignment vertical="top"/>
    </xf>
    <xf numFmtId="49" fontId="36" fillId="0" borderId="0" xfId="0" applyFont="1" applyNumberFormat="1">
      <alignment horizontal="center" vertical="center" wrapText="1"/>
    </xf>
    <xf numFmtId="0" fontId="22" fillId="36" borderId="13"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3" fillId="38" borderId="16" xfId="0" applyFont="1" applyFill="1" applyBorder="1" applyNumberFormat="1">
      <alignment horizontal="center" vertical="top"/>
    </xf>
    <xf numFmtId="49" fontId="39" fillId="38" borderId="16" xfId="0" applyFont="1" applyFill="1" applyBorder="1" applyNumberFormat="1">
      <alignment horizontal="left" vertical="center"/>
    </xf>
    <xf numFmtId="0" fontId="40"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6" borderId="0" xfId="0" applyFont="1" applyFill="1" applyNumberFormat="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30" fillId="0" borderId="0" xfId="0" applyFont="1" applyNumberFormat="1">
      <alignment vertical="center" wrapText="1"/>
    </xf>
    <xf numFmtId="49" fontId="22" fillId="0" borderId="17" xfId="0" applyFont="1" applyBorder="1" applyNumberFormat="1">
      <alignment vertical="top"/>
    </xf>
    <xf numFmtId="49" fontId="45" fillId="0" borderId="0" xfId="0" applyFont="1" applyNumberFormat="1">
      <alignment vertical="top"/>
    </xf>
    <xf numFmtId="0" fontId="45" fillId="0" borderId="0" xfId="0" applyFont="1" applyNumberFormat="1">
      <alignment vertical="center" wrapText="1"/>
    </xf>
    <xf numFmtId="49" fontId="0" fillId="36" borderId="13" xfId="0" applyFont="1" applyFill="1" applyBorder="1" applyNumberFormat="1">
      <alignment horizontal="center" vertical="center" wrapText="1"/>
    </xf>
    <xf numFmtId="0" fontId="31" fillId="0" borderId="0" xfId="0" applyFont="1" applyNumberFormat="1">
      <alignment horizontal="left" vertical="center" wrapText="1"/>
    </xf>
    <xf numFmtId="49" fontId="22" fillId="0" borderId="13" xfId="0" applyFont="1" applyBorder="1" applyNumberFormat="1">
      <alignment horizontal="left" vertical="center" wrapText="1"/>
    </xf>
    <xf numFmtId="0" fontId="22" fillId="36" borderId="18" xfId="0" applyFont="1" applyFill="1" applyBorder="1" applyNumberFormat="1">
      <alignment horizontal="center" vertical="center"/>
    </xf>
    <xf numFmtId="0" fontId="22" fillId="0" borderId="13" xfId="0" applyFont="1" applyBorder="1" applyNumberFormat="1">
      <alignment vertical="center" wrapText="1"/>
    </xf>
    <xf numFmtId="0" fontId="46" fillId="0" borderId="0" xfId="0" applyFont="1" applyNumberFormat="1">
      <alignment vertical="center" wrapText="1"/>
    </xf>
    <xf numFmtId="0" fontId="46" fillId="0" borderId="0" xfId="0" applyFont="1" applyNumberFormat="1">
      <alignment vertical="center"/>
    </xf>
    <xf numFmtId="0" fontId="47" fillId="0" borderId="0" xfId="0" applyFont="1" applyNumberFormat="1">
      <alignment vertical="center"/>
    </xf>
    <xf numFmtId="0" fontId="46" fillId="0" borderId="0" xfId="0" applyFont="1" applyNumberFormat="1">
      <alignment vertical="center"/>
    </xf>
    <xf numFmtId="0" fontId="46" fillId="0" borderId="0" xfId="0" applyFont="1" applyNumberFormat="1">
      <alignment vertical="center"/>
    </xf>
    <xf numFmtId="0" fontId="0" fillId="0" borderId="0" xfId="0" applyFont="1" applyNumberFormat="1">
      <alignment vertical="top" wrapText="1"/>
    </xf>
    <xf numFmtId="49" fontId="22" fillId="0" borderId="13" xfId="0" applyFont="1" applyBorder="1" applyNumberFormat="1">
      <alignment horizontal="center" vertical="center" wrapText="1"/>
    </xf>
    <xf numFmtId="0" fontId="30"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5" fillId="0" borderId="0" xfId="0" applyFont="1" applyNumberFormat="1">
      <alignment vertical="center"/>
    </xf>
    <xf numFmtId="169" fontId="22" fillId="0" borderId="13" xfId="0" applyFont="1" applyBorder="1" applyNumberFormat="1">
      <alignment horizontal="center" vertical="center" wrapText="1"/>
    </xf>
    <xf numFmtId="49" fontId="45" fillId="38" borderId="20" xfId="0" applyFont="1" applyFill="1" applyBorder="1" applyNumberFormat="1">
      <alignment horizontal="left" vertical="center" wrapText="1"/>
    </xf>
    <xf numFmtId="49" fontId="0" fillId="38" borderId="16" xfId="0" applyFont="1" applyFill="1" applyBorder="1" applyNumberFormat="1">
      <alignment horizontal="left" vertical="center"/>
    </xf>
    <xf numFmtId="49" fontId="45" fillId="38" borderId="21" xfId="0" applyFont="1" applyFill="1" applyBorder="1" applyNumberFormat="1">
      <alignment horizontal="left" vertical="center" wrapText="1"/>
    </xf>
    <xf numFmtId="0" fontId="35" fillId="0" borderId="0" xfId="0" applyFont="1" applyNumberFormat="1">
      <alignment horizontal="center" vertical="center" wrapText="1"/>
    </xf>
    <xf numFmtId="49" fontId="48" fillId="38" borderId="16" xfId="0" applyFont="1" applyFill="1" applyBorder="1" applyNumberFormat="1">
      <alignment horizontal="right" vertical="center" wrapText="1"/>
    </xf>
    <xf numFmtId="49" fontId="22" fillId="38" borderId="16" xfId="0" applyFont="1" applyFill="1" applyBorder="1" applyNumberFormat="1">
      <alignment horizontal="right" vertical="center" wrapText="1"/>
    </xf>
    <xf numFmtId="49" fontId="22" fillId="38" borderId="14" xfId="0" applyFont="1" applyFill="1" applyBorder="1" applyNumberFormat="1">
      <alignment horizontal="right" vertical="center" wrapText="1"/>
    </xf>
    <xf numFmtId="0" fontId="22" fillId="0" borderId="22" xfId="0" applyFont="1" applyBorder="1" applyNumberFormat="1">
      <alignment vertical="center" wrapText="1"/>
    </xf>
    <xf numFmtId="0" fontId="44" fillId="0" borderId="0" xfId="0" applyFont="1" applyNumberFormat="1">
      <alignment vertical="center" wrapText="1"/>
    </xf>
    <xf numFmtId="0" fontId="49" fillId="0" borderId="0" xfId="0" applyFont="1" applyNumberFormat="1">
      <alignment horizontal="center" vertical="center" wrapText="1"/>
    </xf>
    <xf numFmtId="49" fontId="0" fillId="36" borderId="0" xfId="0" applyFont="1" applyFill="1" applyNumberFormat="1">
      <alignment vertical="top"/>
    </xf>
    <xf numFmtId="49" fontId="50" fillId="39" borderId="0" xfId="0" applyFont="1" applyFill="1" applyNumberFormat="1">
      <alignment vertical="top"/>
    </xf>
    <xf numFmtId="49" fontId="50" fillId="0" borderId="0" xfId="0" applyFont="1" applyNumberFormat="1">
      <alignment vertical="top"/>
    </xf>
    <xf numFmtId="0" fontId="45" fillId="0" borderId="0" xfId="0" applyFont="1" applyNumberFormat="1">
      <alignment vertical="center"/>
    </xf>
    <xf numFmtId="49" fontId="0" fillId="38" borderId="16" xfId="0" applyFont="1" applyFill="1" applyBorder="1" applyNumberFormat="1">
      <alignment horizontal="right" vertical="center" wrapText="1"/>
    </xf>
    <xf numFmtId="49" fontId="0" fillId="0" borderId="0" xfId="0" applyFont="1" applyNumberFormat="1">
      <alignment vertical="top"/>
    </xf>
    <xf numFmtId="0" fontId="48" fillId="0" borderId="12" xfId="0" applyFont="1" applyBorder="1" applyNumberFormat="1">
      <alignment vertical="center" wrapText="1"/>
    </xf>
    <xf numFmtId="0" fontId="30" fillId="0" borderId="0" xfId="0" applyFont="1" applyNumberFormat="1">
      <alignment vertical="top" wrapText="1"/>
    </xf>
    <xf numFmtId="0" fontId="22" fillId="0" borderId="12" xfId="0" applyFont="1" applyBorder="1" applyNumberFormat="1">
      <alignment vertical="center" wrapText="1"/>
    </xf>
    <xf numFmtId="49" fontId="22" fillId="0" borderId="0" xfId="0" applyFont="1" applyNumberFormat="1">
      <alignment vertical="top"/>
    </xf>
    <xf numFmtId="0" fontId="22"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0" borderId="13" xfId="0" applyFont="1" applyFill="1" applyBorder="1" applyNumberFormat="1">
      <alignment horizontal="left" vertical="center" wrapText="1" indent="2"/>
      <protection locked="0"/>
    </xf>
    <xf numFmtId="49" fontId="4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0" borderId="13" xfId="0" applyFont="1" applyFill="1" applyBorder="1" applyNumberFormat="1">
      <alignment horizontal="left" vertical="center" wrapText="1" indent="1"/>
      <protection locked="0"/>
    </xf>
    <xf numFmtId="49" fontId="39" fillId="38" borderId="16" xfId="0" applyFont="1" applyFill="1" applyBorder="1" applyNumberFormat="1">
      <alignment horizontal="left" vertical="center" indent="3"/>
    </xf>
    <xf numFmtId="49" fontId="43" fillId="38" borderId="14" xfId="0" applyFont="1" applyFill="1" applyBorder="1" applyNumberFormat="1">
      <alignment horizontal="center" vertical="top"/>
    </xf>
    <xf numFmtId="0" fontId="30" fillId="0" borderId="0" xfId="0" applyFont="1" applyNumberFormat="1">
      <alignment horizontal="right" vertical="top" wrapText="1"/>
    </xf>
    <xf numFmtId="49" fontId="39" fillId="38" borderId="16" xfId="0" applyFont="1" applyFill="1" applyBorder="1" applyNumberFormat="1">
      <alignment horizontal="left" vertical="center" indent="1"/>
    </xf>
    <xf numFmtId="49" fontId="39" fillId="38"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2" fillId="41" borderId="13" xfId="0" applyFont="1" applyFill="1" applyBorder="1" applyNumberFormat="1">
      <alignment horizontal="left" vertical="center" wrapText="1"/>
    </xf>
    <xf numFmtId="0" fontId="22" fillId="0" borderId="13" xfId="0" applyFont="1" applyBorder="1" applyNumberFormat="1">
      <alignment vertical="top" wrapText="1"/>
    </xf>
    <xf numFmtId="0" fontId="36" fillId="0" borderId="0" xfId="0" applyFont="1" applyNumberFormat="1">
      <alignment horizontal="center" vertical="center" wrapText="1"/>
    </xf>
    <xf numFmtId="49" fontId="0" fillId="0" borderId="18" xfId="0" applyFont="1" applyBorder="1" applyNumberFormat="1">
      <alignment vertical="top"/>
    </xf>
    <xf numFmtId="0" fontId="46" fillId="0" borderId="0" xfId="0" applyFont="1" applyNumberFormat="1">
      <alignment vertical="center"/>
    </xf>
    <xf numFmtId="0" fontId="29" fillId="0" borderId="0" xfId="0" applyFont="1" applyNumberFormat="1">
      <alignment vertical="center"/>
    </xf>
    <xf numFmtId="49" fontId="51" fillId="40" borderId="13" xfId="0" applyFont="1" applyFill="1" applyBorder="1" applyNumberFormat="1">
      <alignment horizontal="left" vertical="center" wrapText="1"/>
      <protection locked="0"/>
    </xf>
    <xf numFmtId="49" fontId="43" fillId="38" borderId="14" xfId="0" applyFont="1" applyFill="1" applyBorder="1" applyNumberFormat="1">
      <alignment horizontal="center" vertical="top"/>
    </xf>
    <xf numFmtId="0" fontId="0" fillId="35" borderId="13" xfId="0" applyFont="1" applyFill="1" applyBorder="1" applyNumberFormat="1">
      <alignment horizontal="left" vertical="center" wrapText="1" indent="1"/>
    </xf>
    <xf numFmtId="49" fontId="22" fillId="40" borderId="13" xfId="0" applyFont="1" applyFill="1" applyBorder="1" applyNumberFormat="1">
      <alignment horizontal="left" vertical="center" wrapText="1" indent="1"/>
      <protection locked="0"/>
    </xf>
    <xf numFmtId="49" fontId="22" fillId="35" borderId="13" xfId="0" applyFont="1" applyFill="1" applyBorder="1" applyNumberFormat="1">
      <alignment horizontal="left" vertical="center" wrapText="1" indent="1"/>
    </xf>
    <xf numFmtId="49" fontId="22" fillId="0" borderId="13" xfId="0" applyFont="1" applyBorder="1" applyNumberFormat="1">
      <alignment horizontal="left" vertical="center" wrapText="1" indent="1"/>
    </xf>
    <xf numFmtId="0" fontId="22" fillId="0" borderId="13" xfId="0" applyFont="1" applyBorder="1" applyNumberFormat="1">
      <alignment horizontal="center" vertical="center" wrapText="1"/>
    </xf>
    <xf numFmtId="0" fontId="30" fillId="0" borderId="0" xfId="0" applyFont="1" applyNumberFormat="1">
      <alignment vertical="center" wrapText="1"/>
    </xf>
    <xf numFmtId="0" fontId="46" fillId="0" borderId="0" xfId="0" applyFont="1" applyNumberFormat="1">
      <alignment horizontal="center" vertical="center" wrapText="1"/>
    </xf>
    <xf numFmtId="0" fontId="0" fillId="0" borderId="13" xfId="0" applyFont="1" applyBorder="1" applyNumberFormat="1">
      <alignment horizontal="left" vertical="center" wrapText="1"/>
    </xf>
    <xf numFmtId="49" fontId="35" fillId="0" borderId="16" xfId="0" applyFont="1" applyBorder="1" applyNumberFormat="1">
      <alignment horizontal="center" vertical="center" wrapText="1"/>
    </xf>
    <xf numFmtId="0" fontId="52" fillId="0" borderId="0" xfId="0" applyFont="1" applyNumberFormat="1">
      <alignment vertical="center"/>
    </xf>
    <xf numFmtId="0" fontId="53" fillId="0" borderId="0" xfId="0" applyFont="1" applyNumberFormat="1">
      <alignment vertical="center"/>
    </xf>
    <xf numFmtId="0" fontId="46" fillId="0" borderId="0" xfId="0" applyFont="1" applyNumberFormat="1">
      <alignment vertical="center"/>
    </xf>
    <xf numFmtId="0" fontId="46" fillId="0" borderId="0" xfId="0" applyFont="1" applyNumberFormat="1">
      <alignment horizontal="left" vertical="center" wrapText="1" indent="1"/>
    </xf>
    <xf numFmtId="0" fontId="45" fillId="0" borderId="0" xfId="0" applyFont="1" applyNumberFormat="1">
      <alignment horizontal="left" vertical="center" wrapText="1" indent="1"/>
    </xf>
    <xf numFmtId="0" fontId="54" fillId="0" borderId="0" xfId="0" applyFont="1" applyNumberFormat="1">
      <alignment horizontal="left" vertical="center" wrapText="1" indent="1"/>
    </xf>
    <xf numFmtId="0" fontId="55" fillId="0" borderId="0" xfId="0" applyFont="1" applyNumberFormat="1">
      <alignment horizontal="left" vertical="center" indent="1"/>
    </xf>
    <xf numFmtId="0" fontId="54" fillId="0" borderId="0" xfId="0" applyFont="1" applyNumberFormat="1">
      <alignment vertical="center" wrapText="1"/>
    </xf>
    <xf numFmtId="0" fontId="56" fillId="0" borderId="0" xfId="0" applyFont="1" applyNumberFormat="1">
      <alignment horizontal="left" vertical="center" wrapText="1"/>
    </xf>
    <xf numFmtId="0" fontId="57" fillId="0" borderId="0" xfId="0" applyFont="1" applyNumberFormat="1">
      <alignment vertical="center" wrapText="1"/>
    </xf>
    <xf numFmtId="0" fontId="58" fillId="36" borderId="0" xfId="0" applyFont="1" applyFill="1" applyNumberFormat="1">
      <alignment vertical="center" wrapText="1"/>
    </xf>
    <xf numFmtId="0" fontId="59" fillId="36" borderId="0" xfId="0" applyFont="1" applyFill="1" applyNumberFormat="1">
      <alignment horizontal="right" vertical="center" wrapText="1" indent="1"/>
    </xf>
    <xf numFmtId="0" fontId="58" fillId="0" borderId="0" xfId="0" applyFont="1" applyNumberFormat="1">
      <alignment vertical="center" wrapText="1"/>
    </xf>
    <xf numFmtId="0" fontId="58" fillId="36" borderId="0" xfId="0" applyFont="1" applyFill="1" applyNumberFormat="1">
      <alignment horizontal="right" vertical="center" wrapText="1" indent="1"/>
    </xf>
    <xf numFmtId="0" fontId="60" fillId="36" borderId="0" xfId="0" applyFont="1" applyFill="1" applyNumberFormat="1">
      <alignment horizontal="center" vertical="center" wrapText="1"/>
    </xf>
    <xf numFmtId="0" fontId="56" fillId="36" borderId="0" xfId="0" applyFont="1" applyFill="1" applyNumberFormat="1">
      <alignment horizontal="center" vertical="center" wrapText="1"/>
    </xf>
    <xf numFmtId="0" fontId="58" fillId="36" borderId="0" xfId="0" applyFont="1" applyFill="1" applyNumberFormat="1">
      <alignment horizontal="left" vertical="center" wrapText="1" indent="1"/>
    </xf>
    <xf numFmtId="0" fontId="61" fillId="0" borderId="0" xfId="0" applyFont="1" applyNumberFormat="1">
      <alignment horizontal="left" vertical="center" wrapText="1"/>
    </xf>
    <xf numFmtId="0" fontId="6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6" fillId="0" borderId="0" xfId="0" applyFont="1" applyNumberFormat="1">
      <alignment horizontal="left" vertical="center" indent="1"/>
    </xf>
    <xf numFmtId="0" fontId="46" fillId="0" borderId="0" xfId="0" applyFont="1" applyNumberFormat="1">
      <alignment horizontal="left" vertical="center" indent="1"/>
    </xf>
    <xf numFmtId="0" fontId="46" fillId="0" borderId="23" xfId="0" applyFont="1" applyBorder="1" applyNumberFormat="1">
      <alignment vertical="center"/>
    </xf>
    <xf numFmtId="0" fontId="22"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3" xfId="0" applyFont="1" applyBorder="1" applyNumberFormat="1">
      <alignment vertical="top" wrapText="1"/>
    </xf>
    <xf numFmtId="0" fontId="0" fillId="40" borderId="13" xfId="0" applyFont="1" applyFill="1" applyBorder="1" applyNumberFormat="1">
      <alignment horizontal="left" vertical="center" wrapText="1"/>
      <protection locked="0"/>
    </xf>
    <xf numFmtId="0" fontId="22" fillId="0" borderId="13" xfId="0" applyFont="1" applyBorder="1" applyNumberFormat="1">
      <alignment horizontal="left" vertical="top" wrapText="1"/>
    </xf>
    <xf numFmtId="0" fontId="22" fillId="0" borderId="13" xfId="0" applyFont="1" applyBorder="1" applyNumberFormat="1">
      <alignment horizontal="left" vertical="center" wrapText="1"/>
    </xf>
    <xf numFmtId="0" fontId="22" fillId="0" borderId="13" xfId="0" applyFont="1" applyBorder="1" applyNumberFormat="1">
      <alignment horizontal="center" vertical="center" wrapText="1"/>
    </xf>
    <xf numFmtId="49" fontId="22" fillId="0" borderId="18" xfId="0" applyFont="1" applyBorder="1" applyNumberFormat="1">
      <alignment horizontal="left" vertical="center" wrapText="1"/>
    </xf>
    <xf numFmtId="49" fontId="48" fillId="38" borderId="15" xfId="0" applyFont="1" applyFill="1" applyBorder="1" applyNumberFormat="1">
      <alignment horizontal="center" vertical="center"/>
    </xf>
    <xf numFmtId="49" fontId="39" fillId="38" borderId="14" xfId="0" applyFont="1" applyFill="1" applyBorder="1" applyNumberFormat="1">
      <alignment horizontal="left" vertical="center"/>
    </xf>
    <xf numFmtId="0" fontId="22" fillId="0" borderId="0" xfId="0" applyFont="1" applyNumberFormat="1"/>
    <xf numFmtId="0" fontId="62" fillId="0" borderId="0" xfId="0" applyFont="1" applyNumberFormat="1">
      <alignment vertical="center" wrapText="1"/>
    </xf>
    <xf numFmtId="0" fontId="62" fillId="0" borderId="0" xfId="0" applyFont="1" applyNumberFormat="1">
      <alignment vertical="center" wrapText="1"/>
    </xf>
    <xf numFmtId="0" fontId="62" fillId="0" borderId="0" xfId="0" applyFont="1" applyNumberFormat="1"/>
    <xf numFmtId="49" fontId="63" fillId="0" borderId="0" xfId="0" applyFont="1" applyNumberFormat="1">
      <alignment vertical="top"/>
    </xf>
    <xf numFmtId="49" fontId="64" fillId="0" borderId="0" xfId="0" applyFont="1" applyNumberFormat="1">
      <alignment vertical="top"/>
    </xf>
    <xf numFmtId="0" fontId="22" fillId="0" borderId="0" xfId="0" applyFont="1" applyNumberFormat="1">
      <alignment horizontal="center" vertical="center" wrapText="1"/>
    </xf>
    <xf numFmtId="49" fontId="22" fillId="40" borderId="13" xfId="0" applyFont="1" applyFill="1" applyBorder="1" applyNumberFormat="1">
      <alignment horizontal="left" vertical="center" wrapText="1" indent="1"/>
      <protection locked="0"/>
    </xf>
    <xf numFmtId="0" fontId="46" fillId="0" borderId="0" xfId="0" applyFont="1" applyNumberFormat="1">
      <alignment vertical="top"/>
    </xf>
    <xf numFmtId="49" fontId="46" fillId="0" borderId="0" xfId="0" applyFont="1" applyNumberFormat="1">
      <alignment vertical="top"/>
    </xf>
    <xf numFmtId="0" fontId="0" fillId="0" borderId="0" xfId="0" applyFont="1" applyNumberFormat="1">
      <alignment vertical="top"/>
    </xf>
    <xf numFmtId="49" fontId="22" fillId="0" borderId="13" xfId="0" applyFont="1" applyBorder="1" applyNumberFormat="1">
      <alignment horizontal="right" vertical="center"/>
    </xf>
    <xf numFmtId="0" fontId="65" fillId="0" borderId="0" xfId="0" applyFont="1" applyNumberFormat="1">
      <alignment vertical="center"/>
    </xf>
    <xf numFmtId="0" fontId="46" fillId="0" borderId="0" xfId="0" applyFont="1" applyNumberFormat="1">
      <alignment vertical="center"/>
    </xf>
    <xf numFmtId="0" fontId="46" fillId="0" borderId="0" xfId="0" applyFont="1" applyNumberFormat="1">
      <alignment vertical="center" wrapText="1"/>
    </xf>
    <xf numFmtId="0" fontId="22" fillId="0" borderId="13" xfId="0" applyFont="1" applyBorder="1" applyNumberFormat="1">
      <alignment horizontal="left" vertical="center" wrapText="1"/>
    </xf>
    <xf numFmtId="0" fontId="66" fillId="0" borderId="0" xfId="0" applyFont="1" applyNumberFormat="1">
      <alignment vertical="center"/>
    </xf>
    <xf numFmtId="49" fontId="35" fillId="36" borderId="0" xfId="0" applyFont="1" applyFill="1" applyNumberFormat="1">
      <alignment horizontal="center" vertical="center" wrapText="1"/>
    </xf>
    <xf numFmtId="0" fontId="0" fillId="0" borderId="0" xfId="0" applyFont="1" applyNumberFormat="1">
      <alignment vertical="center"/>
    </xf>
    <xf numFmtId="0" fontId="22" fillId="0" borderId="13" xfId="0" applyFont="1" applyBorder="1" applyNumberFormat="1">
      <alignment horizontal="center" vertical="center" wrapText="1"/>
    </xf>
    <xf numFmtId="49" fontId="22" fillId="0" borderId="13" xfId="0" applyFont="1" applyBorder="1" applyNumberFormat="1">
      <alignment horizontal="center" vertical="center" wrapText="1"/>
    </xf>
    <xf numFmtId="0" fontId="22" fillId="36" borderId="13" xfId="0" applyFont="1" applyFill="1" applyBorder="1" applyNumberFormat="1">
      <alignment horizontal="left" vertical="center" wrapText="1" indent="4"/>
    </xf>
    <xf numFmtId="0" fontId="22" fillId="36" borderId="13" xfId="0" applyFont="1" applyFill="1" applyBorder="1" applyNumberFormat="1">
      <alignment horizontal="left" vertical="center" wrapText="1" indent="5"/>
    </xf>
    <xf numFmtId="49" fontId="39" fillId="38" borderId="16" xfId="0" applyFont="1" applyFill="1" applyBorder="1" applyNumberFormat="1">
      <alignment horizontal="left" vertical="center" indent="5"/>
    </xf>
    <xf numFmtId="49" fontId="39" fillId="38" borderId="16" xfId="0" applyFont="1" applyFill="1" applyBorder="1" applyNumberFormat="1">
      <alignment horizontal="left" vertical="center" indent="6"/>
    </xf>
    <xf numFmtId="0" fontId="22" fillId="0" borderId="13" xfId="0" applyFont="1" applyBorder="1" applyNumberFormat="1">
      <alignment vertical="center" wrapText="1"/>
    </xf>
    <xf numFmtId="0" fontId="30" fillId="0" borderId="0" xfId="0" applyFont="1" applyNumberFormat="1">
      <alignment vertical="center" wrapText="1"/>
    </xf>
    <xf numFmtId="0" fontId="67" fillId="36" borderId="0" xfId="0" applyFont="1" applyFill="1" applyNumberFormat="1">
      <alignment vertical="center" wrapText="1"/>
    </xf>
    <xf numFmtId="49" fontId="22" fillId="0" borderId="13" xfId="0" applyFont="1" applyBorder="1" applyNumberFormat="1">
      <alignment horizontal="center" vertical="center" wrapText="1"/>
    </xf>
    <xf numFmtId="49" fontId="0" fillId="0" borderId="0" xfId="0" applyFont="1" applyNumberFormat="1">
      <alignment vertical="top"/>
    </xf>
    <xf numFmtId="49" fontId="39" fillId="38" borderId="15" xfId="0" applyFont="1" applyFill="1" applyBorder="1" applyNumberFormat="1">
      <alignment horizontal="left" vertical="center" indent="1"/>
    </xf>
    <xf numFmtId="0" fontId="0" fillId="36"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2" fillId="0" borderId="13" xfId="0" applyFont="1" applyBorder="1" applyNumberFormat="1">
      <alignment vertical="top" wrapText="1"/>
    </xf>
    <xf numFmtId="0" fontId="22" fillId="0" borderId="13" xfId="0" applyFont="1" applyBorder="1" applyNumberFormat="1">
      <alignment vertical="center" wrapText="1"/>
    </xf>
    <xf numFmtId="0" fontId="65" fillId="0" borderId="0" xfId="0" applyFont="1" applyNumberFormat="1">
      <alignment vertical="center"/>
    </xf>
    <xf numFmtId="0" fontId="22" fillId="0" borderId="13" xfId="0" applyFont="1" applyBorder="1" applyNumberFormat="1">
      <alignment horizontal="left" vertical="center" wrapText="1" indent="6"/>
    </xf>
    <xf numFmtId="0" fontId="22" fillId="0" borderId="18" xfId="0" applyFont="1" applyBorder="1" applyNumberFormat="1">
      <alignment vertical="center" wrapText="1"/>
    </xf>
    <xf numFmtId="0" fontId="22" fillId="0" borderId="24" xfId="0" applyFont="1" applyBorder="1" applyNumberFormat="1">
      <alignment vertical="center" wrapText="1"/>
    </xf>
    <xf numFmtId="49" fontId="0" fillId="38" borderId="14" xfId="0" applyFont="1" applyFill="1" applyBorder="1" applyNumberFormat="1">
      <alignment horizontal="center" vertical="center" wrapText="1"/>
    </xf>
    <xf numFmtId="0" fontId="0" fillId="0" borderId="15" xfId="0" applyFont="1" applyBorder="1" applyNumberFormat="1">
      <alignment vertical="center"/>
    </xf>
    <xf numFmtId="0" fontId="0" fillId="36" borderId="15" xfId="0" applyFont="1" applyFill="1" applyBorder="1" applyNumberFormat="1">
      <alignment horizontal="right" vertical="center" wrapText="1" indent="1"/>
    </xf>
    <xf numFmtId="49" fontId="31" fillId="0" borderId="0" xfId="0" applyFont="1" applyNumberFormat="1">
      <alignment vertical="top"/>
    </xf>
    <xf numFmtId="0" fontId="38" fillId="36" borderId="0" xfId="0" applyFont="1" applyFill="1" applyNumberFormat="1">
      <alignment vertical="center" wrapText="1"/>
    </xf>
    <xf numFmtId="0" fontId="22" fillId="36" borderId="13" xfId="0" applyFont="1" applyFill="1" applyBorder="1" applyNumberFormat="1">
      <alignment horizontal="left" vertical="center" wrapText="1" indent="1"/>
    </xf>
    <xf numFmtId="0" fontId="22" fillId="36" borderId="13" xfId="0" applyFont="1" applyFill="1" applyBorder="1" applyNumberFormat="1">
      <alignment horizontal="left" vertical="center" wrapText="1" indent="2"/>
    </xf>
    <xf numFmtId="0" fontId="22" fillId="36" borderId="13" xfId="0" applyFont="1" applyFill="1" applyBorder="1" applyNumberFormat="1">
      <alignment horizontal="left" vertical="center" wrapText="1" indent="3"/>
    </xf>
    <xf numFmtId="0" fontId="22" fillId="0" borderId="13" xfId="0" applyFont="1" applyBorder="1" applyNumberFormat="1">
      <alignment horizontal="left" vertical="center" wrapText="1" indent="4"/>
    </xf>
    <xf numFmtId="49" fontId="39" fillId="38" borderId="15" xfId="0" applyFont="1" applyFill="1" applyBorder="1" applyNumberFormat="1">
      <alignment vertical="center" wrapText="1"/>
    </xf>
    <xf numFmtId="49" fontId="39" fillId="38" borderId="16" xfId="0" applyFont="1" applyFill="1" applyBorder="1" applyNumberFormat="1">
      <alignment vertical="center"/>
    </xf>
    <xf numFmtId="49" fontId="39" fillId="38" borderId="16" xfId="0" applyFont="1" applyFill="1" applyBorder="1" applyNumberFormat="1">
      <alignment vertical="center" wrapText="1"/>
    </xf>
    <xf numFmtId="0" fontId="22" fillId="0" borderId="0" xfId="0" applyFont="1" applyNumberFormat="1">
      <alignment vertical="top" wrapText="1"/>
    </xf>
    <xf numFmtId="49" fontId="39" fillId="38" borderId="15" xfId="0" applyFont="1" applyFill="1" applyBorder="1" applyNumberFormat="1">
      <alignment horizontal="left" vertical="center"/>
    </xf>
    <xf numFmtId="0" fontId="39" fillId="38" borderId="15" xfId="0" applyFont="1" applyFill="1" applyBorder="1" applyNumberFormat="1">
      <alignment horizontal="left" vertical="center"/>
    </xf>
    <xf numFmtId="0" fontId="39" fillId="38" borderId="16" xfId="0" applyFont="1" applyFill="1" applyBorder="1" applyNumberFormat="1">
      <alignment horizontal="left" vertical="center"/>
    </xf>
    <xf numFmtId="0" fontId="39" fillId="38"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8" fillId="36" borderId="0" xfId="0" applyFont="1" applyFill="1" applyNumberFormat="1">
      <alignment horizontal="center" vertical="center" wrapText="1"/>
    </xf>
    <xf numFmtId="0" fontId="22" fillId="0" borderId="0" xfId="0" applyFont="1" applyNumberFormat="1">
      <alignment vertical="center" wrapText="1"/>
    </xf>
    <xf numFmtId="49" fontId="22" fillId="38" borderId="14" xfId="0" applyFont="1" applyFill="1" applyBorder="1" applyNumberFormat="1">
      <alignment horizontal="center" vertical="center" wrapText="1"/>
    </xf>
    <xf numFmtId="4" fontId="22" fillId="0" borderId="13"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68" fillId="0" borderId="15" xfId="0" applyFont="1" applyBorder="1" applyNumberFormat="1">
      <alignment horizontal="left" vertical="center" wrapText="1"/>
    </xf>
    <xf numFmtId="0" fontId="65" fillId="0" borderId="13" xfId="0" applyFont="1" applyBorder="1" applyNumberFormat="1">
      <alignment horizontal="left" vertical="center" wrapText="1" indent="2"/>
    </xf>
    <xf numFmtId="49" fontId="65" fillId="0" borderId="13" xfId="0" applyFont="1" applyBorder="1" applyNumberFormat="1">
      <alignment horizontal="center" vertical="center" wrapText="1"/>
    </xf>
    <xf numFmtId="0" fontId="69"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8" xfId="0" applyFont="1" applyBorder="1" applyNumberFormat="1">
      <alignment vertical="center" wrapText="1"/>
    </xf>
    <xf numFmtId="49" fontId="43" fillId="38" borderId="16" xfId="0" applyFont="1" applyFill="1" applyBorder="1" applyNumberFormat="1">
      <alignment horizontal="center" vertical="top"/>
    </xf>
    <xf numFmtId="0" fontId="22" fillId="0" borderId="24" xfId="0" applyFont="1" applyBorder="1" applyNumberFormat="1">
      <alignment vertical="top" wrapText="1"/>
    </xf>
    <xf numFmtId="0" fontId="0" fillId="0" borderId="0" xfId="0" applyFont="1" applyNumberFormat="1">
      <alignment horizontal="left" vertical="top" wrapText="1"/>
    </xf>
    <xf numFmtId="0" fontId="22" fillId="0" borderId="18"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8" fillId="0" borderId="0" xfId="0" applyFont="1" applyNumberFormat="1">
      <alignment vertical="center" wrapText="1"/>
    </xf>
    <xf numFmtId="0" fontId="22" fillId="0" borderId="13" xfId="0" applyFont="1" applyBorder="1" applyNumberFormat="1">
      <alignment vertical="center" wrapText="1"/>
    </xf>
    <xf numFmtId="49" fontId="22" fillId="0" borderId="0" xfId="0" applyFont="1" applyNumberFormat="1">
      <alignment horizontal="center" vertical="center" wrapText="1"/>
    </xf>
    <xf numFmtId="0" fontId="22" fillId="38" borderId="15" xfId="0" applyFont="1" applyFill="1" applyBorder="1" applyNumberFormat="1">
      <alignment vertical="center" wrapText="1"/>
    </xf>
    <xf numFmtId="49" fontId="39" fillId="38" borderId="16" xfId="0" applyFont="1" applyFill="1" applyBorder="1" applyNumberFormat="1">
      <alignment horizontal="left" vertical="center" indent="2"/>
    </xf>
    <xf numFmtId="0" fontId="46" fillId="0" borderId="0" xfId="0" applyFont="1" applyNumberFormat="1">
      <alignment vertical="center"/>
    </xf>
    <xf numFmtId="0" fontId="70" fillId="0" borderId="0" xfId="0" applyFont="1" applyNumberFormat="1">
      <alignment vertical="center" wrapText="1"/>
    </xf>
    <xf numFmtId="0" fontId="41" fillId="36" borderId="0" xfId="0" applyFont="1" applyFill="1" applyNumberFormat="1">
      <alignment horizontal="center" vertical="center" wrapText="1"/>
    </xf>
    <xf numFmtId="0" fontId="22" fillId="0" borderId="25" xfId="0" applyFont="1" applyBorder="1" applyNumberFormat="1">
      <alignment vertical="center" wrapText="1"/>
    </xf>
    <xf numFmtId="0" fontId="36" fillId="0" borderId="0" xfId="0" applyFont="1" applyNumberFormat="1">
      <alignment vertical="center" wrapText="1"/>
    </xf>
    <xf numFmtId="49" fontId="22" fillId="0" borderId="25" xfId="0" applyFont="1" applyBorder="1" applyNumberFormat="1">
      <alignment vertical="top"/>
    </xf>
    <xf numFmtId="0" fontId="46" fillId="0" borderId="25" xfId="0" applyFont="1" applyBorder="1" applyNumberFormat="1">
      <alignment horizontal="center" vertical="center" wrapText="1"/>
    </xf>
    <xf numFmtId="0" fontId="46" fillId="0" borderId="25" xfId="0" applyFont="1" applyBorder="1" applyNumberFormat="1">
      <alignment vertical="center" wrapText="1"/>
    </xf>
    <xf numFmtId="49" fontId="31" fillId="0" borderId="0" xfId="0" applyFont="1" applyNumberFormat="1">
      <alignment vertical="top"/>
    </xf>
    <xf numFmtId="49" fontId="0" fillId="0" borderId="25"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pplyNumberFormat="1">
      <alignment vertical="center" wrapText="1"/>
    </xf>
    <xf numFmtId="0" fontId="22" fillId="36" borderId="0" xfId="0" applyFont="1" applyFill="1" applyNumberFormat="1">
      <alignment vertical="center" wrapText="1"/>
    </xf>
    <xf numFmtId="49" fontId="22" fillId="0" borderId="0" xfId="0" applyFont="1" applyNumberFormat="1">
      <alignment vertical="center" wrapText="1"/>
    </xf>
    <xf numFmtId="49" fontId="39" fillId="38" borderId="16" xfId="0" applyFont="1" applyFill="1" applyBorder="1" applyNumberFormat="1">
      <alignment horizontal="left" vertical="center" indent="4"/>
    </xf>
    <xf numFmtId="49" fontId="0" fillId="38" borderId="16" xfId="0" applyFont="1" applyFill="1" applyBorder="1" applyNumberFormat="1">
      <alignment horizontal="center" vertical="center" wrapText="1"/>
    </xf>
    <xf numFmtId="49" fontId="22" fillId="38" borderId="16" xfId="0" applyFont="1" applyFill="1" applyBorder="1" applyNumberFormat="1">
      <alignment horizontal="center" vertical="center" wrapText="1"/>
    </xf>
    <xf numFmtId="0" fontId="46" fillId="0" borderId="0" xfId="0" applyFont="1" applyNumberFormat="1">
      <alignment vertical="center"/>
    </xf>
    <xf numFmtId="0" fontId="22" fillId="0" borderId="0" xfId="0" applyFont="1" applyNumberFormat="1">
      <alignment vertical="top" wrapText="1"/>
    </xf>
    <xf numFmtId="49" fontId="22" fillId="0" borderId="13" xfId="0" applyFont="1" applyBorder="1" applyNumberFormat="1">
      <alignment horizontal="right" vertical="top"/>
    </xf>
    <xf numFmtId="49" fontId="22" fillId="0" borderId="18" xfId="0" applyFont="1" applyBorder="1" applyNumberFormat="1">
      <alignment horizontal="right" vertical="top"/>
    </xf>
    <xf numFmtId="49" fontId="39" fillId="38" borderId="16"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8" fillId="0" borderId="0" xfId="0" applyFont="1" applyNumberFormat="1">
      <alignment vertical="top"/>
    </xf>
    <xf numFmtId="0" fontId="38" fillId="36" borderId="0" xfId="0" applyFont="1" applyFill="1" applyNumberFormat="1">
      <alignment vertical="center" wrapText="1"/>
    </xf>
    <xf numFmtId="49" fontId="22" fillId="40" borderId="13" xfId="0" applyFont="1" applyFill="1" applyBorder="1" applyNumberFormat="1">
      <alignment horizontal="left" vertical="center" wrapText="1"/>
      <protection locked="0"/>
    </xf>
    <xf numFmtId="49" fontId="22" fillId="37" borderId="13" xfId="0" applyFont="1" applyFill="1" applyBorder="1" applyNumberFormat="1">
      <alignment horizontal="left" vertical="center" wrapText="1"/>
      <protection locked="0"/>
    </xf>
    <xf numFmtId="49" fontId="46" fillId="0" borderId="0" xfId="0" applyFont="1" applyNumberFormat="1">
      <alignment vertical="top"/>
    </xf>
    <xf numFmtId="49" fontId="46" fillId="0" borderId="0" xfId="0" applyFont="1" applyNumberFormat="1">
      <alignment vertical="top"/>
    </xf>
    <xf numFmtId="49" fontId="22" fillId="40" borderId="13" xfId="0" applyFont="1" applyFill="1" applyBorder="1" applyNumberFormat="1">
      <alignment horizontal="left" vertical="center" wrapText="1"/>
      <protection locked="0"/>
    </xf>
    <xf numFmtId="49" fontId="51" fillId="40"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6" fontId="22" fillId="0" borderId="13" xfId="0" applyFont="1" applyBorder="1" applyNumberFormat="1">
      <alignment horizontal="right" vertical="center" wrapText="1"/>
    </xf>
    <xf numFmtId="49" fontId="51" fillId="40" borderId="15" xfId="0" applyFont="1" applyFill="1" applyBorder="1" applyNumberFormat="1">
      <alignment horizontal="left" vertical="center" wrapText="1"/>
      <protection locked="0"/>
    </xf>
    <xf numFmtId="0" fontId="22" fillId="36" borderId="13" xfId="0" applyFont="1" applyFill="1" applyBorder="1" applyNumberFormat="1">
      <alignment horizontal="center" vertical="center" wrapText="1"/>
    </xf>
    <xf numFmtId="0" fontId="36" fillId="36" borderId="0" xfId="0" applyFont="1" applyFill="1" applyNumberFormat="1">
      <alignment horizontal="center" vertical="center" wrapText="1"/>
    </xf>
    <xf numFmtId="0" fontId="0" fillId="0" borderId="13" xfId="0" applyFont="1" applyBorder="1" applyNumberFormat="1">
      <alignment horizontal="left" vertical="center" wrapText="1"/>
    </xf>
    <xf numFmtId="0" fontId="22" fillId="36" borderId="0" xfId="0" applyFont="1" applyFill="1" applyNumberFormat="1">
      <alignment horizontal="center" vertical="center" wrapText="1"/>
    </xf>
    <xf numFmtId="0" fontId="48" fillId="0" borderId="0" xfId="0" applyFont="1" applyNumberFormat="1">
      <alignment vertical="top" wrapText="1"/>
    </xf>
    <xf numFmtId="0" fontId="22" fillId="36" borderId="27" xfId="0" applyFont="1" applyFill="1" applyBorder="1" applyNumberFormat="1">
      <alignment horizontal="right" vertical="center" wrapText="1" indent="1"/>
    </xf>
    <xf numFmtId="0" fontId="0" fillId="36" borderId="27"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6" borderId="0" xfId="0" applyFont="1" applyFill="1" applyNumberFormat="1">
      <alignment horizontal="center" vertical="center" wrapText="1"/>
    </xf>
    <xf numFmtId="49" fontId="39" fillId="38" borderId="16" xfId="0" applyFont="1" applyFill="1" applyBorder="1" applyNumberFormat="1">
      <alignment horizontal="left" vertical="center"/>
    </xf>
    <xf numFmtId="0" fontId="22" fillId="0" borderId="20" xfId="0" applyFont="1" applyBorder="1" applyNumberFormat="1">
      <alignment vertical="center" wrapText="1"/>
    </xf>
    <xf numFmtId="0" fontId="22" fillId="0" borderId="0" xfId="0" applyFont="1" applyNumberFormat="1">
      <alignment horizontal="left" vertical="center" wrapText="1" indent="1"/>
    </xf>
    <xf numFmtId="0" fontId="69" fillId="0" borderId="0" xfId="0" applyFont="1" applyNumberFormat="1">
      <alignment vertical="center" wrapText="1"/>
    </xf>
    <xf numFmtId="49" fontId="0" fillId="36" borderId="15" xfId="0" applyFont="1" applyFill="1" applyBorder="1" applyNumberFormat="1">
      <alignment horizontal="center" vertical="center" wrapText="1"/>
    </xf>
    <xf numFmtId="49" fontId="39" fillId="38" borderId="28" xfId="0" applyFont="1" applyFill="1" applyBorder="1" applyNumberFormat="1">
      <alignment horizontal="left" vertical="center" indent="2"/>
    </xf>
    <xf numFmtId="49" fontId="51" fillId="37" borderId="13" xfId="0" applyFont="1" applyFill="1" applyBorder="1" applyNumberFormat="1">
      <alignment horizontal="left" vertical="center" wrapText="1"/>
      <protection locked="0"/>
    </xf>
    <xf numFmtId="49" fontId="22" fillId="0" borderId="20" xfId="0" applyFont="1" applyBorder="1" applyNumberFormat="1">
      <alignment vertical="top"/>
    </xf>
    <xf numFmtId="49" fontId="71" fillId="38" borderId="14" xfId="0" applyFont="1" applyFill="1" applyBorder="1" applyNumberFormat="1">
      <alignment horizontal="left" vertical="center" indent="1"/>
    </xf>
    <xf numFmtId="49" fontId="71" fillId="38" borderId="16" xfId="0" applyFont="1" applyFill="1" applyBorder="1" applyNumberFormat="1">
      <alignment horizontal="left" vertical="center" indent="1"/>
    </xf>
    <xf numFmtId="49" fontId="48" fillId="38" borderId="15" xfId="0" applyFont="1" applyFill="1" applyBorder="1" applyNumberFormat="1">
      <alignment horizontal="center" vertical="center"/>
    </xf>
    <xf numFmtId="49" fontId="71" fillId="38" borderId="16" xfId="0" applyFont="1" applyFill="1" applyBorder="1" applyNumberFormat="1">
      <alignment vertical="center"/>
    </xf>
    <xf numFmtId="0" fontId="0" fillId="42" borderId="13" xfId="0" applyFont="1" applyFill="1" applyBorder="1" applyNumberFormat="1">
      <alignment horizontal="right" vertical="center"/>
    </xf>
    <xf numFmtId="0" fontId="32" fillId="0" borderId="0" xfId="0" applyFont="1" applyNumberFormat="1">
      <alignment vertical="center" wrapText="1"/>
    </xf>
    <xf numFmtId="0" fontId="22" fillId="0" borderId="0" xfId="0" applyFont="1" applyNumberFormat="1">
      <alignment vertical="center" wrapText="1"/>
    </xf>
    <xf numFmtId="0" fontId="33" fillId="36" borderId="0" xfId="0" applyFont="1" applyFill="1" applyNumberFormat="1">
      <alignment vertical="center" wrapText="1"/>
    </xf>
    <xf numFmtId="0" fontId="31" fillId="0" borderId="0" xfId="0" applyFont="1" applyNumberFormat="1">
      <alignment horizontal="center" vertical="center" wrapText="1"/>
    </xf>
    <xf numFmtId="0" fontId="0" fillId="0" borderId="0" xfId="0" applyFont="1" applyNumberFormat="1">
      <alignment vertical="center" wrapText="1"/>
    </xf>
    <xf numFmtId="0" fontId="31" fillId="0" borderId="0" xfId="0" applyFont="1" applyNumberFormat="1">
      <alignment horizontal="left" vertical="center" wrapText="1"/>
    </xf>
    <xf numFmtId="0" fontId="0" fillId="0" borderId="13" xfId="0" applyFont="1" applyBorder="1" applyNumberFormat="1">
      <alignment horizontal="center" vertical="center" wrapText="1"/>
    </xf>
    <xf numFmtId="49" fontId="39" fillId="38" borderId="16" xfId="0" applyFont="1" applyFill="1" applyBorder="1" applyNumberFormat="1">
      <alignment horizontal="left" vertical="center" indent="1"/>
    </xf>
    <xf numFmtId="49" fontId="39" fillId="38" borderId="16" xfId="0" applyFont="1" applyFill="1" applyBorder="1" applyNumberFormat="1">
      <alignment horizontal="left" vertical="center"/>
    </xf>
    <xf numFmtId="0" fontId="45" fillId="0" borderId="0" xfId="0" applyFont="1" applyNumberFormat="1">
      <alignment vertical="center" wrapText="1"/>
    </xf>
    <xf numFmtId="0" fontId="0" fillId="0" borderId="0" xfId="0" applyFont="1" applyNumberFormat="1">
      <alignment vertical="center"/>
    </xf>
    <xf numFmtId="49" fontId="46" fillId="0" borderId="0" xfId="0" applyFont="1" applyNumberFormat="1">
      <alignment vertical="top"/>
    </xf>
    <xf numFmtId="0" fontId="72" fillId="0" borderId="0" xfId="0" applyFont="1" applyNumberFormat="1">
      <alignment vertical="center" wrapText="1"/>
    </xf>
    <xf numFmtId="49" fontId="48" fillId="38" borderId="15" xfId="0" applyFont="1" applyFill="1" applyBorder="1" applyNumberFormat="1">
      <alignment horizontal="right" vertical="center" wrapText="1"/>
    </xf>
    <xf numFmtId="49" fontId="45" fillId="0" borderId="0" xfId="0" applyFont="1" applyNumberFormat="1">
      <alignment vertical="top"/>
    </xf>
    <xf numFmtId="49" fontId="0" fillId="0" borderId="0" xfId="0" applyFont="1" applyNumberFormat="1">
      <alignment vertical="top"/>
    </xf>
    <xf numFmtId="49" fontId="0" fillId="38"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wrapText="1"/>
    </xf>
    <xf numFmtId="0" fontId="57" fillId="0" borderId="0" xfId="0" applyFont="1" applyNumberFormat="1">
      <alignment vertical="center" wrapText="1"/>
    </xf>
    <xf numFmtId="0" fontId="58" fillId="36" borderId="0" xfId="0" applyFont="1" applyFill="1" applyNumberFormat="1">
      <alignment vertical="center" wrapText="1"/>
    </xf>
    <xf numFmtId="0" fontId="59" fillId="36" borderId="0" xfId="0" applyFont="1" applyFill="1" applyNumberFormat="1">
      <alignment horizontal="right" vertical="center" wrapText="1" indent="1"/>
    </xf>
    <xf numFmtId="0" fontId="58" fillId="0" borderId="0" xfId="0" applyFont="1" applyNumberFormat="1">
      <alignment vertical="center" wrapText="1"/>
    </xf>
    <xf numFmtId="0" fontId="0" fillId="0" borderId="15" xfId="0" applyFont="1" applyBorder="1" applyNumberFormat="1">
      <alignment horizontal="center" vertical="center" wrapText="1"/>
    </xf>
    <xf numFmtId="0" fontId="0" fillId="37" borderId="13" xfId="0" applyFont="1" applyFill="1" applyBorder="1" applyNumberFormat="1">
      <alignment horizontal="right" vertical="center" wrapText="1"/>
      <protection locked="0"/>
    </xf>
    <xf numFmtId="3" fontId="0" fillId="40"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0" applyFont="1" applyFill="1" applyBorder="1" applyNumberFormat="1">
      <alignment horizontal="center" vertical="center"/>
    </xf>
    <xf numFmtId="49" fontId="0" fillId="40"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0" applyFont="1" applyFill="1" applyBorder="1" applyNumberFormat="1">
      <alignment horizontal="center" vertical="center"/>
    </xf>
    <xf numFmtId="0" fontId="0" fillId="36" borderId="13" xfId="0" applyFont="1" applyFill="1" applyBorder="1" applyNumberFormat="1">
      <alignment horizontal="center" vertical="center" wrapText="1"/>
    </xf>
    <xf numFmtId="0" fontId="22" fillId="0" borderId="0" xfId="0" applyFont="1" applyNumberFormat="1">
      <alignment vertical="center" wrapText="1"/>
    </xf>
    <xf numFmtId="49" fontId="35" fillId="36" borderId="0" xfId="0" applyFont="1" applyFill="1" applyNumberFormat="1">
      <alignment horizontal="center" vertical="center" wrapText="1"/>
    </xf>
    <xf numFmtId="0" fontId="31" fillId="0" borderId="0" xfId="0" applyFont="1" applyNumberFormat="1">
      <alignment vertical="center" wrapText="1"/>
    </xf>
    <xf numFmtId="0" fontId="36" fillId="36" borderId="0" xfId="0" applyFont="1" applyFill="1" applyNumberFormat="1">
      <alignment horizontal="center" vertical="center" wrapText="1"/>
    </xf>
    <xf numFmtId="0" fontId="36" fillId="0" borderId="0" xfId="0" applyFont="1" applyNumberFormat="1">
      <alignment horizontal="center" vertical="center" wrapText="1"/>
    </xf>
    <xf numFmtId="0" fontId="41" fillId="0" borderId="0" xfId="0" applyFont="1" applyNumberFormat="1">
      <alignment vertical="center" wrapText="1"/>
    </xf>
    <xf numFmtId="0" fontId="30" fillId="0" borderId="0" xfId="0" applyFont="1" applyNumberFormat="1">
      <alignment horizontal="center" vertical="center" wrapText="1"/>
    </xf>
    <xf numFmtId="0" fontId="44" fillId="0" borderId="0" xfId="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2" fillId="36" borderId="0" xfId="0" applyFont="1" applyFill="1" applyNumberFormat="1">
      <alignment vertical="center" wrapText="1"/>
    </xf>
    <xf numFmtId="0" fontId="73" fillId="36" borderId="0" xfId="0" applyFont="1" applyFill="1" applyNumberFormat="1">
      <alignment horizontal="center"/>
    </xf>
    <xf numFmtId="0" fontId="73" fillId="36" borderId="0" xfId="0" applyFont="1" applyFill="1" applyNumberFormat="1"/>
    <xf numFmtId="0" fontId="74" fillId="36" borderId="0" xfId="0" applyFont="1" applyFill="1" applyNumberFormat="1"/>
    <xf numFmtId="0" fontId="75" fillId="36" borderId="0" xfId="0" applyFont="1" applyFill="1" applyNumberFormat="1">
      <alignment horizontal="right" vertical="center"/>
    </xf>
    <xf numFmtId="0" fontId="75" fillId="36" borderId="0" xfId="0" applyFont="1" applyFill="1" applyNumberFormat="1">
      <alignment horizontal="right" vertical="top"/>
    </xf>
    <xf numFmtId="0" fontId="22" fillId="36" borderId="0" xfId="0" applyFont="1" applyFill="1" applyNumberFormat="1">
      <alignment horizontal="center" vertical="center" wrapText="1"/>
    </xf>
    <xf numFmtId="0" fontId="35" fillId="36" borderId="0" xfId="0" applyFont="1" applyFill="1" applyNumberFormat="1">
      <alignment horizontal="center" vertical="center"/>
    </xf>
    <xf numFmtId="0" fontId="22" fillId="0" borderId="13" xfId="0" applyFont="1" applyBorder="1" applyNumberFormat="1">
      <alignment horizontal="center" vertical="center" wrapText="1"/>
    </xf>
    <xf numFmtId="0" fontId="44" fillId="0" borderId="0" xfId="0" applyFont="1" applyNumberFormat="1">
      <alignment vertical="top" wrapText="1"/>
    </xf>
    <xf numFmtId="0" fontId="22" fillId="38" borderId="15" xfId="0" applyFont="1" applyFill="1" applyBorder="1" applyNumberFormat="1">
      <alignment horizontal="center"/>
    </xf>
    <xf numFmtId="0" fontId="71" fillId="38" borderId="16" xfId="0" applyFont="1" applyFill="1" applyBorder="1" applyNumberFormat="1">
      <alignment horizontal="left" vertical="center"/>
    </xf>
    <xf numFmtId="0" fontId="71" fillId="38" borderId="14" xfId="0" applyFont="1" applyFill="1" applyBorder="1" applyNumberFormat="1">
      <alignment horizontal="left" vertical="center"/>
    </xf>
    <xf numFmtId="0" fontId="76" fillId="36" borderId="0" xfId="0" applyFont="1" applyFill="1" applyNumberFormat="1">
      <alignment vertical="center"/>
    </xf>
    <xf numFmtId="0" fontId="76" fillId="36" borderId="0" xfId="0" applyFont="1" applyFill="1" applyNumberFormat="1">
      <alignment vertical="center" wrapText="1"/>
    </xf>
    <xf numFmtId="49" fontId="22" fillId="36" borderId="13" xfId="0" applyFont="1" applyFill="1" applyBorder="1" applyNumberFormat="1">
      <alignment horizontal="center" vertical="center" wrapText="1"/>
    </xf>
    <xf numFmtId="0" fontId="22" fillId="36" borderId="13" xfId="0" applyFont="1" applyFill="1" applyBorder="1" applyNumberFormat="1">
      <alignment horizontal="center" vertical="center" wrapText="1"/>
    </xf>
    <xf numFmtId="0" fontId="22" fillId="36" borderId="13" xfId="0" applyFont="1" applyFill="1" applyBorder="1" applyNumberFormat="1">
      <alignment vertical="center" wrapText="1"/>
    </xf>
    <xf numFmtId="0" fontId="63" fillId="36" borderId="0" xfId="0" applyFont="1" applyFill="1" applyNumberFormat="1"/>
    <xf numFmtId="0" fontId="50" fillId="36" borderId="0" xfId="0" applyFont="1" applyFill="1" applyNumberFormat="1"/>
    <xf numFmtId="0" fontId="59" fillId="36" borderId="0" xfId="0" applyFont="1" applyFill="1" applyNumberFormat="1"/>
    <xf numFmtId="0" fontId="59" fillId="36" borderId="0" xfId="0" applyFont="1" applyFill="1" applyNumberFormat="1">
      <alignment horizontal="center"/>
    </xf>
    <xf numFmtId="0" fontId="56" fillId="0" borderId="0" xfId="0" applyFont="1" applyNumberFormat="1">
      <alignment vertical="center" wrapText="1"/>
    </xf>
    <xf numFmtId="0" fontId="58" fillId="0" borderId="0" xfId="0" applyFont="1" applyNumberFormat="1">
      <alignment vertical="center" wrapText="1"/>
    </xf>
    <xf numFmtId="0" fontId="58" fillId="36" borderId="0" xfId="0" applyFont="1" applyFill="1" applyNumberFormat="1">
      <alignment vertical="center" wrapText="1"/>
    </xf>
    <xf numFmtId="0" fontId="58" fillId="36" borderId="0" xfId="0" applyFont="1" applyFill="1" applyNumberFormat="1">
      <alignment horizontal="right" vertical="center"/>
    </xf>
    <xf numFmtId="0" fontId="58" fillId="36" borderId="0" xfId="0" applyFont="1" applyFill="1" applyNumberFormat="1">
      <alignment horizontal="right" vertical="center" wrapText="1"/>
    </xf>
    <xf numFmtId="4" fontId="58" fillId="0" borderId="0" xfId="0" applyFont="1" applyNumberFormat="1">
      <alignment horizontal="right" vertical="center" wrapText="1"/>
    </xf>
    <xf numFmtId="0" fontId="58" fillId="0" borderId="0" xfId="0" applyFont="1" applyNumberFormat="1">
      <alignment horizontal="left" vertical="center" wrapText="1" indent="1"/>
    </xf>
    <xf numFmtId="0" fontId="77" fillId="36" borderId="0" xfId="0" applyFont="1" applyFill="1" applyNumberFormat="1">
      <alignment horizontal="center" vertical="center" wrapText="1"/>
    </xf>
    <xf numFmtId="0" fontId="35" fillId="36" borderId="0" xfId="0" applyFont="1" applyFill="1" applyNumberFormat="1">
      <alignment horizontal="center" vertical="center" wrapText="1"/>
    </xf>
    <xf numFmtId="0" fontId="62" fillId="0" borderId="0" xfId="0" applyFont="1" applyNumberFormat="1">
      <alignment vertical="center" wrapText="1"/>
    </xf>
    <xf numFmtId="0" fontId="46" fillId="0" borderId="0" xfId="0" applyFont="1" applyNumberFormat="1">
      <alignment vertical="center" wrapText="1"/>
    </xf>
    <xf numFmtId="49" fontId="22" fillId="41" borderId="13" xfId="0" applyFont="1" applyFill="1" applyBorder="1" applyNumberFormat="1">
      <alignment horizontal="left" vertical="center" wrapText="1"/>
    </xf>
    <xf numFmtId="0" fontId="62" fillId="0" borderId="0" xfId="0" applyFont="1" applyNumberFormat="1">
      <alignment horizontal="center" vertical="center" wrapText="1"/>
    </xf>
    <xf numFmtId="0" fontId="22" fillId="36" borderId="25" xfId="0" applyFont="1" applyFill="1" applyBorder="1" applyNumberFormat="1">
      <alignment vertical="center" wrapText="1"/>
    </xf>
    <xf numFmtId="49" fontId="35" fillId="36" borderId="16" xfId="0" applyFont="1" applyFill="1" applyBorder="1" applyNumberFormat="1">
      <alignment horizontal="center" vertical="center" wrapText="1"/>
    </xf>
    <xf numFmtId="0" fontId="46" fillId="0" borderId="0" xfId="0" applyFont="1" applyNumberFormat="1">
      <alignment horizontal="center" vertical="center" wrapText="1"/>
    </xf>
    <xf numFmtId="0" fontId="77" fillId="0" borderId="0" xfId="0" applyFont="1" applyNumberFormat="1">
      <alignment horizontal="center" vertical="center" wrapText="1"/>
    </xf>
    <xf numFmtId="0" fontId="70" fillId="0" borderId="0" xfId="0" applyFont="1" applyNumberFormat="1">
      <alignment vertical="center" wrapText="1"/>
    </xf>
    <xf numFmtId="49" fontId="70" fillId="0" borderId="13" xfId="0" applyFont="1" applyBorder="1" applyNumberFormat="1">
      <alignment horizontal="left" vertical="center" wrapText="1"/>
    </xf>
    <xf numFmtId="0" fontId="78" fillId="36" borderId="0" xfId="0" applyFont="1" applyFill="1" applyNumberFormat="1">
      <alignment horizontal="center" vertical="center" wrapText="1"/>
    </xf>
    <xf numFmtId="49" fontId="70" fillId="0" borderId="18" xfId="0" applyFont="1" applyBorder="1" applyNumberFormat="1">
      <alignment horizontal="left" vertical="center" wrapText="1"/>
    </xf>
    <xf numFmtId="0" fontId="46" fillId="0" borderId="0" xfId="0" applyFont="1" applyNumberFormat="1">
      <alignment vertical="center"/>
    </xf>
    <xf numFmtId="0" fontId="46" fillId="36" borderId="0" xfId="0" applyFont="1" applyFill="1" applyNumberFormat="1"/>
    <xf numFmtId="0" fontId="46" fillId="36" borderId="0" xfId="0" applyFont="1" applyFill="1" applyNumberFormat="1">
      <alignment vertical="center" wrapText="1"/>
    </xf>
    <xf numFmtId="0" fontId="46"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6" fillId="36" borderId="0" xfId="0" applyFont="1" applyFill="1" applyNumberFormat="1">
      <alignment horizontal="center" vertical="center" wrapText="1"/>
    </xf>
    <xf numFmtId="0" fontId="41" fillId="0" borderId="0" xfId="0" applyFont="1" applyNumberFormat="1">
      <alignment vertical="center" wrapText="1"/>
    </xf>
    <xf numFmtId="49" fontId="22" fillId="0" borderId="13" xfId="0" applyFont="1" applyBorder="1" applyNumberFormat="1">
      <alignment horizontal="left" vertical="center" wrapText="1"/>
    </xf>
    <xf numFmtId="0" fontId="22" fillId="0" borderId="0" xfId="0" applyFont="1" applyNumberFormat="1">
      <alignment vertical="center" wrapText="1"/>
    </xf>
    <xf numFmtId="49" fontId="46" fillId="0" borderId="0" xfId="0" applyFont="1" applyNumberFormat="1">
      <alignment vertical="center" wrapText="1"/>
    </xf>
    <xf numFmtId="0" fontId="46" fillId="0" borderId="0" xfId="0" applyFont="1" applyNumberFormat="1">
      <alignment vertical="center" wrapText="1"/>
    </xf>
    <xf numFmtId="0" fontId="22" fillId="0" borderId="13" xfId="0" applyFont="1" applyBorder="1" applyNumberFormat="1">
      <alignment horizontal="center" vertical="center" wrapText="1"/>
    </xf>
    <xf numFmtId="14" fontId="22" fillId="38" borderId="16" xfId="0" applyFont="1" applyFill="1" applyBorder="1" applyNumberFormat="1">
      <alignment horizontal="center" vertical="center" wrapText="1"/>
    </xf>
    <xf numFmtId="49" fontId="22" fillId="38" borderId="16" xfId="0" applyFont="1" applyFill="1" applyBorder="1" applyNumberFormat="1">
      <alignment horizontal="center" vertical="center" wrapText="1"/>
    </xf>
    <xf numFmtId="14" fontId="79" fillId="38" borderId="16" xfId="0" applyFont="1" applyFill="1" applyBorder="1" applyNumberFormat="1">
      <alignment horizontal="center" vertical="center" wrapText="1"/>
    </xf>
    <xf numFmtId="0" fontId="46" fillId="0" borderId="0" xfId="0" applyFont="1" applyNumberFormat="1">
      <alignment horizontal="left" vertical="center" wrapText="1"/>
    </xf>
    <xf numFmtId="49" fontId="46" fillId="0" borderId="0" xfId="0" applyFont="1" applyNumberFormat="1">
      <alignment horizontal="left" vertical="center" wrapText="1"/>
    </xf>
    <xf numFmtId="0" fontId="46" fillId="0" borderId="0" xfId="0" applyFont="1" applyNumberFormat="1">
      <alignment vertical="center" wrapText="1"/>
    </xf>
    <xf numFmtId="49" fontId="51" fillId="0" borderId="13" xfId="0" applyFont="1" applyBorder="1" applyNumberFormat="1">
      <alignment horizontal="left" vertical="center" wrapText="1"/>
    </xf>
    <xf numFmtId="14" fontId="22" fillId="41" borderId="13"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0" borderId="0" xfId="0" applyFont="1" applyNumberFormat="1">
      <alignment horizontal="center" vertical="center" wrapText="1"/>
    </xf>
    <xf numFmtId="0" fontId="22" fillId="0" borderId="13" xfId="0" applyFont="1" applyBorder="1" applyNumberFormat="1">
      <alignment horizontal="center" vertical="center" wrapText="1"/>
    </xf>
    <xf numFmtId="49" fontId="22" fillId="41" borderId="13" xfId="0" applyFont="1" applyFill="1" applyBorder="1" applyNumberFormat="1">
      <alignment horizontal="center" vertical="center" wrapText="1"/>
    </xf>
    <xf numFmtId="0" fontId="80" fillId="0" borderId="0" xfId="0" applyFont="1" applyNumberFormat="1">
      <alignment horizontal="center" vertical="center" wrapText="1"/>
    </xf>
    <xf numFmtId="0" fontId="36" fillId="0" borderId="0" xfId="0" applyFont="1" applyNumberFormat="1">
      <alignment horizontal="center" vertical="center" wrapText="1"/>
    </xf>
    <xf numFmtId="49" fontId="22"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48" fillId="38" borderId="16" xfId="0" applyFont="1" applyFill="1" applyBorder="1" applyNumberFormat="1">
      <alignment horizontal="center" vertical="center"/>
    </xf>
    <xf numFmtId="0" fontId="32" fillId="0" borderId="0" xfId="0" applyFont="1" applyNumberFormat="1">
      <alignment vertical="center" wrapText="1"/>
    </xf>
    <xf numFmtId="0" fontId="31"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5" fillId="0" borderId="0" xfId="0" applyFont="1" applyNumberFormat="1">
      <alignment horizontal="center" vertical="center" wrapText="1"/>
    </xf>
    <xf numFmtId="0" fontId="81" fillId="0" borderId="0" xfId="0" applyFont="1" applyNumberFormat="1">
      <alignment vertical="center" wrapText="1"/>
    </xf>
    <xf numFmtId="49" fontId="45" fillId="0" borderId="0" xfId="0" applyFont="1" applyNumberFormat="1">
      <alignment horizontal="center" vertical="center" wrapText="1"/>
    </xf>
    <xf numFmtId="0" fontId="45" fillId="0" borderId="0" xfId="0" applyFont="1" applyNumberFormat="1">
      <alignment vertical="center" wrapText="1"/>
    </xf>
    <xf numFmtId="49" fontId="22" fillId="0" borderId="0" xfId="0" applyFont="1" applyNumberFormat="1">
      <alignment horizontal="center" vertical="top" wrapText="1"/>
    </xf>
    <xf numFmtId="49" fontId="22" fillId="0" borderId="13" xfId="0" applyFont="1" applyBorder="1" applyNumberFormat="1">
      <alignment horizontal="center" vertical="center" wrapText="1"/>
    </xf>
    <xf numFmtId="49" fontId="22" fillId="40" borderId="13" xfId="0" applyFont="1" applyFill="1" applyBorder="1" applyNumberFormat="1">
      <alignment vertical="center" wrapText="1"/>
      <protection locked="0"/>
    </xf>
    <xf numFmtId="4" fontId="22" fillId="37" borderId="13" xfId="0" applyFont="1" applyFill="1" applyBorder="1" applyNumberFormat="1">
      <alignment horizontal="right" vertical="center" wrapText="1"/>
      <protection locked="0"/>
    </xf>
    <xf numFmtId="0" fontId="22" fillId="0" borderId="14" xfId="0" applyFont="1" applyBorder="1" applyNumberFormat="1">
      <alignment vertical="top" wrapText="1"/>
    </xf>
    <xf numFmtId="0" fontId="82" fillId="0" borderId="0" xfId="0" applyFont="1" applyNumberFormat="1">
      <alignment vertical="center" wrapText="1"/>
    </xf>
    <xf numFmtId="0" fontId="52" fillId="0" borderId="0" xfId="0" applyFont="1" applyNumberFormat="1">
      <alignment vertical="center" wrapText="1"/>
    </xf>
    <xf numFmtId="167" fontId="22" fillId="37" borderId="13" xfId="0" applyFont="1" applyFill="1" applyBorder="1" applyNumberFormat="1">
      <alignment horizontal="right" vertical="center" wrapText="1"/>
      <protection locked="0"/>
    </xf>
    <xf numFmtId="0" fontId="22" fillId="0" borderId="29" xfId="0" applyFont="1" applyBorder="1" applyNumberFormat="1">
      <alignment horizontal="center" vertical="center" wrapText="1"/>
    </xf>
    <xf numFmtId="0" fontId="22" fillId="40" borderId="13" xfId="0" applyFont="1" applyFill="1" applyBorder="1" applyNumberFormat="1">
      <alignment horizontal="left" vertical="center" wrapText="1" indent="2"/>
      <protection locked="0"/>
    </xf>
    <xf numFmtId="49" fontId="46" fillId="0" borderId="0" xfId="0" applyFont="1" applyNumberFormat="1">
      <alignment horizontal="center" vertical="center" wrapText="1"/>
    </xf>
    <xf numFmtId="0" fontId="46" fillId="0" borderId="29" xfId="0" applyFont="1" applyBorder="1" applyNumberFormat="1">
      <alignment horizontal="center" vertical="center" wrapText="1"/>
    </xf>
    <xf numFmtId="0" fontId="46" fillId="0" borderId="13" xfId="0" applyFont="1" applyBorder="1" applyNumberFormat="1">
      <alignment horizontal="left" vertical="center" wrapText="1" indent="2"/>
    </xf>
    <xf numFmtId="0" fontId="46" fillId="0" borderId="13" xfId="0" applyFont="1" applyBorder="1" applyNumberFormat="1">
      <alignment horizontal="center" vertical="center" wrapText="1"/>
    </xf>
    <xf numFmtId="0" fontId="46" fillId="0" borderId="13" xfId="0" applyFont="1" applyBorder="1" applyNumberFormat="1">
      <alignment vertical="center" wrapText="1"/>
    </xf>
    <xf numFmtId="0" fontId="22" fillId="0" borderId="13" xfId="0" applyFont="1" applyBorder="1" applyNumberFormat="1">
      <alignment horizontal="left" vertical="center" wrapText="1" indent="3"/>
    </xf>
    <xf numFmtId="49" fontId="22" fillId="40" borderId="13" xfId="0" applyFont="1" applyFill="1" applyBorder="1" applyNumberFormat="1">
      <alignment horizontal="center" vertical="center" wrapText="1"/>
      <protection locked="0"/>
    </xf>
    <xf numFmtId="0" fontId="22" fillId="37" borderId="13" xfId="0" applyFont="1" applyFill="1" applyBorder="1" applyNumberFormat="1">
      <alignment horizontal="left" vertical="center" wrapText="1"/>
      <protection locked="0"/>
    </xf>
    <xf numFmtId="0" fontId="30" fillId="0" borderId="0" xfId="0" applyFont="1" applyNumberFormat="1">
      <alignment vertical="center" wrapText="1"/>
    </xf>
    <xf numFmtId="4" fontId="22" fillId="40" borderId="13" xfId="0" applyFont="1" applyFill="1" applyBorder="1" applyNumberFormat="1">
      <alignment horizontal="right" vertical="center" wrapText="1"/>
      <protection locked="0"/>
    </xf>
    <xf numFmtId="4" fontId="22" fillId="35" borderId="13" xfId="0" applyFont="1" applyFill="1" applyBorder="1" applyNumberFormat="1">
      <alignment horizontal="right" vertical="center" wrapText="1"/>
    </xf>
    <xf numFmtId="0" fontId="22" fillId="0" borderId="13" xfId="0" applyFont="1" applyBorder="1" applyNumberFormat="1">
      <alignment horizontal="left" vertical="center" wrapText="1" indent="1"/>
    </xf>
    <xf numFmtId="49" fontId="70" fillId="0" borderId="0" xfId="0" applyFont="1" applyNumberFormat="1">
      <alignment horizontal="center" vertical="center" wrapText="1"/>
    </xf>
    <xf numFmtId="49" fontId="70" fillId="0" borderId="29" xfId="0" applyFont="1" applyBorder="1" applyNumberFormat="1">
      <alignment horizontal="center" vertical="center" wrapText="1"/>
    </xf>
    <xf numFmtId="0" fontId="70" fillId="0" borderId="13" xfId="0" applyFont="1" applyBorder="1" applyNumberFormat="1">
      <alignment horizontal="left" vertical="center" wrapText="1" indent="2"/>
    </xf>
    <xf numFmtId="0" fontId="70" fillId="0" borderId="13" xfId="0" applyFont="1" applyBorder="1" applyNumberFormat="1">
      <alignment horizontal="center" vertical="center" wrapText="1"/>
    </xf>
    <xf numFmtId="0" fontId="70" fillId="0" borderId="13" xfId="0" applyFont="1" applyBorder="1" applyNumberFormat="1">
      <alignment vertical="center" wrapText="1"/>
    </xf>
    <xf numFmtId="0" fontId="83" fillId="0" borderId="0" xfId="0" applyFont="1" applyNumberFormat="1">
      <alignment vertical="center" wrapText="1"/>
    </xf>
    <xf numFmtId="0" fontId="61" fillId="0" borderId="0" xfId="0" applyFont="1" applyNumberFormat="1">
      <alignment vertical="center" wrapText="1"/>
    </xf>
    <xf numFmtId="0" fontId="70" fillId="0" borderId="29" xfId="0" applyFont="1" applyBorder="1" applyNumberFormat="1">
      <alignment horizontal="center" vertical="center" wrapText="1"/>
    </xf>
    <xf numFmtId="0" fontId="70" fillId="0" borderId="13" xfId="0" applyFont="1" applyBorder="1" applyNumberFormat="1">
      <alignment horizontal="left" vertical="center" wrapText="1" indent="3"/>
    </xf>
    <xf numFmtId="4" fontId="70" fillId="0" borderId="13" xfId="0" applyFont="1" applyBorder="1" applyNumberFormat="1">
      <alignment horizontal="right" vertical="center" wrapText="1"/>
    </xf>
    <xf numFmtId="49" fontId="22" fillId="38" borderId="15" xfId="0" applyFont="1" applyFill="1" applyBorder="1" applyNumberFormat="1">
      <alignment vertical="center" wrapText="1"/>
    </xf>
    <xf numFmtId="49" fontId="39" fillId="38" borderId="16" xfId="0" applyFont="1" applyFill="1" applyBorder="1" applyNumberFormat="1">
      <alignment horizontal="left" vertical="center" indent="2"/>
    </xf>
    <xf numFmtId="0" fontId="22" fillId="38" borderId="16" xfId="0" applyFont="1" applyFill="1" applyBorder="1" applyNumberFormat="1">
      <alignment vertical="center" wrapText="1"/>
    </xf>
    <xf numFmtId="0" fontId="45" fillId="38" borderId="14" xfId="0" applyFont="1" applyFill="1" applyBorder="1" applyNumberFormat="1">
      <alignment vertical="center" wrapText="1"/>
    </xf>
    <xf numFmtId="14" fontId="22" fillId="0" borderId="0" xfId="0" applyFont="1" applyNumberFormat="1">
      <alignment horizontal="center" vertical="center" wrapText="1"/>
    </xf>
    <xf numFmtId="49" fontId="48" fillId="0" borderId="0" xfId="0" applyFont="1" applyNumberFormat="1">
      <alignment horizontal="center" vertical="center"/>
    </xf>
    <xf numFmtId="0" fontId="22" fillId="0" borderId="13" xfId="0" applyFont="1" applyBorder="1" applyNumberFormat="1">
      <alignment horizontal="left" vertical="center" wrapText="1" indent="2"/>
    </xf>
    <xf numFmtId="167" fontId="22" fillId="40" borderId="13" xfId="0" applyFont="1" applyFill="1" applyBorder="1" applyNumberFormat="1">
      <alignment horizontal="right" vertical="center" wrapText="1"/>
      <protection locked="0"/>
    </xf>
    <xf numFmtId="0" fontId="22" fillId="0" borderId="18" xfId="0" applyFont="1" applyBorder="1" applyNumberFormat="1">
      <alignment horizontal="center" vertical="center" wrapText="1"/>
    </xf>
    <xf numFmtId="4" fontId="22" fillId="35" borderId="18" xfId="0" applyFont="1" applyFill="1" applyBorder="1" applyNumberFormat="1">
      <alignment horizontal="right" vertical="center" wrapText="1"/>
    </xf>
    <xf numFmtId="49" fontId="39" fillId="38" borderId="16"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5" fillId="0" borderId="0" xfId="0" applyFont="1" applyNumberFormat="1">
      <alignment vertical="center"/>
    </xf>
    <xf numFmtId="0" fontId="22" fillId="0" borderId="0" xfId="0" applyFont="1" applyNumberFormat="1">
      <alignment vertical="center"/>
    </xf>
    <xf numFmtId="0" fontId="84" fillId="0" borderId="0" xfId="0" applyFont="1" applyNumberFormat="1">
      <alignment vertical="center"/>
    </xf>
    <xf numFmtId="0" fontId="40" fillId="0" borderId="0" xfId="0" applyFont="1" applyNumberFormat="1">
      <alignment vertical="center"/>
    </xf>
    <xf numFmtId="0" fontId="22" fillId="0" borderId="0" xfId="0" applyFont="1" applyNumberFormat="1">
      <alignment vertical="center" wrapText="1"/>
    </xf>
    <xf numFmtId="0" fontId="40" fillId="0" borderId="0" xfId="0" applyFont="1" applyNumberFormat="1">
      <alignment vertical="center"/>
    </xf>
    <xf numFmtId="0" fontId="84" fillId="0" borderId="0" xfId="0" applyFont="1" applyNumberFormat="1">
      <alignment vertical="center"/>
    </xf>
    <xf numFmtId="0" fontId="29" fillId="0" borderId="0" xfId="0" applyFont="1" applyNumberFormat="1">
      <alignment vertical="center"/>
    </xf>
    <xf numFmtId="0" fontId="22" fillId="0" borderId="0" xfId="0" applyFont="1" applyNumberFormat="1">
      <alignment horizontal="center" vertical="center" wrapText="1"/>
    </xf>
    <xf numFmtId="49" fontId="35" fillId="0" borderId="0" xfId="0" applyFont="1" applyNumberFormat="1">
      <alignment horizontal="center" vertical="center" wrapText="1"/>
    </xf>
    <xf numFmtId="49" fontId="35" fillId="0" borderId="13" xfId="0" applyFont="1" applyBorder="1" applyNumberFormat="1">
      <alignment horizontal="center" vertical="center" wrapText="1"/>
    </xf>
    <xf numFmtId="0" fontId="45" fillId="0" borderId="0" xfId="0" applyFont="1" applyNumberFormat="1">
      <alignment vertical="center"/>
    </xf>
    <xf numFmtId="0" fontId="0" fillId="0" borderId="0" xfId="0" applyFont="1" applyNumberFormat="1">
      <alignment vertical="center"/>
    </xf>
    <xf numFmtId="0" fontId="46" fillId="0" borderId="0" xfId="0" applyFont="1" applyNumberFormat="1">
      <alignment horizontal="center" vertical="center"/>
    </xf>
    <xf numFmtId="0" fontId="22" fillId="0" borderId="0" xfId="0" applyFont="1" applyNumberFormat="1">
      <alignment horizontal="center" vertical="center" wrapText="1"/>
    </xf>
    <xf numFmtId="0" fontId="22" fillId="38" borderId="15" xfId="0" applyFont="1" applyFill="1" applyBorder="1" applyNumberFormat="1">
      <alignment horizontal="center" vertical="center" wrapText="1"/>
    </xf>
    <xf numFmtId="49" fontId="22" fillId="38" borderId="16" xfId="0" applyFont="1" applyFill="1" applyBorder="1" applyNumberFormat="1">
      <alignment horizontal="center" vertical="center" wrapText="1"/>
    </xf>
    <xf numFmtId="0" fontId="0" fillId="38" borderId="14" xfId="0" applyFont="1" applyFill="1" applyBorder="1" applyNumberFormat="1">
      <alignment vertical="center"/>
    </xf>
    <xf numFmtId="49" fontId="22" fillId="0" borderId="18" xfId="0" applyFont="1" applyBorder="1" applyNumberFormat="1">
      <alignment horizontal="center" vertical="center" wrapText="1"/>
    </xf>
    <xf numFmtId="49" fontId="73" fillId="0" borderId="13" xfId="0" applyFont="1" applyBorder="1" applyNumberFormat="1">
      <alignment horizontal="left" vertical="center" wrapText="1" indent="1"/>
    </xf>
    <xf numFmtId="0" fontId="45" fillId="0" borderId="0" xfId="0" applyFont="1" applyNumberFormat="1">
      <alignment vertical="center"/>
    </xf>
    <xf numFmtId="0" fontId="72" fillId="0" borderId="0" xfId="0" applyFont="1" applyNumberFormat="1">
      <alignment vertical="center"/>
    </xf>
    <xf numFmtId="0" fontId="0" fillId="0" borderId="0" xfId="0" applyFont="1" applyNumberFormat="1">
      <alignment vertical="center"/>
    </xf>
    <xf numFmtId="49" fontId="39" fillId="38" borderId="14" xfId="0" applyFont="1" applyFill="1" applyBorder="1" applyNumberFormat="1">
      <alignment horizontal="left" vertical="center" indent="1"/>
    </xf>
    <xf numFmtId="49" fontId="48" fillId="38" borderId="14" xfId="0" applyFont="1" applyFill="1" applyBorder="1" applyNumberFormat="1">
      <alignment horizontal="right" vertical="center" wrapText="1"/>
    </xf>
    <xf numFmtId="0" fontId="73" fillId="43" borderId="0" xfId="0" applyFont="1" applyFill="1" applyNumberFormat="1">
      <alignment vertical="top"/>
    </xf>
    <xf numFmtId="49" fontId="31" fillId="0" borderId="0" xfId="0" applyFont="1" applyNumberFormat="1">
      <alignment horizontal="center" vertical="center" wrapText="1"/>
    </xf>
    <xf numFmtId="0" fontId="46" fillId="0" borderId="0" xfId="0" applyFont="1" applyNumberFormat="1">
      <alignment vertical="center" wrapText="1"/>
    </xf>
    <xf numFmtId="0" fontId="31"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8" fillId="0" borderId="0" xfId="0" applyFont="1" applyNumberFormat="1">
      <alignment horizontal="center" vertical="center" wrapText="1"/>
    </xf>
    <xf numFmtId="0" fontId="69" fillId="0" borderId="0" xfId="0" applyFont="1" applyNumberFormat="1">
      <alignment vertical="center" wrapText="1"/>
    </xf>
    <xf numFmtId="0" fontId="46" fillId="0" borderId="0" xfId="0" applyFont="1" applyNumberFormat="1">
      <alignment vertical="center" wrapText="1"/>
    </xf>
    <xf numFmtId="0" fontId="31" fillId="0" borderId="0" xfId="0" applyFont="1" applyNumberFormat="1">
      <alignment vertical="center" wrapText="1"/>
    </xf>
    <xf numFmtId="49" fontId="61" fillId="0" borderId="0" xfId="0" applyFont="1" applyNumberFormat="1">
      <alignment horizontal="center" vertical="center" wrapText="1"/>
    </xf>
    <xf numFmtId="0" fontId="6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6" fillId="0" borderId="0" xfId="0" applyFont="1" applyNumberFormat="1">
      <alignment vertical="top"/>
    </xf>
    <xf numFmtId="49" fontId="45" fillId="0" borderId="0" xfId="0" applyFont="1" applyNumberFormat="1">
      <alignment vertical="top"/>
    </xf>
    <xf numFmtId="49" fontId="46"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0" fontId="45" fillId="0" borderId="0" xfId="0" applyFont="1" applyNumberFormat="1">
      <alignment vertical="top"/>
    </xf>
    <xf numFmtId="0" fontId="72" fillId="0" borderId="0" xfId="0" applyFont="1" applyNumberFormat="1">
      <alignment vertical="top"/>
    </xf>
    <xf numFmtId="0" fontId="85" fillId="0" borderId="0" xfId="0" applyFont="1" applyNumberFormat="1">
      <alignment vertical="top"/>
    </xf>
    <xf numFmtId="0" fontId="45" fillId="0" borderId="0" xfId="0" applyFont="1" applyNumberFormat="1">
      <alignment horizontal="center" vertical="center" wrapText="1"/>
    </xf>
    <xf numFmtId="0" fontId="46" fillId="0" borderId="0" xfId="0" applyFont="1" applyNumberFormat="1">
      <alignment horizontal="center" vertical="center" wrapText="1"/>
    </xf>
    <xf numFmtId="0" fontId="46" fillId="0" borderId="13" xfId="0" applyFont="1" applyBorder="1" applyNumberFormat="1">
      <alignment horizontal="left" vertical="center" wrapText="1"/>
    </xf>
    <xf numFmtId="0" fontId="4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5"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0" borderId="13" xfId="0" applyFont="1" applyFill="1" applyBorder="1" applyNumberFormat="1">
      <alignment horizontal="right" vertical="center" wrapText="1"/>
      <protection locked="0"/>
    </xf>
    <xf numFmtId="49" fontId="0" fillId="40" borderId="13" xfId="0" applyFont="1" applyFill="1" applyBorder="1" applyNumberFormat="1">
      <alignment horizontal="center" vertical="center" wrapText="1"/>
      <protection locked="0"/>
    </xf>
    <xf numFmtId="4" fontId="45" fillId="0" borderId="13" xfId="0" applyFont="1" applyBorder="1" applyNumberFormat="1">
      <alignment horizontal="right" vertical="center" wrapText="1"/>
    </xf>
    <xf numFmtId="49" fontId="0" fillId="38" borderId="31" xfId="0" applyFont="1" applyFill="1" applyBorder="1" applyNumberFormat="1">
      <alignment horizontal="center" vertical="center"/>
    </xf>
    <xf numFmtId="49" fontId="0" fillId="38" borderId="16" xfId="0" applyFont="1" applyFill="1" applyBorder="1" applyNumberFormat="1">
      <alignment horizontal="center" vertical="center"/>
    </xf>
    <xf numFmtId="49" fontId="39" fillId="38" borderId="16" xfId="0" applyFont="1" applyFill="1" applyBorder="1" applyNumberFormat="1">
      <alignment horizontal="left" vertical="center"/>
    </xf>
    <xf numFmtId="49" fontId="39" fillId="38" borderId="14" xfId="0" applyFont="1" applyFill="1" applyBorder="1" applyNumberFormat="1">
      <alignment horizontal="left" vertical="center" indent="1"/>
    </xf>
    <xf numFmtId="49" fontId="39" fillId="38" borderId="15" xfId="0" applyFont="1" applyFill="1" applyBorder="1" applyNumberFormat="1">
      <alignment horizontal="left" vertical="center"/>
    </xf>
    <xf numFmtId="49" fontId="39" fillId="38" borderId="16" xfId="0" applyFont="1" applyFill="1" applyBorder="1" applyNumberFormat="1">
      <alignment horizontal="left" vertical="center" indent="1"/>
    </xf>
    <xf numFmtId="49" fontId="39" fillId="38" borderId="16" xfId="0" applyFont="1" applyFill="1" applyBorder="1" applyNumberFormat="1">
      <alignment horizontal="left" vertical="center"/>
    </xf>
    <xf numFmtId="49" fontId="39" fillId="38" borderId="14" xfId="0" applyFont="1" applyFill="1" applyBorder="1" applyNumberFormat="1">
      <alignment horizontal="left" vertical="center" indent="1"/>
    </xf>
    <xf numFmtId="0" fontId="39" fillId="0" borderId="13"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4"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5" fillId="0" borderId="0" xfId="0" applyFont="1" applyNumberFormat="1">
      <alignment horizontal="center" vertical="center" wrapText="1"/>
    </xf>
    <xf numFmtId="4" fontId="22" fillId="0" borderId="13" xfId="0" applyFont="1" applyBorder="1" applyNumberFormat="1">
      <alignment horizontal="center" vertical="center" wrapText="1"/>
    </xf>
    <xf numFmtId="49" fontId="51" fillId="37" borderId="15" xfId="0" applyFont="1" applyFill="1" applyBorder="1" applyNumberFormat="1">
      <alignment horizontal="left" vertical="center" wrapText="1"/>
      <protection locked="0"/>
    </xf>
    <xf numFmtId="49" fontId="51" fillId="37" borderId="15"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protection locked="0"/>
    </xf>
    <xf numFmtId="0" fontId="44" fillId="0" borderId="0" xfId="0" applyFont="1" applyNumberFormat="1">
      <alignment vertical="top"/>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0" fontId="22" fillId="0" borderId="32" xfId="0" applyFont="1" applyBorder="1" applyNumberFormat="1">
      <alignment horizontal="left" vertical="center" wrapText="1" indent="1"/>
    </xf>
    <xf numFmtId="4" fontId="22" fillId="40" borderId="32"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49" fontId="22" fillId="40" borderId="13" xfId="0" applyFont="1" applyFill="1" applyBorder="1" applyNumberFormat="1">
      <alignment horizontal="left" vertical="center" wrapText="1" indent="1"/>
      <protection locked="0"/>
    </xf>
    <xf numFmtId="0" fontId="22" fillId="0" borderId="32" xfId="0" applyFont="1" applyBorder="1" applyNumberFormat="1">
      <alignment horizontal="left" vertical="center" wrapText="1" indent="2"/>
    </xf>
    <xf numFmtId="0" fontId="45" fillId="0" borderId="0" xfId="0" applyFont="1" applyNumberFormat="1">
      <alignment horizontal="center" vertical="center" wrapText="1"/>
    </xf>
    <xf numFmtId="49" fontId="22" fillId="0" borderId="0" xfId="0" applyFont="1" applyNumberFormat="1">
      <alignment horizontal="left" vertical="center" wrapText="1"/>
    </xf>
    <xf numFmtId="0" fontId="81" fillId="0" borderId="0" xfId="0" applyFont="1" applyNumberFormat="1">
      <alignment vertical="center" wrapText="1"/>
    </xf>
    <xf numFmtId="0" fontId="81" fillId="0" borderId="0" xfId="0" applyFont="1" applyNumberFormat="1">
      <alignment vertical="center" wrapText="1"/>
    </xf>
    <xf numFmtId="0" fontId="22" fillId="0" borderId="0" xfId="0" applyFont="1" applyNumberFormat="1">
      <alignment horizontal="left" vertical="center" wrapText="1"/>
    </xf>
    <xf numFmtId="0" fontId="22" fillId="0" borderId="13" xfId="0" applyFont="1" applyBorder="1" applyNumberFormat="1">
      <alignment horizontal="left" vertical="center" wrapText="1"/>
    </xf>
    <xf numFmtId="3" fontId="22" fillId="0" borderId="15" xfId="0" applyFont="1" applyBorder="1" applyNumberFormat="1">
      <alignment vertical="center" wrapText="1"/>
    </xf>
    <xf numFmtId="0" fontId="22" fillId="0" borderId="14" xfId="0" applyFont="1" applyBorder="1" applyNumberFormat="1">
      <alignment vertical="center" wrapText="1"/>
    </xf>
    <xf numFmtId="4" fontId="22" fillId="37" borderId="15" xfId="0" applyFont="1" applyFill="1" applyBorder="1" applyNumberFormat="1">
      <alignment horizontal="right" vertical="center" wrapText="1"/>
      <protection locked="0"/>
    </xf>
    <xf numFmtId="4" fontId="22" fillId="0" borderId="15" xfId="0" applyFont="1" applyBorder="1" applyNumberFormat="1">
      <alignment horizontal="right" vertical="center" wrapText="1"/>
    </xf>
    <xf numFmtId="4" fontId="22" fillId="0" borderId="31" xfId="0" applyFont="1" applyBorder="1" applyNumberFormat="1">
      <alignment horizontal="right" vertical="center" wrapText="1"/>
    </xf>
    <xf numFmtId="0" fontId="35" fillId="0" borderId="0" xfId="0" applyFont="1" applyNumberFormat="1">
      <alignment horizontal="center" vertical="center" wrapText="1"/>
    </xf>
    <xf numFmtId="0" fontId="22" fillId="0" borderId="15" xfId="0" applyFont="1" applyBorder="1" applyNumberFormat="1">
      <alignment horizontal="center" vertical="center" wrapText="1"/>
    </xf>
    <xf numFmtId="3" fontId="22" fillId="40" borderId="15" xfId="0" applyFont="1" applyFill="1" applyBorder="1" applyNumberFormat="1">
      <alignment vertical="center" wrapText="1"/>
      <protection locked="0"/>
    </xf>
    <xf numFmtId="49" fontId="22" fillId="37" borderId="15" xfId="0" applyFont="1" applyFill="1" applyBorder="1" applyNumberFormat="1">
      <alignment horizontal="left" vertical="center" wrapText="1"/>
      <protection locked="0"/>
    </xf>
    <xf numFmtId="4" fontId="22" fillId="35" borderId="15"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2"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2" fillId="38" borderId="20" xfId="0" applyFont="1" applyFill="1" applyBorder="1" applyNumberFormat="1">
      <alignment vertical="center" wrapText="1"/>
    </xf>
    <xf numFmtId="0" fontId="22" fillId="0" borderId="16" xfId="0" applyFont="1" applyBorder="1" applyNumberFormat="1">
      <alignment horizontal="center" vertical="center" wrapText="1"/>
    </xf>
    <xf numFmtId="0" fontId="22" fillId="38" borderId="28" xfId="0" applyFont="1" applyFill="1" applyBorder="1" applyNumberFormat="1">
      <alignment vertical="center" wrapText="1"/>
    </xf>
    <xf numFmtId="49" fontId="22" fillId="40" borderId="15" xfId="0" applyFont="1" applyFill="1" applyBorder="1" applyNumberFormat="1">
      <alignment horizontal="left" vertical="center" wrapText="1"/>
      <protection locked="0"/>
    </xf>
    <xf numFmtId="49" fontId="0" fillId="37" borderId="13" xfId="0" applyFont="1" applyFill="1" applyBorder="1" applyNumberFormat="1">
      <alignment horizontal="left" vertical="center" wrapText="1"/>
      <protection locked="0"/>
    </xf>
    <xf numFmtId="0" fontId="30" fillId="0" borderId="0" xfId="0" applyFont="1" applyNumberFormat="1">
      <alignment horizontal="left" vertical="center" wrapText="1" indent="1"/>
    </xf>
    <xf numFmtId="0" fontId="86" fillId="0" borderId="0" xfId="0" applyFont="1" applyNumberFormat="1">
      <alignment vertical="center" wrapText="1"/>
    </xf>
    <xf numFmtId="0" fontId="86" fillId="36" borderId="0" xfId="0" applyFont="1" applyFill="1" applyNumberFormat="1">
      <alignment horizontal="center" vertical="center" wrapText="1"/>
    </xf>
    <xf numFmtId="0" fontId="86" fillId="36" borderId="0" xfId="0" applyFont="1" applyFill="1" applyNumberFormat="1">
      <alignment horizontal="right" vertical="center" wrapText="1"/>
    </xf>
    <xf numFmtId="0" fontId="22" fillId="0" borderId="13" xfId="0" applyFont="1" applyBorder="1" applyNumberFormat="1">
      <alignment horizontal="center" vertical="center" wrapText="1"/>
    </xf>
    <xf numFmtId="49" fontId="45" fillId="0" borderId="0" xfId="0" applyFont="1" applyNumberFormat="1">
      <alignment horizontal="center" vertical="center" wrapText="1"/>
    </xf>
    <xf numFmtId="0" fontId="22" fillId="0" borderId="13" xfId="0" applyFont="1" applyBorder="1" applyNumberFormat="1">
      <alignment horizontal="center" vertical="center" wrapText="1"/>
    </xf>
    <xf numFmtId="0" fontId="45" fillId="0" borderId="0" xfId="0" applyFont="1" applyNumberFormat="1">
      <alignment horizontal="center" vertical="top"/>
    </xf>
    <xf numFmtId="0" fontId="22" fillId="0" borderId="13" xfId="0" applyFont="1" applyBorder="1" applyNumberFormat="1">
      <alignment horizontal="left" vertical="center" wrapText="1"/>
    </xf>
    <xf numFmtId="0" fontId="46" fillId="0" borderId="0" xfId="0" applyFont="1" applyNumberFormat="1">
      <alignment horizontal="center" vertical="center" wrapText="1"/>
    </xf>
    <xf numFmtId="0" fontId="22" fillId="0" borderId="13" xfId="0" applyFont="1" applyBorder="1" applyNumberFormat="1">
      <alignment horizontal="left" vertical="center" wrapText="1"/>
    </xf>
    <xf numFmtId="49" fontId="22" fillId="41" borderId="13" xfId="0" applyFont="1" applyFill="1" applyBorder="1" applyNumberFormat="1">
      <alignment horizontal="left" vertical="center" wrapText="1" indent="1"/>
    </xf>
    <xf numFmtId="0" fontId="22" fillId="0" borderId="15" xfId="0" applyFont="1" applyBorder="1" applyNumberFormat="1">
      <alignment vertical="center" wrapText="1"/>
    </xf>
    <xf numFmtId="0" fontId="22" fillId="0" borderId="0" xfId="0" applyFont="1" applyNumberFormat="1">
      <alignment horizontal="right" vertical="center"/>
    </xf>
    <xf numFmtId="49" fontId="51" fillId="38" borderId="14" xfId="0" applyFont="1" applyFill="1" applyBorder="1" applyNumberFormat="1">
      <alignment horizontal="left" vertical="center" wrapText="1"/>
    </xf>
    <xf numFmtId="0" fontId="87" fillId="0" borderId="0" xfId="0" applyFont="1" applyNumberFormat="1">
      <alignment vertical="center"/>
    </xf>
    <xf numFmtId="0" fontId="88" fillId="0" borderId="0" xfId="0" applyFont="1" applyNumberFormat="1">
      <alignment vertical="center"/>
    </xf>
    <xf numFmtId="49" fontId="46" fillId="0" borderId="23" xfId="0" applyFont="1" applyBorder="1" applyNumberFormat="1">
      <alignment vertical="top"/>
    </xf>
    <xf numFmtId="49" fontId="46" fillId="0" borderId="23" xfId="0" applyFont="1" applyBorder="1" applyNumberFormat="1">
      <alignment vertical="top"/>
    </xf>
    <xf numFmtId="0" fontId="46" fillId="0" borderId="23" xfId="0" applyFont="1" applyBorder="1" applyNumberFormat="1">
      <alignment vertical="center" wrapText="1"/>
    </xf>
    <xf numFmtId="0" fontId="22" fillId="0" borderId="14" xfId="0" applyFont="1" applyBorder="1" applyNumberFormat="1">
      <alignment horizontal="left" vertical="center" wrapText="1" indent="1"/>
    </xf>
    <xf numFmtId="0" fontId="69" fillId="0" borderId="23" xfId="0" applyFont="1" applyBorder="1" applyNumberFormat="1">
      <alignment vertical="center" wrapText="1"/>
    </xf>
    <xf numFmtId="4" fontId="22" fillId="0" borderId="32" xfId="0" applyFont="1" applyBorder="1" applyNumberFormat="1">
      <alignment horizontal="center" vertical="center" wrapText="1"/>
    </xf>
    <xf numFmtId="0" fontId="22" fillId="0" borderId="34" xfId="0" applyFont="1" applyBorder="1" applyNumberFormat="1">
      <alignment horizontal="left" vertical="center" wrapText="1"/>
    </xf>
    <xf numFmtId="0" fontId="22" fillId="0" borderId="34" xfId="0" applyFont="1" applyBorder="1" applyNumberFormat="1">
      <alignment horizontal="left" vertical="center" wrapText="1" indent="1"/>
    </xf>
    <xf numFmtId="4" fontId="22" fillId="40" borderId="34" xfId="0" applyFont="1" applyFill="1" applyBorder="1" applyNumberFormat="1">
      <alignment horizontal="right" vertical="center" wrapText="1"/>
      <protection locked="0"/>
    </xf>
    <xf numFmtId="4" fontId="22" fillId="0" borderId="34" xfId="0" applyFont="1" applyBorder="1" applyNumberFormat="1">
      <alignment horizontal="center" vertical="center" wrapText="1"/>
    </xf>
    <xf numFmtId="49" fontId="22" fillId="0" borderId="35" xfId="0" applyFont="1" applyBorder="1" applyNumberFormat="1">
      <alignment horizontal="center" vertical="center" wrapText="1"/>
    </xf>
    <xf numFmtId="4" fontId="22" fillId="40" borderId="15" xfId="0" applyFont="1" applyFill="1" applyBorder="1" applyNumberFormat="1">
      <alignment horizontal="right" vertical="center" wrapText="1"/>
      <protection locked="0"/>
    </xf>
    <xf numFmtId="4" fontId="22" fillId="40" borderId="35" xfId="0" applyFont="1" applyFill="1" applyBorder="1" applyNumberFormat="1">
      <alignment horizontal="right" vertical="center" wrapText="1"/>
      <protection locked="0"/>
    </xf>
    <xf numFmtId="0" fontId="45" fillId="0" borderId="0" xfId="0" applyFont="1" applyNumberFormat="1">
      <alignment horizontal="left" vertical="center" wrapText="1"/>
    </xf>
    <xf numFmtId="0" fontId="46" fillId="0" borderId="0" xfId="0" applyFont="1" applyNumberFormat="1">
      <alignment horizontal="left" vertical="center" wrapText="1"/>
    </xf>
    <xf numFmtId="0" fontId="52" fillId="0" borderId="0" xfId="0" applyFont="1" applyNumberFormat="1">
      <alignment horizontal="left" vertical="center" wrapText="1"/>
    </xf>
    <xf numFmtId="0" fontId="31" fillId="0" borderId="0" xfId="0" applyFont="1" applyNumberFormat="1">
      <alignment horizontal="left" vertical="center" wrapText="1"/>
    </xf>
    <xf numFmtId="49" fontId="22" fillId="0" borderId="0" xfId="0" applyFont="1" applyNumberFormat="1">
      <alignment horizontal="center" vertical="center" wrapText="1"/>
    </xf>
    <xf numFmtId="0" fontId="82" fillId="0" borderId="0" xfId="0" applyFont="1" applyNumberFormat="1">
      <alignment vertical="center" wrapText="1"/>
    </xf>
    <xf numFmtId="0" fontId="46" fillId="0" borderId="0" xfId="0" applyFont="1" applyNumberFormat="1">
      <alignment vertical="center" wrapText="1"/>
    </xf>
    <xf numFmtId="0" fontId="52" fillId="0" borderId="0" xfId="0" applyFont="1" applyNumberFormat="1">
      <alignment vertical="center" wrapText="1"/>
    </xf>
    <xf numFmtId="0" fontId="31" fillId="0" borderId="0" xfId="0" applyFont="1" applyNumberFormat="1">
      <alignment vertical="center" wrapText="1"/>
    </xf>
    <xf numFmtId="49" fontId="48" fillId="0" borderId="0" xfId="0" applyFont="1" applyNumberFormat="1">
      <alignment horizontal="center" vertical="center"/>
    </xf>
    <xf numFmtId="0" fontId="22" fillId="0" borderId="0" xfId="0" applyFont="1" applyNumberFormat="1">
      <alignment vertical="center" wrapText="1"/>
    </xf>
    <xf numFmtId="4" fontId="22" fillId="0" borderId="36" xfId="0" applyFont="1" applyBorder="1" applyNumberFormat="1">
      <alignment horizontal="center" vertical="center" wrapText="1"/>
    </xf>
    <xf numFmtId="4" fontId="22" fillId="40" borderId="36" xfId="0" applyFont="1" applyFill="1" applyBorder="1" applyNumberFormat="1">
      <alignment horizontal="right" vertical="center" wrapText="1"/>
      <protection locked="0"/>
    </xf>
    <xf numFmtId="4" fontId="22" fillId="40" borderId="24" xfId="0" applyFont="1" applyFill="1" applyBorder="1" applyNumberFormat="1">
      <alignment horizontal="right" vertical="center" wrapText="1"/>
      <protection locked="0"/>
    </xf>
    <xf numFmtId="49" fontId="22" fillId="0" borderId="34" xfId="0" applyFont="1" applyBorder="1" applyNumberFormat="1">
      <alignment horizontal="center" vertical="center" wrapText="1"/>
    </xf>
    <xf numFmtId="0" fontId="22" fillId="0" borderId="36" xfId="0" applyFont="1" applyBorder="1" applyNumberFormat="1">
      <alignment horizontal="left" vertical="center" wrapText="1"/>
    </xf>
    <xf numFmtId="0" fontId="22" fillId="0" borderId="21" xfId="0" applyFont="1" applyBorder="1" applyNumberFormat="1">
      <alignment vertical="center" wrapText="1"/>
    </xf>
    <xf numFmtId="0" fontId="36" fillId="0" borderId="0" xfId="0" applyFont="1" applyNumberFormat="1">
      <alignment horizontal="center" vertical="center" wrapText="1"/>
    </xf>
    <xf numFmtId="0" fontId="22" fillId="38" borderId="16" xfId="0" applyFont="1" applyFill="1" applyBorder="1" applyNumberFormat="1">
      <alignment vertical="center" wrapText="1"/>
    </xf>
    <xf numFmtId="0" fontId="45" fillId="38" borderId="14" xfId="0" applyFont="1" applyFill="1" applyBorder="1" applyNumberFormat="1">
      <alignment vertical="center" wrapText="1"/>
    </xf>
    <xf numFmtId="167" fontId="22" fillId="35" borderId="13" xfId="0" applyFont="1" applyFill="1" applyBorder="1" applyNumberFormat="1">
      <alignment horizontal="right" vertical="center" wrapText="1"/>
    </xf>
    <xf numFmtId="0" fontId="0" fillId="0" borderId="0" xfId="0" applyFont="1" applyNumberFormat="1">
      <alignment vertical="center"/>
    </xf>
    <xf numFmtId="4" fontId="22" fillId="37" borderId="13" xfId="0" applyFont="1" applyFill="1" applyBorder="1" applyNumberFormat="1">
      <alignment horizontal="right" vertical="center" wrapText="1"/>
      <protection locked="0"/>
    </xf>
    <xf numFmtId="0" fontId="71" fillId="36" borderId="0" xfId="0" applyFont="1" applyFill="1" applyNumberFormat="1">
      <alignment horizontal="right" vertical="center"/>
    </xf>
    <xf numFmtId="49" fontId="0" fillId="0" borderId="13" xfId="0" applyFont="1" applyBorder="1" applyNumberFormat="1">
      <alignment vertical="top"/>
    </xf>
    <xf numFmtId="0" fontId="22" fillId="0" borderId="15" xfId="0" applyFont="1" applyBorder="1" applyNumberFormat="1">
      <alignment horizontal="center" vertical="center" wrapText="1"/>
    </xf>
    <xf numFmtId="49" fontId="0" fillId="16" borderId="18" xfId="0" applyFont="1" applyFill="1" applyBorder="1" applyNumberFormat="1">
      <alignment vertical="top"/>
    </xf>
    <xf numFmtId="0" fontId="22" fillId="0" borderId="0" xfId="0" applyFont="1" applyNumberFormat="1">
      <alignment vertical="center" wrapText="1"/>
    </xf>
    <xf numFmtId="0" fontId="31" fillId="0" borderId="0" xfId="0" applyFont="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0" borderId="0" xfId="0" applyFont="1" applyNumberFormat="1">
      <alignment vertical="top"/>
    </xf>
    <xf numFmtId="0" fontId="22" fillId="0" borderId="0" xfId="0" applyFont="1" applyNumberFormat="1">
      <alignment horizontal="center" vertical="center" wrapText="1"/>
    </xf>
    <xf numFmtId="0" fontId="48" fillId="36" borderId="0" xfId="0" applyFont="1" applyFill="1" applyNumberFormat="1">
      <alignment vertical="center" wrapText="1"/>
    </xf>
    <xf numFmtId="0" fontId="51" fillId="0" borderId="0" xfId="0" applyFont="1" applyNumberFormat="1">
      <alignment horizontal="left" vertical="center" indent="1"/>
    </xf>
    <xf numFmtId="0" fontId="0" fillId="36" borderId="0" xfId="0" applyFont="1" applyFill="1" applyNumberFormat="1">
      <alignment horizontal="right" vertical="center" wrapText="1" indent="1"/>
    </xf>
    <xf numFmtId="0" fontId="0" fillId="36" borderId="0" xfId="0" applyFont="1" applyFill="1" applyNumberFormat="1">
      <alignment horizontal="left" vertical="center" wrapText="1" indent="1"/>
    </xf>
    <xf numFmtId="14" fontId="22" fillId="36" borderId="0" xfId="0" applyFont="1" applyFill="1" applyNumberFormat="1">
      <alignment horizontal="center" vertical="center" wrapText="1"/>
    </xf>
    <xf numFmtId="169" fontId="22" fillId="0" borderId="15" xfId="0" applyFont="1" applyBorder="1" applyNumberFormat="1">
      <alignment horizontal="center" vertical="center" wrapText="1"/>
    </xf>
    <xf numFmtId="49" fontId="35" fillId="0" borderId="16" xfId="0" applyFont="1" applyBorder="1" applyNumberFormat="1">
      <alignment horizontal="center" vertical="center" wrapText="1"/>
    </xf>
    <xf numFmtId="49" fontId="22" fillId="0" borderId="0" xfId="0" applyFont="1" applyNumberFormat="1">
      <alignment horizontal="center" vertical="center" wrapText="1"/>
    </xf>
    <xf numFmtId="0" fontId="22" fillId="0" borderId="24" xfId="0" applyFont="1" applyBorder="1" applyNumberFormat="1">
      <alignment horizontal="center" vertical="center" wrapText="1"/>
    </xf>
    <xf numFmtId="0" fontId="36" fillId="0" borderId="0" xfId="0" applyFont="1" applyNumberFormat="1">
      <alignment horizontal="center" vertical="center" wrapText="1"/>
    </xf>
    <xf numFmtId="0" fontId="89" fillId="0" borderId="0" xfId="0" applyFont="1" applyNumberFormat="1">
      <alignment horizontal="left" vertical="center" wrapText="1"/>
    </xf>
    <xf numFmtId="0" fontId="89" fillId="0" borderId="0" xfId="0" applyFont="1" applyNumberFormat="1">
      <alignment horizontal="left" vertical="center" wrapText="1"/>
    </xf>
    <xf numFmtId="14" fontId="89" fillId="36" borderId="0" xfId="0" applyFont="1" applyFill="1" applyNumberFormat="1">
      <alignment horizontal="left" vertical="center" wrapText="1"/>
    </xf>
    <xf numFmtId="14" fontId="90" fillId="0" borderId="0" xfId="0" applyFont="1" applyNumberFormat="1">
      <alignment horizontal="center" vertical="center" wrapText="1"/>
    </xf>
    <xf numFmtId="0" fontId="89" fillId="0" borderId="0" xfId="0" applyFont="1" applyNumberFormat="1">
      <alignment horizontal="left" vertical="center" wrapText="1"/>
    </xf>
    <xf numFmtId="14" fontId="91" fillId="0" borderId="13" xfId="0" applyFont="1" applyBorder="1" applyNumberFormat="1">
      <alignment horizontal="left" vertical="center" wrapText="1"/>
    </xf>
    <xf numFmtId="0" fontId="46" fillId="0" borderId="0" xfId="0" applyFont="1" applyNumberFormat="1">
      <alignment vertical="center"/>
    </xf>
    <xf numFmtId="49" fontId="22" fillId="38" borderId="20" xfId="0" applyFont="1" applyFill="1" applyBorder="1" applyNumberFormat="1">
      <alignment horizontal="center" vertical="center" wrapText="1"/>
    </xf>
    <xf numFmtId="49" fontId="22" fillId="35" borderId="24" xfId="0" applyFont="1" applyFill="1" applyBorder="1" applyNumberFormat="1">
      <alignment horizontal="center" vertical="center" wrapText="1"/>
    </xf>
    <xf numFmtId="49" fontId="45" fillId="0" borderId="13" xfId="0" applyFont="1" applyBorder="1" applyNumberFormat="1">
      <alignment horizontal="left" vertical="center" wrapText="1"/>
    </xf>
    <xf numFmtId="14" fontId="22" fillId="41" borderId="24" xfId="0" applyFont="1" applyFill="1" applyBorder="1" applyNumberFormat="1">
      <alignment horizontal="left" vertical="center" wrapText="1" indent="1"/>
    </xf>
    <xf numFmtId="49" fontId="22" fillId="38" borderId="15" xfId="0" applyFont="1" applyFill="1" applyBorder="1" applyNumberFormat="1">
      <alignment horizontal="right" vertical="center" wrapText="1"/>
    </xf>
    <xf numFmtId="0" fontId="46" fillId="0" borderId="24" xfId="0" applyFont="1" applyBorder="1" applyNumberFormat="1">
      <alignment horizontal="center" vertical="center" wrapText="1"/>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0" borderId="24" xfId="0" applyFont="1" applyBorder="1" applyNumberFormat="1">
      <alignment horizontal="center" vertical="center" wrapText="1"/>
    </xf>
    <xf numFmtId="49" fontId="22" fillId="0" borderId="15" xfId="0" applyFont="1" applyBorder="1" applyNumberFormat="1">
      <alignment horizontal="center" vertical="top"/>
    </xf>
    <xf numFmtId="0" fontId="35" fillId="0" borderId="25" xfId="0" applyFont="1" applyBorder="1" applyNumberFormat="1">
      <alignment vertical="top" wrapText="1"/>
    </xf>
    <xf numFmtId="0" fontId="35" fillId="0" borderId="0" xfId="0" applyFont="1" applyNumberFormat="1">
      <alignment vertical="top" wrapText="1"/>
    </xf>
    <xf numFmtId="0" fontId="46" fillId="0" borderId="13" xfId="0" applyFont="1" applyBorder="1" applyNumberFormat="1">
      <alignment horizontal="center" vertical="center" wrapText="1"/>
    </xf>
    <xf numFmtId="0" fontId="45" fillId="0" borderId="24" xfId="0" applyFont="1" applyBorder="1" applyNumberFormat="1">
      <alignment horizontal="center" vertical="center" wrapText="1"/>
    </xf>
    <xf numFmtId="0" fontId="46" fillId="0" borderId="13" xfId="0" applyFont="1" applyBorder="1" applyNumberFormat="1">
      <alignment horizontal="center" vertical="center"/>
    </xf>
    <xf numFmtId="0" fontId="22" fillId="0" borderId="13" xfId="0" applyFont="1" applyBorder="1" applyNumberFormat="1">
      <alignment horizontal="center" vertical="center" wrapText="1"/>
    </xf>
    <xf numFmtId="49" fontId="22" fillId="0" borderId="0" xfId="0" applyFont="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8" xfId="0" applyFont="1" applyBorder="1" applyNumberFormat="1">
      <alignment horizontal="center" vertical="center" wrapText="1"/>
    </xf>
    <xf numFmtId="49" fontId="73" fillId="40" borderId="13" xfId="0" applyFont="1" applyFill="1" applyBorder="1" applyNumberFormat="1">
      <alignment horizontal="left" vertical="center" wrapText="1" indent="1"/>
      <protection locked="0"/>
    </xf>
    <xf numFmtId="0" fontId="45" fillId="0" borderId="23" xfId="0" applyFont="1" applyBorder="1" applyNumberFormat="1">
      <alignment vertical="center"/>
    </xf>
    <xf numFmtId="0" fontId="22" fillId="0" borderId="14" xfId="0" applyFont="1" applyBorder="1" applyNumberFormat="1">
      <alignment horizontal="center" vertical="center" wrapText="1"/>
    </xf>
    <xf numFmtId="49" fontId="22" fillId="41" borderId="13"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35" borderId="15" xfId="0" applyFont="1" applyFill="1" applyBorder="1" applyNumberFormat="1">
      <alignment horizontal="left" vertical="top" wrapText="1" indent="1"/>
    </xf>
    <xf numFmtId="3" fontId="22" fillId="37" borderId="15" xfId="0" applyFont="1" applyFill="1" applyBorder="1" applyNumberFormat="1">
      <alignment horizontal="right" vertical="center" wrapText="1"/>
      <protection locked="0"/>
    </xf>
    <xf numFmtId="49" fontId="51" fillId="37" borderId="13" xfId="0" applyFont="1" applyFill="1" applyBorder="1" applyNumberFormat="1">
      <alignment horizontal="left" vertical="center" wrapText="1"/>
      <protection locked="0"/>
    </xf>
    <xf numFmtId="0" fontId="51" fillId="0" borderId="0" xfId="0" applyFont="1" applyNumberFormat="1">
      <alignment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36" fillId="36" borderId="0" xfId="0" applyFont="1" applyFill="1" applyNumberFormat="1">
      <alignment horizontal="center" vertical="center" wrapText="1"/>
    </xf>
    <xf numFmtId="0" fontId="22"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35" fillId="36" borderId="16" xfId="0" applyFont="1" applyFill="1" applyBorder="1" applyNumberFormat="1">
      <alignment horizontal="center" vertical="center" wrapText="1"/>
    </xf>
    <xf numFmtId="0" fontId="22" fillId="0" borderId="0" xfId="0" applyFont="1" applyNumberFormat="1">
      <alignment horizontal="left" vertical="center" wrapText="1" indent="1"/>
    </xf>
    <xf numFmtId="0" fontId="79" fillId="0" borderId="18" xfId="0" applyFont="1" applyBorder="1" applyNumberFormat="1">
      <alignment horizontal="center" vertical="center" wrapText="1"/>
    </xf>
    <xf numFmtId="49" fontId="45" fillId="0" borderId="0" xfId="0" applyFont="1" applyNumberFormat="1">
      <alignment vertical="top"/>
    </xf>
    <xf numFmtId="0" fontId="92"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2" fillId="0" borderId="0" xfId="0" applyFont="1" applyNumberFormat="1">
      <alignment vertical="top"/>
    </xf>
    <xf numFmtId="0" fontId="22" fillId="0" borderId="13" xfId="0" applyFont="1" applyBorder="1" applyNumberFormat="1">
      <alignment horizontal="left" vertical="top" wrapText="1"/>
    </xf>
    <xf numFmtId="49" fontId="93" fillId="0" borderId="0" xfId="0" applyFont="1" applyNumberFormat="1">
      <alignment horizontal="center" vertical="top" wrapText="1"/>
    </xf>
    <xf numFmtId="49" fontId="93" fillId="0" borderId="0" xfId="0" applyFont="1" applyNumberFormat="1">
      <alignment vertical="top" wrapText="1"/>
    </xf>
    <xf numFmtId="49" fontId="89" fillId="42" borderId="13" xfId="0" applyFont="1" applyFill="1" applyBorder="1" applyNumberFormat="1">
      <alignment horizontal="center" vertical="top" wrapText="1"/>
    </xf>
    <xf numFmtId="49" fontId="93" fillId="0" borderId="0" xfId="0" applyFont="1" applyNumberFormat="1">
      <alignment horizontal="left" vertical="top" wrapText="1"/>
    </xf>
    <xf numFmtId="49" fontId="93" fillId="0" borderId="13" xfId="0" applyFont="1" applyBorder="1" applyNumberFormat="1">
      <alignment horizontal="left" vertical="top" wrapText="1"/>
    </xf>
    <xf numFmtId="0" fontId="93" fillId="0" borderId="13" xfId="0" applyFont="1" applyBorder="1" applyNumberFormat="1">
      <alignment horizontal="left" vertical="top" wrapText="1"/>
    </xf>
    <xf numFmtId="0" fontId="93" fillId="42" borderId="13" xfId="0" applyFont="1" applyFill="1" applyBorder="1" applyNumberFormat="1">
      <alignment horizontal="right" vertical="center" wrapText="1"/>
    </xf>
    <xf numFmtId="49" fontId="93" fillId="0" borderId="13" xfId="0" applyFont="1" applyBorder="1" applyNumberFormat="1">
      <alignment vertical="top" wrapText="1"/>
    </xf>
    <xf numFmtId="0" fontId="93" fillId="0" borderId="18" xfId="0" applyFont="1" applyBorder="1" applyNumberFormat="1">
      <alignment horizontal="left" vertical="top" wrapText="1"/>
    </xf>
    <xf numFmtId="0" fontId="93" fillId="0" borderId="14" xfId="0" applyFont="1" applyBorder="1" applyNumberFormat="1">
      <alignment horizontal="left" vertical="top" wrapText="1"/>
    </xf>
    <xf numFmtId="0" fontId="93" fillId="0" borderId="13" xfId="0" applyFont="1" applyBorder="1" applyNumberFormat="1">
      <alignment vertical="top" wrapText="1"/>
    </xf>
    <xf numFmtId="0" fontId="89" fillId="42" borderId="13" xfId="0" applyFont="1" applyFill="1" applyBorder="1" applyNumberFormat="1">
      <alignment horizontal="center" vertical="top" wrapText="1"/>
    </xf>
    <xf numFmtId="0" fontId="93" fillId="0" borderId="0" xfId="0" applyFont="1" applyNumberFormat="1">
      <alignment vertical="top" wrapText="1"/>
    </xf>
    <xf numFmtId="0" fontId="88" fillId="0" borderId="0" xfId="0" applyFont="1" applyNumberFormat="1">
      <alignment vertical="center" wrapText="1"/>
    </xf>
    <xf numFmtId="0" fontId="30" fillId="0" borderId="0" xfId="0" applyFont="1" applyNumberFormat="1">
      <alignment horizontal="left" vertical="center" wrapText="1" indent="3"/>
    </xf>
    <xf numFmtId="3" fontId="0" fillId="0" borderId="14" xfId="0" applyFont="1" applyBorder="1" applyNumberFormat="1">
      <alignment horizontal="right" vertical="center" wrapText="1"/>
    </xf>
    <xf numFmtId="0" fontId="22" fillId="41" borderId="15" xfId="0" applyFont="1" applyFill="1" applyBorder="1" applyNumberFormat="1">
      <alignment horizontal="left" vertical="center" wrapText="1"/>
    </xf>
    <xf numFmtId="49" fontId="35" fillId="36" borderId="13" xfId="0" applyFont="1" applyFill="1" applyBorder="1" applyNumberFormat="1">
      <alignment horizontal="center" vertical="center" wrapText="1"/>
    </xf>
    <xf numFmtId="49" fontId="71" fillId="38" borderId="14" xfId="0" applyFont="1" applyFill="1" applyBorder="1" applyNumberFormat="1">
      <alignment vertical="center"/>
    </xf>
    <xf numFmtId="49" fontId="22" fillId="36" borderId="0" xfId="0" applyFont="1" applyFill="1" applyNumberFormat="1">
      <alignment horizontal="center" vertical="center" wrapText="1"/>
    </xf>
    <xf numFmtId="0" fontId="22" fillId="36" borderId="0" xfId="0" applyFont="1" applyFill="1" applyNumberFormat="1">
      <alignment horizontal="center" vertical="top" wrapText="1"/>
    </xf>
    <xf numFmtId="49" fontId="0" fillId="40" borderId="13" xfId="0" applyFont="1" applyFill="1" applyBorder="1" applyNumberFormat="1">
      <alignment horizontal="left" vertical="center" wrapText="1" indent="1"/>
      <protection locked="0"/>
    </xf>
    <xf numFmtId="49" fontId="22" fillId="40" borderId="15" xfId="0" applyFont="1" applyFill="1" applyBorder="1" applyNumberFormat="1">
      <alignment horizontal="left" vertical="center" wrapText="1"/>
      <protection locked="0"/>
    </xf>
    <xf numFmtId="49" fontId="22" fillId="40" borderId="13" xfId="0" applyFont="1" applyFill="1" applyBorder="1" applyNumberFormat="1" quotePrefix="1">
      <alignment horizontal="left" vertical="center" wrapText="1"/>
      <protection locked="0"/>
    </xf>
    <xf numFmtId="14" fontId="22" fillId="41" borderId="24" xfId="0" applyFont="1" applyFill="1" applyBorder="1" applyNumberFormat="1">
      <alignment horizontal="left" vertical="center" wrapText="1"/>
    </xf>
    <xf numFmtId="0" fontId="46" fillId="36" borderId="24" xfId="0" applyFont="1" applyFill="1" applyBorder="1" applyNumberFormat="1">
      <alignment horizontal="center" vertical="center" wrapText="1"/>
    </xf>
    <xf numFmtId="0" fontId="36" fillId="36" borderId="25" xfId="0" applyFont="1" applyFill="1" applyBorder="1" applyNumberFormat="1">
      <alignment vertical="top" wrapText="1"/>
    </xf>
    <xf numFmtId="0" fontId="36" fillId="36" borderId="0" xfId="0" applyFont="1" applyFill="1" applyNumberFormat="1">
      <alignment vertical="top" wrapText="1"/>
    </xf>
    <xf numFmtId="14" fontId="22" fillId="41" borderId="3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0" fontId="39" fillId="38" borderId="16" xfId="0" applyFont="1" applyFill="1" applyBorder="1" applyNumberFormat="1">
      <alignment vertical="center"/>
    </xf>
    <xf numFmtId="0" fontId="47" fillId="0" borderId="0" xfId="0" applyFont="1" applyNumberFormat="1">
      <alignment vertical="center"/>
    </xf>
    <xf numFmtId="0" fontId="46"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0" fontId="86" fillId="0" borderId="0" xfId="0" applyFont="1" applyNumberFormat="1">
      <alignment vertical="center" wrapText="1"/>
    </xf>
    <xf numFmtId="0" fontId="94" fillId="0" borderId="0" xfId="0" applyFont="1" applyNumberFormat="1">
      <alignment vertical="center" wrapText="1"/>
    </xf>
    <xf numFmtId="0" fontId="45" fillId="0" borderId="0" xfId="0" applyFont="1" applyNumberFormat="1">
      <alignment vertical="center" wrapText="1"/>
    </xf>
    <xf numFmtId="0" fontId="86" fillId="0" borderId="0" xfId="0" applyFont="1" applyNumberFormat="1">
      <alignment horizontal="center" vertical="center" wrapText="1"/>
    </xf>
    <xf numFmtId="0" fontId="45" fillId="0" borderId="0" xfId="0" applyFont="1" applyNumberFormat="1">
      <alignment vertical="center" wrapText="1"/>
    </xf>
    <xf numFmtId="14" fontId="22" fillId="36" borderId="0" xfId="0" applyFont="1" applyFill="1" applyNumberFormat="1">
      <alignment horizontal="left" vertical="center" wrapText="1"/>
    </xf>
    <xf numFmtId="49" fontId="0" fillId="0" borderId="13" xfId="0" applyFont="1" applyBorder="1" applyNumberFormat="1">
      <alignment horizontal="left" vertical="center" wrapText="1"/>
    </xf>
    <xf numFmtId="49" fontId="22"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0" borderId="15" xfId="0" applyFont="1" applyFill="1" applyBorder="1" applyNumberFormat="1">
      <alignment horizontal="left" vertical="center" wrapText="1" indent="2"/>
      <protection locked="0"/>
    </xf>
    <xf numFmtId="0" fontId="22" fillId="0" borderId="16" xfId="0" applyFont="1" applyBorder="1" applyNumberFormat="1">
      <alignment horizontal="right" vertical="center" wrapText="1" indent="1"/>
    </xf>
    <xf numFmtId="0" fontId="22" fillId="0" borderId="14" xfId="0" applyFont="1" applyBorder="1" applyNumberFormat="1">
      <alignment horizontal="right" vertical="center" wrapText="1" indent="1"/>
    </xf>
    <xf numFmtId="0" fontId="95" fillId="36" borderId="0" xfId="0" applyFont="1" applyFill="1" applyNumberFormat="1">
      <alignment horizontal="right" vertical="center"/>
    </xf>
    <xf numFmtId="49" fontId="93" fillId="0" borderId="14" xfId="0" applyFont="1" applyBorder="1" applyNumberFormat="1">
      <alignment horizontal="left" vertical="top" wrapText="1"/>
    </xf>
    <xf numFmtId="49" fontId="93" fillId="0" borderId="15" xfId="0" applyFont="1" applyBorder="1" applyNumberFormat="1">
      <alignment horizontal="left" vertical="top" wrapText="1"/>
    </xf>
    <xf numFmtId="0" fontId="93" fillId="0" borderId="18" xfId="0" applyFont="1" applyBorder="1" applyNumberFormat="1">
      <alignment vertical="top" wrapText="1"/>
    </xf>
    <xf numFmtId="0" fontId="93" fillId="0" borderId="37" xfId="0" applyFont="1" applyBorder="1" applyNumberFormat="1">
      <alignment horizontal="left" vertical="top" wrapText="1"/>
    </xf>
    <xf numFmtId="49" fontId="93" fillId="0" borderId="31" xfId="0" applyFont="1" applyBorder="1" applyNumberFormat="1">
      <alignment horizontal="left" vertical="top" wrapText="1"/>
    </xf>
    <xf numFmtId="49" fontId="45" fillId="0" borderId="0" xfId="0" applyFont="1" applyNumberFormat="1">
      <alignment horizontal="center" vertical="center" wrapText="1"/>
    </xf>
    <xf numFmtId="49" fontId="46" fillId="0" borderId="0" xfId="0" applyFont="1" applyNumberFormat="1">
      <alignment horizontal="center" vertical="center" wrapText="1"/>
    </xf>
    <xf numFmtId="0" fontId="22" fillId="0" borderId="13" xfId="0" applyFont="1" applyBorder="1" applyNumberFormat="1">
      <alignment horizontal="left" vertical="center" wrapText="1"/>
    </xf>
    <xf numFmtId="49" fontId="93" fillId="0" borderId="13" xfId="0" applyFont="1" applyBorder="1" applyNumberFormat="1">
      <alignment horizontal="center" vertical="top" wrapText="1"/>
    </xf>
    <xf numFmtId="0" fontId="93" fillId="42" borderId="13" xfId="0" applyFont="1" applyFill="1" applyBorder="1" applyNumberFormat="1">
      <alignment horizontal="center" vertical="center" wrapText="1"/>
    </xf>
    <xf numFmtId="49" fontId="93" fillId="0" borderId="38" xfId="0" applyFont="1" applyBorder="1" applyNumberFormat="1">
      <alignment horizontal="center" vertical="top" wrapText="1"/>
    </xf>
    <xf numFmtId="49" fontId="93" fillId="0" borderId="18" xfId="0" applyFont="1" applyBorder="1" applyNumberFormat="1">
      <alignment horizontal="center" vertical="top" wrapText="1"/>
    </xf>
    <xf numFmtId="49" fontId="39" fillId="38" borderId="15" xfId="0" applyFont="1" applyFill="1" applyBorder="1" applyNumberFormat="1">
      <alignment horizontal="left" vertical="center" indent="1"/>
    </xf>
    <xf numFmtId="0" fontId="0" fillId="36" borderId="18" xfId="0" applyFont="1" applyFill="1" applyBorder="1" applyNumberFormat="1">
      <alignment horizontal="center" vertical="center" wrapText="1"/>
    </xf>
    <xf numFmtId="0" fontId="22" fillId="36" borderId="18" xfId="0" applyFont="1" applyFill="1" applyBorder="1" applyNumberFormat="1">
      <alignment horizontal="center" vertical="center" wrapText="1"/>
    </xf>
    <xf numFmtId="49" fontId="96"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6" borderId="0" xfId="0" applyFont="1" applyFill="1" applyNumberFormat="1">
      <alignment vertical="center" wrapText="1"/>
    </xf>
    <xf numFmtId="0" fontId="22" fillId="0" borderId="39" xfId="0" applyFont="1" applyBorder="1" applyNumberFormat="1">
      <alignment vertical="center" wrapText="1"/>
    </xf>
    <xf numFmtId="0" fontId="45" fillId="0" borderId="0" xfId="0" applyFont="1" applyNumberFormat="1">
      <alignment vertical="center" wrapText="1"/>
    </xf>
    <xf numFmtId="49" fontId="22" fillId="0" borderId="0" xfId="0" applyFont="1" applyNumberFormat="1">
      <alignment vertical="top"/>
    </xf>
    <xf numFmtId="0" fontId="22" fillId="36"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2" fillId="38" borderId="30" xfId="0" applyFont="1" applyFill="1" applyBorder="1" applyNumberFormat="1">
      <alignment vertical="center" wrapText="1"/>
    </xf>
    <xf numFmtId="0" fontId="22" fillId="0" borderId="0" xfId="0" applyFont="1" applyNumberFormat="1">
      <alignment vertical="center" wrapText="1"/>
    </xf>
    <xf numFmtId="0" fontId="22" fillId="36" borderId="40" xfId="0" applyFont="1" applyFill="1" applyBorder="1" applyNumberFormat="1">
      <alignment vertical="center" wrapText="1"/>
    </xf>
    <xf numFmtId="0" fontId="48" fillId="36" borderId="40" xfId="0" applyFont="1" applyFill="1" applyBorder="1" applyNumberFormat="1">
      <alignment horizontal="center" wrapText="1"/>
    </xf>
    <xf numFmtId="49" fontId="71" fillId="0" borderId="40" xfId="0" applyFont="1" applyBorder="1" applyNumberFormat="1">
      <alignment vertical="top"/>
    </xf>
    <xf numFmtId="49" fontId="44" fillId="0" borderId="0" xfId="0" applyFont="1" applyNumberFormat="1">
      <alignment vertical="center"/>
    </xf>
    <xf numFmtId="49" fontId="97"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7"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7" fillId="0" borderId="0" xfId="0" applyFont="1" applyNumberFormat="1">
      <alignment horizontal="center" vertical="center" wrapText="1"/>
    </xf>
    <xf numFmtId="49" fontId="44" fillId="0" borderId="0" xfId="0" applyFont="1" applyNumberFormat="1">
      <alignment horizontal="center" vertical="center" wrapText="1"/>
    </xf>
    <xf numFmtId="49" fontId="97" fillId="0" borderId="0" xfId="0" applyFont="1" applyNumberFormat="1">
      <alignment horizontal="center" vertical="center" wrapText="1"/>
    </xf>
    <xf numFmtId="0" fontId="44" fillId="0" borderId="0" xfId="0" applyFont="1" applyNumberFormat="1">
      <alignment horizontal="center" vertical="center" wrapText="1"/>
    </xf>
    <xf numFmtId="49" fontId="97" fillId="0" borderId="0" xfId="0" applyFont="1" applyNumberFormat="1">
      <alignment vertical="center" wrapText="1"/>
    </xf>
    <xf numFmtId="49" fontId="44" fillId="36" borderId="0" xfId="0" applyFont="1" applyFill="1" applyNumberFormat="1">
      <alignment vertical="center" wrapText="1"/>
    </xf>
    <xf numFmtId="49" fontId="44" fillId="0" borderId="0" xfId="0" applyFont="1" applyNumberFormat="1">
      <alignment vertical="top"/>
    </xf>
    <xf numFmtId="49" fontId="44" fillId="36" borderId="0" xfId="0" applyFont="1" applyFill="1" applyNumberFormat="1">
      <alignment vertical="center"/>
    </xf>
    <xf numFmtId="49" fontId="97" fillId="0" borderId="0" xfId="0" applyFont="1" applyNumberFormat="1">
      <alignment vertical="center"/>
    </xf>
    <xf numFmtId="49" fontId="44" fillId="0" borderId="0" xfId="0" applyFont="1" applyNumberFormat="1">
      <alignment vertical="top"/>
    </xf>
    <xf numFmtId="4" fontId="44" fillId="36"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6" borderId="0" xfId="0" applyFont="1" applyFill="1" applyNumberFormat="1">
      <alignment horizontal="center" vertical="center" wrapText="1"/>
    </xf>
    <xf numFmtId="49" fontId="46" fillId="0" borderId="14" xfId="0" applyFont="1" applyBorder="1" applyNumberFormat="1">
      <alignment horizontal="left" vertical="center" indent="1"/>
    </xf>
    <xf numFmtId="0" fontId="22" fillId="0" borderId="25" xfId="0" applyFont="1" applyBorder="1" applyNumberFormat="1">
      <alignment vertical="top" wrapText="1"/>
    </xf>
    <xf numFmtId="0" fontId="22" fillId="0" borderId="15"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3" xfId="0" applyFont="1" applyBorder="1" applyNumberFormat="1">
      <alignment horizontal="center" vertical="center" wrapText="1"/>
    </xf>
    <xf numFmtId="49" fontId="45" fillId="0" borderId="0" xfId="0" applyFont="1" applyNumberFormat="1">
      <alignment horizontal="center" vertical="center" wrapText="1"/>
    </xf>
    <xf numFmtId="49" fontId="46" fillId="0" borderId="0" xfId="0" applyFont="1" applyNumberFormat="1">
      <alignment horizontal="center" vertical="center" wrapText="1"/>
    </xf>
    <xf numFmtId="49" fontId="22" fillId="0" borderId="13" xfId="0" applyFont="1" applyBorder="1" applyNumberFormat="1">
      <alignment horizontal="center" vertical="center" wrapText="1"/>
    </xf>
    <xf numFmtId="0" fontId="22" fillId="0" borderId="13" xfId="0" applyFont="1" applyBorder="1" applyNumberFormat="1">
      <alignment horizontal="left" vertical="center" wrapText="1" indent="1"/>
    </xf>
    <xf numFmtId="49" fontId="22" fillId="40" borderId="13"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89" fillId="0" borderId="13" xfId="0" applyFont="1" applyBorder="1" applyNumberFormat="1">
      <alignment horizontal="center" vertical="center" wrapText="1"/>
    </xf>
    <xf numFmtId="0" fontId="89" fillId="0" borderId="13" xfId="0" applyFont="1" applyBorder="1" applyNumberFormat="1">
      <alignment horizontal="center" vertical="center" wrapText="1"/>
    </xf>
    <xf numFmtId="49" fontId="89" fillId="0" borderId="18" xfId="0" applyFont="1" applyBorder="1" applyNumberFormat="1">
      <alignment horizontal="center" vertical="center" wrapText="1"/>
    </xf>
    <xf numFmtId="49" fontId="89" fillId="0" borderId="24" xfId="0" applyFont="1" applyBorder="1" applyNumberFormat="1">
      <alignment horizontal="center" vertical="center" wrapText="1"/>
    </xf>
    <xf numFmtId="0" fontId="89" fillId="0" borderId="18" xfId="0" applyFont="1" applyBorder="1" applyNumberFormat="1">
      <alignment horizontal="center" vertical="center" wrapText="1"/>
    </xf>
    <xf numFmtId="49" fontId="93" fillId="0" borderId="23" xfId="0" applyFont="1" applyBorder="1" applyNumberFormat="1">
      <alignment horizontal="center" vertical="top" wrapText="1"/>
    </xf>
    <xf numFmtId="49" fontId="93" fillId="0" borderId="37" xfId="0" applyFont="1" applyBorder="1" applyNumberFormat="1">
      <alignment horizontal="left" vertical="top" wrapText="1"/>
    </xf>
    <xf numFmtId="0" fontId="89" fillId="0" borderId="13" xfId="0" applyFont="1" applyBorder="1" applyNumberFormat="1">
      <alignment vertical="center" wrapText="1"/>
    </xf>
    <xf numFmtId="0" fontId="89" fillId="0" borderId="18" xfId="0" applyFont="1" applyBorder="1" applyNumberFormat="1">
      <alignment vertical="center" wrapText="1"/>
    </xf>
    <xf numFmtId="0" fontId="89" fillId="0" borderId="24" xfId="0" applyFont="1" applyBorder="1" applyNumberFormat="1">
      <alignment vertical="center" wrapText="1"/>
    </xf>
    <xf numFmtId="49" fontId="89" fillId="0" borderId="13" xfId="0" applyFont="1" applyBorder="1" applyNumberFormat="1">
      <alignment horizontal="left" vertical="top" wrapText="1"/>
    </xf>
    <xf numFmtId="167" fontId="22" fillId="40" borderId="18" xfId="0" applyFont="1" applyFill="1" applyBorder="1" applyNumberFormat="1">
      <alignment horizontal="right" vertical="center" wrapText="1"/>
      <protection locked="0"/>
    </xf>
    <xf numFmtId="0" fontId="22" fillId="0" borderId="14" xfId="0" applyFont="1" applyBorder="1" applyNumberFormat="1">
      <alignment horizontal="center" vertical="center" wrapText="1"/>
    </xf>
    <xf numFmtId="0" fontId="22" fillId="0" borderId="21" xfId="0" applyFont="1" applyBorder="1" applyNumberFormat="1">
      <alignment horizontal="center" vertical="center" wrapText="1"/>
    </xf>
    <xf numFmtId="49" fontId="22" fillId="38" borderId="38" xfId="0" applyFont="1" applyFill="1" applyBorder="1" applyNumberFormat="1">
      <alignment vertical="center" wrapText="1"/>
    </xf>
    <xf numFmtId="49" fontId="39" fillId="38" borderId="20" xfId="0" applyFont="1" applyFill="1" applyBorder="1" applyNumberFormat="1">
      <alignment horizontal="left" vertical="center" indent="1"/>
    </xf>
    <xf numFmtId="49" fontId="22" fillId="38" borderId="38" xfId="0" applyFont="1" applyFill="1" applyBorder="1" applyNumberFormat="1">
      <alignment vertical="center" wrapText="1"/>
    </xf>
    <xf numFmtId="49" fontId="39" fillId="38" borderId="20" xfId="0" applyFont="1" applyFill="1" applyBorder="1" applyNumberFormat="1">
      <alignment horizontal="left" vertical="center" indent="1"/>
    </xf>
    <xf numFmtId="0" fontId="70" fillId="0" borderId="0" xfId="0" applyFont="1" applyNumberFormat="1">
      <alignment horizontal="center" vertical="center" wrapText="1"/>
    </xf>
    <xf numFmtId="4" fontId="22" fillId="40" borderId="14" xfId="0" applyFont="1" applyFill="1" applyBorder="1" applyNumberFormat="1">
      <alignment horizontal="right" vertical="center" wrapText="1"/>
      <protection locked="0"/>
    </xf>
    <xf numFmtId="167" fontId="22" fillId="40" borderId="14" xfId="0" applyFont="1" applyFill="1" applyBorder="1" applyNumberFormat="1">
      <alignment horizontal="right" vertical="center" wrapText="1"/>
      <protection locked="0"/>
    </xf>
    <xf numFmtId="167" fontId="22" fillId="35" borderId="14" xfId="0" applyFont="1" applyFill="1" applyBorder="1" applyNumberFormat="1">
      <alignment horizontal="right" vertical="center" wrapText="1"/>
    </xf>
    <xf numFmtId="4" fontId="22" fillId="40" borderId="30" xfId="0" applyFont="1" applyFill="1" applyBorder="1" applyNumberFormat="1">
      <alignment horizontal="right" vertical="center" wrapText="1"/>
      <protection locked="0"/>
    </xf>
    <xf numFmtId="49" fontId="89" fillId="42" borderId="13" xfId="0" applyFont="1" applyFill="1" applyBorder="1" applyNumberFormat="1">
      <alignment horizontal="center" vertical="top"/>
    </xf>
    <xf numFmtId="49" fontId="93" fillId="0" borderId="0" xfId="0" applyFont="1" applyNumberFormat="1">
      <alignment vertical="top"/>
    </xf>
    <xf numFmtId="49" fontId="89" fillId="0" borderId="13" xfId="0" applyFont="1" applyBorder="1" applyNumberFormat="1">
      <alignment horizontal="center" vertical="top" wrapText="1"/>
    </xf>
    <xf numFmtId="49" fontId="89" fillId="0" borderId="13" xfId="0" applyFont="1" applyBorder="1" applyNumberFormat="1">
      <alignment vertical="top" wrapText="1"/>
    </xf>
    <xf numFmtId="0" fontId="89" fillId="0" borderId="13" xfId="0" applyFont="1" applyBorder="1" applyNumberFormat="1">
      <alignment vertical="top" wrapText="1"/>
    </xf>
    <xf numFmtId="49" fontId="89" fillId="0" borderId="13" xfId="0" applyFont="1" applyBorder="1" applyNumberFormat="1">
      <alignment vertical="top"/>
    </xf>
    <xf numFmtId="49" fontId="93" fillId="0" borderId="13" xfId="0" applyFont="1" applyBorder="1" applyNumberFormat="1">
      <alignment vertical="top"/>
    </xf>
    <xf numFmtId="49" fontId="89" fillId="0" borderId="0" xfId="0" applyFont="1" applyNumberFormat="1">
      <alignment horizontal="center" vertical="center" wrapText="1"/>
    </xf>
    <xf numFmtId="49" fontId="89" fillId="0" borderId="0" xfId="0" applyFont="1" applyNumberFormat="1">
      <alignment horizontal="left" vertical="center" wrapText="1"/>
    </xf>
    <xf numFmtId="49" fontId="89" fillId="34" borderId="0" xfId="0" applyFont="1" applyFill="1" applyNumberFormat="1">
      <alignment horizontal="center" vertical="center" wrapText="1"/>
    </xf>
    <xf numFmtId="0" fontId="89" fillId="0" borderId="0" xfId="0" applyFont="1" applyNumberFormat="1">
      <alignment vertical="center" wrapText="1"/>
    </xf>
    <xf numFmtId="0" fontId="46" fillId="0" borderId="13" xfId="0" applyFont="1" applyBorder="1" applyNumberFormat="1">
      <alignment horizontal="left" vertical="center" wrapText="1" indent="3"/>
    </xf>
    <xf numFmtId="49" fontId="46" fillId="0" borderId="13" xfId="0" applyFont="1" applyBorder="1" applyNumberFormat="1">
      <alignment vertical="center" wrapText="1"/>
    </xf>
    <xf numFmtId="0" fontId="46" fillId="0" borderId="18" xfId="0" applyFont="1" applyBorder="1" applyNumberFormat="1">
      <alignment vertical="top" wrapText="1"/>
    </xf>
    <xf numFmtId="0" fontId="46" fillId="0" borderId="37" xfId="0" applyFont="1" applyBorder="1" applyNumberFormat="1">
      <alignment horizontal="left" vertical="center" wrapText="1" indent="1"/>
    </xf>
    <xf numFmtId="0" fontId="46" fillId="0" borderId="37" xfId="0" applyFont="1" applyBorder="1" applyNumberFormat="1">
      <alignment horizontal="center" vertical="center" wrapText="1"/>
    </xf>
    <xf numFmtId="0" fontId="46" fillId="0" borderId="18" xfId="0" applyFont="1" applyBorder="1" applyNumberFormat="1">
      <alignment vertical="center" wrapText="1"/>
    </xf>
    <xf numFmtId="0" fontId="46" fillId="0" borderId="24" xfId="0" applyFont="1" applyBorder="1" applyNumberFormat="1">
      <alignment horizontal="left" vertical="center" wrapText="1" indent="1"/>
    </xf>
    <xf numFmtId="0" fontId="46" fillId="0" borderId="18" xfId="0" applyFont="1" applyBorder="1" applyNumberFormat="1">
      <alignment horizontal="left" vertical="center" wrapText="1" indent="1"/>
    </xf>
    <xf numFmtId="49" fontId="93" fillId="42" borderId="13" xfId="0" applyFont="1" applyFill="1" applyBorder="1" applyNumberFormat="1">
      <alignment horizontal="center" vertical="top" wrapText="1"/>
    </xf>
    <xf numFmtId="49" fontId="93" fillId="42" borderId="13" xfId="0" applyFont="1" applyFill="1" applyBorder="1" applyNumberFormat="1">
      <alignment horizontal="left" vertical="top" wrapText="1"/>
    </xf>
    <xf numFmtId="49" fontId="93" fillId="42" borderId="0" xfId="0" applyFont="1" applyFill="1" applyNumberFormat="1">
      <alignment horizontal="left" vertical="top" wrapText="1"/>
    </xf>
    <xf numFmtId="0" fontId="89" fillId="0" borderId="15" xfId="0" applyFont="1" applyBorder="1" applyNumberFormat="1">
      <alignment horizontal="center" vertical="center" wrapText="1"/>
    </xf>
    <xf numFmtId="0" fontId="22" fillId="0" borderId="24" xfId="0" applyFont="1" applyBorder="1" applyNumberFormat="1">
      <alignment vertical="top" wrapText="1"/>
    </xf>
    <xf numFmtId="0" fontId="22" fillId="0" borderId="24" xfId="0" applyFont="1" applyBorder="1" applyNumberFormat="1">
      <alignment vertical="top" wrapText="1"/>
    </xf>
    <xf numFmtId="0" fontId="89" fillId="0" borderId="15" xfId="0" applyFont="1" applyBorder="1" applyNumberFormat="1">
      <alignment horizontal="center" vertical="center"/>
    </xf>
    <xf numFmtId="49" fontId="46" fillId="36" borderId="13" xfId="0" applyFont="1" applyFill="1" applyBorder="1" applyNumberFormat="1">
      <alignment horizontal="center" vertical="center"/>
    </xf>
    <xf numFmtId="0" fontId="46" fillId="36" borderId="13" xfId="0" applyFont="1" applyFill="1" applyBorder="1" applyNumberFormat="1">
      <alignment horizontal="left" vertical="center" wrapText="1" indent="1"/>
    </xf>
    <xf numFmtId="0" fontId="46" fillId="36" borderId="13" xfId="0" applyFont="1" applyFill="1" applyBorder="1" applyNumberFormat="1">
      <alignment vertical="center" wrapText="1"/>
    </xf>
    <xf numFmtId="49" fontId="46" fillId="0" borderId="13" xfId="0" applyFont="1" applyBorder="1" applyNumberFormat="1">
      <alignment horizontal="center" vertical="center"/>
    </xf>
    <xf numFmtId="0" fontId="46" fillId="0" borderId="13" xfId="0" applyFont="1" applyBorder="1" applyNumberFormat="1">
      <alignment horizontal="left" vertical="center" wrapText="1" indent="1"/>
    </xf>
    <xf numFmtId="0" fontId="46" fillId="0" borderId="13" xfId="0" applyFont="1" applyBorder="1" applyNumberFormat="1">
      <alignment horizontal="left" vertical="center" wrapText="1"/>
    </xf>
    <xf numFmtId="0" fontId="46" fillId="0" borderId="13" xfId="0" applyFont="1" applyBorder="1" applyNumberFormat="1">
      <alignment vertical="center" wrapText="1"/>
    </xf>
    <xf numFmtId="0" fontId="46" fillId="0" borderId="13" xfId="0" applyFont="1" applyBorder="1" applyNumberFormat="1">
      <alignment horizontal="center" vertical="center" wrapText="1"/>
    </xf>
    <xf numFmtId="0" fontId="46" fillId="36" borderId="13" xfId="0" applyFont="1" applyFill="1" applyBorder="1" applyNumberFormat="1">
      <alignment horizontal="left" vertical="center" wrapText="1" indent="2"/>
    </xf>
    <xf numFmtId="49" fontId="46" fillId="0" borderId="13" xfId="0" applyFont="1" applyBorder="1" applyNumberFormat="1">
      <alignment horizontal="left" vertical="center" wrapText="1"/>
    </xf>
    <xf numFmtId="49" fontId="46" fillId="0" borderId="13" xfId="0" applyFont="1" applyBorder="1" applyNumberFormat="1">
      <alignment horizontal="left" vertical="center" wrapText="1"/>
    </xf>
    <xf numFmtId="2" fontId="22" fillId="0" borderId="24" xfId="0" applyFont="1" applyBorder="1" applyNumberFormat="1">
      <alignment horizontal="center" vertical="center" wrapText="1"/>
    </xf>
    <xf numFmtId="0" fontId="98" fillId="0" borderId="0" xfId="0" applyFont="1" applyNumberFormat="1">
      <alignment horizontal="center" vertical="center" wrapText="1"/>
    </xf>
    <xf numFmtId="0" fontId="99" fillId="36" borderId="0" xfId="0" applyFont="1" applyFill="1" applyNumberFormat="1">
      <alignment horizontal="right" vertical="center"/>
    </xf>
    <xf numFmtId="0" fontId="22" fillId="0" borderId="24" xfId="0" applyFont="1" applyBorder="1" applyNumberFormat="1">
      <alignment horizontal="left" vertical="center" wrapText="1"/>
    </xf>
    <xf numFmtId="49" fontId="45" fillId="0" borderId="0" xfId="0" applyFont="1" applyNumberFormat="1">
      <alignment horizontal="center" vertical="center" wrapText="1"/>
    </xf>
    <xf numFmtId="0" fontId="46" fillId="0" borderId="28" xfId="0" applyFont="1" applyBorder="1" applyNumberFormat="1">
      <alignment vertical="center" wrapText="1"/>
    </xf>
    <xf numFmtId="49" fontId="51" fillId="0" borderId="15" xfId="0" applyFont="1" applyBorder="1" applyNumberFormat="1">
      <alignment horizontal="left" vertical="center" wrapText="1"/>
    </xf>
    <xf numFmtId="49" fontId="51" fillId="0" borderId="16" xfId="0" applyFont="1" applyBorder="1" applyNumberFormat="1">
      <alignment horizontal="left" vertical="center" wrapText="1"/>
    </xf>
    <xf numFmtId="49" fontId="46" fillId="0" borderId="0" xfId="0" applyFont="1" applyNumberFormat="1">
      <alignment horizontal="center" vertical="center" wrapText="1"/>
    </xf>
    <xf numFmtId="0" fontId="46" fillId="0" borderId="0" xfId="0" applyFont="1" applyNumberFormat="1">
      <alignment horizontal="center" vertical="center" wrapText="1"/>
    </xf>
    <xf numFmtId="4" fontId="22" fillId="0" borderId="18" xfId="0" applyFont="1" applyBorder="1" applyNumberFormat="1">
      <alignment horizontal="center" vertical="center" wrapText="1"/>
    </xf>
    <xf numFmtId="4" fontId="22" fillId="0" borderId="33" xfId="0" applyFont="1" applyBorder="1" applyNumberFormat="1">
      <alignment horizontal="center" vertical="center" wrapText="1"/>
    </xf>
    <xf numFmtId="49" fontId="51" fillId="0" borderId="38" xfId="0" applyFont="1" applyBorder="1" applyNumberFormat="1">
      <alignment horizontal="left" vertical="center" wrapText="1"/>
    </xf>
    <xf numFmtId="49" fontId="51" fillId="0" borderId="31" xfId="0" applyFont="1" applyBorder="1" applyNumberFormat="1">
      <alignment horizontal="left" vertical="center" wrapText="1"/>
    </xf>
    <xf numFmtId="0" fontId="22" fillId="0" borderId="37" xfId="0" applyFont="1" applyBorder="1" applyNumberFormat="1">
      <alignment vertical="center" wrapText="1"/>
    </xf>
    <xf numFmtId="0" fontId="22" fillId="0" borderId="33" xfId="0" applyFont="1" applyBorder="1" applyNumberFormat="1">
      <alignment horizontal="left" vertical="center" wrapText="1"/>
    </xf>
    <xf numFmtId="49" fontId="45"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1" xfId="0" applyFont="1" applyBorder="1" applyNumberFormat="1">
      <alignment horizontal="center" vertical="center" wrapText="1"/>
    </xf>
    <xf numFmtId="0" fontId="46" fillId="0" borderId="0" xfId="0" applyFont="1" applyNumberFormat="1">
      <alignment horizontal="center" vertical="top"/>
    </xf>
    <xf numFmtId="49" fontId="46" fillId="0" borderId="0" xfId="0" applyFont="1" applyNumberFormat="1">
      <alignment vertical="top"/>
    </xf>
    <xf numFmtId="0" fontId="46" fillId="0" borderId="24" xfId="0" applyFont="1" applyBorder="1" applyNumberFormat="1">
      <alignment vertical="center" wrapText="1"/>
    </xf>
    <xf numFmtId="4" fontId="46" fillId="0" borderId="13" xfId="0" applyFont="1" applyBorder="1" applyNumberFormat="1">
      <alignment horizontal="right" vertical="center" wrapText="1"/>
    </xf>
    <xf numFmtId="2" fontId="46" fillId="0" borderId="24" xfId="0" applyFont="1" applyBorder="1" applyNumberFormat="1">
      <alignment horizontal="center" vertical="center" wrapText="1"/>
    </xf>
    <xf numFmtId="0" fontId="46" fillId="0" borderId="13" xfId="0" applyFont="1" applyBorder="1" applyNumberFormat="1">
      <alignment horizontal="left" vertical="center" wrapText="1"/>
    </xf>
    <xf numFmtId="49" fontId="46" fillId="0" borderId="15" xfId="0" applyFont="1" applyBorder="1" applyNumberFormat="1">
      <alignment horizontal="left" vertical="center"/>
    </xf>
    <xf numFmtId="49" fontId="46" fillId="0" borderId="16" xfId="0" applyFont="1" applyBorder="1" applyNumberFormat="1">
      <alignment horizontal="left" vertical="center" indent="1"/>
    </xf>
    <xf numFmtId="49" fontId="46" fillId="0" borderId="16" xfId="0" applyFont="1" applyBorder="1" applyNumberFormat="1">
      <alignment horizontal="left" vertical="center"/>
    </xf>
    <xf numFmtId="0" fontId="46" fillId="0" borderId="13" xfId="0" applyFont="1" applyBorder="1" applyNumberFormat="1">
      <alignment horizontal="left" vertical="center" indent="1"/>
    </xf>
    <xf numFmtId="49" fontId="39" fillId="0" borderId="20" xfId="0" applyFont="1" applyBorder="1" applyNumberFormat="1">
      <alignment horizontal="right" vertical="center"/>
    </xf>
    <xf numFmtId="0" fontId="22" fillId="41" borderId="13" xfId="0" applyFont="1" applyFill="1" applyBorder="1" applyNumberFormat="1">
      <alignment horizontal="left" vertical="center" wrapText="1" indent="1"/>
    </xf>
    <xf numFmtId="0" fontId="22" fillId="0" borderId="13" xfId="0" applyFont="1" applyBorder="1" applyNumberFormat="1">
      <alignment horizontal="center" vertical="center" wrapText="1"/>
    </xf>
    <xf numFmtId="0" fontId="46" fillId="0" borderId="0" xfId="0" applyFont="1" applyNumberFormat="1">
      <alignment horizontal="center" vertical="center" wrapText="1"/>
    </xf>
    <xf numFmtId="49" fontId="45" fillId="0" borderId="0" xfId="0" applyFont="1" applyNumberFormat="1">
      <alignment horizontal="center" vertical="center" wrapText="1"/>
    </xf>
    <xf numFmtId="49" fontId="46" fillId="0" borderId="0" xfId="0" applyFont="1" applyNumberFormat="1">
      <alignment horizontal="center" vertical="center" wrapText="1"/>
    </xf>
    <xf numFmtId="0" fontId="59" fillId="36" borderId="0" xfId="0" applyFont="1" applyFill="1" applyNumberFormat="1">
      <alignment horizontal="left" vertical="center" wrapText="1" indent="1"/>
    </xf>
    <xf numFmtId="0" fontId="22" fillId="0" borderId="0" xfId="0" applyFont="1" applyNumberFormat="1">
      <alignment horizontal="left" vertical="center" wrapText="1" indent="1"/>
    </xf>
    <xf numFmtId="49" fontId="51" fillId="37" borderId="14"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20" xfId="0" applyFont="1" applyBorder="1" applyNumberFormat="1">
      <alignment vertical="center" wrapText="1"/>
    </xf>
    <xf numFmtId="0" fontId="22" fillId="0" borderId="28" xfId="0" applyFont="1" applyBorder="1" applyNumberFormat="1">
      <alignment vertical="center" wrapText="1"/>
    </xf>
    <xf numFmtId="49" fontId="22" fillId="38" borderId="42" xfId="0" applyFont="1" applyFill="1" applyBorder="1" applyNumberFormat="1">
      <alignment horizontal="center" vertical="center" wrapText="1"/>
    </xf>
    <xf numFmtId="49" fontId="48" fillId="38" borderId="43" xfId="0" applyFont="1" applyFill="1" applyBorder="1" applyNumberFormat="1">
      <alignment horizontal="right" vertical="center" wrapText="1"/>
    </xf>
    <xf numFmtId="49" fontId="48" fillId="38" borderId="44"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pplyNumberFormat="1">
      <alignment vertical="center" wrapText="1"/>
    </xf>
    <xf numFmtId="49" fontId="92" fillId="0" borderId="0" xfId="0" applyFont="1" applyNumberFormat="1">
      <alignment vertical="center" wrapText="1"/>
    </xf>
    <xf numFmtId="49" fontId="0" fillId="0" borderId="0" xfId="0" applyFont="1" applyNumberFormat="1">
      <alignment vertical="center" wrapText="1"/>
    </xf>
    <xf numFmtId="49" fontId="31" fillId="44" borderId="0" xfId="0" applyFont="1" applyFill="1" applyNumberFormat="1">
      <alignment horizontal="center" vertical="center"/>
    </xf>
    <xf numFmtId="0" fontId="0" fillId="45" borderId="0" xfId="0" applyFont="1" applyFill="1" applyNumberFormat="1">
      <alignment horizontal="left" vertical="center"/>
    </xf>
    <xf numFmtId="0" fontId="0" fillId="46" borderId="13" xfId="0" applyFont="1" applyFill="1" applyBorder="1" applyNumberFormat="1">
      <alignment horizontal="center" vertical="center"/>
    </xf>
    <xf numFmtId="49" fontId="0" fillId="0" borderId="0" xfId="0" applyFont="1" applyNumberFormat="1">
      <alignment vertical="center"/>
    </xf>
    <xf numFmtId="49" fontId="45" fillId="44" borderId="13" xfId="0" applyFont="1" applyFill="1" applyBorder="1" applyNumberFormat="1">
      <alignment horizontal="center" vertical="center"/>
    </xf>
    <xf numFmtId="49" fontId="45" fillId="47" borderId="13" xfId="0" applyFont="1" applyFill="1" applyBorder="1" applyNumberFormat="1">
      <alignment horizontal="center" vertical="center"/>
    </xf>
    <xf numFmtId="49" fontId="0" fillId="48" borderId="13" xfId="0" applyFont="1" applyFill="1" applyBorder="1" applyNumberFormat="1">
      <alignment horizontal="center" vertical="center"/>
    </xf>
    <xf numFmtId="49" fontId="22" fillId="0" borderId="0" xfId="0" applyFont="1" applyNumberFormat="1">
      <alignment vertical="top"/>
    </xf>
    <xf numFmtId="0" fontId="22"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2" fillId="0" borderId="45" xfId="0" applyFont="1" applyBorder="1" applyNumberFormat="1">
      <alignment vertical="center"/>
    </xf>
    <xf numFmtId="49" fontId="22"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2" fillId="0" borderId="14" xfId="0" applyFont="1" applyBorder="1" applyNumberFormat="1">
      <alignment vertical="center"/>
    </xf>
    <xf numFmtId="49" fontId="22" fillId="0" borderId="13" xfId="0" applyFont="1" applyBorder="1" applyNumberFormat="1">
      <alignment vertical="center"/>
    </xf>
    <xf numFmtId="0" fontId="0" fillId="0" borderId="0" xfId="0" applyFont="1" applyNumberFormat="1">
      <alignment vertical="top"/>
    </xf>
    <xf numFmtId="0" fontId="22" fillId="0" borderId="13" xfId="0" applyFont="1" applyBorder="1" applyNumberFormat="1">
      <alignment vertical="top"/>
    </xf>
    <xf numFmtId="49" fontId="22" fillId="0" borderId="13" xfId="0" applyFont="1" applyBorder="1" applyNumberFormat="1">
      <alignment vertical="top"/>
    </xf>
    <xf numFmtId="0" fontId="22" fillId="0" borderId="0" xfId="0" applyFont="1" applyNumberFormat="1">
      <alignment vertical="center"/>
    </xf>
    <xf numFmtId="49" fontId="22" fillId="0" borderId="15"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2" fillId="0" borderId="18" xfId="0" applyFont="1" applyBorder="1" applyNumberFormat="1">
      <alignment vertical="center"/>
    </xf>
    <xf numFmtId="49" fontId="22" fillId="0" borderId="32" xfId="0" applyFont="1" applyBorder="1" applyNumberFormat="1">
      <alignment horizontal="center" vertical="center"/>
    </xf>
    <xf numFmtId="49" fontId="22" fillId="0" borderId="0" xfId="0" applyFont="1" applyNumberFormat="1">
      <alignment vertical="top"/>
    </xf>
    <xf numFmtId="49" fontId="0" fillId="37"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5"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0" fillId="0" borderId="47" xfId="0" applyFont="1" applyBorder="1" applyNumberFormat="1">
      <alignment horizontal="center" vertical="center"/>
    </xf>
    <xf numFmtId="0" fontId="0" fillId="0" borderId="47" xfId="0" applyFont="1" applyBorder="1" applyNumberFormat="1">
      <alignment horizontal="center" vertical="center"/>
    </xf>
    <xf numFmtId="49" fontId="31" fillId="44" borderId="13" xfId="0" applyFont="1" applyFill="1" applyBorder="1" applyNumberFormat="1">
      <alignment horizontal="right" vertical="center"/>
    </xf>
    <xf numFmtId="49" fontId="22" fillId="37" borderId="38" xfId="0" applyFont="1" applyFill="1" applyBorder="1" applyNumberFormat="1">
      <alignment vertical="top"/>
      <protection locked="0"/>
    </xf>
    <xf numFmtId="0" fontId="22" fillId="0" borderId="13" xfId="0" applyFont="1" applyBorder="1" applyNumberFormat="1">
      <alignment vertical="top"/>
    </xf>
    <xf numFmtId="49" fontId="22" fillId="42" borderId="24" xfId="0" applyFont="1" applyFill="1" applyBorder="1" applyNumberFormat="1">
      <alignment vertical="top"/>
    </xf>
    <xf numFmtId="49" fontId="22" fillId="42" borderId="13" xfId="0" applyFont="1" applyFill="1" applyBorder="1" applyNumberFormat="1">
      <alignment vertical="top"/>
    </xf>
    <xf numFmtId="0" fontId="0" fillId="0" borderId="33" xfId="0" applyFont="1" applyBorder="1" applyNumberFormat="1">
      <alignment horizontal="center" vertical="center"/>
    </xf>
    <xf numFmtId="49" fontId="0" fillId="0" borderId="0" xfId="0" applyFont="1" applyNumberFormat="1">
      <alignment vertical="center"/>
    </xf>
    <xf numFmtId="49" fontId="31" fillId="44" borderId="15" xfId="0" applyFont="1" applyFill="1" applyBorder="1" applyNumberFormat="1">
      <alignment horizontal="right" vertical="center"/>
    </xf>
    <xf numFmtId="0" fontId="0" fillId="45" borderId="0" xfId="0" applyFont="1" applyFill="1" applyNumberFormat="1">
      <alignment horizontal="right" vertical="center"/>
    </xf>
    <xf numFmtId="0" fontId="101" fillId="0" borderId="48" xfId="0" applyFont="1" applyBorder="1" applyNumberFormat="1">
      <alignment horizontal="left" vertical="center" indent="1"/>
    </xf>
    <xf numFmtId="0" fontId="101" fillId="0" borderId="49" xfId="0" applyFont="1" applyBorder="1" applyNumberFormat="1">
      <alignment horizontal="left" vertical="center" indent="1"/>
    </xf>
    <xf numFmtId="0" fontId="101" fillId="0" borderId="50" xfId="0" applyFont="1" applyBorder="1" applyNumberFormat="1">
      <alignment horizontal="left" vertical="center" indent="1"/>
    </xf>
    <xf numFmtId="0" fontId="22" fillId="36" borderId="0" xfId="0" applyFont="1" applyFill="1" applyNumberFormat="1">
      <alignment vertical="center" wrapText="1"/>
    </xf>
    <xf numFmtId="0" fontId="22" fillId="0" borderId="0" xfId="0" applyFont="1" applyNumberFormat="1">
      <alignment vertical="center" wrapText="1"/>
    </xf>
    <xf numFmtId="0" fontId="31" fillId="0" borderId="0" xfId="0" applyFont="1" applyNumberFormat="1">
      <alignment vertical="center" wrapText="1"/>
    </xf>
    <xf numFmtId="49" fontId="22" fillId="0" borderId="0" xfId="0" applyFont="1" applyNumberFormat="1">
      <alignment vertical="top"/>
    </xf>
    <xf numFmtId="0" fontId="45" fillId="0" borderId="0" xfId="0" applyFont="1" applyNumberFormat="1">
      <alignment vertical="center" wrapText="1"/>
    </xf>
    <xf numFmtId="49" fontId="96" fillId="0" borderId="0" xfId="0" applyFont="1" applyNumberFormat="1">
      <alignment horizontal="center" vertical="center" wrapText="1"/>
    </xf>
    <xf numFmtId="0" fontId="22" fillId="36" borderId="0" xfId="0" applyFont="1" applyFill="1" applyNumberFormat="1">
      <alignment vertical="center" wrapText="1"/>
    </xf>
    <xf numFmtId="0" fontId="22" fillId="0" borderId="0" xfId="0" applyFont="1" applyNumberFormat="1">
      <alignment vertical="center" wrapText="1"/>
    </xf>
    <xf numFmtId="0" fontId="48" fillId="36" borderId="40" xfId="0" applyFont="1" applyFill="1" applyBorder="1" applyNumberFormat="1">
      <alignment horizontal="center" wrapText="1"/>
    </xf>
    <xf numFmtId="49" fontId="71" fillId="0" borderId="40" xfId="0" applyFont="1" applyBorder="1" applyNumberFormat="1">
      <alignment vertical="top"/>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1" fillId="0" borderId="0" xfId="0" applyFont="1" applyNumberFormat="1">
      <alignment vertical="center" wrapText="1"/>
    </xf>
    <xf numFmtId="49" fontId="22" fillId="0" borderId="0" xfId="0" applyFont="1" applyNumberFormat="1">
      <alignment vertical="top"/>
    </xf>
    <xf numFmtId="0" fontId="45" fillId="0" borderId="0" xfId="0" applyFont="1" applyNumberFormat="1">
      <alignment vertical="center" wrapText="1"/>
    </xf>
    <xf numFmtId="0" fontId="22" fillId="0" borderId="13" xfId="0" applyFont="1" applyBorder="1" applyNumberFormat="1">
      <alignment horizontal="center" vertical="center" wrapText="1"/>
    </xf>
    <xf numFmtId="0" fontId="22" fillId="0" borderId="0" xfId="0" applyFont="1" applyNumberFormat="1">
      <alignment vertical="center" wrapText="1"/>
    </xf>
    <xf numFmtId="0" fontId="22" fillId="36" borderId="40" xfId="0" applyFont="1" applyFill="1" applyBorder="1" applyNumberFormat="1">
      <alignment vertical="center" wrapText="1"/>
    </xf>
    <xf numFmtId="0" fontId="22" fillId="0" borderId="0" xfId="0" applyFont="1" applyNumberFormat="1">
      <alignment vertical="center" wrapText="1"/>
    </xf>
    <xf numFmtId="0" fontId="31" fillId="0" borderId="0" xfId="0" applyFont="1" applyNumberFormat="1">
      <alignment vertical="center" wrapText="1"/>
    </xf>
    <xf numFmtId="49" fontId="22" fillId="0" borderId="0" xfId="0" applyFont="1" applyNumberFormat="1">
      <alignment vertical="top"/>
    </xf>
    <xf numFmtId="0" fontId="45"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6" borderId="40" xfId="0" applyFont="1" applyFill="1" applyBorder="1" applyNumberFormat="1">
      <alignment vertical="center" wrapText="1"/>
    </xf>
    <xf numFmtId="49" fontId="45" fillId="44" borderId="0" xfId="0" applyFont="1" applyFill="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0" xfId="0" applyFont="1" applyNumberFormat="1">
      <alignment vertical="center" wrapText="1"/>
    </xf>
    <xf numFmtId="0" fontId="31" fillId="0" borderId="0" xfId="0" applyFont="1" applyNumberFormat="1">
      <alignment vertical="center" wrapText="1"/>
    </xf>
    <xf numFmtId="49" fontId="22" fillId="0" borderId="0" xfId="0" applyFont="1" applyNumberFormat="1">
      <alignment vertical="top"/>
    </xf>
    <xf numFmtId="49" fontId="102" fillId="0" borderId="17" xfId="0" applyFont="1" applyBorder="1" applyNumberFormat="1">
      <alignment vertical="top"/>
    </xf>
    <xf numFmtId="0" fontId="0" fillId="0" borderId="0" xfId="0" applyFont="1" applyNumberFormat="1">
      <alignment vertical="top"/>
    </xf>
    <xf numFmtId="0" fontId="45" fillId="0" borderId="0" xfId="0" applyFont="1" applyNumberFormat="1">
      <alignment vertical="center" wrapText="1"/>
    </xf>
    <xf numFmtId="49" fontId="51" fillId="40" borderId="13" xfId="0" applyFont="1" applyFill="1" applyBorder="1" applyNumberFormat="1">
      <alignment horizontal="left" vertical="center" wrapText="1"/>
      <protection locked="0"/>
    </xf>
    <xf numFmtId="0" fontId="22" fillId="0" borderId="15" xfId="0" applyFont="1" applyBorder="1" applyNumberFormat="1">
      <alignment horizontal="left" vertical="center"/>
    </xf>
    <xf numFmtId="0" fontId="0" fillId="0" borderId="15" xfId="0" applyFont="1" applyBorder="1" applyNumberFormat="1">
      <alignment horizontal="left" vertical="center"/>
    </xf>
    <xf numFmtId="49" fontId="51" fillId="40" borderId="13" xfId="0" applyFont="1" applyFill="1" applyBorder="1" applyNumberFormat="1">
      <alignment horizontal="left" vertical="center" wrapText="1"/>
      <protection locked="0"/>
    </xf>
    <xf numFmtId="0" fontId="22" fillId="36" borderId="27" xfId="0" applyFont="1" applyFill="1" applyBorder="1" applyNumberFormat="1">
      <alignment horizontal="right" vertical="center" wrapText="1" indent="1"/>
    </xf>
    <xf numFmtId="49" fontId="45" fillId="0" borderId="0" xfId="0" applyFont="1" applyNumberFormat="1">
      <alignment horizontal="center" vertical="center" wrapText="1"/>
    </xf>
    <xf numFmtId="49" fontId="46" fillId="0" borderId="0" xfId="0" applyFont="1" applyNumberFormat="1">
      <alignment horizontal="center" vertical="center" wrapText="1"/>
    </xf>
    <xf numFmtId="49" fontId="39" fillId="38" borderId="16" xfId="0" applyFont="1" applyFill="1" applyBorder="1" applyNumberFormat="1">
      <alignment horizontal="left" vertical="center" indent="1"/>
    </xf>
    <xf numFmtId="4" fontId="22" fillId="40" borderId="32" xfId="0" applyFont="1" applyFill="1" applyBorder="1" applyNumberFormat="1">
      <alignment horizontal="right" vertical="center" wrapText="1"/>
      <protection locked="0"/>
    </xf>
    <xf numFmtId="0" fontId="22" fillId="36"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8" borderId="51" xfId="0" applyFont="1" applyFill="1" applyBorder="1" applyNumberFormat="1">
      <alignment vertical="center" wrapText="1"/>
    </xf>
    <xf numFmtId="0" fontId="22" fillId="38" borderId="52" xfId="0" applyFont="1" applyFill="1" applyBorder="1" applyNumberFormat="1">
      <alignment vertical="center" wrapText="1"/>
    </xf>
    <xf numFmtId="49" fontId="103" fillId="38" borderId="15" xfId="0" applyFont="1" applyFill="1" applyBorder="1" applyNumberFormat="1">
      <alignment horizontal="left" vertical="center" indent="1"/>
    </xf>
    <xf numFmtId="49" fontId="103" fillId="38" borderId="16" xfId="0" applyFont="1" applyFill="1" applyBorder="1" applyNumberFormat="1">
      <alignment horizontal="left" vertical="center" indent="1"/>
    </xf>
    <xf numFmtId="49" fontId="92" fillId="38" borderId="44" xfId="0" applyFont="1" applyFill="1" applyBorder="1" applyNumberFormat="1">
      <alignment horizontal="center" vertical="center"/>
    </xf>
    <xf numFmtId="49" fontId="103" fillId="38" borderId="44" xfId="0" applyFont="1" applyFill="1" applyBorder="1" applyNumberFormat="1">
      <alignment horizontal="left" vertical="center" indent="1"/>
    </xf>
    <xf numFmtId="0" fontId="44" fillId="41" borderId="13" xfId="0" applyFont="1" applyFill="1" applyBorder="1" applyNumberFormat="1">
      <alignment horizontal="left" vertical="center" wrapText="1" indent="1"/>
    </xf>
    <xf numFmtId="49" fontId="44" fillId="38" borderId="16" xfId="0" applyFont="1" applyFill="1" applyBorder="1" applyNumberFormat="1">
      <alignment vertical="top" wrapText="1"/>
    </xf>
    <xf numFmtId="49" fontId="44" fillId="38" borderId="14" xfId="0" applyFont="1" applyFill="1" applyBorder="1" applyNumberFormat="1">
      <alignment vertical="top" wrapText="1"/>
    </xf>
    <xf numFmtId="49" fontId="44" fillId="38" borderId="53" xfId="0" applyFont="1" applyFill="1" applyBorder="1" applyNumberFormat="1">
      <alignment vertical="top" wrapText="1"/>
    </xf>
    <xf numFmtId="49" fontId="103" fillId="38" borderId="53" xfId="0" applyFont="1" applyFill="1" applyBorder="1" applyNumberFormat="1">
      <alignment horizontal="left" vertical="center" indent="1"/>
    </xf>
    <xf numFmtId="0" fontId="22"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2" fillId="0" borderId="50" xfId="0" applyFont="1" applyBorder="1" applyNumberFormat="1">
      <alignment vertical="center" wrapText="1"/>
    </xf>
    <xf numFmtId="0" fontId="22" fillId="0" borderId="54" xfId="0" applyFont="1" applyBorder="1" applyNumberFormat="1">
      <alignment vertical="center" wrapText="1"/>
    </xf>
    <xf numFmtId="0" fontId="22" fillId="0" borderId="55" xfId="0" applyFont="1" applyBorder="1" applyNumberFormat="1">
      <alignment vertical="center" wrapText="1"/>
    </xf>
    <xf numFmtId="0" fontId="22" fillId="41" borderId="13" xfId="0" applyFont="1" applyFill="1" applyBorder="1" applyNumberFormat="1">
      <alignment horizontal="left" vertical="center" wrapText="1" indent="1"/>
    </xf>
    <xf numFmtId="0" fontId="0" fillId="38" borderId="51" xfId="0" applyFont="1" applyFill="1" applyBorder="1" applyNumberFormat="1">
      <alignment horizontal="left" vertical="center"/>
    </xf>
    <xf numFmtId="0" fontId="22" fillId="36" borderId="13" xfId="0" applyFont="1" applyFill="1" applyBorder="1" applyNumberFormat="1">
      <alignment horizontal="center" vertical="center" wrapText="1"/>
    </xf>
    <xf numFmtId="49" fontId="35" fillId="0" borderId="13" xfId="0" applyFont="1" applyBorder="1" applyNumberFormat="1">
      <alignment horizontal="center" vertical="center"/>
    </xf>
    <xf numFmtId="49" fontId="35" fillId="42" borderId="13" xfId="0" applyFont="1" applyFill="1" applyBorder="1" applyNumberFormat="1">
      <alignment horizontal="center" vertical="center"/>
    </xf>
    <xf numFmtId="0" fontId="35" fillId="0" borderId="13" xfId="0" applyFont="1" applyBorder="1" applyNumberFormat="1">
      <alignment horizontal="center" vertical="center"/>
    </xf>
    <xf numFmtId="49" fontId="35" fillId="0" borderId="24" xfId="0" applyFont="1" applyBorder="1" applyNumberFormat="1">
      <alignment horizontal="center" vertical="center"/>
    </xf>
    <xf numFmtId="49" fontId="22" fillId="0" borderId="0" xfId="0" applyFont="1" applyNumberFormat="1">
      <alignment vertical="center"/>
    </xf>
    <xf numFmtId="49" fontId="45" fillId="0" borderId="18" xfId="0" applyFont="1" applyBorder="1" applyNumberFormat="1">
      <alignment horizontal="center" vertical="center"/>
    </xf>
    <xf numFmtId="49" fontId="22" fillId="0" borderId="18" xfId="0" applyFont="1" applyBorder="1" applyNumberFormat="1">
      <alignment horizontal="center" vertical="center"/>
    </xf>
    <xf numFmtId="0" fontId="22" fillId="0" borderId="18" xfId="0" applyFont="1" applyBorder="1" applyNumberFormat="1">
      <alignment horizontal="right" vertical="center"/>
    </xf>
    <xf numFmtId="0" fontId="22" fillId="0" borderId="18" xfId="0" applyFont="1" applyBorder="1" applyNumberFormat="1">
      <alignment horizontal="center" vertical="center"/>
    </xf>
    <xf numFmtId="0" fontId="22" fillId="0" borderId="13" xfId="0" applyFont="1" applyBorder="1" applyNumberFormat="1">
      <alignment horizontal="right" vertical="center"/>
    </xf>
    <xf numFmtId="49" fontId="22" fillId="0" borderId="0" xfId="0" applyFont="1" applyNumberFormat="1">
      <alignment vertical="center"/>
    </xf>
    <xf numFmtId="49" fontId="22" fillId="0" borderId="56" xfId="0" applyFont="1" applyBorder="1" applyNumberFormat="1">
      <alignment horizontal="center" vertical="center"/>
    </xf>
    <xf numFmtId="0" fontId="22" fillId="0" borderId="56" xfId="0" applyFont="1" applyBorder="1" applyNumberFormat="1">
      <alignment horizontal="right" vertical="center"/>
    </xf>
    <xf numFmtId="0" fontId="22" fillId="0" borderId="56" xfId="0" applyFont="1" applyBorder="1" applyNumberFormat="1">
      <alignment horizontal="center" vertical="center"/>
    </xf>
    <xf numFmtId="0" fontId="22" fillId="0" borderId="16" xfId="0" applyFont="1" applyBorder="1" applyNumberFormat="1">
      <alignment horizontal="right" vertical="center"/>
    </xf>
    <xf numFmtId="0" fontId="22" fillId="0" borderId="14" xfId="0" applyFont="1" applyBorder="1" applyNumberFormat="1">
      <alignment horizontal="right" vertical="center"/>
    </xf>
    <xf numFmtId="0" fontId="22" fillId="36" borderId="13" xfId="0" applyFont="1" applyFill="1" applyBorder="1" applyNumberFormat="1">
      <alignment horizontal="center" vertical="center"/>
    </xf>
    <xf numFmtId="0" fontId="22" fillId="41" borderId="13" xfId="0" applyFont="1" applyFill="1" applyBorder="1" applyNumberFormat="1">
      <alignment horizontal="left" vertical="center" wrapText="1" indent="1"/>
    </xf>
    <xf numFmtId="0" fontId="22" fillId="40" borderId="13" xfId="0" applyFont="1" applyFill="1" applyBorder="1" applyNumberFormat="1">
      <alignment horizontal="left" vertical="center" wrapText="1" indent="1"/>
      <protection locked="0"/>
    </xf>
    <xf numFmtId="0" fontId="22" fillId="42" borderId="13" xfId="0" applyFont="1" applyFill="1" applyBorder="1" applyNumberFormat="1">
      <alignment horizontal="right" vertical="center"/>
    </xf>
    <xf numFmtId="4" fontId="22" fillId="37" borderId="13" xfId="0" applyFont="1" applyFill="1" applyBorder="1" applyNumberFormat="1">
      <alignment horizontal="right" vertical="center"/>
      <protection locked="0"/>
    </xf>
    <xf numFmtId="49" fontId="39" fillId="38" borderId="57"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49" borderId="14" xfId="0" applyFont="1" applyFill="1" applyBorder="1" applyNumberFormat="1">
      <alignment horizontal="left" vertical="center" indent="1"/>
    </xf>
    <xf numFmtId="49" fontId="22" fillId="0" borderId="0" xfId="0" applyFont="1" applyNumberFormat="1">
      <alignment vertical="top"/>
    </xf>
    <xf numFmtId="0" fontId="22" fillId="45"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13" xfId="0" applyFont="1" applyBorder="1" applyNumberFormat="1">
      <alignment horizontal="left" vertical="center" wrapText="1"/>
    </xf>
    <xf numFmtId="0" fontId="22" fillId="36"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2" fillId="36" borderId="20" xfId="0" applyFont="1" applyFill="1" applyBorder="1" applyNumberFormat="1">
      <alignment vertical="center" wrapText="1"/>
    </xf>
    <xf numFmtId="49" fontId="46" fillId="0" borderId="0" xfId="0" applyFont="1" applyNumberFormat="1">
      <alignment vertical="top"/>
    </xf>
    <xf numFmtId="0" fontId="4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5" borderId="13" xfId="0" applyFont="1" applyFill="1" applyBorder="1" applyNumberFormat="1">
      <alignment horizontal="center" vertical="center"/>
    </xf>
    <xf numFmtId="49" fontId="22" fillId="0" borderId="23" xfId="0" applyFont="1" applyBorder="1" applyNumberFormat="1">
      <alignment vertical="top"/>
    </xf>
    <xf numFmtId="0" fontId="22" fillId="0" borderId="23" xfId="0" applyFont="1" applyBorder="1" applyNumberFormat="1">
      <alignment vertical="center" wrapText="1"/>
    </xf>
    <xf numFmtId="4" fontId="0" fillId="37" borderId="13" xfId="0" applyFont="1" applyFill="1" applyBorder="1" applyNumberFormat="1">
      <alignment horizontal="right" vertical="center" wrapText="1"/>
      <protection locked="0"/>
    </xf>
    <xf numFmtId="4" fontId="0" fillId="35"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2" fillId="0" borderId="39" xfId="0" applyFont="1" applyBorder="1" applyNumberFormat="1">
      <alignment vertical="center"/>
    </xf>
    <xf numFmtId="49" fontId="39" fillId="38" borderId="16" xfId="0" applyFont="1" applyFill="1" applyBorder="1" applyNumberFormat="1">
      <alignment horizontal="left" vertical="center" indent="1"/>
    </xf>
    <xf numFmtId="49" fontId="22" fillId="40" borderId="18" xfId="0" applyFont="1" applyFill="1" applyBorder="1" applyNumberFormat="1">
      <alignment horizontal="left" vertical="center" wrapText="1" indent="1"/>
      <protection locked="0"/>
    </xf>
    <xf numFmtId="0" fontId="30" fillId="0" borderId="0" xfId="0" applyFont="1" applyNumberFormat="1">
      <alignment vertical="center" wrapText="1"/>
    </xf>
    <xf numFmtId="0" fontId="22" fillId="36" borderId="28" xfId="0" applyFont="1" applyFill="1" applyBorder="1" applyNumberFormat="1">
      <alignment vertical="center" wrapText="1"/>
    </xf>
    <xf numFmtId="0" fontId="46" fillId="36" borderId="20" xfId="0" applyFont="1" applyFill="1" applyBorder="1" applyNumberFormat="1">
      <alignment horizontal="center" vertical="center" wrapText="1"/>
    </xf>
    <xf numFmtId="49" fontId="70" fillId="0" borderId="0" xfId="0" applyFont="1" applyNumberFormat="1">
      <alignment vertical="center" wrapText="1"/>
    </xf>
    <xf numFmtId="0" fontId="104" fillId="36" borderId="0" xfId="0" applyFont="1" applyFill="1" applyNumberFormat="1">
      <alignment vertical="center" wrapText="1"/>
    </xf>
    <xf numFmtId="0" fontId="22" fillId="0" borderId="0" xfId="0" applyFont="1" applyNumberFormat="1">
      <alignment vertical="center"/>
    </xf>
    <xf numFmtId="49" fontId="46" fillId="36" borderId="0" xfId="0" applyFont="1" applyFill="1" applyNumberFormat="1">
      <alignment horizontal="center" vertical="center" wrapText="1"/>
    </xf>
    <xf numFmtId="0" fontId="22" fillId="0" borderId="0" xfId="0" applyFont="1" applyNumberFormat="1">
      <alignment horizontal="left" vertical="center" wrapText="1"/>
    </xf>
    <xf numFmtId="0" fontId="46"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5" fillId="36" borderId="0" xfId="0" applyFont="1" applyFill="1" applyNumberFormat="1">
      <alignment vertical="center" wrapText="1"/>
    </xf>
    <xf numFmtId="49" fontId="78" fillId="36" borderId="20" xfId="0" applyFont="1" applyFill="1" applyBorder="1" applyNumberFormat="1">
      <alignment horizontal="center" vertical="center" wrapText="1"/>
    </xf>
    <xf numFmtId="0" fontId="78" fillId="36" borderId="20" xfId="0" applyFont="1" applyFill="1" applyBorder="1" applyNumberFormat="1">
      <alignment horizontal="center" vertical="center" wrapText="1"/>
    </xf>
    <xf numFmtId="166" fontId="22" fillId="37" borderId="13" xfId="0" applyFont="1" applyFill="1" applyBorder="1" applyNumberFormat="1">
      <alignment horizontal="right" vertical="center" wrapText="1"/>
      <protection locked="0"/>
    </xf>
    <xf numFmtId="0" fontId="44" fillId="0" borderId="13" xfId="0" applyFont="1" applyBorder="1" applyNumberFormat="1">
      <alignment vertical="top" wrapText="1"/>
    </xf>
    <xf numFmtId="0" fontId="22" fillId="0" borderId="0" xfId="0" applyFont="1" applyNumberFormat="1">
      <alignment vertical="center"/>
    </xf>
    <xf numFmtId="0" fontId="106" fillId="0" borderId="0" xfId="0" applyFont="1" applyNumberFormat="1">
      <alignment vertical="center"/>
    </xf>
    <xf numFmtId="0" fontId="106"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6"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7" fillId="38" borderId="16" xfId="0" applyFont="1" applyFill="1" applyBorder="1" applyNumberFormat="1">
      <alignment horizontal="left" vertical="center" indent="3"/>
    </xf>
    <xf numFmtId="49" fontId="70" fillId="38" borderId="16" xfId="0" applyFont="1" applyFill="1" applyBorder="1" applyNumberFormat="1">
      <alignment horizontal="center" vertical="center" wrapText="1"/>
    </xf>
    <xf numFmtId="49" fontId="65" fillId="38" borderId="16" xfId="0" applyFont="1" applyFill="1" applyBorder="1" applyNumberFormat="1">
      <alignment horizontal="center" vertical="center" wrapText="1"/>
    </xf>
    <xf numFmtId="49" fontId="65" fillId="38" borderId="14" xfId="0" applyFont="1" applyFill="1" applyBorder="1" applyNumberFormat="1">
      <alignment horizontal="center" vertical="center" wrapText="1"/>
    </xf>
    <xf numFmtId="49" fontId="107" fillId="38" borderId="16" xfId="0" applyFont="1" applyFill="1" applyBorder="1" applyNumberFormat="1">
      <alignment horizontal="left" vertical="center" indent="2"/>
    </xf>
    <xf numFmtId="49" fontId="107" fillId="38" borderId="16" xfId="0" applyFont="1" applyFill="1" applyBorder="1" applyNumberFormat="1">
      <alignment horizontal="left" vertical="center" indent="1"/>
    </xf>
    <xf numFmtId="49" fontId="107" fillId="38" borderId="16" xfId="0" applyFont="1" applyFill="1" applyBorder="1" applyNumberFormat="1">
      <alignment horizontal="left" vertical="center"/>
    </xf>
    <xf numFmtId="0" fontId="22" fillId="36" borderId="0" xfId="0" applyFont="1" applyFill="1" applyNumberFormat="1">
      <alignment horizontal="left" vertical="center" wrapText="1"/>
    </xf>
    <xf numFmtId="0" fontId="0" fillId="0" borderId="0" xfId="0" applyFont="1" applyNumberFormat="1">
      <alignment horizontal="left" vertical="center"/>
    </xf>
    <xf numFmtId="49" fontId="78" fillId="36" borderId="20" xfId="0" applyFont="1" applyFill="1" applyBorder="1" applyNumberFormat="1">
      <alignment horizontal="left" vertical="center" wrapText="1"/>
    </xf>
    <xf numFmtId="49" fontId="71" fillId="38" borderId="15" xfId="0" applyFont="1" applyFill="1" applyBorder="1" applyNumberFormat="1">
      <alignment horizontal="left" vertical="center"/>
    </xf>
    <xf numFmtId="49" fontId="99" fillId="38" borderId="15" xfId="0" applyFont="1" applyFill="1" applyBorder="1" applyNumberFormat="1">
      <alignment horizontal="left" vertical="center"/>
    </xf>
    <xf numFmtId="49" fontId="65" fillId="38" borderId="15" xfId="0" applyFont="1" applyFill="1" applyBorder="1" applyNumberFormat="1">
      <alignment horizontal="left" vertical="top"/>
    </xf>
    <xf numFmtId="0" fontId="0" fillId="45" borderId="0" xfId="0" applyFont="1" applyFill="1" applyNumberFormat="1">
      <alignment horizontal="right" vertical="center"/>
    </xf>
    <xf numFmtId="0" fontId="46" fillId="0" borderId="13" xfId="0" applyFont="1" applyBorder="1" applyNumberFormat="1">
      <alignment horizontal="center" vertical="center"/>
    </xf>
    <xf numFmtId="0" fontId="0" fillId="0" borderId="0" xfId="0" applyFont="1" applyNumberFormat="1">
      <alignment vertical="center"/>
    </xf>
    <xf numFmtId="0" fontId="22" fillId="0" borderId="13"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78" fillId="36" borderId="20" xfId="0" applyFont="1" applyFill="1" applyBorder="1" applyNumberFormat="1">
      <alignment horizontal="center"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0" fontId="0" fillId="0" borderId="13" xfId="0" applyFont="1" applyBorder="1" applyNumberFormat="1">
      <alignment horizontal="center" vertical="center" wrapText="1"/>
    </xf>
    <xf numFmtId="0" fontId="22" fillId="36" borderId="13" xfId="0" applyFont="1" applyFill="1" applyBorder="1" applyNumberFormat="1">
      <alignment horizontal="left" vertical="center" wrapText="1"/>
    </xf>
    <xf numFmtId="49" fontId="22" fillId="0" borderId="13" xfId="0" applyFont="1" applyBorder="1" applyNumberFormat="1">
      <alignment horizontal="left" vertical="center" wrapText="1"/>
    </xf>
    <xf numFmtId="0" fontId="52" fillId="45" borderId="0" xfId="0" applyFont="1" applyFill="1" applyNumberFormat="1">
      <alignment horizontal="left" vertical="center"/>
    </xf>
    <xf numFmtId="49" fontId="22" fillId="0" borderId="21" xfId="0" applyFont="1" applyBorder="1" applyNumberFormat="1">
      <alignment horizontal="left" vertical="center" wrapText="1"/>
    </xf>
    <xf numFmtId="0" fontId="39" fillId="0" borderId="0" xfId="0" applyFont="1" applyNumberFormat="1">
      <alignment horizontal="left" vertical="center"/>
    </xf>
    <xf numFmtId="0" fontId="39" fillId="0" borderId="25" xfId="0" applyFont="1" applyBorder="1" applyNumberFormat="1">
      <alignment horizontal="left" vertical="center"/>
    </xf>
    <xf numFmtId="0" fontId="39" fillId="0" borderId="31" xfId="0" applyFont="1" applyBorder="1" applyNumberFormat="1">
      <alignment horizontal="left" vertical="center"/>
    </xf>
    <xf numFmtId="0" fontId="39" fillId="0" borderId="28" xfId="0" applyFont="1" applyBorder="1" applyNumberFormat="1">
      <alignment horizontal="left" vertical="center"/>
    </xf>
    <xf numFmtId="0" fontId="0" fillId="0" borderId="28" xfId="0" applyFont="1" applyBorder="1" applyNumberFormat="1">
      <alignment vertical="center"/>
    </xf>
    <xf numFmtId="0" fontId="39" fillId="0" borderId="30"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0" fontId="44" fillId="0" borderId="18" xfId="0" applyFont="1" applyBorder="1" applyNumberFormat="1">
      <alignment vertical="top" wrapText="1"/>
    </xf>
    <xf numFmtId="0" fontId="0" fillId="0" borderId="0" xfId="0" applyFont="1" applyNumberFormat="1">
      <alignment vertical="center"/>
    </xf>
    <xf numFmtId="0" fontId="22" fillId="36" borderId="13"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78"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46" fillId="0" borderId="0" xfId="0" applyFont="1" applyNumberFormat="1">
      <alignment horizontal="left" vertical="center" indent="1"/>
    </xf>
    <xf numFmtId="0" fontId="46" fillId="0" borderId="0" xfId="0" applyFont="1" applyNumberFormat="1">
      <alignment horizontal="left" vertical="center" wrapText="1"/>
    </xf>
    <xf numFmtId="49" fontId="46" fillId="0" borderId="0" xfId="0" applyFont="1" applyNumberFormat="1">
      <alignment vertical="top"/>
    </xf>
    <xf numFmtId="49" fontId="105" fillId="0" borderId="0" xfId="0" applyFont="1" applyNumberFormat="1">
      <alignment vertical="top"/>
    </xf>
    <xf numFmtId="49" fontId="95" fillId="0" borderId="20" xfId="0" applyFont="1" applyBorder="1" applyNumberFormat="1">
      <alignment horizontal="left" vertical="center"/>
    </xf>
    <xf numFmtId="49" fontId="46" fillId="0" borderId="20" xfId="0" applyFont="1" applyBorder="1" applyNumberFormat="1">
      <alignment horizontal="left" vertical="center" indent="3"/>
    </xf>
    <xf numFmtId="49" fontId="46" fillId="0" borderId="20" xfId="0" applyFont="1" applyBorder="1" applyNumberFormat="1">
      <alignment horizontal="center" vertical="center" wrapText="1"/>
    </xf>
    <xf numFmtId="49" fontId="46" fillId="0" borderId="0" xfId="0" applyFont="1" applyNumberFormat="1">
      <alignment horizontal="left" vertical="center"/>
    </xf>
    <xf numFmtId="49" fontId="95" fillId="0" borderId="0" xfId="0" applyFont="1" applyNumberFormat="1">
      <alignment horizontal="left" vertical="center"/>
    </xf>
    <xf numFmtId="49" fontId="46" fillId="0" borderId="0" xfId="0" applyFont="1" applyNumberFormat="1">
      <alignment horizontal="left" vertical="center" indent="2"/>
    </xf>
    <xf numFmtId="49" fontId="46" fillId="0" borderId="0" xfId="0" applyFont="1" applyNumberFormat="1">
      <alignment horizontal="center" vertical="center" wrapText="1"/>
    </xf>
    <xf numFmtId="49" fontId="46"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5" fillId="0" borderId="0" xfId="0" applyFont="1" applyNumberFormat="1">
      <alignment horizontal="center" vertical="center" wrapText="1"/>
    </xf>
    <xf numFmtId="0" fontId="22" fillId="36" borderId="13" xfId="0" applyFont="1" applyFill="1" applyBorder="1" applyNumberFormat="1">
      <alignment horizontal="center" vertical="center" wrapText="1"/>
    </xf>
    <xf numFmtId="0" fontId="46"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4"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22" fillId="36" borderId="13" xfId="0" applyFont="1" applyFill="1" applyBorder="1" applyNumberFormat="1">
      <alignment horizontal="left" vertical="center" wrapText="1"/>
    </xf>
    <xf numFmtId="49" fontId="22"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46" fillId="0" borderId="0" xfId="0" applyFont="1" applyNumberFormat="1">
      <alignment horizontal="center" vertical="center"/>
    </xf>
    <xf numFmtId="0" fontId="22" fillId="0" borderId="0" xfId="0" applyFont="1" applyNumberFormat="1">
      <alignment horizontal="right" vertical="center" wrapText="1"/>
    </xf>
    <xf numFmtId="0" fontId="78" fillId="36" borderId="0" xfId="0" applyFont="1" applyFill="1" applyNumberFormat="1">
      <alignment horizontal="center" vertical="center" wrapText="1"/>
    </xf>
    <xf numFmtId="49" fontId="22" fillId="0" borderId="13" xfId="0" applyFont="1" applyBorder="1" applyNumberFormat="1">
      <alignment horizontal="left" vertical="center" wrapText="1"/>
    </xf>
    <xf numFmtId="0" fontId="46" fillId="0" borderId="0" xfId="0" applyFont="1" applyNumberFormat="1">
      <alignment horizontal="left" vertical="center" indent="1"/>
    </xf>
    <xf numFmtId="49" fontId="105" fillId="0" borderId="0" xfId="0" applyFont="1" applyNumberFormat="1">
      <alignment vertical="top"/>
    </xf>
    <xf numFmtId="49" fontId="22" fillId="0" borderId="13" xfId="0" applyFont="1" applyBorder="1" applyNumberFormat="1">
      <alignment vertical="center" wrapText="1"/>
    </xf>
    <xf numFmtId="0" fontId="46" fillId="0" borderId="0" xfId="0" applyFont="1" applyNumberFormat="1">
      <alignment horizontal="center" vertical="center"/>
    </xf>
    <xf numFmtId="0" fontId="22" fillId="41" borderId="13" xfId="0" applyFont="1" applyFill="1" applyBorder="1" applyNumberFormat="1">
      <alignment horizontal="left" vertical="center" wrapText="1" indent="6"/>
    </xf>
    <xf numFmtId="4" fontId="22" fillId="0" borderId="18" xfId="0" applyFont="1" applyBorder="1" applyNumberFormat="1">
      <alignment horizontal="right" vertical="center" wrapText="1"/>
    </xf>
    <xf numFmtId="4" fontId="22" fillId="0" borderId="24"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8"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46"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3" xfId="0" applyFont="1" applyBorder="1" applyNumberFormat="1">
      <alignment horizontal="center" vertical="center" wrapText="1"/>
    </xf>
    <xf numFmtId="0" fontId="22" fillId="36" borderId="13" xfId="0" applyFont="1" applyFill="1" applyBorder="1" applyNumberFormat="1">
      <alignment horizontal="left" vertical="center" wrapText="1"/>
    </xf>
    <xf numFmtId="49" fontId="22" fillId="0" borderId="13" xfId="0" applyFont="1" applyBorder="1" applyNumberFormat="1">
      <alignment horizontal="left" vertical="center" wrapText="1"/>
    </xf>
    <xf numFmtId="4" fontId="45" fillId="0" borderId="13" xfId="0" applyFont="1" applyBorder="1" applyNumberFormat="1">
      <alignment horizontal="right" vertical="center" wrapText="1"/>
    </xf>
    <xf numFmtId="166" fontId="45" fillId="0" borderId="13" xfId="0" applyFont="1" applyBorder="1" applyNumberFormat="1">
      <alignment horizontal="right" vertical="center" wrapText="1"/>
    </xf>
    <xf numFmtId="49" fontId="45" fillId="0" borderId="0" xfId="0" applyFont="1" applyNumberFormat="1">
      <alignment vertical="center" wrapText="1"/>
    </xf>
    <xf numFmtId="0" fontId="45" fillId="0" borderId="0" xfId="0" applyFont="1" applyNumberFormat="1">
      <alignment horizontal="left" vertical="center" indent="1"/>
    </xf>
    <xf numFmtId="0" fontId="45" fillId="0" borderId="0" xfId="0" applyFont="1" applyNumberFormat="1">
      <alignment horizontal="center" vertical="center"/>
    </xf>
    <xf numFmtId="0" fontId="45" fillId="0" borderId="0" xfId="0" applyFont="1" applyNumberFormat="1">
      <alignment horizontal="left" vertical="center" wrapText="1"/>
    </xf>
    <xf numFmtId="0" fontId="45" fillId="0" borderId="0" xfId="0" applyFont="1" applyNumberFormat="1">
      <alignment vertical="center" wrapText="1"/>
    </xf>
    <xf numFmtId="49" fontId="45" fillId="0" borderId="13" xfId="0" applyFont="1" applyBorder="1" applyNumberFormat="1">
      <alignment vertical="center" wrapText="1"/>
    </xf>
    <xf numFmtId="0" fontId="45" fillId="0" borderId="0" xfId="0" applyFont="1" applyNumberFormat="1">
      <alignment vertical="center"/>
    </xf>
    <xf numFmtId="0" fontId="45" fillId="0" borderId="0" xfId="0" applyFont="1" applyNumberFormat="1">
      <alignment horizontal="center" vertical="center"/>
    </xf>
    <xf numFmtId="0" fontId="45" fillId="0" borderId="0" xfId="0" applyFont="1" applyNumberFormat="1">
      <alignment vertical="center"/>
    </xf>
    <xf numFmtId="0" fontId="67" fillId="0" borderId="0" xfId="0" applyFont="1" applyNumberFormat="1">
      <alignment vertical="center" wrapText="1"/>
    </xf>
    <xf numFmtId="0" fontId="0" fillId="0" borderId="16" xfId="0" applyFont="1" applyBorder="1" applyNumberFormat="1">
      <alignment vertical="center"/>
    </xf>
    <xf numFmtId="0" fontId="46" fillId="0" borderId="13" xfId="0" applyFont="1" applyBorder="1" applyNumberFormat="1">
      <alignment horizontal="center" vertical="center" wrapText="1"/>
    </xf>
    <xf numFmtId="0" fontId="70" fillId="0" borderId="0" xfId="0" applyFont="1" applyNumberFormat="1">
      <alignment horizontal="left" vertical="center" indent="1"/>
    </xf>
    <xf numFmtId="0" fontId="70" fillId="0" borderId="0" xfId="0" applyFont="1" applyNumberFormat="1">
      <alignment horizontal="left" vertical="center" indent="1"/>
    </xf>
    <xf numFmtId="0" fontId="46" fillId="0" borderId="13" xfId="0" applyFont="1" applyBorder="1" applyNumberFormat="1">
      <alignment vertical="center" wrapText="1"/>
    </xf>
    <xf numFmtId="0" fontId="70" fillId="0" borderId="0" xfId="0" applyFont="1" applyNumberFormat="1">
      <alignment horizontal="center" vertical="center"/>
    </xf>
    <xf numFmtId="0" fontId="70" fillId="0" borderId="0" xfId="0" applyFont="1" applyNumberFormat="1">
      <alignment horizontal="left" vertical="center" wrapText="1"/>
    </xf>
    <xf numFmtId="49" fontId="70" fillId="0" borderId="0" xfId="0" applyFont="1" applyNumberFormat="1">
      <alignment horizontal="left" vertical="center"/>
    </xf>
    <xf numFmtId="0" fontId="22" fillId="0" borderId="0" xfId="0" applyFont="1" applyNumberFormat="1">
      <alignment horizontal="center" vertical="center"/>
    </xf>
    <xf numFmtId="0" fontId="70" fillId="0" borderId="0" xfId="0" applyFont="1" applyNumberFormat="1">
      <alignment horizontal="center" vertical="center"/>
    </xf>
    <xf numFmtId="4" fontId="22" fillId="0" borderId="14" xfId="0" applyFont="1" applyBorder="1" applyNumberFormat="1">
      <alignment horizontal="right" vertical="center" wrapText="1"/>
    </xf>
    <xf numFmtId="0" fontId="46" fillId="0" borderId="13" xfId="0" applyFont="1" applyBorder="1" applyNumberFormat="1">
      <alignment horizontal="left" vertical="center" wrapText="1" indent="4"/>
    </xf>
    <xf numFmtId="0" fontId="46" fillId="0" borderId="13" xfId="0" applyFont="1" applyBorder="1" applyNumberFormat="1">
      <alignment horizontal="left" vertical="center" wrapText="1" indent="6"/>
    </xf>
    <xf numFmtId="0" fontId="46" fillId="0" borderId="13" xfId="0" applyFont="1" applyBorder="1" applyNumberFormat="1">
      <alignment vertical="top" wrapText="1"/>
    </xf>
    <xf numFmtId="49" fontId="95" fillId="0" borderId="15" xfId="0" applyFont="1" applyBorder="1" applyNumberFormat="1">
      <alignment horizontal="left" vertical="center"/>
    </xf>
    <xf numFmtId="49" fontId="46" fillId="0" borderId="16" xfId="0" applyFont="1" applyBorder="1" applyNumberFormat="1">
      <alignment horizontal="left" vertical="center" indent="4"/>
    </xf>
    <xf numFmtId="49" fontId="46" fillId="0" borderId="16" xfId="0" applyFont="1" applyBorder="1" applyNumberFormat="1">
      <alignment horizontal="center" vertical="center" wrapText="1"/>
    </xf>
    <xf numFmtId="49" fontId="46" fillId="0" borderId="14" xfId="0" applyFont="1" applyBorder="1" applyNumberFormat="1">
      <alignment horizontal="center" vertical="center" wrapText="1"/>
    </xf>
    <xf numFmtId="4" fontId="22" fillId="0" borderId="37" xfId="0" applyFont="1" applyBorder="1" applyNumberFormat="1">
      <alignment horizontal="right" vertical="center" wrapText="1"/>
    </xf>
    <xf numFmtId="0" fontId="22" fillId="37" borderId="13" xfId="0" applyFont="1" applyFill="1" applyBorder="1" applyNumberFormat="1">
      <alignment horizontal="left" vertical="center" wrapText="1" indent="7"/>
      <protection locked="0"/>
    </xf>
    <xf numFmtId="0" fontId="22" fillId="38" borderId="16" xfId="0" applyFont="1" applyFill="1" applyBorder="1" applyNumberFormat="1">
      <alignment horizontal="left" vertical="center" wrapText="1" indent="6"/>
    </xf>
    <xf numFmtId="4" fontId="22" fillId="38" borderId="16" xfId="0" applyFont="1" applyFill="1" applyBorder="1" applyNumberFormat="1">
      <alignment horizontal="right" vertical="center" wrapText="1"/>
    </xf>
    <xf numFmtId="4" fontId="46" fillId="38" borderId="16" xfId="0" applyFont="1" applyFill="1" applyBorder="1" applyNumberFormat="1">
      <alignment horizontal="center" vertical="center" wrapText="1"/>
    </xf>
    <xf numFmtId="4" fontId="22" fillId="38" borderId="14" xfId="0" applyFont="1" applyFill="1" applyBorder="1" applyNumberFormat="1">
      <alignment horizontal="right" vertical="center" wrapText="1"/>
    </xf>
    <xf numFmtId="4" fontId="46" fillId="38" borderId="14" xfId="0" applyFont="1" applyFill="1" applyBorder="1" applyNumberFormat="1">
      <alignment horizontal="center" vertical="center" wrapText="1"/>
    </xf>
    <xf numFmtId="166" fontId="22" fillId="38" borderId="14" xfId="0" applyFont="1" applyFill="1" applyBorder="1" applyNumberFormat="1">
      <alignment horizontal="right" vertical="center" wrapText="1"/>
    </xf>
    <xf numFmtId="0" fontId="22" fillId="41" borderId="13" xfId="0" applyFont="1" applyFill="1" applyBorder="1" applyNumberFormat="1">
      <alignment horizontal="left" vertical="center" wrapText="1" indent="1"/>
    </xf>
    <xf numFmtId="0" fontId="46" fillId="0" borderId="13" xfId="0" applyFont="1" applyBorder="1" applyNumberFormat="1">
      <alignment horizontal="left" vertical="center" wrapText="1" indent="5"/>
    </xf>
    <xf numFmtId="49" fontId="70" fillId="0" borderId="25" xfId="0" applyFont="1" applyBorder="1" applyNumberFormat="1">
      <alignment vertical="top"/>
    </xf>
    <xf numFmtId="49" fontId="46" fillId="0" borderId="25" xfId="0" applyFont="1" applyBorder="1" applyNumberFormat="1">
      <alignment vertical="top"/>
    </xf>
    <xf numFmtId="0" fontId="22" fillId="0" borderId="13" xfId="0" applyFont="1" applyBorder="1" applyNumberFormat="1">
      <alignment horizontal="left" vertical="center" wrapText="1" indent="1"/>
    </xf>
    <xf numFmtId="4" fontId="46" fillId="0" borderId="13" xfId="0" applyFont="1" applyBorder="1" applyNumberFormat="1">
      <alignment horizontal="right" vertical="center" wrapText="1"/>
    </xf>
    <xf numFmtId="166" fontId="46" fillId="0" borderId="13" xfId="0" applyFont="1" applyBorder="1" applyNumberFormat="1">
      <alignment horizontal="right" vertical="center" wrapText="1"/>
    </xf>
    <xf numFmtId="166" fontId="22" fillId="37" borderId="15" xfId="0" applyFont="1" applyFill="1" applyBorder="1" applyNumberFormat="1">
      <alignment horizontal="right" vertical="center" wrapText="1"/>
      <protection locked="0"/>
    </xf>
    <xf numFmtId="4" fontId="46" fillId="0" borderId="15" xfId="0" applyFont="1" applyBorder="1" applyNumberFormat="1">
      <alignment horizontal="center" vertical="center" wrapText="1"/>
    </xf>
    <xf numFmtId="4" fontId="22" fillId="37" borderId="14" xfId="0" applyFont="1" applyFill="1" applyBorder="1" applyNumberFormat="1">
      <alignment horizontal="right" vertical="center" wrapText="1"/>
      <protection locked="0"/>
    </xf>
    <xf numFmtId="49" fontId="22" fillId="38" borderId="28" xfId="0" applyFont="1" applyFill="1" applyBorder="1" applyNumberFormat="1">
      <alignment horizontal="center" vertical="center" wrapText="1"/>
    </xf>
    <xf numFmtId="49" fontId="45" fillId="0" borderId="0" xfId="0" applyFont="1" applyNumberFormat="1">
      <alignment vertical="center" wrapText="1"/>
    </xf>
    <xf numFmtId="0" fontId="45" fillId="0" borderId="0" xfId="0" applyFont="1" applyNumberFormat="1">
      <alignment horizontal="center" vertical="center" wrapText="1"/>
    </xf>
    <xf numFmtId="0" fontId="54" fillId="36" borderId="0" xfId="0" applyFont="1" applyFill="1" applyNumberFormat="1">
      <alignment horizontal="center" vertical="center" wrapText="1"/>
    </xf>
    <xf numFmtId="0" fontId="54" fillId="0" borderId="0" xfId="0" applyFont="1" applyNumberFormat="1">
      <alignment vertical="center" wrapText="1"/>
    </xf>
    <xf numFmtId="0" fontId="46" fillId="0" borderId="0" xfId="0" applyFont="1" applyNumberFormat="1">
      <alignment vertical="center"/>
    </xf>
    <xf numFmtId="0" fontId="47" fillId="0" borderId="0" xfId="0" applyFont="1" applyNumberFormat="1">
      <alignment vertical="center"/>
    </xf>
    <xf numFmtId="0" fontId="46" fillId="0" borderId="0" xfId="0" applyFont="1" applyNumberFormat="1">
      <alignment vertical="center"/>
    </xf>
    <xf numFmtId="0" fontId="46"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20" xfId="0" applyFont="1" applyBorder="1" applyNumberFormat="1">
      <alignment horizontal="left" vertical="center" wrapText="1"/>
    </xf>
    <xf numFmtId="49" fontId="22" fillId="0" borderId="20" xfId="0" applyFont="1" applyBorder="1" applyNumberFormat="1">
      <alignment horizontal="center" vertical="center" wrapText="1"/>
    </xf>
    <xf numFmtId="0" fontId="45" fillId="0" borderId="0" xfId="0" applyFont="1" applyNumberFormat="1">
      <alignment horizontal="center" vertical="center" wrapText="1"/>
    </xf>
    <xf numFmtId="0" fontId="46"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3" xfId="0" applyFont="1" applyBorder="1" applyNumberFormat="1">
      <alignment horizontal="left" vertical="center" wrapText="1"/>
    </xf>
    <xf numFmtId="0" fontId="22" fillId="36" borderId="13" xfId="0" applyFont="1" applyFill="1" applyBorder="1" applyNumberFormat="1">
      <alignment horizontal="left" vertical="center" wrapText="1"/>
    </xf>
    <xf numFmtId="0" fontId="46" fillId="0" borderId="0" xfId="0" applyFont="1" applyNumberForma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pplyNumberFormat="1">
      <alignment horizontal="left" vertical="center"/>
    </xf>
    <xf numFmtId="0" fontId="5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9" fillId="38" borderId="30" xfId="0" applyFont="1" applyFill="1" applyBorder="1" applyNumberFormat="1">
      <alignment horizontal="left" vertical="center"/>
    </xf>
    <xf numFmtId="49" fontId="46" fillId="0" borderId="15" xfId="0" applyFont="1" applyBorder="1" applyNumberFormat="1">
      <alignment horizontal="left" vertical="center" wrapText="1"/>
    </xf>
    <xf numFmtId="0" fontId="46" fillId="0" borderId="15" xfId="0" applyFont="1" applyBorder="1" applyNumberFormat="1">
      <alignment horizontal="left" vertical="center"/>
    </xf>
    <xf numFmtId="0" fontId="46" fillId="0" borderId="16" xfId="0" applyFont="1" applyBorder="1" applyNumberFormat="1">
      <alignment horizontal="left" vertical="center"/>
    </xf>
    <xf numFmtId="49" fontId="22" fillId="37" borderId="13" xfId="0" applyFont="1" applyFill="1" applyBorder="1" applyNumberFormat="1">
      <alignment horizontal="left" vertical="center" wrapText="1" indent="6"/>
      <protection locked="0"/>
    </xf>
    <xf numFmtId="4" fontId="22" fillId="0" borderId="38" xfId="0" applyFont="1" applyBorder="1" applyNumberFormat="1">
      <alignment horizontal="right" vertical="center" wrapText="1"/>
    </xf>
    <xf numFmtId="4" fontId="22" fillId="0" borderId="31" xfId="0" applyFont="1" applyBorder="1" applyNumberFormat="1">
      <alignment horizontal="right" vertical="center" wrapText="1"/>
    </xf>
    <xf numFmtId="49" fontId="0" fillId="38" borderId="30" xfId="0" applyFont="1" applyFill="1" applyBorder="1" applyNumberFormat="1">
      <alignment horizontal="center" vertical="center" wrapText="1"/>
    </xf>
    <xf numFmtId="0" fontId="0" fillId="0" borderId="0" xfId="0" applyFont="1" applyNumberFormat="1">
      <alignment vertical="center"/>
    </xf>
    <xf numFmtId="0" fontId="108" fillId="0" borderId="0" xfId="0" applyFont="1" applyNumberFormat="1">
      <alignment vertical="center" wrapText="1"/>
    </xf>
    <xf numFmtId="49" fontId="22" fillId="0" borderId="20" xfId="0" applyFont="1" applyBorder="1" applyNumberFormat="1">
      <alignment horizontal="center" vertical="center" wrapText="1"/>
    </xf>
    <xf numFmtId="49" fontId="22" fillId="0" borderId="0" xfId="0" applyFont="1" applyNumberFormat="1">
      <alignment horizontal="center" vertical="center" wrapText="1"/>
    </xf>
    <xf numFmtId="49" fontId="0" fillId="0" borderId="20" xfId="0" applyFont="1" applyBorder="1" applyNumberFormat="1">
      <alignment horizontal="left" vertical="center" wrapText="1"/>
    </xf>
    <xf numFmtId="49" fontId="22" fillId="0" borderId="0" xfId="0" applyFont="1" applyNumberFormat="1">
      <alignment vertical="center" wrapText="1"/>
    </xf>
    <xf numFmtId="0" fontId="45" fillId="0" borderId="0" xfId="0" applyFont="1" applyNumberFormat="1">
      <alignment horizontal="center" vertical="center" wrapText="1"/>
    </xf>
    <xf numFmtId="0" fontId="22" fillId="36" borderId="13" xfId="0" applyFont="1" applyFill="1" applyBorder="1" applyNumberFormat="1">
      <alignment horizontal="center" vertical="center" wrapText="1"/>
    </xf>
    <xf numFmtId="0" fontId="22" fillId="0" borderId="0" xfId="0" applyFont="1" applyNumberFormat="1">
      <alignment horizontal="left" vertical="top" wrapText="1"/>
    </xf>
    <xf numFmtId="0" fontId="46" fillId="0" borderId="0" xfId="0" applyFont="1" applyNumberFormat="1">
      <alignment horizontal="center" vertical="center" wrapText="1"/>
    </xf>
    <xf numFmtId="0" fontId="78" fillId="36" borderId="20" xfId="0" applyFont="1" applyFill="1" applyBorder="1" applyNumberFormat="1">
      <alignment horizontal="center" vertical="center" wrapText="1"/>
    </xf>
    <xf numFmtId="0" fontId="22" fillId="0" borderId="18"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3" xfId="0" applyFont="1" applyBorder="1" applyNumberFormat="1">
      <alignment horizontal="center" vertical="center" wrapText="1"/>
    </xf>
    <xf numFmtId="49" fontId="22" fillId="0" borderId="13" xfId="0" applyFont="1" applyBorder="1" applyNumberFormat="1">
      <alignment horizontal="left" vertical="center" wrapText="1"/>
    </xf>
    <xf numFmtId="0" fontId="22" fillId="36" borderId="13" xfId="0" applyFont="1" applyFill="1" applyBorder="1" applyNumberFormat="1">
      <alignment horizontal="left" vertical="center" wrapText="1"/>
    </xf>
    <xf numFmtId="0" fontId="46" fillId="0" borderId="0" xfId="0" applyFont="1" applyNumberFormat="1">
      <alignment horizontal="center" vertical="center"/>
    </xf>
    <xf numFmtId="49" fontId="22" fillId="41" borderId="13" xfId="0" applyFont="1" applyFill="1" applyBorder="1" applyNumberFormat="1">
      <alignment horizontal="center" vertical="center" wrapText="1"/>
    </xf>
    <xf numFmtId="49" fontId="46" fillId="0" borderId="13" xfId="0" applyFont="1" applyBorder="1" applyNumberFormat="1">
      <alignment horizontal="center" vertical="center" wrapText="1"/>
    </xf>
    <xf numFmtId="0" fontId="45" fillId="0" borderId="0" xfId="0" applyFont="1" applyNumberFormat="1">
      <alignment horizontal="center" vertical="center" wrapText="1"/>
    </xf>
    <xf numFmtId="0" fontId="46" fillId="0" borderId="0" xfId="0" applyFont="1" applyNumberFormat="1">
      <alignment horizontal="center" vertical="center" wrapText="1"/>
    </xf>
    <xf numFmtId="49" fontId="22" fillId="36" borderId="13" xfId="0" applyFont="1" applyFill="1" applyBorder="1" applyNumberFormat="1">
      <alignment horizontal="center" vertical="center" wrapText="1"/>
    </xf>
    <xf numFmtId="0" fontId="46" fillId="0" borderId="0" xfId="0" applyFont="1" applyNumberFormat="1">
      <alignment horizontal="center" vertical="center"/>
    </xf>
    <xf numFmtId="0" fontId="22" fillId="36" borderId="13" xfId="0" applyFont="1" applyFill="1" applyBorder="1" applyNumberFormat="1">
      <alignment horizontal="left" vertical="center" wrapText="1"/>
    </xf>
    <xf numFmtId="49" fontId="22" fillId="40" borderId="13"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1" borderId="13" xfId="0" applyFont="1" applyFill="1" applyBorder="1" applyNumberFormat="1">
      <alignment horizontal="center" vertical="center" wrapText="1"/>
    </xf>
    <xf numFmtId="49" fontId="22" fillId="0" borderId="20" xfId="0" applyFont="1" applyBorder="1" applyNumberFormat="1">
      <alignment horizontal="center" vertical="center" wrapText="1"/>
    </xf>
    <xf numFmtId="49" fontId="22" fillId="0" borderId="0" xfId="0" applyFont="1" applyNumberFormat="1">
      <alignment horizontal="center" vertical="center" wrapText="1"/>
    </xf>
    <xf numFmtId="49" fontId="0" fillId="0" borderId="20" xfId="0" applyFont="1" applyBorder="1" applyNumberFormat="1">
      <alignment horizontal="left" vertical="center" wrapText="1"/>
    </xf>
    <xf numFmtId="49" fontId="22" fillId="0" borderId="0" xfId="0" applyFont="1" applyNumberFormat="1">
      <alignment vertical="center" wrapText="1"/>
    </xf>
    <xf numFmtId="49" fontId="22"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2" fillId="36" borderId="25" xfId="0" applyFont="1" applyFill="1" applyBorder="1" applyNumberFormat="1">
      <alignment horizontal="center" vertical="center" wrapText="1"/>
    </xf>
    <xf numFmtId="0" fontId="45" fillId="0" borderId="0" xfId="0" applyFont="1" applyNumberFormat="1">
      <alignment horizontal="center" vertical="center" wrapText="1"/>
    </xf>
    <xf numFmtId="0" fontId="22" fillId="36" borderId="13" xfId="0" applyFont="1" applyFill="1" applyBorder="1" applyNumberFormat="1">
      <alignment horizontal="center" vertical="center" wrapText="1"/>
    </xf>
    <xf numFmtId="0" fontId="22" fillId="0" borderId="0" xfId="0" applyFont="1" applyNumberFormat="1">
      <alignment horizontal="left" vertical="top" wrapText="1"/>
    </xf>
    <xf numFmtId="0" fontId="46" fillId="0" borderId="0" xfId="0" applyFont="1" applyNumberFormat="1">
      <alignment horizontal="center" vertical="center" wrapText="1"/>
    </xf>
    <xf numFmtId="0" fontId="78" fillId="36" borderId="20" xfId="0" applyFont="1" applyFill="1" applyBorder="1" applyNumberFormat="1">
      <alignment horizontal="center" vertical="center" wrapText="1"/>
    </xf>
    <xf numFmtId="0" fontId="22" fillId="0" borderId="18" xfId="0" applyFont="1" applyBorder="1" applyNumberFormat="1">
      <alignment horizontal="center" vertical="center" wrapText="1"/>
    </xf>
    <xf numFmtId="0" fontId="22" fillId="0" borderId="13" xfId="0" applyFont="1" applyBorder="1" applyNumberFormat="1">
      <alignment horizontal="center" vertical="center" wrapText="1"/>
    </xf>
    <xf numFmtId="49" fontId="46" fillId="0" borderId="13" xfId="0" applyFont="1" applyBorder="1" applyNumberFormat="1">
      <alignment horizontal="center" vertical="center" wrapText="1"/>
    </xf>
    <xf numFmtId="49" fontId="22" fillId="36" borderId="13"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3" xfId="0" applyFont="1" applyBorder="1" applyNumberFormat="1">
      <alignment horizontal="center" vertical="center" wrapText="1"/>
    </xf>
    <xf numFmtId="49" fontId="22" fillId="0" borderId="13" xfId="0" applyFont="1" applyBorder="1" applyNumberFormat="1">
      <alignment horizontal="left" vertical="center" wrapText="1"/>
    </xf>
    <xf numFmtId="49" fontId="22" fillId="41" borderId="13" xfId="0" applyFont="1" applyFill="1" applyBorder="1" applyNumberFormat="1">
      <alignment horizontal="left" vertical="center" wrapText="1"/>
    </xf>
    <xf numFmtId="49" fontId="22" fillId="40" borderId="13" xfId="0" applyFont="1" applyFill="1" applyBorder="1" applyNumberFormat="1">
      <alignment horizontal="left" vertical="center" wrapText="1" indent="1"/>
      <protection locked="0"/>
    </xf>
    <xf numFmtId="0" fontId="22" fillId="36" borderId="13" xfId="0" applyFont="1" applyFill="1" applyBorder="1" applyNumberFormat="1">
      <alignment horizontal="left" vertical="center" wrapText="1"/>
    </xf>
    <xf numFmtId="0" fontId="46" fillId="0" borderId="0" xfId="0" applyFont="1" applyNumberFormat="1">
      <alignment horizontal="center" vertical="center"/>
    </xf>
    <xf numFmtId="0" fontId="36" fillId="0" borderId="0" xfId="0" applyFont="1" applyNumberFormat="1">
      <alignment horizontal="center" vertical="center" wrapText="1"/>
    </xf>
    <xf numFmtId="166" fontId="22" fillId="38" borderId="16" xfId="0" applyFont="1" applyFill="1" applyBorder="1" applyNumberFormat="1">
      <alignment horizontal="right" vertical="center" wrapText="1"/>
    </xf>
    <xf numFmtId="0" fontId="109" fillId="0" borderId="0" xfId="0" applyFont="1" applyNumberFormat="1">
      <alignment vertical="center" wrapText="1"/>
    </xf>
    <xf numFmtId="0" fontId="109" fillId="36" borderId="0" xfId="0" applyFont="1" applyFill="1" applyNumberFormat="1">
      <alignment horizontal="center" vertical="center" wrapText="1"/>
    </xf>
    <xf numFmtId="0" fontId="46" fillId="36" borderId="13" xfId="0" applyFont="1" applyFill="1" applyBorder="1" applyNumberFormat="1">
      <alignment horizontal="left" vertical="center" wrapText="1" indent="3"/>
    </xf>
    <xf numFmtId="49" fontId="39" fillId="38" borderId="28" xfId="0" applyFont="1" applyFill="1" applyBorder="1" applyNumberFormat="1">
      <alignment horizontal="left" vertical="center"/>
    </xf>
    <xf numFmtId="0" fontId="109" fillId="0" borderId="0" xfId="0" applyFont="1" applyNumberFormat="1">
      <alignment horizontal="center" vertical="center" wrapText="1"/>
    </xf>
    <xf numFmtId="49" fontId="46" fillId="0" borderId="0" xfId="0" applyFont="1" applyNumberFormat="1">
      <alignment horizontal="left" vertical="center" wrapText="1" indent="1"/>
    </xf>
    <xf numFmtId="0" fontId="46" fillId="0" borderId="0" xfId="0" applyFont="1" applyNumberFormat="1">
      <alignment horizontal="left" vertical="center" wrapText="1" indent="4"/>
    </xf>
    <xf numFmtId="0" fontId="46" fillId="0" borderId="0" xfId="0" applyFont="1" applyNumberFormat="1">
      <alignment horizontal="left" vertical="center" wrapText="1" indent="1"/>
    </xf>
    <xf numFmtId="49" fontId="22" fillId="38" borderId="15" xfId="0" applyFont="1" applyFill="1" applyBorder="1" applyNumberFormat="1">
      <alignment horizontal="center" vertical="center" wrapText="1"/>
    </xf>
    <xf numFmtId="0" fontId="46" fillId="0" borderId="25" xfId="0" applyFont="1" applyBorder="1" applyNumberFormat="1">
      <alignment horizontal="left" vertical="center" wrapText="1" indent="1"/>
    </xf>
    <xf numFmtId="0" fontId="45" fillId="0" borderId="0" xfId="0" applyFont="1" applyNumberFormat="1">
      <alignment horizontal="left" vertical="center"/>
    </xf>
    <xf numFmtId="49" fontId="45" fillId="0" borderId="0" xfId="0" applyFont="1" applyNumberFormat="1">
      <alignment horizontal="left" vertical="center"/>
    </xf>
    <xf numFmtId="0" fontId="45" fillId="0" borderId="0" xfId="0" applyFont="1" applyNumberFormat="1">
      <alignment horizontal="left" vertical="center"/>
    </xf>
    <xf numFmtId="0" fontId="67" fillId="0" borderId="0" xfId="0" applyFont="1" applyNumberFormat="1">
      <alignment horizontal="left" vertical="center"/>
    </xf>
    <xf numFmtId="0" fontId="46" fillId="0" borderId="0" xfId="0" applyFont="1" applyNumberFormat="1">
      <alignment horizontal="left" vertical="center"/>
    </xf>
    <xf numFmtId="49" fontId="22" fillId="0" borderId="0" xfId="0" applyFont="1" applyNumberFormat="1">
      <alignment horizontal="center" vertical="center" wrapText="1"/>
    </xf>
    <xf numFmtId="49" fontId="22" fillId="0" borderId="20" xfId="0" applyFont="1" applyBorder="1" applyNumberFormat="1">
      <alignment horizontal="center" vertical="center" wrapText="1"/>
    </xf>
    <xf numFmtId="49" fontId="22" fillId="0" borderId="20" xfId="0" applyFont="1" applyBorder="1" applyNumberFormat="1">
      <alignment horizontal="left" vertical="center" wrapText="1"/>
    </xf>
    <xf numFmtId="0" fontId="36" fillId="0" borderId="0" xfId="0" applyFont="1" applyNumberFormat="1">
      <alignment horizontal="center" vertical="center" wrapText="1"/>
    </xf>
    <xf numFmtId="0" fontId="36" fillId="36" borderId="0" xfId="0" applyFont="1" applyFill="1" applyNumberFormat="1">
      <alignment horizontal="center" vertical="center" wrapText="1"/>
    </xf>
    <xf numFmtId="49" fontId="45" fillId="0" borderId="0" xfId="0" applyFont="1" applyNumberFormat="1">
      <alignment horizontal="left" vertical="center"/>
    </xf>
    <xf numFmtId="49" fontId="45" fillId="0" borderId="0" xfId="0" applyFont="1" applyNumberFormat="1">
      <alignment horizontal="left" vertical="center"/>
    </xf>
    <xf numFmtId="49" fontId="45" fillId="0" borderId="0" xfId="0" applyFont="1" applyNumberFormat="1">
      <alignment horizontal="left" vertical="top"/>
    </xf>
    <xf numFmtId="49" fontId="22" fillId="36" borderId="13" xfId="0" applyFont="1" applyFill="1" applyBorder="1" applyNumberFormat="1">
      <alignment horizontal="center" vertical="center"/>
    </xf>
    <xf numFmtId="0" fontId="22" fillId="0" borderId="13" xfId="0" applyFont="1" applyBorder="1" applyNumberFormat="1">
      <alignment horizontal="center" vertical="center" wrapText="1"/>
    </xf>
    <xf numFmtId="0" fontId="22" fillId="36" borderId="13" xfId="0" applyFont="1" applyFill="1" applyBorder="1" applyNumberFormat="1">
      <alignment horizontal="left" vertical="center" wrapText="1" indent="1"/>
    </xf>
    <xf numFmtId="49" fontId="22" fillId="0" borderId="13" xfId="0" applyFont="1" applyBorder="1" applyNumberFormat="1">
      <alignment horizontal="center" vertical="center"/>
    </xf>
    <xf numFmtId="0" fontId="22" fillId="0" borderId="13" xfId="0" applyFont="1" applyBorder="1" applyNumberFormat="1">
      <alignment horizontal="left" vertical="center" wrapText="1" indent="1"/>
    </xf>
    <xf numFmtId="0" fontId="22" fillId="0" borderId="13" xfId="0" applyFont="1" applyBorder="1" applyNumberFormat="1">
      <alignment vertical="center" wrapText="1"/>
    </xf>
    <xf numFmtId="49" fontId="22" fillId="40" borderId="13"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xf>
    <xf numFmtId="0" fontId="46" fillId="36" borderId="13" xfId="0" applyFont="1" applyFill="1" applyBorder="1" applyNumberFormat="1">
      <alignment horizontal="center" vertical="center"/>
    </xf>
    <xf numFmtId="0" fontId="70" fillId="36" borderId="0" xfId="0" applyFont="1" applyFill="1" applyNumberFormat="1">
      <alignment vertical="center" wrapText="1"/>
    </xf>
    <xf numFmtId="0" fontId="65" fillId="36" borderId="0" xfId="0" applyFont="1" applyFill="1" applyNumberFormat="1"/>
    <xf numFmtId="49" fontId="22" fillId="37" borderId="13" xfId="0" applyFont="1" applyFill="1" applyBorder="1" applyNumberFormat="1">
      <alignment horizontal="left" vertical="center" wrapText="1"/>
      <protection locked="0"/>
    </xf>
    <xf numFmtId="0" fontId="82" fillId="36" borderId="0" xfId="0" applyFont="1" applyFill="1" applyNumberFormat="1"/>
    <xf numFmtId="0" fontId="66" fillId="36" borderId="0" xfId="0" applyFont="1" applyFill="1" applyNumberFormat="1"/>
    <xf numFmtId="14" fontId="22" fillId="40" borderId="24" xfId="0" applyFont="1" applyFill="1" applyBorder="1" applyNumberFormat="1">
      <alignment horizontal="left" vertical="center" wrapText="1" indent="1"/>
      <protection locked="0"/>
    </xf>
    <xf numFmtId="0" fontId="110" fillId="0" borderId="0" xfId="0" applyFont="1" applyNumberFormat="1">
      <alignment vertical="center"/>
    </xf>
    <xf numFmtId="0" fontId="110" fillId="0" borderId="0" xfId="0" applyFont="1" applyNumberFormat="1">
      <alignment vertical="center" wrapText="1"/>
    </xf>
    <xf numFmtId="169" fontId="22" fillId="0" borderId="24" xfId="0" applyFont="1" applyBorder="1" applyNumberFormat="1">
      <alignment horizontal="center" vertical="center" wrapText="1"/>
    </xf>
    <xf numFmtId="14" fontId="22" fillId="40" borderId="13" xfId="0" applyFont="1" applyFill="1" applyBorder="1" applyNumberFormat="1">
      <alignment horizontal="left" vertical="center" wrapText="1" indent="1"/>
      <protection locked="0"/>
    </xf>
    <xf numFmtId="0" fontId="22" fillId="35" borderId="24" xfId="0" applyFont="1" applyFill="1" applyBorder="1" applyNumberFormat="1">
      <alignment horizontal="left" vertical="center" wrapText="1" indent="1"/>
    </xf>
    <xf numFmtId="169" fontId="22" fillId="0" borderId="18" xfId="0" applyFont="1" applyBorder="1" applyNumberFormat="1">
      <alignment horizontal="center" vertical="center" wrapText="1"/>
    </xf>
    <xf numFmtId="49" fontId="48" fillId="38" borderId="31" xfId="0" applyFont="1" applyFill="1" applyBorder="1" applyNumberFormat="1">
      <alignment horizontal="right" vertical="center" wrapText="1"/>
    </xf>
    <xf numFmtId="49" fontId="0" fillId="38" borderId="28" xfId="0" applyFont="1" applyFill="1" applyBorder="1" applyNumberFormat="1">
      <alignment horizontal="right" vertical="center" wrapText="1"/>
    </xf>
    <xf numFmtId="49" fontId="51" fillId="38" borderId="28" xfId="0" applyFont="1" applyFill="1" applyBorder="1" applyNumberFormat="1">
      <alignment horizontal="left" vertical="center" wrapText="1"/>
    </xf>
    <xf numFmtId="0" fontId="46" fillId="0" borderId="28" xfId="0" applyFont="1" applyBorder="1" applyNumberFormat="1">
      <alignment horizontal="center" vertical="center" wrapText="1"/>
    </xf>
    <xf numFmtId="0" fontId="46" fillId="0" borderId="0" xfId="0" applyFont="1" applyNumberFormat="1">
      <alignment horizontal="center" vertical="center"/>
    </xf>
    <xf numFmtId="0" fontId="41" fillId="0" borderId="0" xfId="0" applyFont="1" applyNumberFormat="1">
      <alignment horizontal="center" vertical="center" wrapText="1"/>
    </xf>
    <xf numFmtId="14" fontId="22" fillId="41" borderId="13" xfId="0" applyFont="1" applyFill="1" applyBorder="1" applyNumberFormat="1">
      <alignment horizontal="left" vertical="center" wrapText="1"/>
    </xf>
    <xf numFmtId="169" fontId="22" fillId="0" borderId="38" xfId="0" applyFont="1" applyBorder="1" applyNumberFormat="1">
      <alignment horizontal="center" vertical="center" wrapText="1"/>
    </xf>
    <xf numFmtId="0" fontId="22" fillId="40" borderId="13" xfId="0" applyFont="1" applyFill="1" applyBorder="1" applyNumberFormat="1">
      <alignment horizontal="center" vertical="center" wrapText="1"/>
      <protection locked="0"/>
    </xf>
    <xf numFmtId="0" fontId="45" fillId="36" borderId="0" xfId="0" applyFont="1" applyFill="1" applyNumberFormat="1"/>
    <xf numFmtId="0" fontId="22" fillId="0" borderId="16" xfId="0" applyFont="1" applyBorder="1" applyNumberFormat="1">
      <alignment horizontal="right" vertical="center" wrapText="1" indent="1"/>
    </xf>
    <xf numFmtId="0" fontId="22" fillId="35" borderId="15" xfId="0" applyFont="1" applyFill="1" applyBorder="1" applyNumberFormat="1">
      <alignment horizontal="left" vertical="top" wrapText="1"/>
    </xf>
    <xf numFmtId="49" fontId="46" fillId="0" borderId="0" xfId="0" applyFont="1" applyNumberFormat="1">
      <alignment horizontal="center" vertical="center"/>
    </xf>
    <xf numFmtId="49" fontId="65" fillId="0" borderId="0" xfId="0" applyFont="1" applyNumberFormat="1">
      <alignment vertical="top"/>
    </xf>
    <xf numFmtId="0" fontId="41" fillId="0" borderId="0" xfId="0" applyFont="1" applyNumberFormat="1">
      <alignment vertical="center"/>
    </xf>
    <xf numFmtId="0" fontId="22" fillId="0" borderId="37" xfId="0" applyFont="1" applyBorder="1" applyNumberFormat="1">
      <alignment horizontal="center" vertical="center" wrapText="1"/>
    </xf>
    <xf numFmtId="0" fontId="22" fillId="0" borderId="38"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23" xfId="0" applyFont="1" applyBorder="1" applyNumberFormat="1">
      <alignment horizontal="center" vertical="center" wrapText="1"/>
    </xf>
    <xf numFmtId="49" fontId="22" fillId="0" borderId="37" xfId="0" applyFont="1" applyBorder="1" applyNumberFormat="1">
      <alignment horizontal="left" vertical="center" wrapText="1"/>
    </xf>
    <xf numFmtId="49" fontId="22" fillId="0" borderId="37" xfId="0" applyFont="1" applyBorder="1" applyNumberFormat="1">
      <alignment horizontal="center" vertical="center" wrapText="1"/>
    </xf>
    <xf numFmtId="49" fontId="22" fillId="0" borderId="18" xfId="0" applyFont="1" applyBorder="1" applyNumberFormat="1">
      <alignment horizontal="center" vertical="center" wrapText="1"/>
    </xf>
    <xf numFmtId="0" fontId="22" fillId="0" borderId="37" xfId="0" applyFont="1" applyBorder="1" applyNumberFormat="1">
      <alignment horizontal="left" vertical="center" wrapText="1"/>
    </xf>
    <xf numFmtId="49" fontId="22" fillId="0" borderId="37" xfId="0" applyFont="1" applyBorder="1" applyNumberFormat="1">
      <alignment vertical="center" wrapText="1"/>
    </xf>
    <xf numFmtId="0" fontId="22" fillId="0" borderId="24" xfId="0" applyFont="1" applyBorder="1" applyNumberFormat="1">
      <alignment horizontal="left" vertical="center" wrapText="1"/>
    </xf>
    <xf numFmtId="0" fontId="39" fillId="0" borderId="24" xfId="0" applyFont="1" applyBorder="1" applyNumberFormat="1">
      <alignment horizontal="left" vertical="center"/>
    </xf>
    <xf numFmtId="0" fontId="39" fillId="38" borderId="15" xfId="0" applyFont="1" applyFill="1" applyBorder="1" applyNumberFormat="1">
      <alignment horizontal="left" vertical="center"/>
    </xf>
    <xf numFmtId="0" fontId="39" fillId="0" borderId="37" xfId="0" applyFont="1" applyBorder="1" applyNumberFormat="1">
      <alignment horizontal="left" vertical="center"/>
    </xf>
    <xf numFmtId="0" fontId="39" fillId="38" borderId="38" xfId="0" applyFont="1" applyFill="1" applyBorder="1" applyNumberFormat="1">
      <alignment horizontal="left" vertical="center"/>
    </xf>
    <xf numFmtId="49" fontId="65" fillId="38" borderId="15" xfId="0" applyFont="1" applyFill="1" applyBorder="1" applyNumberFormat="1">
      <alignment vertical="top"/>
    </xf>
    <xf numFmtId="49" fontId="65" fillId="38" borderId="16" xfId="0" applyFont="1" applyFill="1" applyBorder="1" applyNumberFormat="1">
      <alignment vertical="top"/>
    </xf>
    <xf numFmtId="49" fontId="22" fillId="41" borderId="18" xfId="0" applyFont="1" applyFill="1" applyBorder="1" applyNumberFormat="1">
      <alignment vertical="center" wrapText="1"/>
    </xf>
    <xf numFmtId="0" fontId="22" fillId="0" borderId="38" xfId="0" applyFont="1" applyBorder="1" applyNumberFormat="1">
      <alignment horizontal="center" vertical="center" wrapText="1"/>
    </xf>
    <xf numFmtId="49" fontId="0" fillId="0" borderId="0" xfId="0" applyFont="1" applyNumberFormat="1">
      <alignment vertical="top"/>
    </xf>
    <xf numFmtId="49" fontId="45" fillId="0" borderId="0" xfId="0" applyFont="1" applyNumberFormat="1">
      <alignment horizontal="center" vertical="center"/>
    </xf>
    <xf numFmtId="0" fontId="111" fillId="0" borderId="0" xfId="0" applyFont="1" applyNumberFormat="1">
      <alignment vertical="center" wrapText="1"/>
    </xf>
    <xf numFmtId="0" fontId="112" fillId="0" borderId="0" xfId="0" applyFont="1" applyNumberFormat="1">
      <alignment vertical="center" wrapText="1"/>
    </xf>
    <xf numFmtId="0" fontId="22" fillId="0" borderId="18" xfId="0" applyFont="1" applyBorder="1" applyNumberFormat="1">
      <alignment horizontal="center" vertical="center" wrapText="1"/>
    </xf>
    <xf numFmtId="49" fontId="22" fillId="0" borderId="18" xfId="0" applyFont="1" applyBorder="1" applyNumberFormat="1">
      <alignment horizontal="left" vertical="center" wrapText="1"/>
    </xf>
    <xf numFmtId="49" fontId="22" fillId="0" borderId="18" xfId="0" applyFont="1" applyBorder="1" applyNumberFormat="1">
      <alignment horizontal="left" vertical="center" wrapText="1"/>
    </xf>
    <xf numFmtId="49" fontId="22" fillId="0" borderId="18" xfId="0" applyFont="1" applyBorder="1" applyNumberFormat="1">
      <alignment horizontal="center" vertical="center" wrapText="1"/>
    </xf>
    <xf numFmtId="0" fontId="22" fillId="0" borderId="18" xfId="0" applyFont="1" applyBorder="1" applyNumberFormat="1">
      <alignment horizontal="left" vertical="center" wrapText="1"/>
    </xf>
    <xf numFmtId="0" fontId="22" fillId="0" borderId="0" xfId="0" applyFont="1" applyNumberFormat="1">
      <alignment horizontal="left" vertical="center" wrapText="1"/>
    </xf>
    <xf numFmtId="49" fontId="22" fillId="0" borderId="20" xfId="0" applyFont="1" applyBorder="1" applyNumberFormat="1">
      <alignment vertical="center" wrapText="1"/>
    </xf>
    <xf numFmtId="49" fontId="22" fillId="0" borderId="20" xfId="0" applyFont="1" applyBorder="1" applyNumberFormat="1">
      <alignment horizontal="left" vertical="center" wrapText="1"/>
    </xf>
    <xf numFmtId="49" fontId="36" fillId="0" borderId="20" xfId="0" applyFont="1" applyBorder="1" applyNumberFormat="1">
      <alignment vertical="center" wrapText="1"/>
    </xf>
    <xf numFmtId="49" fontId="22" fillId="0" borderId="20" xfId="0" applyFont="1" applyBorder="1" applyNumberFormat="1">
      <alignment horizontal="center" vertical="center" wrapText="1"/>
    </xf>
    <xf numFmtId="0" fontId="22" fillId="0" borderId="20" xfId="0" applyFont="1" applyBorder="1" applyNumberFormat="1">
      <alignment horizontal="left" vertical="center" wrapText="1"/>
    </xf>
    <xf numFmtId="49" fontId="22" fillId="0" borderId="20"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39" fillId="0" borderId="0" xfId="0" applyFont="1" applyNumberFormat="1">
      <alignment horizontal="left" vertical="center"/>
    </xf>
    <xf numFmtId="49" fontId="36" fillId="0" borderId="0" xfId="0" applyFont="1" applyNumberFormat="1">
      <alignment horizontal="center" vertical="center" wrapText="1"/>
    </xf>
    <xf numFmtId="0" fontId="39" fillId="0" borderId="0" xfId="0" applyFont="1" applyNumberFormat="1">
      <alignment vertical="center"/>
    </xf>
    <xf numFmtId="49" fontId="65" fillId="0" borderId="31" xfId="0" applyFont="1" applyBorder="1" applyNumberFormat="1">
      <alignment vertical="top"/>
    </xf>
    <xf numFmtId="49" fontId="22" fillId="0" borderId="38" xfId="0" applyFont="1" applyBorder="1" applyNumberFormat="1">
      <alignment vertical="center" wrapText="1"/>
    </xf>
    <xf numFmtId="49" fontId="22" fillId="0" borderId="23" xfId="0" applyFont="1" applyBorder="1" applyNumberFormat="1">
      <alignment vertical="center" wrapText="1"/>
    </xf>
    <xf numFmtId="0" fontId="39" fillId="0" borderId="23" xfId="0" applyFont="1" applyBorder="1" applyNumberFormat="1">
      <alignment horizontal="left" vertical="center"/>
    </xf>
    <xf numFmtId="49" fontId="65" fillId="0" borderId="28" xfId="0" applyFont="1" applyBorder="1" applyNumberFormat="1">
      <alignment vertical="top"/>
    </xf>
    <xf numFmtId="49" fontId="22" fillId="0" borderId="37" xfId="0" applyFont="1" applyBorder="1" applyNumberFormat="1">
      <alignment horizontal="center" vertical="center" wrapText="1"/>
    </xf>
    <xf numFmtId="0" fontId="39" fillId="38"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1" fillId="0" borderId="0" xfId="0" applyFont="1" applyNumberFormat="1">
      <alignment vertical="center" wrapText="1"/>
    </xf>
    <xf numFmtId="0" fontId="41" fillId="0" borderId="0" xfId="0" applyFont="1" applyNumberFormat="1">
      <alignment vertical="center" wrapText="1"/>
    </xf>
    <xf numFmtId="0" fontId="22" fillId="0" borderId="0" xfId="0" applyFont="1" applyNumberFormat="1">
      <alignment horizontal="left" vertical="center" wrapText="1"/>
    </xf>
    <xf numFmtId="0" fontId="56" fillId="0" borderId="0" xfId="0" applyFont="1" applyNumberFormat="1">
      <alignment vertical="center" wrapText="1"/>
    </xf>
    <xf numFmtId="0" fontId="58" fillId="0" borderId="0" xfId="0" applyFont="1" applyNumberFormat="1">
      <alignment vertical="center" wrapText="1"/>
    </xf>
    <xf numFmtId="0" fontId="86" fillId="0" borderId="0" xfId="0" applyFont="1" applyNumberFormat="1">
      <alignment vertical="center" wrapText="1"/>
    </xf>
    <xf numFmtId="0" fontId="46" fillId="0" borderId="0" xfId="0" applyFont="1" applyNumberFormat="1">
      <alignment vertical="center" wrapText="1"/>
    </xf>
    <xf numFmtId="0" fontId="62" fillId="0" borderId="0" xfId="0" applyFont="1" applyNumberFormat="1">
      <alignment vertical="center" wrapText="1"/>
    </xf>
    <xf numFmtId="49" fontId="22" fillId="0" borderId="13" xfId="0" applyFont="1" applyBorder="1" applyNumberFormat="1">
      <alignment horizontal="center" vertical="center" wrapText="1"/>
    </xf>
    <xf numFmtId="0" fontId="36" fillId="36" borderId="13" xfId="0" applyFont="1" applyFill="1" applyBorder="1" applyNumberFormat="1">
      <alignment horizontal="center" vertical="center" wrapText="1"/>
    </xf>
    <xf numFmtId="0" fontId="22" fillId="0" borderId="0" xfId="0" applyFont="1" applyNumberFormat="1">
      <alignment vertical="center" wrapText="1"/>
    </xf>
    <xf numFmtId="0" fontId="36" fillId="36" borderId="0" xfId="0" applyFont="1" applyFill="1" applyNumberFormat="1">
      <alignment horizontal="center" vertical="center" wrapText="1"/>
    </xf>
    <xf numFmtId="49" fontId="22" fillId="0" borderId="13" xfId="0" applyFont="1" applyBorder="1" applyNumberFormat="1">
      <alignment horizontal="center" vertical="center" wrapText="1"/>
    </xf>
    <xf numFmtId="3" fontId="22" fillId="40" borderId="13" xfId="0" applyFont="1" applyFill="1" applyBorder="1" applyNumberFormat="1">
      <alignment horizontal="right" vertical="center" wrapText="1"/>
      <protection locked="0"/>
    </xf>
    <xf numFmtId="0" fontId="46" fillId="0" borderId="0" xfId="0" applyFont="1" applyNumberFormat="1">
      <alignment vertical="center" wrapText="1"/>
    </xf>
    <xf numFmtId="49" fontId="22" fillId="40" borderId="13" xfId="0" applyFont="1" applyFill="1" applyBorder="1" applyNumberFormat="1">
      <alignment horizontal="left" vertical="center" wrapText="1"/>
      <protection locked="0"/>
    </xf>
    <xf numFmtId="0" fontId="46" fillId="0" borderId="0" xfId="0" applyFont="1" applyNumberFormat="1">
      <alignment vertical="center"/>
    </xf>
    <xf numFmtId="0" fontId="36" fillId="36" borderId="13" xfId="0" applyFont="1" applyFill="1" applyBorder="1" applyNumberFormat="1">
      <alignment horizontal="center" vertical="center" wrapText="1"/>
    </xf>
    <xf numFmtId="0" fontId="45" fillId="0" borderId="23" xfId="0" applyFont="1" applyBorder="1" applyNumberFormat="1">
      <alignment vertical="center"/>
    </xf>
    <xf numFmtId="0" fontId="45" fillId="0" borderId="23" xfId="0" applyFont="1" applyBorder="1" applyNumberFormat="1">
      <alignment vertical="center"/>
    </xf>
    <xf numFmtId="0" fontId="22" fillId="0" borderId="18" xfId="0" applyFont="1" applyBorder="1" applyNumberFormat="1">
      <alignment horizontal="left" vertical="center" wrapText="1" indent="1"/>
    </xf>
    <xf numFmtId="49" fontId="22" fillId="0" borderId="58" xfId="0" applyFont="1" applyBorder="1" applyNumberFormat="1">
      <alignment horizontal="center" vertical="center" wrapText="1"/>
    </xf>
    <xf numFmtId="49" fontId="22" fillId="0" borderId="29" xfId="0" applyFont="1" applyBorder="1" applyNumberFormat="1">
      <alignment horizontal="center" vertical="center" wrapText="1"/>
    </xf>
    <xf numFmtId="0" fontId="22" fillId="0" borderId="0" xfId="0" applyFont="1" applyNumberFormat="1">
      <alignment vertical="center" wrapText="1"/>
    </xf>
    <xf numFmtId="0" fontId="31" fillId="0" borderId="0" xfId="0" applyFont="1" applyNumberFormat="1">
      <alignment vertical="center" wrapText="1"/>
    </xf>
    <xf numFmtId="0" fontId="36" fillId="0" borderId="0" xfId="0" applyFont="1" applyNumberFormat="1">
      <alignment horizontal="center" vertical="center" wrapText="1"/>
    </xf>
    <xf numFmtId="0" fontId="22" fillId="0" borderId="13" xfId="0" applyFont="1" applyBorder="1" applyNumberFormat="1">
      <alignment horizontal="center" vertical="center" wrapText="1"/>
    </xf>
    <xf numFmtId="0" fontId="22" fillId="0" borderId="0" xfId="0" applyFont="1" applyNumberFormat="1">
      <alignment vertical="center" wrapText="1"/>
    </xf>
    <xf numFmtId="0" fontId="46" fillId="0" borderId="0" xfId="0" applyFont="1" applyNumberFormat="1">
      <alignment vertical="center" wrapText="1"/>
    </xf>
    <xf numFmtId="0" fontId="22" fillId="0" borderId="13" xfId="0" applyFont="1" applyBorder="1" applyNumberFormat="1">
      <alignment horizontal="center" vertical="center" wrapText="1"/>
    </xf>
    <xf numFmtId="49" fontId="22" fillId="0" borderId="0" xfId="0" applyFont="1" applyNumberFormat="1">
      <alignment horizontal="center" vertical="center" wrapText="1"/>
    </xf>
    <xf numFmtId="0" fontId="22" fillId="0" borderId="13" xfId="0" applyFont="1" applyBorder="1" applyNumberFormat="1">
      <alignment horizontal="center" vertical="center" wrapText="1"/>
    </xf>
    <xf numFmtId="0" fontId="52" fillId="0" borderId="0" xfId="0" applyFont="1" applyNumberFormat="1">
      <alignment vertical="center"/>
    </xf>
    <xf numFmtId="0" fontId="70" fillId="0" borderId="0" xfId="0" applyFont="1" applyNumberFormat="1">
      <alignment vertical="center" wrapText="1"/>
    </xf>
    <xf numFmtId="0" fontId="46" fillId="0" borderId="0" xfId="0" applyFont="1" applyNumberFormat="1">
      <alignment vertical="center" wrapText="1"/>
    </xf>
    <xf numFmtId="0" fontId="22" fillId="0" borderId="14"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6"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0" xfId="0" applyFont="1" applyNumberFormat="1">
      <alignment horizontal="left" vertical="top" wrapText="1"/>
    </xf>
    <xf numFmtId="0" fontId="22" fillId="0" borderId="13" xfId="0" applyFont="1" applyBorder="1" applyNumberFormat="1">
      <alignment horizontal="center" vertical="center" wrapText="1"/>
    </xf>
    <xf numFmtId="49" fontId="22" fillId="41" borderId="13" xfId="0" applyFont="1" applyFill="1" applyBorder="1" applyNumberFormat="1">
      <alignment horizontal="left" vertical="center" wrapText="1"/>
    </xf>
    <xf numFmtId="0" fontId="22" fillId="0" borderId="13" xfId="0" applyFont="1" applyBorder="1" applyNumberFormat="1">
      <alignment horizontal="left" vertical="center" wrapText="1" indent="2"/>
    </xf>
    <xf numFmtId="0" fontId="46" fillId="0" borderId="18" xfId="0" applyFont="1" applyBorder="1" applyNumberFormat="1">
      <alignment horizontal="center" vertical="center" wrapText="1"/>
    </xf>
    <xf numFmtId="0" fontId="22" fillId="35" borderId="15" xfId="0" applyFont="1" applyFill="1" applyBorder="1" applyNumberFormat="1">
      <alignment horizontal="lef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6"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5" borderId="15" xfId="0" applyFont="1" applyFill="1" applyBorder="1" applyNumberFormat="1">
      <alignment horizontal="left" vertical="top" wrapText="1"/>
    </xf>
    <xf numFmtId="0" fontId="22" fillId="0" borderId="13" xfId="0" applyFont="1" applyBorder="1" applyNumberFormat="1">
      <alignment horizontal="center" vertical="center" wrapText="1"/>
    </xf>
    <xf numFmtId="49" fontId="0" fillId="0" borderId="13" xfId="0" applyFont="1" applyBorder="1" applyNumberFormat="1">
      <alignment vertical="center" wrapText="1"/>
    </xf>
    <xf numFmtId="0" fontId="46" fillId="0" borderId="15" xfId="0" applyFont="1" applyBorder="1" applyNumberFormat="1">
      <alignment vertical="center" wrapText="1"/>
    </xf>
    <xf numFmtId="0" fontId="46" fillId="0" borderId="15" xfId="0" applyFont="1" applyBorder="1" applyNumberFormat="1">
      <alignment horizontal="left" vertical="top" wrapText="1"/>
    </xf>
    <xf numFmtId="49" fontId="22" fillId="0" borderId="59" xfId="0" applyFont="1" applyBorder="1" applyNumberFormat="1">
      <alignment horizontal="center" vertical="center" wrapText="1"/>
    </xf>
    <xf numFmtId="0" fontId="22" fillId="0" borderId="18" xfId="0" applyFont="1" applyBorder="1" applyNumberFormat="1">
      <alignment horizontal="left" vertical="center" wrapText="1"/>
    </xf>
    <xf numFmtId="49" fontId="39" fillId="38"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2" fillId="0" borderId="0" xfId="0" applyFont="1" applyNumberFormat="1">
      <alignment vertical="center" wrapText="1"/>
    </xf>
    <xf numFmtId="0" fontId="0" fillId="0" borderId="13" xfId="0" applyFont="1" applyBorder="1" applyNumberFormat="1">
      <alignment horizontal="center" vertical="center" wrapText="1"/>
    </xf>
    <xf numFmtId="49" fontId="22" fillId="41"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2" fillId="41" borderId="13" xfId="0" applyFont="1" applyFill="1" applyBorder="1" applyNumberFormat="1">
      <alignment horizontal="left" vertical="center" wrapText="1"/>
    </xf>
    <xf numFmtId="49" fontId="22" fillId="0" borderId="60" xfId="0" applyFont="1" applyBorder="1" applyNumberFormat="1">
      <alignment horizontal="center" vertical="center" wrapText="1"/>
    </xf>
    <xf numFmtId="4" fontId="22" fillId="40" borderId="18" xfId="0" applyFont="1" applyFill="1" applyBorder="1" applyNumberFormat="1">
      <alignment horizontal="right" vertical="center" wrapText="1"/>
      <protection locked="0"/>
    </xf>
    <xf numFmtId="49" fontId="39" fillId="0" borderId="20" xfId="0" applyFont="1" applyBorder="1" applyNumberFormat="1">
      <alignment horizontal="left" vertical="center"/>
    </xf>
    <xf numFmtId="49" fontId="39" fillId="0" borderId="20" xfId="0" applyFont="1" applyBorder="1" applyNumberFormat="1">
      <alignment horizontal="left" vertical="center" indent="2"/>
    </xf>
    <xf numFmtId="49" fontId="43" fillId="0" borderId="20" xfId="0" applyFont="1" applyBorder="1" applyNumberFormat="1">
      <alignment horizontal="center" vertical="top"/>
    </xf>
    <xf numFmtId="0" fontId="22" fillId="0" borderId="20" xfId="0" applyFont="1" applyBorder="1" applyNumberFormat="1">
      <alignment horizontal="left" vertical="top" wrapText="1"/>
    </xf>
    <xf numFmtId="0" fontId="22" fillId="0" borderId="0" xfId="0" applyFont="1" applyNumberFormat="1">
      <alignment horizontal="right" vertical="top" wrapText="1"/>
    </xf>
    <xf numFmtId="49" fontId="0" fillId="40" borderId="13" xfId="0" applyFont="1" applyFill="1" applyBorder="1" applyNumberFormat="1">
      <alignment horizontal="left" vertical="center" wrapText="1" indent="1"/>
      <protection locked="0"/>
    </xf>
    <xf numFmtId="49" fontId="45" fillId="0" borderId="0" xfId="0" applyFont="1" applyNumberFormat="1">
      <alignment vertical="top"/>
    </xf>
    <xf numFmtId="49" fontId="22" fillId="41" borderId="13" xfId="0" applyFont="1" applyFill="1" applyBorder="1" applyNumberFormat="1">
      <alignment horizontal="left" vertical="center" wrapText="1"/>
    </xf>
    <xf numFmtId="49" fontId="22" fillId="41" borderId="15" xfId="0" applyFont="1" applyFill="1" applyBorder="1" applyNumberFormat="1">
      <alignment horizontal="left" vertical="center" wrapText="1"/>
    </xf>
    <xf numFmtId="0" fontId="22" fillId="36" borderId="0" xfId="0" applyFont="1" applyFill="1" applyNumberFormat="1"/>
    <xf numFmtId="0" fontId="22" fillId="0" borderId="0" xfId="0" applyFont="1" applyNumberFormat="1">
      <alignment vertical="top" wrapText="1"/>
    </xf>
    <xf numFmtId="0" fontId="3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1" fillId="44" borderId="0" xfId="0" applyFont="1" applyFill="1" applyNumberFormat="1">
      <alignment horizontal="center" vertical="center"/>
    </xf>
    <xf numFmtId="0" fontId="0" fillId="45" borderId="0" xfId="0" applyFont="1" applyFill="1" applyNumberFormat="1">
      <alignment horizontal="left" vertical="center"/>
    </xf>
    <xf numFmtId="49" fontId="0" fillId="0" borderId="0" xfId="0" applyFont="1" applyNumberFormat="1">
      <alignment vertical="center"/>
    </xf>
    <xf numFmtId="0" fontId="0" fillId="45" borderId="0" xfId="0" applyFont="1" applyFill="1" applyNumberFormat="1">
      <alignment horizontal="right" vertical="center"/>
    </xf>
    <xf numFmtId="0" fontId="52" fillId="45" borderId="0" xfId="0" applyFont="1" applyFill="1" applyNumberFormat="1">
      <alignment horizontal="left" vertical="center"/>
    </xf>
    <xf numFmtId="0" fontId="0" fillId="0" borderId="0" xfId="0" applyFont="1" applyNumberFormat="1">
      <alignment horizontal="right" vertical="top"/>
    </xf>
    <xf numFmtId="0" fontId="0" fillId="45" borderId="11" xfId="0" applyFont="1" applyFill="1" applyBorder="1" applyNumberFormat="1">
      <alignment horizontal="center"/>
    </xf>
    <xf numFmtId="0" fontId="0" fillId="0" borderId="11" xfId="0" applyFont="1" applyBorder="1" applyNumberFormat="1">
      <alignment horizontal="center"/>
    </xf>
    <xf numFmtId="0" fontId="113" fillId="0" borderId="0" xfId="0" applyFont="1" applyNumberFormat="1">
      <alignment wrapText="1"/>
    </xf>
    <xf numFmtId="49" fontId="64" fillId="0" borderId="0" xfId="0" applyFont="1" applyNumberFormat="1">
      <alignment wrapText="1"/>
    </xf>
    <xf numFmtId="49" fontId="64" fillId="0" borderId="0" xfId="0" applyFont="1" applyNumberFormat="1">
      <alignment vertical="center" wrapText="1"/>
    </xf>
    <xf numFmtId="49" fontId="114" fillId="0" borderId="0" xfId="0" applyFont="1" applyNumberFormat="1">
      <alignment wrapText="1"/>
    </xf>
    <xf numFmtId="0" fontId="27" fillId="0" borderId="0" xfId="0" applyFont="1" applyNumberFormat="1"/>
    <xf numFmtId="0" fontId="100" fillId="0" borderId="0" xfId="0" applyFont="1" applyNumberFormat="1">
      <alignment horizontal="left" vertical="center" wrapText="1"/>
    </xf>
    <xf numFmtId="49" fontId="115" fillId="0" borderId="0" xfId="0" applyFont="1" applyNumberFormat="1">
      <alignment wrapText="1"/>
    </xf>
    <xf numFmtId="0" fontId="30" fillId="0" borderId="0" xfId="0" applyFont="1" applyNumberFormat="1">
      <alignment horizontal="left" vertical="top" wrapText="1"/>
    </xf>
    <xf numFmtId="49" fontId="22" fillId="0" borderId="0" xfId="0" applyFont="1" applyNumberFormat="1">
      <alignment vertical="top" wrapText="1"/>
    </xf>
    <xf numFmtId="0" fontId="64" fillId="0" borderId="0" xfId="0" applyFont="1" applyNumberFormat="1">
      <alignment wrapText="1"/>
    </xf>
    <xf numFmtId="0" fontId="116" fillId="0" borderId="0" xfId="0" applyFont="1" applyNumberFormat="1">
      <alignment horizontal="left" vertical="center" wrapText="1"/>
    </xf>
    <xf numFmtId="0" fontId="117" fillId="0" borderId="0" xfId="0" applyFont="1" applyNumberFormat="1">
      <alignment vertical="center" wrapText="1"/>
    </xf>
    <xf numFmtId="0" fontId="64" fillId="0" borderId="39" xfId="0" applyFont="1" applyBorder="1" applyNumberFormat="1">
      <alignment wrapText="1"/>
    </xf>
    <xf numFmtId="0" fontId="64" fillId="0" borderId="0" xfId="0" applyFont="1" applyNumberFormat="1"/>
    <xf numFmtId="0" fontId="116" fillId="0" borderId="0" xfId="0" applyFont="1" applyNumberFormat="1"/>
    <xf numFmtId="0" fontId="118" fillId="0" borderId="0" xfId="0" applyFont="1" applyNumberFormat="1">
      <alignment wrapText="1"/>
    </xf>
    <xf numFmtId="0" fontId="0" fillId="37" borderId="10" xfId="0" applyFont="1" applyFill="1" applyBorder="1" applyNumberFormat="1">
      <alignment horizontal="center" vertical="center" wrapText="1"/>
    </xf>
    <xf numFmtId="0" fontId="0" fillId="50" borderId="10" xfId="0" applyFont="1" applyFill="1" applyBorder="1" applyNumberFormat="1">
      <alignment horizontal="center" vertical="center" wrapText="1"/>
    </xf>
    <xf numFmtId="0" fontId="0" fillId="35" borderId="10" xfId="0" applyFont="1" applyFill="1" applyBorder="1" applyNumberFormat="1">
      <alignment horizontal="center" vertical="center" wrapText="1"/>
    </xf>
    <xf numFmtId="0" fontId="0" fillId="40" borderId="10" xfId="0" applyFont="1" applyFill="1" applyBorder="1" applyNumberFormat="1">
      <alignment horizontal="center" vertical="center" wrapText="1"/>
    </xf>
    <xf numFmtId="0" fontId="116" fillId="0" borderId="39" xfId="0" applyFont="1" applyBorder="1" applyNumberFormat="1">
      <alignment horizontal="left" vertical="center" wrapText="1"/>
    </xf>
    <xf numFmtId="0" fontId="116" fillId="0" borderId="61" xfId="0" applyFont="1" applyBorder="1" applyNumberFormat="1">
      <alignment horizontal="left" vertical="center" wrapText="1"/>
    </xf>
    <xf numFmtId="0" fontId="118" fillId="0" borderId="0" xfId="0" applyFont="1" applyNumberFormat="1"/>
    <xf numFmtId="0" fontId="118" fillId="0" borderId="39" xfId="0" applyFont="1" applyBorder="1" applyNumberFormat="1">
      <alignment wrapText="1"/>
    </xf>
    <xf numFmtId="0" fontId="64" fillId="0" borderId="62" xfId="0" applyFont="1" applyBorder="1" applyNumberFormat="1">
      <alignment wrapText="1"/>
    </xf>
    <xf numFmtId="0" fontId="64" fillId="0" borderId="40" xfId="0" applyFont="1" applyBorder="1" applyNumberFormat="1">
      <alignment wrapText="1"/>
    </xf>
    <xf numFmtId="0" fontId="64" fillId="0" borderId="40" xfId="0" applyFont="1" applyBorder="1" applyNumberFormat="1">
      <alignment vertical="center" wrapText="1"/>
    </xf>
    <xf numFmtId="0" fontId="114" fillId="0" borderId="0" xfId="0" applyFont="1" applyNumberFormat="1"/>
    <xf numFmtId="0" fontId="35" fillId="0" borderId="25" xfId="0" applyFont="1" applyBorder="1" applyNumberFormat="1">
      <alignment horizontal="center" vertical="center" wrapText="1"/>
    </xf>
    <xf numFmtId="49" fontId="22" fillId="0" borderId="14" xfId="0" applyFont="1" applyBorder="1" applyNumberFormat="1">
      <alignment horizontal="center" vertical="center" wrapText="1"/>
    </xf>
    <xf numFmtId="49" fontId="119" fillId="0" borderId="0" xfId="0" applyFont="1" applyNumberFormat="1">
      <alignment horizontal="center" vertical="center" wrapText="1"/>
    </xf>
    <xf numFmtId="49" fontId="22" fillId="45" borderId="0" xfId="0" applyFont="1" applyFill="1" applyNumberFormat="1">
      <alignment horizontal="center" vertical="center"/>
    </xf>
    <xf numFmtId="168" fontId="0" fillId="40" borderId="13" xfId="0" applyFont="1" applyFill="1" applyBorder="1" applyNumberFormat="1">
      <alignment horizontal="left" vertical="center" wrapText="1" indent="1"/>
      <protection locked="0"/>
    </xf>
    <xf numFmtId="168" fontId="0" fillId="0" borderId="13" xfId="0" applyFont="1" applyBorder="1" applyNumberFormat="1">
      <alignment horizontal="left" vertical="center" wrapText="1" indent="1"/>
    </xf>
    <xf numFmtId="168" fontId="0" fillId="40" borderId="13" xfId="0" applyFont="1" applyFill="1" applyBorder="1" applyNumberFormat="1">
      <alignment horizontal="center" vertical="center" wrapText="1"/>
      <protection locked="0"/>
    </xf>
    <xf numFmtId="168" fontId="46" fillId="0" borderId="0" xfId="0" applyFont="1" applyNumberFormat="1">
      <alignment horizontal="center" vertical="center" wrapText="1"/>
    </xf>
    <xf numFmtId="168" fontId="46" fillId="0" borderId="13" xfId="0" applyFont="1" applyBorder="1" applyNumberFormat="1">
      <alignment horizontal="center" vertical="center" wrapText="1"/>
    </xf>
    <xf numFmtId="168" fontId="0" fillId="40" borderId="13" xfId="0" applyFont="1" applyFill="1" applyBorder="1" applyNumberFormat="1">
      <alignment horizontal="left" vertical="center" wrapText="1"/>
      <protection locked="0"/>
    </xf>
    <xf numFmtId="168" fontId="0" fillId="37" borderId="13" xfId="0" applyFont="1" applyFill="1" applyBorder="1" applyNumberFormat="1">
      <alignment horizontal="left" vertical="center" wrapText="1" indent="1"/>
      <protection locked="0"/>
    </xf>
    <xf numFmtId="168" fontId="0" fillId="40" borderId="14"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5"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2" fillId="35" borderId="31" xfId="0" applyFont="1" applyFill="1" applyBorder="1" applyNumberFormat="1">
      <alignment horizontal="left" vertical="top"/>
    </xf>
    <xf numFmtId="0" fontId="22" fillId="0" borderId="13" xfId="0" applyFont="1" applyBorder="1" applyNumberFormat="1">
      <alignment horizontal="left" vertical="top"/>
    </xf>
    <xf numFmtId="49" fontId="22" fillId="0" borderId="0" xfId="0" applyFont="1" applyNumberFormat="1">
      <alignment horizontal="left" vertical="top"/>
    </xf>
    <xf numFmtId="0" fontId="0" fillId="35" borderId="37" xfId="0" applyFont="1" applyFill="1" applyBorder="1" applyNumberFormat="1">
      <alignment horizontal="left" vertical="top" wrapText="1" indent="1"/>
    </xf>
    <xf numFmtId="49" fontId="22" fillId="41" borderId="37" xfId="0" applyFont="1" applyFill="1" applyBorder="1" applyNumberFormat="1">
      <alignment horizontal="center" vertical="top" wrapText="1"/>
    </xf>
    <xf numFmtId="49" fontId="0" fillId="40" borderId="37" xfId="0" applyFont="1" applyFill="1" applyBorder="1" applyNumberFormat="1">
      <alignment horizontal="center" vertical="top" wrapText="1"/>
      <protection locked="0"/>
    </xf>
    <xf numFmtId="49" fontId="0" fillId="37" borderId="37" xfId="0" applyFont="1" applyFill="1" applyBorder="1" applyNumberFormat="1">
      <alignment horizontal="center" vertical="top" wrapText="1"/>
      <protection locked="0"/>
    </xf>
    <xf numFmtId="49" fontId="22" fillId="41" borderId="37" xfId="0" applyFont="1" applyFill="1" applyBorder="1" applyNumberFormat="1">
      <alignment horizontal="left" vertical="top" wrapText="1"/>
    </xf>
    <xf numFmtId="49" fontId="22" fillId="40" borderId="37" xfId="0" applyFont="1" applyFill="1" applyBorder="1" applyNumberFormat="1">
      <alignment horizontal="left" vertical="top" wrapText="1"/>
      <protection locked="0"/>
    </xf>
    <xf numFmtId="49" fontId="0" fillId="35" borderId="37" xfId="0" applyFont="1" applyFill="1" applyBorder="1" applyNumberFormat="1">
      <alignment horizontal="center" vertical="top" wrapText="1"/>
    </xf>
    <xf numFmtId="0" fontId="22" fillId="35" borderId="37" xfId="0" applyFont="1" applyFill="1" applyBorder="1" applyNumberFormat="1">
      <alignment horizontal="center" vertical="top" wrapText="1"/>
    </xf>
    <xf numFmtId="0" fontId="22" fillId="37" borderId="37" xfId="0" applyFont="1" applyFill="1" applyBorder="1" applyNumberFormat="1">
      <alignment horizontal="left" vertical="top" wrapText="1"/>
      <protection locked="0"/>
    </xf>
    <xf numFmtId="0" fontId="39" fillId="0" borderId="37" xfId="0" applyFont="1" applyBorder="1" applyNumberFormat="1">
      <alignment horizontal="left" vertical="center"/>
    </xf>
    <xf numFmtId="0" fontId="39" fillId="37" borderId="37" xfId="0" applyFont="1" applyFill="1" applyBorder="1" applyNumberFormat="1">
      <alignment horizontal="left" vertical="center"/>
      <protection locked="0"/>
    </xf>
    <xf numFmtId="0" fontId="39" fillId="40" borderId="37" xfId="0" applyFont="1" applyFill="1" applyBorder="1" applyNumberFormat="1">
      <alignment horizontal="left" vertical="center"/>
      <protection locked="0"/>
    </xf>
    <xf numFmtId="14" fontId="22" fillId="41" borderId="37" xfId="0" applyFont="1" applyFill="1" applyBorder="1" applyNumberFormat="1">
      <alignment horizontal="left" vertical="center" wrapText="1" indent="1"/>
    </xf>
    <xf numFmtId="49" fontId="22" fillId="41" borderId="0" xfId="0" applyFont="1" applyFill="1" applyNumberFormat="1">
      <alignment horizontal="center" vertical="center" wrapText="1"/>
    </xf>
    <xf numFmtId="0" fontId="22" fillId="0" borderId="13" xfId="0" applyFont="1" applyBorder="1" applyNumberFormat="1">
      <alignment horizontal="center" vertical="center" wrapText="1"/>
    </xf>
    <xf numFmtId="0" fontId="0" fillId="36" borderId="13" xfId="0" applyFont="1" applyFill="1" applyBorder="1" applyNumberFormat="1">
      <alignment vertical="top" wrapText="1"/>
    </xf>
    <xf numFmtId="0" fontId="45" fillId="0" borderId="13" xfId="0" applyFont="1" applyBorder="1" applyNumberFormat="1">
      <alignment vertical="top" wrapText="1"/>
    </xf>
    <xf numFmtId="49" fontId="22" fillId="41" borderId="18" xfId="0" applyFont="1" applyFill="1" applyBorder="1" applyNumberFormat="1">
      <alignment vertical="center" wrapText="1"/>
    </xf>
    <xf numFmtId="49" fontId="22" fillId="41" borderId="37" xfId="0" applyFont="1" applyFill="1" applyBorder="1" applyNumberFormat="1">
      <alignment vertical="center" wrapText="1"/>
    </xf>
    <xf numFmtId="49" fontId="22" fillId="41" borderId="24" xfId="0" applyFont="1" applyFill="1" applyBorder="1" applyNumberFormat="1">
      <alignment vertical="center" wrapText="1"/>
    </xf>
    <xf numFmtId="0" fontId="0" fillId="40"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2"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2" fillId="0" borderId="0" xfId="0" applyFont="1" applyNumberFormat="1">
      <alignment horizontal="left" vertical="center" indent="1"/>
    </xf>
    <xf numFmtId="168" fontId="0" fillId="40" borderId="15" xfId="0" applyFont="1" applyFill="1" applyBorder="1" applyNumberFormat="1">
      <alignment horizontal="left" vertical="center" wrapText="1"/>
      <protection locked="0"/>
    </xf>
    <xf numFmtId="49" fontId="22" fillId="36" borderId="27" xfId="0" applyFont="1" applyFill="1" applyBorder="1" applyNumberFormat="1">
      <alignment horizontal="right" vertical="center" wrapText="1" indent="1"/>
    </xf>
    <xf numFmtId="49" fontId="45" fillId="0" borderId="0" xfId="0" applyFont="1" applyNumberFormat="1">
      <alignment vertical="center" wrapText="1"/>
    </xf>
    <xf numFmtId="49" fontId="0" fillId="37" borderId="13" xfId="0" applyFont="1" applyFill="1" applyBorder="1" applyNumberFormat="1">
      <alignment horizontal="left" vertical="center" wrapText="1"/>
      <protection locked="0"/>
    </xf>
    <xf numFmtId="4" fontId="0" fillId="40" borderId="13"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3" xfId="0" applyFont="1" applyBorder="1" applyNumberFormat="1">
      <alignment horizontal="center" vertical="center" wrapText="1"/>
    </xf>
    <xf numFmtId="49" fontId="22" fillId="0" borderId="20" xfId="0" applyFont="1" applyBorder="1" applyNumberFormat="1">
      <alignment horizontal="center" vertical="center" wrapText="1"/>
    </xf>
    <xf numFmtId="0" fontId="22" fillId="41" borderId="37" xfId="0" applyFont="1" applyFill="1" applyBorder="1" applyNumberFormat="1">
      <alignment horizontal="center" vertical="top" wrapText="1"/>
    </xf>
    <xf numFmtId="49" fontId="22" fillId="0" borderId="20" xfId="0" applyFont="1" applyBorder="1" applyNumberFormat="1">
      <alignment horizontal="left" vertical="center" wrapText="1"/>
    </xf>
    <xf numFmtId="49" fontId="22" fillId="0" borderId="0" xfId="0" applyFont="1" applyNumberFormat="1">
      <alignment horizontal="center" vertical="center" wrapText="1"/>
    </xf>
    <xf numFmtId="49" fontId="22" fillId="41" borderId="37" xfId="0" applyFont="1" applyFill="1" applyBorder="1" applyNumberFormat="1">
      <alignment horizontal="center" vertical="center" wrapText="1"/>
    </xf>
    <xf numFmtId="0" fontId="39" fillId="0" borderId="0" xfId="0" applyFont="1" applyNumberFormat="1">
      <alignment horizontal="left" vertical="center"/>
    </xf>
    <xf numFmtId="49" fontId="22" fillId="0" borderId="20" xfId="0" applyFont="1" applyBorder="1" applyNumberFormat="1">
      <alignment horizontal="left" vertical="center" wrapText="1"/>
    </xf>
    <xf numFmtId="49" fontId="22" fillId="0" borderId="0" xfId="0" applyFont="1" applyNumberFormat="1">
      <alignment horizontal="left" vertical="center" wrapText="1"/>
    </xf>
    <xf numFmtId="49" fontId="22" fillId="36" borderId="0" xfId="0" applyFont="1" applyFill="1" applyNumberFormat="1">
      <alignment horizontal="center" vertical="center" wrapText="1"/>
    </xf>
    <xf numFmtId="0" fontId="22" fillId="0" borderId="13" xfId="0" applyFont="1" applyBorder="1" applyNumberFormat="1">
      <alignment horizontal="center" vertical="center" wrapText="1"/>
    </xf>
    <xf numFmtId="0" fontId="46" fillId="0" borderId="0" xfId="0" applyFont="1" applyNumberFormat="1">
      <alignment horizontal="center" vertical="center" wrapText="1"/>
    </xf>
    <xf numFmtId="0" fontId="44" fillId="0" borderId="13" xfId="0" applyFont="1" applyBorder="1" applyNumberFormat="1">
      <alignment horizontal="center" vertical="center"/>
    </xf>
    <xf numFmtId="49" fontId="0" fillId="40" borderId="13" xfId="0" applyFont="1" applyFill="1" applyBorder="1" applyNumberFormat="1">
      <alignment horizontal="left" vertical="center" wrapText="1"/>
      <protection locked="0"/>
    </xf>
    <xf numFmtId="0" fontId="45" fillId="0" borderId="0" xfId="0" applyFont="1" applyNumberFormat="1">
      <alignment horizontal="center" vertical="top"/>
    </xf>
    <xf numFmtId="49" fontId="22" fillId="0" borderId="37" xfId="0" applyFont="1" applyBorder="1" applyNumberFormat="1">
      <alignment horizontal="center" vertical="top" wrapText="1"/>
    </xf>
    <xf numFmtId="0" fontId="22" fillId="0" borderId="13" xfId="0" applyFont="1" applyBorder="1" applyNumberFormat="1">
      <alignment horizontal="left" vertical="center" wrapText="1"/>
    </xf>
    <xf numFmtId="0" fontId="35" fillId="0" borderId="13" xfId="0" applyFont="1" applyBorder="1" applyNumberFormat="1">
      <alignment horizontal="center" vertical="center" wrapText="1"/>
    </xf>
    <xf numFmtId="49" fontId="39" fillId="38" borderId="52" xfId="0" applyFont="1" applyFill="1" applyBorder="1" applyNumberFormat="1">
      <alignment horizontal="left" vertical="center" indent="1"/>
    </xf>
    <xf numFmtId="49" fontId="22" fillId="37" borderId="13" xfId="0" applyFont="1" applyFill="1" applyBorder="1" applyNumberFormat="1">
      <alignment horizontal="left" vertical="center" wrapText="1"/>
      <protection locked="0"/>
    </xf>
    <xf numFmtId="49" fontId="46" fillId="0" borderId="13" xfId="0" applyFont="1" applyBorder="1" applyNumberFormat="1">
      <alignment horizontal="center" vertical="center" wrapText="1"/>
    </xf>
    <xf numFmtId="168" fontId="0" fillId="40" borderId="13" xfId="0" applyFont="1" applyFill="1" applyBorder="1" applyNumberFormat="1">
      <alignment horizontal="center" vertical="center" wrapText="1"/>
      <protection locked="0"/>
    </xf>
    <xf numFmtId="49" fontId="0" fillId="40" borderId="13" xfId="0" applyFont="1" applyFill="1" applyBorder="1" applyNumberFormat="1">
      <alignment horizontal="center" vertical="center" wrapText="1"/>
      <protection locked="0"/>
    </xf>
    <xf numFmtId="0" fontId="22" fillId="0" borderId="13" xfId="0" applyFont="1" applyBorder="1" applyNumberFormat="1">
      <alignment horizontal="center" vertical="center" wrapText="1"/>
    </xf>
    <xf numFmtId="0" fontId="45" fillId="0" borderId="0" xfId="0" applyFont="1" applyNumberFormat="1">
      <alignment horizontal="center" vertical="center" wrapText="1"/>
    </xf>
    <xf numFmtId="0" fontId="0" fillId="0" borderId="13" xfId="0" applyFont="1" applyBorder="1" applyNumberFormat="1">
      <alignment horizontal="left" vertical="center" wrapText="1"/>
    </xf>
    <xf numFmtId="0" fontId="22" fillId="0" borderId="37" xfId="0" applyFont="1" applyBorder="1" applyNumberFormat="1">
      <alignment horizontal="center" vertical="center" wrapText="1"/>
    </xf>
    <xf numFmtId="0" fontId="22"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22" fillId="41" borderId="15" xfId="0" applyFont="1" applyFill="1" applyBorder="1" applyNumberFormat="1">
      <alignment horizontal="left" vertical="center" wrapText="1"/>
    </xf>
    <xf numFmtId="0" fontId="22" fillId="0" borderId="24" xfId="0" applyFont="1" applyBorder="1" applyNumberFormat="1">
      <alignment horizontal="center" vertical="center" wrapText="1"/>
    </xf>
    <xf numFmtId="0" fontId="44" fillId="0" borderId="14" xfId="0" applyFont="1" applyBorder="1" applyNumberFormat="1">
      <alignment horizontal="center" vertical="center"/>
    </xf>
    <xf numFmtId="49" fontId="0" fillId="39" borderId="0" xfId="0" applyFont="1" applyFill="1" applyNumberFormat="1">
      <alignment vertical="top"/>
    </xf>
    <xf numFmtId="0" fontId="36" fillId="36" borderId="0" xfId="0" applyFont="1" applyFill="1" applyNumberFormat="1">
      <alignment horizontal="center" vertical="center" wrapText="1"/>
    </xf>
    <xf numFmtId="0" fontId="36" fillId="36" borderId="0" xfId="0" applyFont="1" applyFill="1" applyNumberFormat="1">
      <alignment horizontal="center"/>
    </xf>
    <xf numFmtId="0" fontId="36" fillId="0" borderId="0" xfId="0" applyFont="1" applyNumberFormat="1">
      <alignment horizontal="center" vertical="center" wrapText="1"/>
    </xf>
    <xf numFmtId="0" fontId="41" fillId="0" borderId="0" xfId="0" applyFont="1" applyNumberFormat="1">
      <alignment vertical="center" wrapText="1"/>
    </xf>
    <xf numFmtId="49" fontId="0" fillId="0" borderId="13" xfId="0" applyFont="1" applyBorder="1" applyNumberFormat="1">
      <alignment vertical="top"/>
    </xf>
    <xf numFmtId="49" fontId="0" fillId="0" borderId="13" xfId="0" applyFont="1" applyBorder="1" applyNumberFormat="1">
      <alignment vertical="top"/>
    </xf>
    <xf numFmtId="49" fontId="22" fillId="0" borderId="0" xfId="0" applyFont="1" applyNumberFormat="1">
      <alignment vertical="top"/>
    </xf>
    <xf numFmtId="0" fontId="36" fillId="36" borderId="0" xfId="0" applyFont="1" applyFill="1" applyNumberFormat="1">
      <alignment vertical="top" wrapText="1"/>
    </xf>
    <xf numFmtId="49" fontId="120" fillId="40" borderId="13"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5" xfId="0" applyFont="1" applyBorder="1" applyNumberFormat="1">
      <alignment horizontal="center" vertical="center" wrapText="1"/>
    </xf>
    <xf numFmtId="49" fontId="121" fillId="0" borderId="0" xfId="0" applyFont="1" applyNumberFormat="1">
      <alignment horizontal="center" vertical="top" wrapText="1"/>
    </xf>
    <xf numFmtId="49" fontId="0" fillId="35" borderId="37" xfId="0" applyFont="1" applyFill="1" applyBorder="1" applyNumberFormat="1">
      <alignment vertical="top"/>
    </xf>
    <xf numFmtId="49" fontId="0" fillId="0" borderId="37" xfId="0" applyFont="1" applyBorder="1" applyNumberFormat="1">
      <alignment vertical="top"/>
    </xf>
    <xf numFmtId="49" fontId="0" fillId="40" borderId="37" xfId="0" applyFont="1" applyFill="1" applyBorder="1" applyNumberFormat="1">
      <alignment vertical="top"/>
      <protection locked="0"/>
    </xf>
    <xf numFmtId="49" fontId="0" fillId="40" borderId="18" xfId="0" applyFont="1" applyFill="1" applyBorder="1" applyNumberFormat="1">
      <alignment vertical="top"/>
      <protection locked="0"/>
    </xf>
    <xf numFmtId="49" fontId="0" fillId="40" borderId="24" xfId="0" applyFont="1" applyFill="1" applyBorder="1" applyNumberFormat="1">
      <alignment vertical="top"/>
      <protection locked="0"/>
    </xf>
    <xf numFmtId="49" fontId="121"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6" fillId="0" borderId="0" xfId="0" applyFont="1" applyNumberFormat="1">
      <alignment horizontal="center" vertical="center" wrapText="1"/>
    </xf>
    <xf numFmtId="49" fontId="0" fillId="40"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8" borderId="16" xfId="0" applyFont="1" applyFill="1" applyBorder="1" applyNumberFormat="1">
      <alignment vertical="center"/>
    </xf>
    <xf numFmtId="49" fontId="0" fillId="0" borderId="37" xfId="0" applyFont="1" applyBorder="1" applyNumberFormat="1">
      <alignment horizontal="left" vertical="top"/>
    </xf>
    <xf numFmtId="49" fontId="0" fillId="41" borderId="37" xfId="0" applyFont="1" applyFill="1" applyBorder="1" applyNumberFormat="1">
      <alignment horizontal="left" vertical="top"/>
    </xf>
    <xf numFmtId="49" fontId="0" fillId="37" borderId="37" xfId="0" applyFont="1" applyFill="1" applyBorder="1" applyNumberFormat="1">
      <alignment horizontal="left" vertical="top"/>
      <protection locked="0"/>
    </xf>
    <xf numFmtId="49" fontId="0" fillId="0" borderId="0" xfId="0" applyFont="1" applyNumberFormat="1">
      <alignment vertical="top"/>
    </xf>
    <xf numFmtId="49" fontId="0" fillId="37"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36" fillId="0" borderId="37" xfId="0" applyFont="1" applyBorder="1" applyNumberFormat="1">
      <alignment vertical="center" wrapText="1"/>
    </xf>
    <xf numFmtId="49" fontId="36" fillId="0" borderId="37" xfId="0" applyFont="1" applyBorder="1" applyNumberFormat="1">
      <alignment horizontal="center" vertical="center" wrapText="1"/>
    </xf>
    <xf numFmtId="49" fontId="36" fillId="0" borderId="20"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6" borderId="24" xfId="0" applyFont="1" applyFill="1" applyBorder="1" applyNumberFormat="1">
      <alignment horizontal="center" vertical="center" wrapText="1"/>
    </xf>
    <xf numFmtId="0" fontId="22"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0"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2" fillId="41" borderId="13" xfId="0" applyFont="1" applyFill="1" applyBorder="1" applyNumberFormat="1">
      <alignment horizontal="left" vertical="center" wrapText="1"/>
    </xf>
    <xf numFmtId="49" fontId="0" fillId="36"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2" fillId="41"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44" fillId="51" borderId="0" xfId="0" applyFont="1" applyFill="1" applyNumberFormat="1">
      <alignment vertical="center" wrapText="1"/>
    </xf>
    <xf numFmtId="0" fontId="45" fillId="0" borderId="0" xfId="0" applyFont="1" applyNumberForma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6" borderId="0" xfId="0" applyFont="1" applyFill="1" applyNumberFormat="1">
      <alignment horizontal="center" vertical="top" wrapText="1"/>
    </xf>
    <xf numFmtId="0" fontId="0" fillId="0" borderId="3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3" xfId="0" applyFont="1" applyBorder="1" applyNumberFormat="1">
      <alignment horizontal="left" vertical="center" wrapText="1"/>
    </xf>
    <xf numFmtId="0" fontId="22"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13" xfId="0" applyFont="1" applyBorder="1" applyNumberFormat="1">
      <alignment horizontal="center" vertical="center" wrapText="1"/>
    </xf>
    <xf numFmtId="0" fontId="22" fillId="40" borderId="13" xfId="0" applyFont="1" applyFill="1" applyBorder="1" applyNumberFormat="1">
      <alignment horizontal="center" vertical="center" wrapText="1"/>
      <protection locked="0"/>
    </xf>
    <xf numFmtId="49" fontId="22" fillId="35"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2" fillId="41" borderId="13" xfId="0" applyFont="1" applyFill="1" applyBorder="1" applyNumberFormat="1">
      <alignment horizontal="left" vertical="center" wrapText="1" indent="1"/>
    </xf>
    <xf numFmtId="49" fontId="122" fillId="0" borderId="13" xfId="0" applyFont="1" applyBorder="1" applyNumberFormat="1">
      <alignment horizontal="left" vertical="center" wrapText="1" indent="1"/>
    </xf>
    <xf numFmtId="0"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4" xfId="0" applyFont="1" applyBorder="1" applyNumberFormat="1">
      <alignment horizontal="left" vertical="center" wrapText="1" indent="1"/>
    </xf>
    <xf numFmtId="0" fontId="22" fillId="35" borderId="13" xfId="0" applyFont="1" applyFill="1" applyBorder="1" applyNumberFormat="1">
      <alignment horizontal="left" vertical="center" wrapText="1" indent="1"/>
    </xf>
    <xf numFmtId="0" fontId="46" fillId="0" borderId="0" xfId="0" applyFont="1" applyNumberFormat="1">
      <alignment horizontal="center" vertical="center" wrapText="1"/>
    </xf>
    <xf numFmtId="169" fontId="22" fillId="0" borderId="24" xfId="0" applyFont="1" applyBorder="1" applyNumberFormat="1">
      <alignment horizontal="center" vertical="center" wrapText="1"/>
    </xf>
    <xf numFmtId="0" fontId="22" fillId="0" borderId="0" xfId="0" applyFont="1" applyNumberFormat="1">
      <alignment horizontal="right" vertical="center" wrapText="1"/>
    </xf>
    <xf numFmtId="0" fontId="22" fillId="36" borderId="13" xfId="0" applyFont="1" applyFill="1" applyBorder="1" applyNumberFormat="1">
      <alignment vertical="top" wrapText="1"/>
    </xf>
    <xf numFmtId="0" fontId="22" fillId="36" borderId="13" xfId="0" applyFont="1" applyFill="1" applyBorder="1" applyNumberFormat="1">
      <alignment horizontal="left" vertical="top" wrapText="1"/>
    </xf>
    <xf numFmtId="49" fontId="51" fillId="37" borderId="24" xfId="0" applyFont="1" applyFill="1" applyBorder="1" applyNumberFormat="1">
      <alignment horizontal="left" vertical="center" wrapText="1"/>
      <protection locked="0"/>
    </xf>
    <xf numFmtId="49" fontId="0" fillId="38" borderId="30" xfId="0" applyFont="1" applyFill="1" applyBorder="1" applyNumberFormat="1">
      <alignment horizontal="right" vertical="center" wrapText="1"/>
    </xf>
    <xf numFmtId="0" fontId="22" fillId="0" borderId="0" xfId="0" applyFont="1" applyNumberFormat="1">
      <alignment horizontal="left" vertical="center" wrapText="1"/>
    </xf>
    <xf numFmtId="0" fontId="0" fillId="45" borderId="0" xfId="0" applyFont="1" applyFill="1" applyNumberFormat="1">
      <alignment horizontal="right" vertical="top" wrapText="1"/>
    </xf>
    <xf numFmtId="0" fontId="22" fillId="0" borderId="0" xfId="0" applyFont="1" applyNumberFormat="1">
      <alignment horizontal="left" vertical="top" wrapText="1"/>
    </xf>
    <xf numFmtId="14" fontId="22" fillId="0" borderId="24"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24" xfId="0" applyFont="1" applyBorder="1" applyNumberFormat="1">
      <alignment horizontal="center" vertical="center" wrapText="1"/>
    </xf>
    <xf numFmtId="0" fontId="22" fillId="35" borderId="13" xfId="0" applyFont="1" applyFill="1" applyBorder="1" applyNumberFormat="1">
      <alignment horizontal="left" vertical="center" wrapText="1" indent="1"/>
    </xf>
    <xf numFmtId="0" fontId="46" fillId="0" borderId="0" xfId="0" applyFont="1" applyNumberFormat="1">
      <alignment horizontal="center" vertical="center" wrapText="1"/>
    </xf>
    <xf numFmtId="0" fontId="22" fillId="35" borderId="13" xfId="0" applyFont="1" applyFill="1" applyBorder="1" applyNumberFormat="1">
      <alignment horizontal="left" vertical="center" wrapText="1"/>
    </xf>
    <xf numFmtId="169"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46" fillId="0" borderId="0" xfId="0" applyFont="1" applyNumberFormat="1">
      <alignment horizontal="center" vertical="center" wrapText="1"/>
    </xf>
    <xf numFmtId="49" fontId="22" fillId="40" borderId="13" xfId="0" applyFont="1" applyFill="1" applyBorder="1" applyNumberFormat="1">
      <alignment horizontal="left" vertical="center" wrapText="1"/>
      <protection locked="0"/>
    </xf>
    <xf numFmtId="0" fontId="22" fillId="36" borderId="37" xfId="0" applyFont="1" applyFill="1" applyBorder="1" applyNumberFormat="1">
      <alignment vertical="center" wrapText="1"/>
    </xf>
    <xf numFmtId="169" fontId="44" fillId="0" borderId="20" xfId="0" applyFont="1" applyBorder="1" applyNumberFormat="1">
      <alignment horizontal="center" vertical="center" wrapText="1"/>
    </xf>
    <xf numFmtId="169" fontId="44" fillId="0" borderId="21" xfId="0" applyFont="1" applyBorder="1" applyNumberFormat="1">
      <alignment horizontal="center" vertical="center" wrapText="1"/>
    </xf>
    <xf numFmtId="170" fontId="22" fillId="40" borderId="13" xfId="0" applyFont="1" applyFill="1" applyBorder="1" applyNumberFormat="1">
      <alignment horizontal="left" vertical="center" wrapText="1" indent="1"/>
      <protection locked="0"/>
    </xf>
    <xf numFmtId="168" fontId="0" fillId="40" borderId="16" xfId="0" applyFont="1" applyFill="1" applyBorder="1" applyNumberFormat="1">
      <alignment horizontal="left" vertical="center" wrapText="1" indent="1"/>
      <protection locked="0"/>
    </xf>
    <xf numFmtId="49" fontId="22" fillId="40" borderId="28" xfId="0" applyFont="1" applyFill="1" applyBorder="1" applyNumberFormat="1">
      <alignment horizontal="left" vertical="center" wrapText="1"/>
      <protection locked="0"/>
    </xf>
    <xf numFmtId="49" fontId="22" fillId="40" borderId="31" xfId="0" applyFont="1" applyFill="1" applyBorder="1" applyNumberFormat="1">
      <alignment horizontal="left" vertical="center" wrapText="1"/>
      <protection locked="0"/>
    </xf>
    <xf numFmtId="49" fontId="51" fillId="38" borderId="30" xfId="0" applyFont="1" applyFill="1" applyBorder="1" applyNumberFormat="1">
      <alignment horizontal="left" vertical="center" wrapText="1"/>
    </xf>
    <xf numFmtId="0" fontId="22" fillId="40" borderId="13" xfId="0" applyFont="1" applyFill="1" applyBorder="1" applyNumberFormat="1">
      <alignment horizontal="left" vertical="top" wrapText="1" indent="1"/>
      <protection locked="0"/>
    </xf>
    <xf numFmtId="0" fontId="22" fillId="0" borderId="16" xfId="0" applyFont="1" applyBorder="1" applyNumberFormat="1">
      <alignment horizontal="center" vertical="center" wrapText="1"/>
    </xf>
    <xf numFmtId="0" fontId="46" fillId="0" borderId="0" xfId="0" applyFont="1" applyNumberFormat="1">
      <alignment horizontal="center" vertical="center" wrapText="1"/>
    </xf>
    <xf numFmtId="0" fontId="22" fillId="36" borderId="23" xfId="0" applyFont="1" applyFill="1" applyBorder="1" applyNumberFormat="1">
      <alignment vertical="center" wrapText="1"/>
    </xf>
    <xf numFmtId="0" fontId="35" fillId="0" borderId="0" xfId="59" applyFont="1" applyNumberFormat="1">
      <alignment horizontal="center" vertical="center" wrapText="1"/>
    </xf>
    <xf numFmtId="0" fontId="35" fillId="0" borderId="13" xfId="59" applyFont="1" applyBorder="1" applyNumberFormat="1">
      <alignment horizontal="center" vertical="center" wrapText="1"/>
    </xf>
    <xf numFmtId="0" fontId="22" fillId="0" borderId="13" xfId="0" applyFont="1" applyBorder="1" applyNumberFormat="1">
      <alignment horizontal="left" vertical="top" wrapText="1"/>
    </xf>
    <xf numFmtId="49" fontId="22" fillId="0" borderId="20" xfId="0" applyFont="1" applyBorder="1" applyNumberFormat="1">
      <alignment horizontal="center" vertical="center" wrapText="1"/>
    </xf>
    <xf numFmtId="49" fontId="22" fillId="0" borderId="0" xfId="0" applyFont="1" applyNumberFormat="1">
      <alignment horizontal="center" vertical="center" wrapText="1"/>
    </xf>
    <xf numFmtId="49" fontId="0" fillId="0" borderId="20" xfId="0" applyFont="1" applyBorder="1" applyNumberFormat="1">
      <alignment horizontal="left" vertical="center" wrapText="1"/>
    </xf>
    <xf numFmtId="0" fontId="39" fillId="0" borderId="0" xfId="0" applyFont="1" applyNumberFormat="1">
      <alignment horizontal="left" vertical="center"/>
    </xf>
    <xf numFmtId="0" fontId="39" fillId="0" borderId="25" xfId="0" applyFont="1" applyBorder="1" applyNumberFormat="1">
      <alignment horizontal="left" vertical="center"/>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0" fillId="0" borderId="13"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3" xfId="0" applyFont="1" applyBorder="1" applyNumberFormat="1">
      <alignment horizontal="center" vertical="center" wrapText="1"/>
    </xf>
    <xf numFmtId="49" fontId="22" fillId="41" borderId="13" xfId="0" applyFont="1" applyFill="1" applyBorder="1" applyNumberFormat="1">
      <alignment horizontal="center" vertical="center" wrapText="1"/>
    </xf>
    <xf numFmtId="49" fontId="22" fillId="0" borderId="20" xfId="0" applyFont="1" applyBorder="1" applyNumberFormat="1">
      <alignment horizontal="center" vertical="center" wrapText="1"/>
    </xf>
    <xf numFmtId="49" fontId="22" fillId="0" borderId="0" xfId="0" applyFont="1" applyNumberFormat="1">
      <alignment horizontal="center" vertical="center" wrapText="1"/>
    </xf>
    <xf numFmtId="49" fontId="0" fillId="0" borderId="20" xfId="0" applyFont="1" applyBorder="1" applyNumberFormat="1">
      <alignment horizontal="left" vertical="center" wrapText="1"/>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39" fillId="0" borderId="0" xfId="0" applyFont="1" applyNumberFormat="1">
      <alignment horizontal="left" vertical="center"/>
    </xf>
    <xf numFmtId="0" fontId="39" fillId="0" borderId="25" xfId="0" applyFont="1" applyBorder="1" applyNumberFormat="1">
      <alignment horizontal="left" vertical="center"/>
    </xf>
    <xf numFmtId="0" fontId="22" fillId="36" borderId="13" xfId="0" applyFont="1" applyFill="1" applyBorder="1" applyNumberFormat="1">
      <alignment horizontal="center" vertical="center" wrapText="1"/>
    </xf>
    <xf numFmtId="0" fontId="45" fillId="0" borderId="0" xfId="0" applyFont="1" applyNumberFormat="1">
      <alignment horizontal="center" vertical="center" wrapText="1"/>
    </xf>
    <xf numFmtId="0" fontId="22" fillId="35" borderId="16" xfId="0" applyFont="1" applyFill="1" applyBorder="1" applyNumberFormat="1">
      <alignment horizontal="left" vertical="center" wrapText="1"/>
    </xf>
    <xf numFmtId="0" fontId="22" fillId="0" borderId="0" xfId="0" applyFont="1" applyNumberFormat="1">
      <alignment horizontal="left" vertical="top" wrapText="1"/>
    </xf>
    <xf numFmtId="0" fontId="46" fillId="0" borderId="0" xfId="0" applyFont="1" applyNumberFormat="1">
      <alignment horizontal="center" vertical="center" wrapText="1"/>
    </xf>
    <xf numFmtId="168" fontId="0" fillId="40" borderId="13" xfId="0" applyFont="1" applyFill="1" applyBorder="1" applyNumberFormat="1">
      <alignment horizontal="center" vertical="center" wrapText="1"/>
      <protection locked="0"/>
    </xf>
    <xf numFmtId="0" fontId="78" fillId="36" borderId="20" xfId="0" applyFont="1" applyFill="1" applyBorder="1" applyNumberFormat="1">
      <alignment horizontal="center" vertical="center" wrapText="1"/>
    </xf>
    <xf numFmtId="0" fontId="36" fillId="0" borderId="28" xfId="0" applyFont="1" applyBorder="1" applyNumberFormat="1">
      <alignment horizontal="center" vertical="center" wrapText="1"/>
    </xf>
    <xf numFmtId="0" fontId="22" fillId="36" borderId="13" xfId="0" applyFont="1" applyFill="1" applyBorder="1" applyNumberFormat="1">
      <alignment horizontal="left" vertical="center" wrapText="1"/>
    </xf>
    <xf numFmtId="0" fontId="22" fillId="36" borderId="24" xfId="0" applyFont="1" applyFill="1" applyBorder="1" applyNumberFormat="1">
      <alignment horizontal="center" vertical="center" wrapText="1"/>
    </xf>
    <xf numFmtId="0" fontId="46" fillId="0" borderId="16" xfId="0" applyFont="1" applyBorder="1" applyNumberFormat="1">
      <alignment horizontal="left" vertical="center" wrapText="1"/>
    </xf>
    <xf numFmtId="49" fontId="22" fillId="40" borderId="18" xfId="0" applyFont="1" applyFill="1" applyBorder="1" applyNumberFormat="1">
      <alignment horizontal="left" vertical="center" wrapText="1" indent="6"/>
      <protection locked="0"/>
    </xf>
    <xf numFmtId="0" fontId="22" fillId="36" borderId="18" xfId="0" applyFont="1" applyFill="1" applyBorder="1" applyNumberFormat="1">
      <alignment horizontal="left" vertical="center" wrapText="1"/>
    </xf>
    <xf numFmtId="4" fontId="22" fillId="40" borderId="13" xfId="0" applyFont="1" applyFill="1" applyBorder="1" applyNumberFormat="1">
      <alignment horizontal="left" vertical="center" wrapText="1" indent="1"/>
      <protection locked="0"/>
    </xf>
    <xf numFmtId="49" fontId="22" fillId="37" borderId="18" xfId="0" applyFont="1" applyFill="1" applyBorder="1" applyNumberFormat="1">
      <alignment horizontal="left" vertical="center" wrapText="1" indent="6"/>
      <protection locked="0"/>
    </xf>
    <xf numFmtId="49" fontId="22" fillId="0" borderId="0" xfId="0" applyFont="1" applyNumberFormat="1">
      <alignment vertical="center" wrapText="1"/>
    </xf>
    <xf numFmtId="49" fontId="46" fillId="0" borderId="13" xfId="0" applyFont="1" applyBorder="1" applyNumberFormat="1">
      <alignment horizontal="center" vertical="center" wrapText="1"/>
    </xf>
    <xf numFmtId="49" fontId="22" fillId="0" borderId="13" xfId="0" applyFont="1" applyBorder="1" applyNumberFormat="1">
      <alignment horizontal="left" vertical="center" wrapText="1"/>
    </xf>
    <xf numFmtId="0" fontId="22" fillId="36" borderId="30" xfId="0" applyFont="1" applyFill="1" applyBorder="1" applyNumberFormat="1">
      <alignment horizontal="center" vertical="center" wrapText="1"/>
    </xf>
    <xf numFmtId="0" fontId="45"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3" xfId="0" applyFont="1" applyBorder="1" applyNumberFormat="1">
      <alignment horizontal="center" vertical="center" wrapText="1"/>
    </xf>
    <xf numFmtId="49" fontId="0" fillId="40" borderId="13" xfId="0" applyFont="1" applyFill="1" applyBorder="1" applyNumberFormat="1">
      <alignment horizontal="left" vertical="center" wrapText="1"/>
      <protection locked="0"/>
    </xf>
    <xf numFmtId="49" fontId="22" fillId="36" borderId="0" xfId="0" applyFont="1" applyFill="1" applyNumberFormat="1">
      <alignment vertical="center" wrapText="1"/>
    </xf>
    <xf numFmtId="0" fontId="78" fillId="36" borderId="20" xfId="0" applyFont="1" applyFill="1" applyBorder="1" applyNumberFormat="1">
      <alignment horizontal="center" vertical="center" wrapText="1"/>
    </xf>
    <xf numFmtId="0" fontId="45" fillId="0" borderId="0" xfId="0" applyFont="1" applyNumberFormat="1">
      <alignment horizontal="center" vertical="center" wrapText="1"/>
    </xf>
    <xf numFmtId="49" fontId="22" fillId="0" borderId="0" xfId="0" applyFont="1" applyNumberFormat="1">
      <alignment vertical="center" wrapText="1"/>
    </xf>
    <xf numFmtId="49" fontId="22" fillId="37" borderId="13" xfId="0" applyFont="1" applyFill="1" applyBorder="1" applyNumberFormat="1">
      <alignment horizontal="left" vertical="center" indent="1"/>
      <protection locked="0"/>
    </xf>
    <xf numFmtId="49" fontId="22" fillId="36" borderId="13" xfId="57" applyFont="1" applyFill="1" applyBorder="1" applyNumberFormat="1">
      <alignment horizontal="center" vertical="center" wrapText="1"/>
    </xf>
    <xf numFmtId="14" fontId="22" fillId="40" borderId="15" xfId="0" applyFont="1" applyFill="1" applyBorder="1" applyNumberFormat="1">
      <alignment horizontal="left" vertical="center" wrapText="1" indent="1"/>
      <protection locked="0"/>
    </xf>
    <xf numFmtId="0" fontId="45" fillId="0" borderId="37" xfId="0" applyFont="1" applyBorder="1" applyNumberFormat="1">
      <alignment horizontal="left" vertical="center" wrapText="1" indent="1"/>
    </xf>
    <xf numFmtId="49" fontId="103" fillId="38" borderId="43" xfId="0" applyFont="1" applyFill="1" applyBorder="1" applyNumberFormat="1">
      <alignment horizontal="left" vertical="center" indent="1"/>
    </xf>
    <xf numFmtId="14" fontId="22" fillId="41" borderId="23" xfId="0" applyFont="1" applyFill="1" applyBorder="1" applyNumberFormat="1">
      <alignment horizontal="left" vertical="center" wrapText="1" indent="1"/>
    </xf>
    <xf numFmtId="0" fontId="22" fillId="0" borderId="23" xfId="0" applyFont="1" applyBorder="1" applyNumberFormat="1">
      <alignment vertical="center" wrapText="1"/>
    </xf>
    <xf numFmtId="0" fontId="0" fillId="0" borderId="14" xfId="0" applyFont="1" applyBorder="1" applyNumberFormat="1">
      <alignment horizontal="center" vertical="center" wrapText="1"/>
    </xf>
    <xf numFmtId="49" fontId="22" fillId="41" borderId="13" xfId="0" applyFont="1" applyFill="1" applyBorder="1" applyNumberFormat="1">
      <alignment horizontal="center" vertical="center" wrapText="1"/>
    </xf>
    <xf numFmtId="0" fontId="22" fillId="0" borderId="13" xfId="0" applyFont="1" applyBorder="1" applyNumberFormat="1">
      <alignment horizontal="center" vertical="center" wrapText="1"/>
    </xf>
    <xf numFmtId="168" fontId="0" fillId="40" borderId="13" xfId="0" applyFont="1" applyFill="1" applyBorder="1" applyNumberFormat="1">
      <alignment horizontal="center" vertical="center" wrapText="1"/>
      <protection locked="0"/>
    </xf>
    <xf numFmtId="0" fontId="22" fillId="36" borderId="18" xfId="0" applyFont="1" applyFill="1" applyBorder="1" applyNumberFormat="1">
      <alignment horizontal="left" vertical="center" wrapText="1"/>
    </xf>
    <xf numFmtId="49" fontId="22" fillId="40" borderId="18" xfId="0" applyFont="1" applyFill="1" applyBorder="1" applyNumberFormat="1">
      <alignment horizontal="left" vertical="center" wrapText="1" indent="6"/>
      <protection locked="0"/>
    </xf>
    <xf numFmtId="0" fontId="46" fillId="0" borderId="25" xfId="0" applyFont="1" applyBorder="1" applyNumberFormat="1">
      <alignment horizontal="center" vertical="top" wrapText="1"/>
    </xf>
    <xf numFmtId="49" fontId="22" fillId="37" borderId="18" xfId="0" applyFont="1" applyFill="1" applyBorder="1" applyNumberFormat="1">
      <alignment horizontal="left" vertical="center" wrapText="1" indent="6"/>
      <protection locked="0"/>
    </xf>
    <xf numFmtId="4" fontId="22" fillId="40" borderId="13" xfId="0" applyFont="1" applyFill="1" applyBorder="1" applyNumberFormat="1">
      <alignment horizontal="left" vertical="center" wrapText="1" indent="1"/>
      <protection locked="0"/>
    </xf>
    <xf numFmtId="49" fontId="22" fillId="0" borderId="20" xfId="0" applyFont="1" applyBorder="1" applyNumberFormat="1">
      <alignment horizontal="center" vertical="center" wrapText="1"/>
    </xf>
    <xf numFmtId="49" fontId="22" fillId="0" borderId="0" xfId="0" applyFont="1" applyNumberFormat="1">
      <alignment horizontal="center" vertical="center" wrapText="1"/>
    </xf>
    <xf numFmtId="49" fontId="0" fillId="0" borderId="20" xfId="0" applyFont="1" applyBorder="1" applyNumberFormat="1">
      <alignment horizontal="left" vertical="center" wrapText="1"/>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39" fillId="0" borderId="0" xfId="0" applyFont="1" applyNumberFormat="1">
      <alignment horizontal="left" vertical="center"/>
    </xf>
    <xf numFmtId="0" fontId="39" fillId="0" borderId="25" xfId="0" applyFont="1" applyBorder="1" applyNumberFormat="1">
      <alignment horizontal="left" vertical="center"/>
    </xf>
    <xf numFmtId="49" fontId="31" fillId="44" borderId="0" xfId="0" applyFont="1" applyFill="1" applyNumberFormat="1">
      <alignment horizontal="center" vertical="center" wrapText="1"/>
    </xf>
    <xf numFmtId="0" fontId="46" fillId="0" borderId="0" xfId="0" applyFont="1" applyNumberFormat="1">
      <alignment horizontal="center" vertical="center" wrapText="1"/>
    </xf>
    <xf numFmtId="0" fontId="22" fillId="36" borderId="13" xfId="0" applyFont="1" applyFill="1" applyBorder="1" applyNumberFormat="1">
      <alignment horizontal="left" vertical="center" wrapText="1"/>
    </xf>
    <xf numFmtId="0" fontId="22" fillId="36" borderId="18" xfId="0" applyFont="1" applyFill="1" applyBorder="1" applyNumberFormat="1">
      <alignment horizontal="left" vertical="center" wrapText="1"/>
    </xf>
    <xf numFmtId="0" fontId="22" fillId="36" borderId="24" xfId="0" applyFont="1" applyFill="1" applyBorder="1" applyNumberFormat="1">
      <alignment horizontal="left" vertical="center" wrapText="1"/>
    </xf>
    <xf numFmtId="0" fontId="44" fillId="0" borderId="14" xfId="0" applyFont="1" applyBorder="1" applyNumberFormat="1">
      <alignment vertical="top" wrapText="1"/>
    </xf>
    <xf numFmtId="0" fontId="46" fillId="0" borderId="14" xfId="0" applyFont="1" applyBorder="1" applyNumberFormat="1">
      <alignment vertical="top" wrapText="1"/>
    </xf>
    <xf numFmtId="0" fontId="22" fillId="36" borderId="18" xfId="0" applyFont="1" applyFill="1" applyBorder="1" applyNumberFormat="1">
      <alignment horizontal="left" vertical="center" wrapText="1" indent="2"/>
    </xf>
    <xf numFmtId="0" fontId="22" fillId="0" borderId="18" xfId="0" applyFont="1" applyBorder="1" applyNumberFormat="1">
      <alignment horizontal="left" vertical="center" wrapText="1" indent="6"/>
    </xf>
    <xf numFmtId="0" fontId="22" fillId="41" borderId="24" xfId="0" applyFont="1" applyFill="1" applyBorder="1" applyNumberFormat="1">
      <alignment horizontal="left" vertical="center" wrapText="1" indent="6"/>
    </xf>
    <xf numFmtId="0" fontId="22" fillId="0" borderId="24" xfId="0" applyFont="1" applyBorder="1" applyNumberFormat="1">
      <alignment horizontal="left" vertical="center" wrapText="1" indent="6"/>
    </xf>
    <xf numFmtId="4" fontId="22" fillId="37" borderId="24" xfId="0" applyFont="1" applyFill="1" applyBorder="1" applyNumberFormat="1">
      <alignment horizontal="right" vertical="center" wrapText="1"/>
      <protection locked="0"/>
    </xf>
    <xf numFmtId="166" fontId="22" fillId="37" borderId="24" xfId="0" applyFont="1" applyFill="1" applyBorder="1" applyNumberFormat="1">
      <alignment horizontal="right" vertical="center" wrapText="1"/>
      <protection locked="0"/>
    </xf>
    <xf numFmtId="0" fontId="22" fillId="0" borderId="16"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9" fontId="22" fillId="0" borderId="0" xfId="0" applyFont="1" applyNumberFormat="1">
      <alignment horizontal="center" vertical="center" wrapText="1"/>
    </xf>
    <xf numFmtId="0" fontId="22" fillId="0" borderId="13" xfId="0" applyFont="1" applyBorder="1" applyNumberFormat="1">
      <alignment horizontal="left" vertical="center" wrapText="1"/>
    </xf>
    <xf numFmtId="0" fontId="22" fillId="0" borderId="38" xfId="0" applyFont="1" applyBorder="1" applyNumberFormat="1">
      <alignment horizontal="center" vertical="center" wrapText="1"/>
    </xf>
    <xf numFmtId="49" fontId="0" fillId="36" borderId="13" xfId="0" applyFont="1" applyFill="1" applyBorder="1" applyNumberFormat="1">
      <alignment horizontal="center" vertical="center" wrapText="1"/>
    </xf>
    <xf numFmtId="0" fontId="22"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0" borderId="16" xfId="0" applyFont="1" applyBorder="1" applyNumberFormat="1">
      <alignment horizontal="right" vertical="center" wrapText="1" indent="1"/>
    </xf>
    <xf numFmtId="0" fontId="22" fillId="0" borderId="0" xfId="0" applyFont="1" applyNumberFormat="1">
      <alignment horizontal="left" vertical="top" wrapText="1"/>
    </xf>
    <xf numFmtId="0" fontId="22" fillId="35" borderId="15" xfId="0" applyFont="1" applyFill="1" applyBorder="1" applyNumberFormat="1">
      <alignment horizontal="left" vertical="top" wrapText="1"/>
    </xf>
    <xf numFmtId="49" fontId="22" fillId="0" borderId="0" xfId="0" applyFont="1" applyNumberFormat="1">
      <alignment vertical="center" wrapText="1"/>
    </xf>
    <xf numFmtId="0" fontId="0" fillId="0" borderId="13" xfId="0" applyFont="1" applyBorder="1" applyNumberFormat="1">
      <alignment horizontal="left" vertical="center" wrapText="1"/>
    </xf>
    <xf numFmtId="49"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0" fontId="22" fillId="0" borderId="18" xfId="0" applyFont="1" applyBorder="1" applyNumberFormat="1">
      <alignment horizontal="left" vertical="center" wrapText="1"/>
    </xf>
    <xf numFmtId="49" fontId="92" fillId="0" borderId="44" xfId="0" applyFont="1" applyBorder="1" applyNumberFormat="1">
      <alignment horizontal="center" vertical="center"/>
    </xf>
    <xf numFmtId="49" fontId="92" fillId="0" borderId="44" xfId="0" applyFont="1" applyBorder="1" applyNumberFormat="1">
      <alignment horizontal="left" vertical="center" indent="1"/>
    </xf>
    <xf numFmtId="49" fontId="92" fillId="0" borderId="15" xfId="0" applyFont="1" applyBorder="1" applyNumberFormat="1">
      <alignment horizontal="left" vertical="center" indent="1"/>
    </xf>
    <xf numFmtId="49" fontId="92" fillId="0" borderId="16" xfId="0" applyFont="1" applyBorder="1" applyNumberFormat="1">
      <alignment horizontal="left" vertical="center" indent="1"/>
    </xf>
    <xf numFmtId="49" fontId="92" fillId="0" borderId="16" xfId="0" applyFont="1" applyBorder="1" applyNumberFormat="1">
      <alignment vertical="top" wrapText="1"/>
    </xf>
    <xf numFmtId="49" fontId="92" fillId="0" borderId="14" xfId="0" applyFont="1" applyBorder="1" applyNumberFormat="1">
      <alignment vertical="top" wrapText="1"/>
    </xf>
    <xf numFmtId="49" fontId="123" fillId="0" borderId="0" xfId="0" applyFont="1" applyNumberFormat="1">
      <alignment horizontal="center" vertical="top" wrapText="1"/>
    </xf>
    <xf numFmtId="0" fontId="92" fillId="0" borderId="13" xfId="0" applyFont="1" applyBorder="1" applyNumberFormat="1">
      <alignment horizontal="center" vertical="center"/>
    </xf>
    <xf numFmtId="0" fontId="92" fillId="0" borderId="13" xfId="0" applyFont="1" applyBorder="1" applyNumberFormat="1">
      <alignment horizontal="left" vertical="center" wrapText="1" indent="1"/>
    </xf>
    <xf numFmtId="4" fontId="45" fillId="0" borderId="32" xfId="0" applyFont="1" applyBorder="1" applyNumberFormat="1">
      <alignment horizontal="right" vertical="center" wrapText="1"/>
    </xf>
    <xf numFmtId="49" fontId="45" fillId="0" borderId="16" xfId="0" applyFont="1" applyBorder="1" applyNumberFormat="1">
      <alignment horizontal="left" vertical="center" indent="1"/>
    </xf>
    <xf numFmtId="49" fontId="92" fillId="0" borderId="53" xfId="0" applyFont="1" applyBorder="1" applyNumberFormat="1">
      <alignment vertical="top" wrapText="1"/>
    </xf>
    <xf numFmtId="49" fontId="92" fillId="0" borderId="53" xfId="0" applyFont="1" applyBorder="1" applyNumberFormat="1">
      <alignment horizontal="left" vertical="center" indent="1"/>
    </xf>
    <xf numFmtId="49" fontId="0" fillId="41" borderId="37"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124" fillId="0" borderId="13" xfId="0" applyFont="1" applyBorder="1" applyNumberFormat="1">
      <alignment horizontal="center" vertical="center" wrapText="1"/>
    </xf>
    <xf numFmtId="49" fontId="124" fillId="0" borderId="18" xfId="0" applyFont="1" applyBorder="1" applyNumberFormat="1">
      <alignment horizontal="center" vertical="center" wrapText="1"/>
    </xf>
    <xf numFmtId="0" fontId="22" fillId="51" borderId="13" xfId="58" applyFont="1" applyFill="1" applyBorder="1" applyNumberFormat="1">
      <alignment vertical="center"/>
    </xf>
    <xf numFmtId="0" fontId="45" fillId="52" borderId="13" xfId="0" applyFont="1" applyFill="1" applyBorder="1" applyNumberFormat="1">
      <alignment horizontal="left" vertical="center" wrapText="1"/>
    </xf>
    <xf numFmtId="0" fontId="89" fillId="0" borderId="0" xfId="0" applyFont="1" applyNumberFormat="1">
      <alignment horizontal="center" vertical="center" wrapText="1"/>
    </xf>
    <xf numFmtId="49" fontId="22" fillId="0" borderId="0" xfId="0" applyFont="1" applyNumberFormat="1">
      <alignment vertical="center" wrapText="1"/>
    </xf>
    <xf numFmtId="49" fontId="0" fillId="7" borderId="13" xfId="0" applyFont="1" applyFill="1" applyBorder="1" applyNumberFormat="1">
      <alignment horizontal="center" vertical="center" wrapText="1"/>
    </xf>
    <xf numFmtId="49" fontId="22" fillId="0" borderId="0" xfId="0" applyFont="1" applyNumberFormat="1">
      <alignment vertical="center" wrapText="1"/>
    </xf>
    <xf numFmtId="49" fontId="0" fillId="7" borderId="13"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8" xfId="0" applyFont="1" applyBorder="1" applyNumberFormat="1">
      <alignment horizontal="left"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49" fontId="22" fillId="41" borderId="13" xfId="0" applyFont="1" applyFill="1" applyBorder="1" applyNumberFormat="1">
      <alignment horizontal="left" vertical="center" wrapText="1" indent="1"/>
    </xf>
    <xf numFmtId="0" fontId="22" fillId="0" borderId="20" xfId="0" applyFont="1" applyBorder="1" applyNumberFormat="1">
      <alignment horizontal="right" vertical="center" wrapText="1" indent="1"/>
    </xf>
    <xf numFmtId="4" fontId="22" fillId="40" borderId="38" xfId="0" applyFont="1" applyFill="1" applyBorder="1" applyNumberFormat="1">
      <alignment horizontal="right" vertical="center" wrapText="1"/>
      <protection locked="0"/>
    </xf>
    <xf numFmtId="3" fontId="22" fillId="40" borderId="15" xfId="0" applyFont="1" applyFill="1" applyBorder="1" applyNumberFormat="1">
      <alignment horizontal="right" vertical="center" wrapText="1"/>
      <protection locked="0"/>
    </xf>
    <xf numFmtId="0" fontId="45" fillId="38" borderId="16" xfId="0" applyFont="1" applyFill="1" applyBorder="1" applyNumberFormat="1">
      <alignment vertical="center" wrapText="1"/>
    </xf>
    <xf numFmtId="0" fontId="22" fillId="0" borderId="13"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5" xfId="0" applyFont="1" applyBorder="1" applyNumberFormat="1">
      <alignment horizontal="left" vertical="center" wrapText="1"/>
    </xf>
    <xf numFmtId="0" fontId="22" fillId="0" borderId="24" xfId="0" applyFont="1" applyBorder="1" applyNumberFormat="1">
      <alignment horizontal="center" vertical="center" wrapText="1"/>
    </xf>
    <xf numFmtId="0" fontId="22" fillId="0" borderId="15" xfId="0" applyFont="1" applyBorder="1" applyNumberFormat="1">
      <alignment horizontal="left" vertical="center" wrapText="1" indent="1"/>
    </xf>
    <xf numFmtId="0" fontId="22" fillId="0" borderId="15" xfId="0" applyFont="1" applyBorder="1" applyNumberFormat="1">
      <alignment horizontal="left" vertical="center" wrapText="1" indent="2"/>
    </xf>
    <xf numFmtId="4" fontId="22" fillId="0" borderId="13" xfId="0" applyFont="1" applyBorder="1" applyNumberFormat="1">
      <alignment horizontal="center" vertical="center" wrapText="1"/>
    </xf>
    <xf numFmtId="49" fontId="22" fillId="41" borderId="13" xfId="0" applyFont="1" applyFill="1" applyBorder="1" applyNumberFormat="1">
      <alignment horizontal="center" vertical="center" wrapText="1"/>
    </xf>
    <xf numFmtId="0" fontId="22"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0" xfId="0" applyFont="1" applyBorder="1" applyNumberFormat="1">
      <alignment horizontal="left" vertical="top" wrapText="1" indent="1"/>
    </xf>
    <xf numFmtId="0" fontId="22" fillId="0" borderId="28" xfId="0" applyFont="1" applyBorder="1" applyNumberFormat="1">
      <alignment horizontal="left" vertical="center" wrapText="1" indent="1"/>
    </xf>
    <xf numFmtId="0" fontId="22" fillId="0" borderId="18"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6"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7" borderId="15" xfId="0" applyFont="1" applyFill="1" applyBorder="1" applyNumberFormat="1">
      <alignment horizontal="left" vertical="center" wrapText="1"/>
      <protection locked="0"/>
    </xf>
    <xf numFmtId="0" fontId="22" fillId="0" borderId="16" xfId="0" applyFont="1" applyBorder="1" applyNumberFormat="1">
      <alignment horizontal="right" vertical="center" wrapText="1" indent="1"/>
    </xf>
    <xf numFmtId="0" fontId="46" fillId="0" borderId="0" xfId="0" applyFont="1" applyNumberFormat="1">
      <alignment horizontal="center" vertical="center" wrapText="1"/>
    </xf>
    <xf numFmtId="0" fontId="22" fillId="36" borderId="13" xfId="0" applyFont="1" applyFill="1" applyBorder="1" applyNumberFormat="1">
      <alignment horizontal="center" vertical="center"/>
    </xf>
    <xf numFmtId="0" fontId="22" fillId="35" borderId="15" xfId="0" applyFont="1" applyFill="1" applyBorder="1" applyNumberFormat="1">
      <alignment horizontal="left" vertical="top" wrapText="1"/>
    </xf>
    <xf numFmtId="0" fontId="22" fillId="35" borderId="15" xfId="0" applyFont="1" applyFill="1" applyBorder="1" applyNumberFormat="1">
      <alignment horizontal="left" vertical="top" wrapText="1" inden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49" fontId="22" fillId="41" borderId="13" xfId="0" applyFont="1" applyFill="1" applyBorder="1" applyNumberFormat="1">
      <alignment horizontal="left" vertical="center" wrapText="1"/>
    </xf>
    <xf numFmtId="49" fontId="22" fillId="37" borderId="13" xfId="0" applyFont="1" applyFill="1" applyBorder="1" applyNumberFormat="1">
      <alignment horizontal="left" vertical="center" wrapText="1"/>
      <protection locked="0"/>
    </xf>
    <xf numFmtId="0" fontId="44" fillId="0" borderId="14" xfId="0" applyFont="1" applyBorder="1" applyNumberFormat="1">
      <alignment horizontal="center" vertical="center"/>
    </xf>
    <xf numFmtId="49" fontId="22" fillId="40" borderId="13" xfId="0" applyFont="1" applyFill="1" applyBorder="1" applyNumberFormat="1">
      <alignment horizontal="left" vertical="center" wrapText="1"/>
      <protection locked="0"/>
    </xf>
    <xf numFmtId="0" fontId="22" fillId="41" borderId="13" xfId="0" applyFont="1" applyFill="1" applyBorder="1" applyNumberFormat="1">
      <alignment horizontal="left" vertical="center" wrapText="1" indent="1"/>
    </xf>
    <xf numFmtId="0" fontId="44" fillId="0" borderId="13" xfId="0" applyFont="1" applyBorder="1" applyNumberFormat="1">
      <alignment horizontal="center" vertical="center"/>
    </xf>
    <xf numFmtId="0" fontId="45" fillId="0" borderId="0" xfId="0" applyFont="1" applyNumberFormat="1">
      <alignment horizontal="center" vertical="center" wrapText="1"/>
    </xf>
    <xf numFmtId="49" fontId="0" fillId="0" borderId="26" xfId="0" applyFont="1" applyBorder="1" applyNumberFormat="1">
      <alignment horizontal="center" vertical="center"/>
    </xf>
    <xf numFmtId="49" fontId="0" fillId="0" borderId="13" xfId="59" applyFont="1" applyBorder="1" applyNumberFormat="1">
      <alignment vertical="top"/>
    </xf>
    <xf numFmtId="49" fontId="0" fillId="0" borderId="15" xfId="59" applyFont="1" applyBorder="1" applyNumberFormat="1">
      <alignment vertical="top"/>
    </xf>
    <xf numFmtId="49" fontId="0" fillId="53" borderId="18" xfId="59" applyFont="1" applyFill="1" applyBorder="1" applyNumberFormat="1">
      <alignment vertical="top"/>
    </xf>
    <xf numFmtId="49" fontId="0" fillId="54" borderId="13" xfId="59" applyFont="1" applyFill="1" applyBorder="1" applyNumberFormat="1">
      <alignment vertical="top"/>
    </xf>
    <xf numFmtId="49" fontId="0" fillId="0" borderId="16" xfId="59" applyFont="1" applyBorder="1" applyNumberFormat="1">
      <alignment horizontal="center" vertical="top"/>
    </xf>
    <xf numFmtId="49" fontId="0" fillId="3" borderId="13" xfId="59" applyFont="1" applyFill="1" applyBorder="1" applyNumberFormat="1">
      <alignment vertical="top"/>
    </xf>
    <xf numFmtId="49" fontId="0" fillId="55" borderId="13" xfId="59" applyFont="1" applyFill="1" applyBorder="1" applyNumberFormat="1">
      <alignment vertical="top"/>
    </xf>
    <xf numFmtId="49" fontId="0" fillId="16" borderId="18" xfId="59" applyFont="1" applyFill="1" applyBorder="1" applyNumberFormat="1">
      <alignment vertical="top"/>
    </xf>
    <xf numFmtId="49" fontId="0" fillId="5" borderId="15" xfId="59" applyFont="1" applyFill="1" applyBorder="1" applyNumberFormat="1">
      <alignment vertical="top"/>
    </xf>
    <xf numFmtId="49" fontId="0" fillId="5" borderId="13" xfId="59" applyFont="1" applyFill="1" applyBorder="1" applyNumberFormat="1">
      <alignment vertical="top"/>
    </xf>
    <xf numFmtId="49" fontId="0" fillId="16" borderId="13" xfId="59" applyFont="1" applyFill="1" applyBorder="1" applyNumberFormat="1">
      <alignment vertical="top"/>
    </xf>
    <xf numFmtId="168" fontId="0" fillId="40" borderId="12" xfId="0" applyFont="1" applyFill="1" applyBorder="1" applyNumberFormat="1">
      <alignment horizontal="left" vertical="center" wrapText="1" indent="1"/>
      <protection locked="0"/>
    </xf>
    <xf numFmtId="0" fontId="22" fillId="40" borderId="13" xfId="0" applyFont="1" applyFill="1" applyBorder="1" applyNumberFormat="1">
      <alignment horizontal="left" vertical="center" wrapText="1"/>
      <protection locked="0"/>
    </xf>
    <xf numFmtId="49" fontId="73" fillId="40" borderId="13" xfId="0" applyFont="1" applyFill="1" applyBorder="1" applyNumberFormat="1">
      <alignment horizontal="left" vertical="center" wrapText="1" indent="1"/>
      <protection locked="0"/>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49" fontId="39" fillId="38" borderId="57"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49" borderId="14" xfId="0" applyFont="1" applyFill="1" applyBorder="1" applyNumberFormat="1">
      <alignment horizontal="left" vertical="center" inden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30" fillId="34" borderId="63" xfId="0" applyFont="1" applyFill="1" applyBorder="1" applyNumberFormat="1">
      <alignment horizontal="right" vertical="center" wrapText="1" indent="1"/>
    </xf>
    <xf numFmtId="0" fontId="30" fillId="34" borderId="39" xfId="0" applyFont="1" applyFill="1" applyBorder="1" applyNumberFormat="1">
      <alignment horizontal="right" vertical="center" wrapText="1" indent="1"/>
    </xf>
    <xf numFmtId="0" fontId="30" fillId="34" borderId="0" xfId="0" applyFont="1" applyFill="1" applyNumberFormat="1">
      <alignment horizontal="right" vertical="center" wrapText="1" indent="1"/>
    </xf>
    <xf numFmtId="0" fontId="118" fillId="0" borderId="0" xfId="0" applyFont="1" applyNumberFormat="1">
      <alignment vertical="center" wrapText="1"/>
    </xf>
    <xf numFmtId="0" fontId="30" fillId="34" borderId="64" xfId="0" applyFont="1" applyFill="1" applyBorder="1" applyNumberFormat="1">
      <alignment horizontal="right" vertical="center" wrapText="1" indent="1"/>
    </xf>
    <xf numFmtId="0" fontId="30" fillId="34" borderId="62" xfId="0" applyFont="1" applyFill="1" applyBorder="1" applyNumberFormat="1">
      <alignment horizontal="right" vertical="center" wrapText="1" indent="1"/>
    </xf>
    <xf numFmtId="0" fontId="30" fillId="34" borderId="40" xfId="0" applyFont="1" applyFill="1" applyBorder="1" applyNumberFormat="1">
      <alignment horizontal="right" vertical="center" wrapText="1" indent="1"/>
    </xf>
    <xf numFmtId="0" fontId="118" fillId="0" borderId="0" xfId="0" applyFont="1" applyNumberFormat="1">
      <alignment vertical="top" wrapText="1"/>
    </xf>
    <xf numFmtId="49" fontId="64" fillId="0" borderId="0" xfId="0" applyFont="1" applyNumberFormat="1">
      <alignment vertical="top" wrapText="1"/>
    </xf>
    <xf numFmtId="0" fontId="100" fillId="0" borderId="0" xfId="0" applyFont="1" applyNumberFormat="1">
      <alignment vertical="center" wrapText="1"/>
    </xf>
    <xf numFmtId="0" fontId="100" fillId="0" borderId="0" xfId="0" applyFont="1" applyNumberFormat="1">
      <alignment vertical="center"/>
    </xf>
    <xf numFmtId="0" fontId="30" fillId="56" borderId="65" xfId="0" applyFont="1" applyFill="1" applyBorder="1" applyNumberFormat="1">
      <alignment horizontal="center" vertical="center" wrapText="1"/>
    </xf>
    <xf numFmtId="0" fontId="30" fillId="56" borderId="66" xfId="0" applyFont="1" applyFill="1" applyBorder="1" applyNumberFormat="1">
      <alignment horizontal="center" vertical="center" wrapText="1"/>
    </xf>
    <xf numFmtId="0" fontId="30" fillId="56" borderId="67" xfId="0" applyFont="1" applyFill="1" applyBorder="1" applyNumberFormat="1">
      <alignment horizontal="center" vertical="center" wrapText="1"/>
    </xf>
    <xf numFmtId="0" fontId="118" fillId="0" borderId="39" xfId="0" applyFont="1" applyBorder="1" applyNumberFormat="1">
      <alignment vertical="center" wrapText="1"/>
    </xf>
    <xf numFmtId="0" fontId="118" fillId="0" borderId="39" xfId="0" applyFont="1" applyBorder="1" applyNumberFormat="1">
      <alignment horizontal="left" vertical="center" wrapText="1"/>
    </xf>
    <xf numFmtId="0" fontId="118" fillId="0" borderId="0" xfId="0" applyFont="1" applyNumberFormat="1">
      <alignment horizontal="lef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94" fillId="0" borderId="0" xfId="0" applyFont="1" applyNumberFormat="1">
      <alignment horizontal="left" vertical="center" wrapText="1"/>
    </xf>
    <xf numFmtId="14" fontId="91" fillId="0" borderId="13" xfId="0" applyFont="1" applyBorder="1" applyNumberFormat="1">
      <alignment horizontal="center" vertical="center" wrapText="1"/>
    </xf>
    <xf numFmtId="0" fontId="22" fillId="0" borderId="0" xfId="0" applyFont="1" applyNumberFormat="1">
      <alignment horizontal="center" vertical="center" wrapText="1"/>
    </xf>
    <xf numFmtId="0" fontId="45"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2" fillId="0" borderId="16" xfId="0" applyFont="1" applyBorder="1" applyNumberFormat="1">
      <alignment horizontal="center" vertical="center" wrapText="1"/>
    </xf>
    <xf numFmtId="4" fontId="22" fillId="0" borderId="13" xfId="0" applyFont="1" applyBorder="1" applyNumberFormat="1">
      <alignment horizontal="center" vertical="center" wrapText="1"/>
    </xf>
    <xf numFmtId="49" fontId="35" fillId="0" borderId="68" xfId="0" applyFont="1" applyBorder="1" applyNumberFormat="1">
      <alignment horizontal="center" vertical="center" wrapText="1"/>
    </xf>
    <xf numFmtId="49" fontId="35" fillId="0" borderId="69" xfId="0" applyFont="1" applyBorder="1" applyNumberFormat="1">
      <alignment horizontal="center" vertical="center" wrapText="1"/>
    </xf>
    <xf numFmtId="49" fontId="35" fillId="0" borderId="15" xfId="0" applyFont="1" applyBorder="1" applyNumberFormat="1">
      <alignment horizontal="center" vertical="center" wrapText="1"/>
    </xf>
    <xf numFmtId="49" fontId="35" fillId="0" borderId="14" xfId="0" applyFont="1" applyBorder="1" applyNumberFormat="1">
      <alignment horizontal="center" vertical="center" wrapText="1"/>
    </xf>
    <xf numFmtId="0" fontId="22" fillId="0" borderId="21" xfId="0" applyFont="1" applyBorder="1" applyNumberFormat="1">
      <alignment horizontal="left" vertical="center" wrapText="1" indent="1"/>
    </xf>
    <xf numFmtId="0" fontId="22" fillId="0" borderId="18" xfId="0" applyFont="1" applyBorder="1" applyNumberFormat="1">
      <alignment horizontal="left" vertical="center" wrapText="1" indent="1"/>
    </xf>
    <xf numFmtId="0" fontId="22" fillId="0" borderId="38" xfId="0" applyFont="1" applyBorder="1" applyNumberFormat="1">
      <alignment horizontal="left" vertical="center" wrapText="1" indent="1"/>
    </xf>
    <xf numFmtId="0" fontId="22" fillId="0" borderId="30" xfId="0" applyFont="1" applyBorder="1" applyNumberFormat="1">
      <alignment horizontal="left" vertical="center" indent="1"/>
    </xf>
    <xf numFmtId="0" fontId="22" fillId="0" borderId="24" xfId="0" applyFont="1" applyBorder="1" applyNumberFormat="1">
      <alignment horizontal="left" vertical="center" indent="1"/>
    </xf>
    <xf numFmtId="0" fontId="22" fillId="0" borderId="31" xfId="0" applyFont="1" applyBorder="1" applyNumberFormat="1">
      <alignment horizontal="left" vertical="center" indent="1"/>
    </xf>
    <xf numFmtId="0" fontId="22" fillId="43" borderId="0" xfId="0" applyFont="1" applyFill="1" applyNumberFormat="1">
      <alignment horizontal="center" vertical="center" wrapText="1"/>
    </xf>
    <xf numFmtId="0" fontId="22" fillId="0" borderId="13" xfId="0" applyFont="1" applyBorder="1" applyNumberFormat="1">
      <alignment horizontal="center" vertical="center" wrapText="1"/>
    </xf>
    <xf numFmtId="0" fontId="73" fillId="0" borderId="38" xfId="0" applyFont="1" applyBorder="1" applyNumberFormat="1">
      <alignment horizontal="center" vertical="center" wrapText="1"/>
    </xf>
    <xf numFmtId="0" fontId="73"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3" fillId="0" borderId="13"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1" borderId="18" xfId="0" applyFont="1" applyFill="1" applyBorder="1" applyNumberFormat="1">
      <alignment horizontal="left" vertical="center" wrapText="1" indent="1"/>
    </xf>
    <xf numFmtId="49" fontId="0" fillId="0" borderId="13" xfId="0" applyFont="1" applyBorder="1" applyNumberFormat="1">
      <alignment vertical="top"/>
    </xf>
    <xf numFmtId="0" fontId="22" fillId="41" borderId="24" xfId="0" applyFont="1" applyFill="1" applyBorder="1" applyNumberFormat="1">
      <alignment horizontal="left" vertical="center" wrapText="1" indent="1"/>
    </xf>
    <xf numFmtId="49" fontId="22" fillId="41" borderId="13" xfId="0" applyFont="1" applyFill="1" applyBorder="1" applyNumberFormat="1">
      <alignment horizontal="center" vertical="center" wrapText="1"/>
    </xf>
    <xf numFmtId="49" fontId="22" fillId="0" borderId="13" xfId="0" applyFont="1" applyBorder="1" applyNumberFormat="1">
      <alignment horizontal="center" vertical="center" wrapText="1"/>
    </xf>
    <xf numFmtId="0" fontId="22" fillId="41" borderId="18" xfId="0" applyFont="1" applyFill="1" applyBorder="1" applyNumberFormat="1">
      <alignment horizontal="left" vertical="center" wrapText="1" indent="2"/>
    </xf>
    <xf numFmtId="0" fontId="22" fillId="41" borderId="37" xfId="0" applyFont="1" applyFill="1" applyBorder="1" applyNumberFormat="1">
      <alignment horizontal="left" vertical="center" wrapText="1" indent="2"/>
    </xf>
    <xf numFmtId="0" fontId="22" fillId="41" borderId="24" xfId="0" applyFont="1" applyFill="1" applyBorder="1" applyNumberFormat="1">
      <alignment horizontal="left" vertical="center" wrapText="1" indent="2"/>
    </xf>
    <xf numFmtId="49" fontId="22" fillId="41" borderId="24" xfId="0" applyFont="1" applyFill="1" applyBorder="1" applyNumberFormat="1">
      <alignment horizontal="center" vertical="center" wrapText="1"/>
    </xf>
    <xf numFmtId="14" fontId="79"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35" fillId="0" borderId="13" xfId="0" applyFont="1" applyBorder="1" applyNumberFormat="1">
      <alignment horizontal="center" vertical="center" wrapText="1"/>
    </xf>
    <xf numFmtId="0" fontId="22" fillId="41" borderId="13" xfId="0" applyFont="1" applyFill="1" applyBorder="1" applyNumberFormat="1">
      <alignment horizontal="left" vertical="center" wrapText="1" indent="1"/>
    </xf>
    <xf numFmtId="14" fontId="79" fillId="0" borderId="18" xfId="0" applyFont="1" applyBorder="1" applyNumberFormat="1">
      <alignment horizontal="center" vertical="center" wrapText="1"/>
    </xf>
    <xf numFmtId="14" fontId="79" fillId="0" borderId="37" xfId="0" applyFont="1" applyBorder="1" applyNumberFormat="1">
      <alignment horizontal="center" vertical="center" wrapText="1"/>
    </xf>
    <xf numFmtId="0" fontId="73" fillId="41" borderId="13" xfId="0" applyFont="1" applyFill="1" applyBorder="1" applyNumberFormat="1">
      <alignment horizontal="left" vertical="center" wrapText="1" indent="1"/>
      <protection locked="0"/>
    </xf>
    <xf numFmtId="0" fontId="73" fillId="41" borderId="13" xfId="0" applyFont="1" applyFill="1" applyBorder="1" applyNumberFormat="1">
      <alignment horizontal="left" vertical="top" indent="1"/>
      <protection locked="0"/>
    </xf>
    <xf numFmtId="0" fontId="35" fillId="0" borderId="25" xfId="0" applyFont="1" applyBorder="1" applyNumberFormat="1">
      <alignment horizontal="center" vertical="center" wrapText="1"/>
    </xf>
    <xf numFmtId="0" fontId="35" fillId="0" borderId="0" xfId="0" applyFont="1" applyNumberFormat="1">
      <alignment horizontal="center" vertical="center" wrapText="1"/>
    </xf>
    <xf numFmtId="0" fontId="73" fillId="0" borderId="13" xfId="0" applyFont="1" applyBorder="1" applyNumberFormat="1">
      <alignment horizontal="left" vertical="center" wrapText="1" indent="1"/>
    </xf>
    <xf numFmtId="0" fontId="73" fillId="0" borderId="13" xfId="0" applyFont="1" applyBorder="1" applyNumberFormat="1">
      <alignment horizontal="left" vertical="top"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49" fontId="22" fillId="0" borderId="20" xfId="0" applyFont="1" applyBorder="1" applyNumberFormat="1">
      <alignment horizontal="center" vertical="center" wrapText="1"/>
    </xf>
    <xf numFmtId="49" fontId="22" fillId="0" borderId="0" xfId="0" applyFont="1" applyNumberFormat="1">
      <alignment horizontal="center" vertical="center" wrapText="1"/>
    </xf>
    <xf numFmtId="0" fontId="22" fillId="0" borderId="13" xfId="0" applyFont="1" applyBorder="1" applyNumberFormat="1">
      <alignment horizontal="left" vertical="top" wrapText="1"/>
    </xf>
    <xf numFmtId="49" fontId="0" fillId="0" borderId="13" xfId="0" applyFont="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2" fillId="0" borderId="20"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13" xfId="0" applyFont="1" applyBorder="1" applyNumberFormat="1">
      <alignment horizontal="center" vertical="top"/>
    </xf>
    <xf numFmtId="0" fontId="22" fillId="41" borderId="18" xfId="0" applyFont="1" applyFill="1" applyBorder="1" applyNumberFormat="1">
      <alignment horizontal="center" vertical="top" wrapText="1"/>
    </xf>
    <xf numFmtId="0" fontId="22" fillId="41" borderId="37" xfId="0" applyFont="1" applyFill="1" applyBorder="1" applyNumberFormat="1">
      <alignment horizontal="center" vertical="top" wrapText="1"/>
    </xf>
    <xf numFmtId="0" fontId="22" fillId="41" borderId="24"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2" fillId="0" borderId="18" xfId="0" applyFont="1" applyBorder="1" applyNumberFormat="1">
      <alignment horizontal="left" vertical="top" wrapText="1"/>
    </xf>
    <xf numFmtId="0" fontId="22" fillId="0" borderId="37" xfId="0" applyFont="1" applyBorder="1" applyNumberFormat="1">
      <alignment horizontal="left" vertical="top" wrapText="1"/>
    </xf>
    <xf numFmtId="0" fontId="22" fillId="0" borderId="24" xfId="0" applyFont="1" applyBorder="1" applyNumberFormat="1">
      <alignment horizontal="left" vertical="top" wrapText="1"/>
    </xf>
    <xf numFmtId="0" fontId="22" fillId="40" borderId="13" xfId="0" applyFont="1" applyFill="1" applyBorder="1" applyNumberFormat="1">
      <alignment horizontal="left" vertical="top" wrapText="1"/>
      <protection locked="0"/>
    </xf>
    <xf numFmtId="0" fontId="0" fillId="40" borderId="13" xfId="0" applyFont="1" applyFill="1" applyBorder="1" applyNumberFormat="1">
      <alignment horizontal="left" vertical="top"/>
      <protection locked="0"/>
    </xf>
    <xf numFmtId="49" fontId="46" fillId="36" borderId="28" xfId="0" applyFont="1" applyFill="1" applyBorder="1" applyNumberFormat="1">
      <alignment horizontal="center" vertical="center" wrapText="1"/>
    </xf>
    <xf numFmtId="0" fontId="22" fillId="0" borderId="21" xfId="0" applyFont="1" applyBorder="1" applyNumberFormat="1">
      <alignment horizontal="left" vertical="top" wrapText="1" indent="1"/>
    </xf>
    <xf numFmtId="0" fontId="22" fillId="0" borderId="18" xfId="0" applyFont="1" applyBorder="1" applyNumberFormat="1">
      <alignment horizontal="left" vertical="top" wrapText="1" indent="1"/>
    </xf>
    <xf numFmtId="0" fontId="22" fillId="0" borderId="38" xfId="0" applyFont="1" applyBorder="1" applyNumberFormat="1">
      <alignment horizontal="left" vertical="top" wrapText="1" indent="1"/>
    </xf>
    <xf numFmtId="0" fontId="70" fillId="0" borderId="25" xfId="0" applyFont="1" applyBorder="1" applyNumberFormat="1">
      <alignment horizontal="left" vertical="center" wrapText="1" indent="1"/>
    </xf>
    <xf numFmtId="0" fontId="70" fillId="0" borderId="37" xfId="0" applyFont="1" applyBorder="1" applyNumberFormat="1">
      <alignment horizontal="left" vertical="center" wrapText="1" indent="1"/>
    </xf>
    <xf numFmtId="0" fontId="70" fillId="0" borderId="23" xfId="0" applyFont="1" applyBorder="1" applyNumberFormat="1">
      <alignment horizontal="left" vertical="center" wrapText="1" indent="1"/>
    </xf>
    <xf numFmtId="0" fontId="22" fillId="0" borderId="28" xfId="0" applyFont="1" applyBorder="1" applyNumberFormat="1">
      <alignment horizontal="left" vertical="center" inden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8" xfId="0" applyFont="1" applyBorder="1" applyNumberFormat="1">
      <alignment horizontal="center" vertical="center" wrapText="1"/>
    </xf>
    <xf numFmtId="0" fontId="22" fillId="0" borderId="38" xfId="0" applyFont="1" applyBorder="1" applyNumberFormat="1">
      <alignment horizontal="center" vertical="center" wrapText="1"/>
    </xf>
    <xf numFmtId="0" fontId="22" fillId="0" borderId="21"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25"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1" xfId="0" applyFont="1" applyBorder="1" applyNumberFormat="1">
      <alignment horizontal="center" vertical="center" wrapText="1"/>
    </xf>
    <xf numFmtId="0" fontId="22" fillId="0" borderId="30" xfId="0" applyFont="1" applyBorder="1" applyNumberFormat="1">
      <alignment horizontal="center" vertical="center" wrapText="1"/>
    </xf>
    <xf numFmtId="49" fontId="22" fillId="0" borderId="13" xfId="0" applyFont="1" applyBorder="1" applyNumberFormat="1">
      <alignment horizontal="center" vertical="center"/>
    </xf>
    <xf numFmtId="49" fontId="22" fillId="0" borderId="18" xfId="0" applyFont="1" applyBorder="1" applyNumberFormat="1">
      <alignment horizontal="center" vertical="center"/>
    </xf>
    <xf numFmtId="0" fontId="22" fillId="0" borderId="13" xfId="0" applyFont="1" applyBorder="1" applyNumberFormat="1">
      <alignment horizontal="left" vertical="center" wrapText="1"/>
    </xf>
    <xf numFmtId="0" fontId="22" fillId="0" borderId="18" xfId="0" applyFont="1" applyBorder="1" applyNumberFormat="1">
      <alignment horizontal="left" vertical="center" wrapText="1"/>
    </xf>
    <xf numFmtId="0" fontId="22" fillId="0" borderId="38" xfId="0" applyFont="1" applyBorder="1" applyNumberFormat="1">
      <alignment horizontal="left" vertical="center" wrapText="1"/>
    </xf>
    <xf numFmtId="49" fontId="22" fillId="41" borderId="18" xfId="0" applyFont="1" applyFill="1" applyBorder="1" applyNumberFormat="1">
      <alignment horizontal="center" vertical="center" wrapText="1"/>
    </xf>
    <xf numFmtId="49" fontId="22" fillId="41" borderId="37" xfId="0" applyFont="1" applyFill="1" applyBorder="1" applyNumberFormat="1">
      <alignment horizontal="center" vertical="center" wrapText="1"/>
    </xf>
    <xf numFmtId="0" fontId="22" fillId="0" borderId="20" xfId="0" applyFont="1" applyBorder="1" applyNumberFormat="1">
      <alignment horizontal="center" vertical="center"/>
    </xf>
    <xf numFmtId="0" fontId="22" fillId="0" borderId="0" xfId="0" applyFont="1" applyNumberFormat="1">
      <alignment horizontal="center" vertical="center"/>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39" fillId="0" borderId="0" xfId="0" applyFont="1" applyNumberFormat="1">
      <alignment horizontal="left" vertical="center"/>
    </xf>
    <xf numFmtId="0" fontId="39" fillId="0" borderId="25" xfId="0" applyFont="1" applyBorder="1" applyNumberFormat="1">
      <alignment horizontal="left" vertical="center"/>
    </xf>
    <xf numFmtId="0" fontId="22" fillId="0" borderId="15" xfId="0" applyFont="1" applyBorder="1" applyNumberFormat="1">
      <alignment horizontal="left" vertical="center" wrapText="1"/>
    </xf>
    <xf numFmtId="0" fontId="22" fillId="0" borderId="28" xfId="0" applyFont="1" applyBorder="1" applyNumberFormat="1">
      <alignment horizontal="left" vertical="center" wrapText="1" indent="1"/>
    </xf>
    <xf numFmtId="49" fontId="22" fillId="36" borderId="0" xfId="0" applyFont="1" applyFill="1" applyNumberFormat="1">
      <alignment horizontal="center" vertical="center" wrapText="1"/>
    </xf>
    <xf numFmtId="0" fontId="44" fillId="0" borderId="0" xfId="0" applyFont="1" applyNumberFormat="1">
      <alignment horizontal="right" vertical="top" wrapText="1"/>
    </xf>
    <xf numFmtId="49" fontId="0" fillId="36" borderId="13" xfId="0" applyFont="1" applyFill="1" applyBorder="1" applyNumberFormat="1">
      <alignment horizontal="center" vertical="center" wrapText="1"/>
    </xf>
    <xf numFmtId="49" fontId="22" fillId="36" borderId="13" xfId="0" applyFont="1" applyFill="1" applyBorder="1" applyNumberFormat="1">
      <alignment horizontal="center" vertical="center" wrapText="1"/>
    </xf>
    <xf numFmtId="0" fontId="44" fillId="0" borderId="0" xfId="0" applyFont="1" applyNumberFormat="1">
      <alignment horizontal="left" vertical="top" wrapText="1" indent="1"/>
    </xf>
    <xf numFmtId="0" fontId="91"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2" fillId="36" borderId="13" xfId="0" applyFont="1" applyFill="1" applyBorder="1" applyNumberFormat="1">
      <alignment horizontal="center" vertical="center" wrapText="1"/>
    </xf>
    <xf numFmtId="0" fontId="22" fillId="36" borderId="18" xfId="0" applyFont="1" applyFill="1" applyBorder="1" applyNumberFormat="1">
      <alignment horizontal="left" vertical="top" wrapText="1"/>
    </xf>
    <xf numFmtId="0" fontId="22" fillId="36" borderId="37" xfId="0" applyFont="1" applyFill="1" applyBorder="1" applyNumberFormat="1">
      <alignment horizontal="left" vertical="top" wrapText="1"/>
    </xf>
    <xf numFmtId="0" fontId="22" fillId="36" borderId="24" xfId="0" applyFont="1" applyFill="1" applyBorder="1" applyNumberFormat="1">
      <alignment horizontal="left" vertical="top" wrapText="1"/>
    </xf>
    <xf numFmtId="0" fontId="22" fillId="36" borderId="25"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2" fillId="0" borderId="30" xfId="0" applyFont="1" applyBorder="1" applyNumberFormat="1">
      <alignment horizontal="left" vertical="center" wrapText="1" indent="1"/>
    </xf>
    <xf numFmtId="0" fontId="22" fillId="0" borderId="24" xfId="0" applyFont="1" applyBorder="1" applyNumberFormat="1">
      <alignment horizontal="left" vertical="center" wrapText="1" indent="1"/>
    </xf>
    <xf numFmtId="0" fontId="22" fillId="0" borderId="31" xfId="0" applyFont="1" applyBorder="1" applyNumberFormat="1">
      <alignment horizontal="left" vertical="center" wrapText="1" inden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2" fillId="0" borderId="20" xfId="0" applyFont="1" applyBorder="1" applyNumberFormat="1">
      <alignment horizontal="left" vertical="top" wrapText="1" inden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2" fillId="41" borderId="20" xfId="0" applyFont="1" applyFill="1" applyBorder="1" applyNumberFormat="1">
      <alignment horizontal="left" vertical="center" wrapText="1"/>
    </xf>
    <xf numFmtId="0" fontId="22" fillId="41" borderId="28" xfId="0" applyFont="1" applyFill="1" applyBorder="1" applyNumberFormat="1">
      <alignment horizontal="left" vertical="center" wrapText="1"/>
    </xf>
    <xf numFmtId="0" fontId="22" fillId="0" borderId="24" xfId="0" applyFont="1" applyBorder="1" applyNumberFormat="1">
      <alignment horizontal="center" vertical="center" wrapText="1"/>
    </xf>
    <xf numFmtId="0" fontId="0" fillId="0" borderId="37" xfId="0" applyFont="1" applyBorder="1" applyNumberFormat="1">
      <alignment horizontal="left" vertical="top" wrapText="1"/>
    </xf>
    <xf numFmtId="0" fontId="22" fillId="41" borderId="15" xfId="0" applyFont="1" applyFill="1" applyBorder="1" applyNumberFormat="1">
      <alignment horizontal="left" vertical="center" wrapText="1"/>
    </xf>
    <xf numFmtId="0" fontId="22" fillId="41" borderId="16" xfId="0" applyFont="1" applyFill="1" applyBorder="1" applyNumberFormat="1">
      <alignment horizontal="left" vertical="center" wrapText="1"/>
    </xf>
    <xf numFmtId="0" fontId="22" fillId="41" borderId="14" xfId="0" applyFont="1" applyFill="1" applyBorder="1" applyNumberFormat="1">
      <alignment horizontal="left" vertical="center" wrapText="1"/>
    </xf>
    <xf numFmtId="0" fontId="0" fillId="36" borderId="13" xfId="0" applyFont="1" applyFill="1" applyBorder="1" applyNumberFormat="1">
      <alignment horizontal="right" vertical="center" wrapText="1" indent="1"/>
    </xf>
    <xf numFmtId="168" fontId="22" fillId="35" borderId="13" xfId="0" applyFont="1" applyFill="1" applyBorder="1" applyNumberFormat="1">
      <alignment horizontal="left" vertical="center" wrapText="1" indent="1"/>
    </xf>
    <xf numFmtId="0" fontId="22" fillId="35" borderId="13" xfId="0" applyFont="1" applyFill="1" applyBorder="1" applyNumberFormat="1">
      <alignment horizontal="left" vertical="center" wrapText="1" indent="1"/>
    </xf>
    <xf numFmtId="0" fontId="22" fillId="35" borderId="15" xfId="0" applyFont="1" applyFill="1" applyBorder="1" applyNumberFormat="1">
      <alignment horizontal="left" vertical="center" wrapText="1"/>
    </xf>
    <xf numFmtId="0" fontId="22" fillId="35" borderId="16" xfId="0" applyFont="1" applyFill="1" applyBorder="1" applyNumberFormat="1">
      <alignment horizontal="left" vertical="center" wrapText="1"/>
    </xf>
    <xf numFmtId="0" fontId="22" fillId="35" borderId="14" xfId="0" applyFont="1" applyFill="1" applyBorder="1" applyNumberFormat="1">
      <alignment horizontal="left" vertical="center" wrapText="1"/>
    </xf>
    <xf numFmtId="49" fontId="45" fillId="0" borderId="13" xfId="0" applyFont="1" applyBorder="1" applyNumberFormat="1">
      <alignment horizontal="center" vertical="center" wrapText="1"/>
    </xf>
    <xf numFmtId="168" fontId="45" fillId="0" borderId="13" xfId="0" applyFont="1" applyBorder="1" applyNumberFormat="1">
      <alignment horizontal="center" vertical="center" wrapText="1"/>
    </xf>
    <xf numFmtId="0" fontId="22" fillId="0" borderId="0" xfId="0" applyFont="1" applyNumberFormat="1">
      <alignment horizontal="left" vertical="top" wrapText="1"/>
    </xf>
    <xf numFmtId="0" fontId="45" fillId="0" borderId="13" xfId="0" applyFont="1" applyBorder="1" applyNumberFormat="1">
      <alignment horizontal="center" vertical="center"/>
    </xf>
    <xf numFmtId="0" fontId="45" fillId="0" borderId="15" xfId="0" applyFont="1" applyBorder="1" applyNumberFormat="1">
      <alignment horizontal="center" vertical="center"/>
    </xf>
    <xf numFmtId="0" fontId="45" fillId="0" borderId="13" xfId="0" applyFont="1" applyBorder="1" applyNumberFormat="1">
      <alignment horizontal="center" vertical="center" wrapText="1"/>
    </xf>
    <xf numFmtId="0" fontId="45" fillId="0" borderId="15" xfId="0" applyFont="1" applyBorder="1" applyNumberFormat="1">
      <alignment horizontal="center" vertical="center" wrapText="1"/>
    </xf>
    <xf numFmtId="0" fontId="46" fillId="0" borderId="0" xfId="0" applyFont="1" applyNumberFormat="1">
      <alignment horizontal="center" vertical="center" wrapText="1"/>
    </xf>
    <xf numFmtId="168" fontId="0" fillId="40" borderId="13" xfId="0" applyFont="1" applyFill="1" applyBorder="1" applyNumberFormat="1">
      <alignment horizontal="center" vertical="center" wrapText="1"/>
      <protection locked="0"/>
    </xf>
    <xf numFmtId="49" fontId="0" fillId="40" borderId="13" xfId="0" applyFont="1" applyFill="1" applyBorder="1" applyNumberFormat="1">
      <alignment horizontal="center" vertical="center" wrapText="1"/>
      <protection locked="0"/>
    </xf>
    <xf numFmtId="168" fontId="0" fillId="40" borderId="18" xfId="0" applyFont="1" applyFill="1" applyBorder="1" applyNumberFormat="1">
      <alignment horizontal="center" vertical="center" wrapText="1"/>
      <protection locked="0"/>
    </xf>
    <xf numFmtId="49" fontId="0" fillId="40" borderId="24" xfId="0" applyFont="1" applyFill="1" applyBorder="1" applyNumberFormat="1">
      <alignment horizontal="center" vertical="center" wrapText="1"/>
      <protection locked="0"/>
    </xf>
    <xf numFmtId="0" fontId="45" fillId="0" borderId="18" xfId="0" applyFont="1" applyBorder="1" applyNumberFormat="1">
      <alignment horizontal="center" vertical="center" wrapText="1"/>
    </xf>
    <xf numFmtId="0" fontId="45" fillId="0" borderId="24"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36" fillId="0" borderId="28" xfId="0" applyFont="1" applyBorder="1" applyNumberFormat="1">
      <alignment horizontal="center" vertical="center" wrapText="1"/>
    </xf>
    <xf numFmtId="0" fontId="22"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2" fillId="36" borderId="18" xfId="0" applyFont="1" applyFill="1" applyBorder="1" applyNumberFormat="1">
      <alignment horizontal="center" vertical="center" wrapText="1"/>
    </xf>
    <xf numFmtId="0" fontId="22" fillId="36" borderId="37" xfId="0" applyFont="1" applyFill="1" applyBorder="1" applyNumberFormat="1">
      <alignment horizontal="center" vertical="center" wrapText="1"/>
    </xf>
    <xf numFmtId="0" fontId="22" fillId="36" borderId="24" xfId="0" applyFont="1" applyFill="1" applyBorder="1" applyNumberFormat="1">
      <alignment horizontal="center" vertical="center" wrapText="1"/>
    </xf>
    <xf numFmtId="49" fontId="39" fillId="38" borderId="18" xfId="0" applyFont="1" applyFill="1" applyBorder="1" applyNumberFormat="1">
      <alignment horizontal="center" vertical="center" textRotation="90" wrapText="1"/>
    </xf>
    <xf numFmtId="49" fontId="39" fillId="38" borderId="37" xfId="0" applyFont="1" applyFill="1" applyBorder="1" applyNumberFormat="1">
      <alignment horizontal="center" vertical="center" textRotation="90" wrapText="1"/>
    </xf>
    <xf numFmtId="49" fontId="39" fillId="38" borderId="24" xfId="0" applyFont="1" applyFill="1" applyBorder="1" applyNumberFormat="1">
      <alignment horizontal="center" vertical="center" textRotation="90" wrapText="1"/>
    </xf>
    <xf numFmtId="0" fontId="44" fillId="0" borderId="18" xfId="0" applyFont="1" applyBorder="1" applyNumberFormat="1">
      <alignment horizontal="left" vertical="top" wrapText="1"/>
    </xf>
    <xf numFmtId="0" fontId="44" fillId="0" borderId="37" xfId="0" applyFont="1" applyBorder="1" applyNumberFormat="1">
      <alignment horizontal="left" vertical="top" wrapText="1"/>
    </xf>
    <xf numFmtId="0" fontId="44" fillId="0" borderId="24" xfId="0" applyFont="1" applyBorder="1" applyNumberFormat="1">
      <alignment horizontal="left" vertical="top" wrapText="1"/>
    </xf>
    <xf numFmtId="0" fontId="22" fillId="0" borderId="13" xfId="0" applyFont="1" applyBorder="1" applyNumberFormat="1">
      <alignment horizontal="center" vertical="center"/>
    </xf>
    <xf numFmtId="0" fontId="22" fillId="0" borderId="15" xfId="0" applyFont="1" applyBorder="1" applyNumberFormat="1">
      <alignment horizontal="center" vertical="center"/>
    </xf>
    <xf numFmtId="0" fontId="46" fillId="0" borderId="18" xfId="0" applyFont="1" applyBorder="1" applyNumberFormat="1">
      <alignment horizontal="center" vertical="center" wrapText="1"/>
    </xf>
    <xf numFmtId="0" fontId="46" fillId="0" borderId="24"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46" fillId="0" borderId="15" xfId="0" applyFont="1" applyBorder="1" applyNumberFormat="1">
      <alignment horizontal="left" vertical="center" wrapText="1"/>
    </xf>
    <xf numFmtId="0" fontId="46" fillId="0" borderId="16" xfId="0" applyFont="1" applyBorder="1" applyNumberFormat="1">
      <alignment horizontal="left" vertical="center" wrapText="1"/>
    </xf>
    <xf numFmtId="0" fontId="46" fillId="0" borderId="14" xfId="0" applyFont="1" applyBorder="1" applyNumberFormat="1">
      <alignment horizontal="left" vertical="center" wrapText="1"/>
    </xf>
    <xf numFmtId="0" fontId="22" fillId="41" borderId="13" xfId="0" applyFont="1" applyFill="1" applyBorder="1" applyNumberFormat="1">
      <alignment horizontal="left" vertical="center" wrapText="1"/>
    </xf>
    <xf numFmtId="168" fontId="0" fillId="40" borderId="24" xfId="0" applyFont="1" applyFill="1" applyBorder="1" applyNumberFormat="1">
      <alignment horizontal="center" vertical="center" wrapText="1"/>
      <protection locked="0"/>
    </xf>
    <xf numFmtId="0" fontId="22" fillId="35" borderId="38" xfId="0" applyFont="1" applyFill="1" applyBorder="1" applyNumberFormat="1">
      <alignment horizontal="left" vertical="center" wrapText="1"/>
    </xf>
    <xf numFmtId="0" fontId="22" fillId="35" borderId="20" xfId="0" applyFont="1" applyFill="1" applyBorder="1" applyNumberFormat="1">
      <alignment horizontal="left" vertical="center" wrapText="1"/>
    </xf>
    <xf numFmtId="0" fontId="22" fillId="35" borderId="21" xfId="0" applyFont="1" applyFill="1" applyBorder="1" applyNumberFormat="1">
      <alignment horizontal="left" vertical="center" wrapText="1"/>
    </xf>
    <xf numFmtId="0" fontId="22" fillId="35" borderId="13" xfId="0" applyFont="1" applyFill="1" applyBorder="1" applyNumberFormat="1">
      <alignment horizontal="left" vertical="center" wrapText="1"/>
    </xf>
    <xf numFmtId="0" fontId="46" fillId="0" borderId="13" xfId="0" applyFont="1" applyBorder="1" applyNumberFormat="1">
      <alignment horizontal="left" vertical="center" wrapText="1"/>
    </xf>
    <xf numFmtId="0" fontId="0"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8" xfId="0" applyFont="1" applyBorder="1" applyNumberFormat="1">
      <alignment horizontal="center" vertical="center" wrapText="1"/>
    </xf>
    <xf numFmtId="0" fontId="22" fillId="41" borderId="21" xfId="0" applyFont="1" applyFill="1" applyBorder="1" applyNumberFormat="1">
      <alignment horizontal="left" vertical="center" wrapText="1"/>
    </xf>
    <xf numFmtId="49" fontId="22"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31"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30" xfId="0" applyFont="1" applyFill="1" applyBorder="1" applyNumberFormat="1">
      <alignment horizontal="center" vertical="center" wrapText="1"/>
    </xf>
    <xf numFmtId="0" fontId="36" fillId="0" borderId="13" xfId="0" applyFont="1" applyBorder="1" applyNumberFormat="1">
      <alignment horizontal="center" vertical="center" wrapText="1"/>
    </xf>
    <xf numFmtId="49" fontId="22" fillId="40" borderId="18" xfId="0" applyFont="1" applyFill="1" applyBorder="1" applyNumberFormat="1">
      <alignment horizontal="left" vertical="center" wrapText="1" indent="6"/>
      <protection locked="0"/>
    </xf>
    <xf numFmtId="49" fontId="22" fillId="40" borderId="37" xfId="0" applyFont="1" applyFill="1" applyBorder="1" applyNumberFormat="1">
      <alignment horizontal="left" vertical="center" wrapText="1" indent="6"/>
      <protection locked="0"/>
    </xf>
    <xf numFmtId="49" fontId="22" fillId="40" borderId="24" xfId="0" applyFont="1" applyFill="1" applyBorder="1" applyNumberFormat="1">
      <alignment horizontal="left" vertical="center" wrapText="1" indent="6"/>
      <protection locked="0"/>
    </xf>
    <xf numFmtId="0" fontId="22" fillId="36" borderId="18" xfId="0" applyFont="1" applyFill="1" applyBorder="1" applyNumberFormat="1">
      <alignment horizontal="left" vertical="center" wrapText="1"/>
    </xf>
    <xf numFmtId="0" fontId="22" fillId="36" borderId="37" xfId="0" applyFont="1" applyFill="1" applyBorder="1" applyNumberFormat="1">
      <alignment horizontal="left" vertical="center" wrapText="1"/>
    </xf>
    <xf numFmtId="0" fontId="22" fillId="36" borderId="24" xfId="0" applyFont="1" applyFill="1" applyBorder="1" applyNumberFormat="1">
      <alignment horizontal="left" vertical="center" wrapText="1"/>
    </xf>
    <xf numFmtId="0" fontId="46" fillId="0" borderId="25" xfId="0" applyFont="1" applyBorder="1" applyNumberFormat="1">
      <alignment horizontal="center" vertical="top" wrapText="1"/>
    </xf>
    <xf numFmtId="0" fontId="0" fillId="36" borderId="25" xfId="0" applyFont="1" applyFill="1" applyBorder="1" applyNumberFormat="1">
      <alignment horizontal="center" vertical="center" wrapText="1"/>
    </xf>
    <xf numFmtId="0" fontId="22" fillId="36" borderId="38" xfId="0" applyFont="1" applyFill="1" applyBorder="1" applyNumberFormat="1">
      <alignment horizontal="center" vertical="center" wrapText="1"/>
    </xf>
    <xf numFmtId="0" fontId="22" fillId="36" borderId="23" xfId="0" applyFont="1" applyFill="1" applyBorder="1" applyNumberFormat="1">
      <alignment horizontal="center" vertical="center" wrapText="1"/>
    </xf>
    <xf numFmtId="0" fontId="22" fillId="36" borderId="31" xfId="0" applyFont="1" applyFill="1" applyBorder="1" applyNumberFormat="1">
      <alignment horizontal="center" vertical="center" wrapText="1"/>
    </xf>
    <xf numFmtId="0" fontId="22" fillId="40" borderId="13" xfId="0" applyFont="1" applyFill="1" applyBorder="1" applyNumberFormat="1">
      <alignment horizontal="center" vertical="center" wrapText="1"/>
      <protection locked="0"/>
    </xf>
    <xf numFmtId="0" fontId="22" fillId="35" borderId="13" xfId="0" applyFont="1" applyFill="1" applyBorder="1" applyNumberFormat="1">
      <alignment horizontal="center" vertical="center" wrapText="1"/>
    </xf>
    <xf numFmtId="49" fontId="22" fillId="41" borderId="13" xfId="0" applyFont="1" applyFill="1" applyBorder="1" applyNumberFormat="1">
      <alignment horizontal="left" vertical="center" wrapText="1" indent="1"/>
    </xf>
    <xf numFmtId="0" fontId="22" fillId="37" borderId="15" xfId="0" applyFont="1" applyFill="1" applyBorder="1" applyNumberFormat="1">
      <alignment horizontal="left" vertical="center" wrapText="1"/>
      <protection locked="0"/>
    </xf>
    <xf numFmtId="0" fontId="22" fillId="37" borderId="16" xfId="0" applyFont="1" applyFill="1" applyBorder="1" applyNumberFormat="1">
      <alignment horizontal="left" vertical="center" wrapText="1"/>
      <protection locked="0"/>
    </xf>
    <xf numFmtId="0" fontId="22" fillId="37" borderId="14" xfId="0" applyFont="1" applyFill="1" applyBorder="1" applyNumberFormat="1">
      <alignment horizontal="left" vertical="center" wrapText="1"/>
      <protection locked="0"/>
    </xf>
    <xf numFmtId="49" fontId="22" fillId="37" borderId="15" xfId="0" applyFont="1" applyFill="1" applyBorder="1" applyNumberFormat="1">
      <alignment horizontal="left" vertical="center" wrapText="1"/>
      <protection locked="0"/>
    </xf>
    <xf numFmtId="49" fontId="22" fillId="37" borderId="16" xfId="0" applyFont="1" applyFill="1" applyBorder="1" applyNumberFormat="1">
      <alignment horizontal="left" vertical="center" wrapText="1"/>
      <protection locked="0"/>
    </xf>
    <xf numFmtId="49" fontId="22" fillId="37" borderId="14" xfId="0" applyFont="1" applyFill="1" applyBorder="1" applyNumberFormat="1">
      <alignment horizontal="left" vertical="center" wrapText="1"/>
      <protection locked="0"/>
    </xf>
    <xf numFmtId="0" fontId="44" fillId="0" borderId="13" xfId="0" applyFont="1" applyBorder="1" applyNumberFormat="1">
      <alignment horizontal="left" vertical="top" wrapText="1"/>
    </xf>
    <xf numFmtId="0" fontId="22" fillId="40" borderId="14" xfId="0" applyFont="1" applyFill="1" applyBorder="1" applyNumberFormat="1">
      <alignment horizontal="center" vertical="center" wrapText="1"/>
      <protection locked="0"/>
    </xf>
    <xf numFmtId="4" fontId="22" fillId="40" borderId="13" xfId="0" applyFont="1" applyFill="1" applyBorder="1" applyNumberFormat="1">
      <alignment horizontal="left" vertical="center" wrapText="1" indent="1"/>
      <protection locked="0"/>
    </xf>
    <xf numFmtId="49" fontId="22" fillId="37" borderId="18" xfId="0" applyFont="1" applyFill="1" applyBorder="1" applyNumberFormat="1">
      <alignment horizontal="left" vertical="center" wrapText="1" indent="6"/>
      <protection locked="0"/>
    </xf>
    <xf numFmtId="49" fontId="22" fillId="37" borderId="37" xfId="0" applyFont="1" applyFill="1" applyBorder="1" applyNumberFormat="1">
      <alignment horizontal="left" vertical="center" wrapText="1" indent="6"/>
      <protection locked="0"/>
    </xf>
    <xf numFmtId="49" fontId="22" fillId="37" borderId="24" xfId="0" applyFont="1" applyFill="1" applyBorder="1" applyNumberFormat="1">
      <alignment horizontal="left" vertical="center" wrapText="1" indent="6"/>
      <protection locked="0"/>
    </xf>
    <xf numFmtId="4" fontId="22" fillId="40" borderId="13" xfId="0" applyFont="1" applyFill="1" applyBorder="1" applyNumberFormat="1">
      <alignment horizontal="center" vertical="center" wrapText="1"/>
      <protection locked="0"/>
    </xf>
    <xf numFmtId="49" fontId="22" fillId="41" borderId="21" xfId="0" applyFont="1" applyFill="1" applyBorder="1" applyNumberFormat="1">
      <alignment horizontal="center" vertical="center" wrapText="1"/>
    </xf>
    <xf numFmtId="49" fontId="22" fillId="41" borderId="30" xfId="0" applyFont="1" applyFill="1" applyBorder="1" applyNumberFormat="1">
      <alignment horizontal="center" vertical="center" wrapText="1"/>
    </xf>
    <xf numFmtId="0" fontId="46" fillId="0" borderId="20" xfId="0" applyFont="1" applyBorder="1" applyNumberFormat="1">
      <alignment horizontal="left" vertical="center" wrapText="1"/>
    </xf>
    <xf numFmtId="49" fontId="22" fillId="36" borderId="13" xfId="57" applyFont="1" applyFill="1" applyBorder="1" applyNumberFormat="1">
      <alignment horizontal="center" vertical="center" wrapText="1"/>
    </xf>
    <xf numFmtId="49" fontId="89" fillId="34" borderId="0" xfId="0" applyFont="1" applyFill="1" applyNumberFormat="1">
      <alignment horizontal="center" vertical="center" textRotation="90" wrapText="1"/>
    </xf>
    <xf numFmtId="49" fontId="89" fillId="0" borderId="0" xfId="0" applyFont="1" applyNumberFormat="1">
      <alignment horizontal="center" vertical="center" wrapText="1"/>
    </xf>
    <xf numFmtId="0" fontId="46" fillId="0" borderId="0" xfId="0" applyFont="1" applyNumberFormat="1">
      <alignment vertical="center" wrapText="1"/>
    </xf>
    <xf numFmtId="0" fontId="70" fillId="0" borderId="0" xfId="0" applyFont="1" applyNumberFormat="1">
      <alignment horizontal="center" vertical="center" wrapText="1"/>
    </xf>
    <xf numFmtId="0" fontId="22" fillId="0" borderId="16" xfId="0" applyFont="1" applyBorder="1" applyNumberFormat="1">
      <alignment horizontal="right" vertical="center" wrapText="1" indent="1"/>
    </xf>
    <xf numFmtId="0" fontId="22" fillId="0" borderId="14" xfId="0" applyFont="1" applyBorder="1" applyNumberFormat="1">
      <alignment horizontal="right" vertical="center" wrapText="1" indent="1"/>
    </xf>
    <xf numFmtId="0" fontId="22" fillId="0" borderId="15" xfId="0" applyFont="1" applyBorder="1" applyNumberFormat="1">
      <alignment horizontal="right" vertical="center" wrapText="1"/>
    </xf>
    <xf numFmtId="0" fontId="22" fillId="0" borderId="16" xfId="0" applyFont="1" applyBorder="1" applyNumberFormat="1">
      <alignment horizontal="right" vertical="center" wrapText="1"/>
    </xf>
    <xf numFmtId="49" fontId="46" fillId="0" borderId="18" xfId="0" applyFont="1" applyBorder="1" applyNumberFormat="1">
      <alignment horizontal="center" vertical="center" wrapText="1"/>
    </xf>
    <xf numFmtId="49" fontId="46" fillId="0" borderId="37" xfId="0" applyFont="1" applyBorder="1" applyNumberFormat="1">
      <alignment horizontal="center" vertical="center" wrapText="1"/>
    </xf>
    <xf numFmtId="49" fontId="46" fillId="0" borderId="24" xfId="0" applyFont="1" applyBorder="1" applyNumberFormat="1">
      <alignment horizontal="center" vertical="center" wrapText="1"/>
    </xf>
    <xf numFmtId="0" fontId="0" fillId="35" borderId="13" xfId="0" applyFont="1" applyFill="1" applyBorder="1" applyNumberFormat="1">
      <alignment horizontal="left" vertical="center" wrapText="1" indent="1"/>
    </xf>
    <xf numFmtId="0" fontId="44" fillId="0" borderId="0" xfId="0" applyFont="1" applyNumberFormat="1">
      <alignment horizontal="left" vertical="top" wrapText="1"/>
    </xf>
    <xf numFmtId="0" fontId="22" fillId="0" borderId="24" xfId="0" applyFont="1" applyBorder="1" applyNumberFormat="1">
      <alignment horizontal="left" vertical="center" wrapText="1"/>
    </xf>
    <xf numFmtId="0" fontId="4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22" fillId="0" borderId="18" xfId="0" applyFont="1" applyBorder="1" applyNumberFormat="1">
      <alignment horizontal="center" vertical="center" wrapText="1"/>
    </xf>
    <xf numFmtId="49" fontId="22" fillId="0" borderId="37" xfId="0" applyFont="1" applyBorder="1" applyNumberFormat="1">
      <alignment horizontal="center" vertical="center" wrapText="1"/>
    </xf>
    <xf numFmtId="49" fontId="22" fillId="0" borderId="24" xfId="0" applyFont="1" applyBorder="1" applyNumberFormat="1">
      <alignment horizontal="center" vertical="center" wrapText="1"/>
    </xf>
    <xf numFmtId="0" fontId="22" fillId="36" borderId="15" xfId="0" applyFont="1" applyFill="1" applyBorder="1" applyNumberFormat="1">
      <alignment horizontal="center" vertical="center" wrapText="1"/>
    </xf>
    <xf numFmtId="0" fontId="22" fillId="36" borderId="16" xfId="0" applyFont="1" applyFill="1" applyBorder="1" applyNumberFormat="1">
      <alignment horizontal="center" vertical="center" wrapText="1"/>
    </xf>
    <xf numFmtId="0" fontId="22" fillId="36" borderId="21" xfId="0" applyFont="1" applyFill="1" applyBorder="1" applyNumberFormat="1">
      <alignment horizontal="center" vertical="center" wrapText="1"/>
    </xf>
    <xf numFmtId="0" fontId="22" fillId="36" borderId="13" xfId="0" applyFont="1" applyFill="1" applyBorder="1" applyNumberFormat="1">
      <alignment horizontal="center" vertical="center"/>
    </xf>
    <xf numFmtId="0" fontId="46" fillId="0" borderId="16" xfId="0" applyFont="1" applyBorder="1" applyNumberFormat="1">
      <alignment horizontal="right" vertical="center" wrapText="1" indent="1"/>
    </xf>
    <xf numFmtId="0" fontId="46" fillId="0" borderId="14" xfId="0" applyFont="1" applyBorder="1" applyNumberFormat="1">
      <alignment horizontal="right" vertical="center" wrapText="1" indent="1"/>
    </xf>
    <xf numFmtId="0" fontId="22" fillId="35" borderId="15" xfId="0" applyFont="1" applyFill="1" applyBorder="1" applyNumberFormat="1">
      <alignment horizontal="left" vertical="top" wrapText="1"/>
    </xf>
    <xf numFmtId="0" fontId="22" fillId="35" borderId="14"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22" fillId="35" borderId="15" xfId="0" applyFont="1" applyFill="1" applyBorder="1" applyNumberFormat="1">
      <alignment horizontal="left" vertical="top" wrapText="1" indent="1"/>
    </xf>
    <xf numFmtId="0" fontId="22" fillId="35" borderId="14" xfId="0" applyFont="1" applyFill="1" applyBorder="1" applyNumberFormat="1">
      <alignment horizontal="left" vertical="top" wrapText="1" indent="1"/>
    </xf>
    <xf numFmtId="49" fontId="0" fillId="0" borderId="13" xfId="0" applyFont="1" applyBorder="1" applyNumberFormat="1">
      <alignment horizontal="center" vertical="center" wrapText="1"/>
    </xf>
    <xf numFmtId="49" fontId="22" fillId="0" borderId="15" xfId="0" applyFont="1" applyBorder="1" applyNumberFormat="1">
      <alignment horizontal="center" vertical="center" wrapText="1"/>
    </xf>
    <xf numFmtId="49" fontId="46" fillId="0" borderId="13" xfId="0" applyFont="1" applyBorder="1" applyNumberFormat="1">
      <alignment horizontal="center" vertical="center" wrapText="1"/>
    </xf>
    <xf numFmtId="49" fontId="22"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49" fontId="22" fillId="0" borderId="13" xfId="0" applyFont="1" applyBorder="1" applyNumberFormat="1">
      <alignment horizontal="center" vertical="top" wrapText="1"/>
    </xf>
    <xf numFmtId="0" fontId="0" fillId="35" borderId="13" xfId="0" applyFont="1" applyFill="1" applyBorder="1" applyNumberFormat="1">
      <alignment horizontal="left" vertical="top" wrapText="1" indent="1"/>
    </xf>
    <xf numFmtId="49" fontId="22" fillId="41" borderId="18" xfId="0" applyFont="1" applyFill="1" applyBorder="1" applyNumberFormat="1">
      <alignment horizontal="center" vertical="top" wrapText="1"/>
    </xf>
    <xf numFmtId="49" fontId="22" fillId="41" borderId="24" xfId="0" applyFont="1" applyFill="1" applyBorder="1" applyNumberFormat="1">
      <alignment horizontal="center" vertical="top" wrapText="1"/>
    </xf>
    <xf numFmtId="168" fontId="0" fillId="40" borderId="13" xfId="0" applyFont="1" applyFill="1" applyBorder="1" applyNumberFormat="1">
      <alignment horizontal="center" vertical="top" wrapText="1"/>
      <protection locked="0"/>
    </xf>
    <xf numFmtId="49" fontId="0" fillId="40" borderId="13" xfId="0" applyFont="1" applyFill="1" applyBorder="1" applyNumberFormat="1">
      <alignment horizontal="center" vertical="top" wrapText="1"/>
      <protection locked="0"/>
    </xf>
    <xf numFmtId="168" fontId="0" fillId="37" borderId="13" xfId="0" applyFont="1" applyFill="1" applyBorder="1" applyNumberFormat="1">
      <alignment horizontal="center" vertical="top" wrapText="1"/>
      <protection locked="0"/>
    </xf>
    <xf numFmtId="49" fontId="0" fillId="37" borderId="13" xfId="0" applyFont="1" applyFill="1" applyBorder="1" applyNumberFormat="1">
      <alignment horizontal="center" vertical="top" wrapText="1"/>
      <protection locked="0"/>
    </xf>
    <xf numFmtId="49" fontId="22" fillId="41" borderId="13" xfId="0" applyFont="1" applyFill="1" applyBorder="1" applyNumberFormat="1">
      <alignment horizontal="left" vertical="top" wrapText="1"/>
    </xf>
    <xf numFmtId="49" fontId="22" fillId="40" borderId="13" xfId="0" applyFont="1" applyFill="1" applyBorder="1" applyNumberFormat="1">
      <alignment horizontal="left" vertical="top" wrapText="1"/>
      <protection locked="0"/>
    </xf>
    <xf numFmtId="0" fontId="22" fillId="37" borderId="13" xfId="0" applyFont="1" applyFill="1" applyBorder="1" applyNumberFormat="1">
      <alignment horizontal="left" vertical="top" wrapText="1"/>
      <protection locked="0"/>
    </xf>
    <xf numFmtId="49" fontId="22" fillId="41" borderId="13" xfId="0" applyFont="1" applyFill="1" applyBorder="1" applyNumberFormat="1">
      <alignment horizontal="center" vertical="top" wrapText="1"/>
    </xf>
    <xf numFmtId="49" fontId="22" fillId="41" borderId="15" xfId="0" applyFont="1" applyFill="1" applyBorder="1" applyNumberFormat="1">
      <alignment horizontal="center" vertical="top" wrapText="1"/>
    </xf>
    <xf numFmtId="49" fontId="0" fillId="35" borderId="13" xfId="0" applyFont="1" applyFill="1" applyBorder="1" applyNumberFormat="1">
      <alignment horizontal="center" vertical="top" wrapText="1"/>
    </xf>
    <xf numFmtId="0" fontId="22" fillId="35" borderId="13" xfId="0" applyFont="1" applyFill="1" applyBorder="1" applyNumberFormat="1">
      <alignment horizontal="center" vertical="top" wrapText="1"/>
    </xf>
    <xf numFmtId="0" fontId="22" fillId="0" borderId="25" xfId="0" applyFont="1" applyBorder="1" applyNumberFormat="1">
      <alignment vertical="top" wrapText="1"/>
    </xf>
    <xf numFmtId="0" fontId="22" fillId="0" borderId="0" xfId="0" applyFont="1" applyNumberFormat="1">
      <alignment horizontal="left" vertical="center" wrapText="1"/>
    </xf>
    <xf numFmtId="0" fontId="22" fillId="36" borderId="30" xfId="0" applyFont="1" applyFill="1" applyBorder="1" applyNumberFormat="1">
      <alignment horizontal="center" vertical="center" wrapText="1"/>
    </xf>
    <xf numFmtId="0" fontId="22" fillId="0" borderId="1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49" fontId="45" fillId="0" borderId="18" xfId="0" applyFont="1" applyBorder="1" applyNumberFormat="1">
      <alignment horizontal="left" vertical="center" wrapText="1" indent="1"/>
    </xf>
    <xf numFmtId="49" fontId="45" fillId="0" borderId="37" xfId="0" applyFont="1" applyBorder="1" applyNumberFormat="1">
      <alignment horizontal="left" vertical="center" wrapText="1" indent="1"/>
    </xf>
    <xf numFmtId="49" fontId="45" fillId="0" borderId="24" xfId="0" applyFont="1" applyBorder="1" applyNumberFormat="1">
      <alignment horizontal="left" vertical="center" wrapText="1" indent="1"/>
    </xf>
    <xf numFmtId="49" fontId="45" fillId="0" borderId="13" xfId="0" applyFont="1" applyBorder="1" applyNumberFormat="1">
      <alignment horizontal="left" vertical="center" wrapText="1"/>
    </xf>
    <xf numFmtId="49" fontId="22" fillId="0" borderId="14" xfId="0" applyFont="1" applyBorder="1" applyNumberFormat="1">
      <alignment horizontal="center" vertical="center" wrapText="1"/>
    </xf>
    <xf numFmtId="49" fontId="45" fillId="0" borderId="15" xfId="0" applyFont="1" applyBorder="1" applyNumberFormat="1">
      <alignment horizontal="center" vertical="center" wrapText="1"/>
    </xf>
    <xf numFmtId="49" fontId="39" fillId="38" borderId="52" xfId="0" applyFont="1" applyFill="1" applyBorder="1" applyNumberFormat="1">
      <alignment horizontal="left" vertical="center" indent="1"/>
    </xf>
    <xf numFmtId="49" fontId="22" fillId="35" borderId="13" xfId="0" applyFont="1" applyFill="1" applyBorder="1" applyNumberFormat="1">
      <alignment horizontal="center" vertical="center" wrapText="1"/>
    </xf>
    <xf numFmtId="49" fontId="22" fillId="35" borderId="73" xfId="0" applyFont="1" applyFill="1" applyBorder="1" applyNumberFormat="1">
      <alignment horizontal="center" vertical="center" wrapText="1"/>
    </xf>
    <xf numFmtId="3" fontId="45" fillId="0" borderId="13" xfId="0" applyFont="1" applyBorder="1" applyNumberFormat="1">
      <alignment horizontal="center" vertical="center" wrapText="1"/>
    </xf>
    <xf numFmtId="49" fontId="45" fillId="0" borderId="14" xfId="0" applyFont="1" applyBorder="1" applyNumberFormat="1">
      <alignment horizontal="center" vertical="center" wrapText="1"/>
    </xf>
    <xf numFmtId="49" fontId="45" fillId="0" borderId="14" xfId="0" applyFont="1" applyBorder="1" applyNumberFormat="1">
      <alignment horizontal="left" vertical="center" wrapText="1"/>
    </xf>
    <xf numFmtId="49" fontId="123" fillId="0" borderId="14" xfId="0" applyFont="1" applyBorder="1" applyNumberFormat="1">
      <alignment horizontal="center" vertical="center" wrapText="1"/>
    </xf>
    <xf numFmtId="0" fontId="92" fillId="0" borderId="13" xfId="0" applyFont="1" applyBorder="1" applyNumberFormat="1">
      <alignment horizontal="center" vertical="center"/>
    </xf>
    <xf numFmtId="0" fontId="22" fillId="0" borderId="74" xfId="0" applyFont="1" applyBorder="1" applyNumberFormat="1">
      <alignment horizontal="center" vertical="center"/>
    </xf>
    <xf numFmtId="0" fontId="22"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2" fillId="36" borderId="14" xfId="0" applyFont="1" applyFill="1" applyBorder="1" applyNumberFormat="1">
      <alignment horizontal="center" vertical="center" wrapText="1"/>
    </xf>
    <xf numFmtId="0" fontId="22" fillId="42" borderId="13" xfId="0" applyFont="1" applyFill="1" applyBorder="1" applyNumberFormat="1">
      <alignment horizontal="center" vertical="center" wrapText="1"/>
    </xf>
    <xf numFmtId="0" fontId="22" fillId="42" borderId="15" xfId="0" applyFont="1" applyFill="1" applyBorder="1" applyNumberFormat="1">
      <alignment horizontal="center" vertical="center" wrapText="1"/>
    </xf>
    <xf numFmtId="49" fontId="22" fillId="48" borderId="15" xfId="0" applyFont="1" applyFill="1" applyBorder="1" applyNumberFormat="1">
      <alignment horizontal="center" vertical="center" wrapText="1"/>
    </xf>
    <xf numFmtId="49" fontId="22" fillId="48" borderId="16" xfId="0" applyFont="1" applyFill="1" applyBorder="1" applyNumberFormat="1">
      <alignment horizontal="center" vertical="center" wrapText="1"/>
    </xf>
    <xf numFmtId="49" fontId="22" fillId="42" borderId="20" xfId="0" applyFont="1" applyFill="1" applyBorder="1" applyNumberFormat="1">
      <alignment horizontal="center" vertical="center" wrapText="1"/>
    </xf>
    <xf numFmtId="49" fontId="22" fillId="42" borderId="0" xfId="0" applyFont="1" applyFill="1" applyNumberFormat="1">
      <alignment horizontal="center" vertical="center" wrapText="1"/>
    </xf>
    <xf numFmtId="49" fontId="22" fillId="42" borderId="28" xfId="0" applyFont="1" applyFill="1" applyBorder="1" applyNumberFormat="1">
      <alignment horizontal="center" vertical="center" wrapText="1"/>
    </xf>
    <xf numFmtId="0" fontId="22" fillId="42" borderId="14" xfId="0" applyFont="1" applyFill="1" applyBorder="1" applyNumberFormat="1">
      <alignment horizontal="center" vertical="center" wrapText="1"/>
    </xf>
    <xf numFmtId="0" fontId="22" fillId="46" borderId="15" xfId="0" applyFont="1" applyFill="1" applyBorder="1" applyNumberFormat="1">
      <alignment horizontal="center" vertical="center" wrapText="1"/>
    </xf>
    <xf numFmtId="0" fontId="22" fillId="46" borderId="16" xfId="0" applyFont="1" applyFill="1" applyBorder="1" applyNumberFormat="1">
      <alignment horizontal="center" vertical="center" wrapText="1"/>
    </xf>
    <xf numFmtId="0" fontId="22" fillId="46" borderId="14" xfId="0" applyFont="1" applyFill="1" applyBorder="1" applyNumberFormat="1">
      <alignment horizontal="center" vertical="center" wrapText="1"/>
    </xf>
    <xf numFmtId="49" fontId="45" fillId="44" borderId="15" xfId="0" applyFont="1" applyFill="1" applyBorder="1" applyNumberFormat="1">
      <alignment horizontal="center" vertical="center" wrapText="1"/>
    </xf>
    <xf numFmtId="49" fontId="45" fillId="44" borderId="16" xfId="0" applyFont="1" applyFill="1" applyBorder="1" applyNumberFormat="1">
      <alignment horizontal="center" vertical="center" wrapText="1"/>
    </xf>
    <xf numFmtId="49" fontId="45" fillId="44" borderId="14" xfId="0" applyFont="1" applyFill="1" applyBorder="1" applyNumberFormat="1">
      <alignment horizontal="center" vertical="center" wrapText="1"/>
    </xf>
    <xf numFmtId="49" fontId="45" fillId="47" borderId="15" xfId="0" applyFont="1" applyFill="1" applyBorder="1" applyNumberFormat="1">
      <alignment horizontal="center" vertical="center" wrapText="1"/>
    </xf>
    <xf numFmtId="49" fontId="45" fillId="47" borderId="16" xfId="0" applyFont="1" applyFill="1" applyBorder="1" applyNumberFormat="1">
      <alignment horizontal="center" vertical="center" wrapText="1"/>
    </xf>
    <xf numFmtId="49" fontId="45" fillId="47" borderId="14" xfId="0" applyFont="1" applyFill="1" applyBorder="1" applyNumberFormat="1">
      <alignment horizontal="center" vertical="center" wrapText="1"/>
    </xf>
    <xf numFmtId="49" fontId="22" fillId="42" borderId="13" xfId="0" applyFont="1" applyFill="1" applyBorder="1" applyNumberFormat="1">
      <alignment horizontal="center" vertical="center" wrapText="1"/>
    </xf>
    <xf numFmtId="49" fontId="22" fillId="0" borderId="16" xfId="0" applyFont="1" applyBorder="1" applyNumberFormat="1">
      <alignment horizontal="center" vertical="center" wrapText="1"/>
    </xf>
    <xf numFmtId="0" fontId="22" fillId="0" borderId="21" xfId="0" applyFont="1" applyBorder="1" applyNumberFormat="1">
      <alignment horizontal="left" vertical="top" wrapText="1"/>
    </xf>
    <xf numFmtId="0" fontId="0" fillId="0" borderId="13" xfId="0" applyFont="1" applyBorder="1" applyNumberFormat="1">
      <alignment horizontal="left" vertical="center" wrapText="1"/>
    </xf>
    <xf numFmtId="0" fontId="38" fillId="36" borderId="25" xfId="0" applyFont="1" applyFill="1" applyBorder="1" applyNumberFormat="1">
      <alignment horizontal="center" vertical="top" wrapText="1"/>
    </xf>
    <xf numFmtId="0" fontId="22" fillId="0" borderId="16" xfId="0" applyFont="1" applyBorder="1" applyNumberFormat="1">
      <alignment horizontal="left" vertical="top" wrapText="1" indent="1"/>
    </xf>
    <xf numFmtId="0" fontId="38" fillId="36" borderId="0" xfId="0" applyFont="1" applyFill="1" applyNumberFormat="1">
      <alignment horizontal="center" vertical="top" wrapText="1"/>
    </xf>
    <xf numFmtId="49" fontId="35" fillId="36"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35" borderId="15" xfId="0" applyFont="1" applyFill="1" applyBorder="1" applyNumberFormat="1">
      <alignment horizontal="left" vertical="center" wrapText="1" indent="1"/>
    </xf>
    <xf numFmtId="49" fontId="0" fillId="36" borderId="24" xfId="0" applyFont="1" applyFill="1" applyBorder="1" applyNumberFormat="1">
      <alignment horizontal="center" vertical="center" wrapText="1"/>
    </xf>
    <xf numFmtId="0" fontId="0" fillId="35" borderId="24" xfId="0" applyFont="1" applyFill="1" applyBorder="1" applyNumberFormat="1">
      <alignment horizontal="left" vertical="center" wrapText="1" inden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2" fillId="0" borderId="18" xfId="0" applyFont="1" applyBorder="1" applyNumberFormat="1">
      <alignment horizontal="center" vertical="center" wrapText="1"/>
    </xf>
    <xf numFmtId="4" fontId="22" fillId="0" borderId="24" xfId="0" applyFont="1" applyBorder="1" applyNumberFormat="1">
      <alignment horizontal="center" vertical="center" wrapText="1"/>
    </xf>
    <xf numFmtId="4" fontId="22" fillId="0" borderId="37" xfId="0" applyFont="1" applyBorder="1" applyNumberFormat="1">
      <alignment horizontal="center" vertical="center" wrapText="1"/>
    </xf>
    <xf numFmtId="0" fontId="22" fillId="0" borderId="30" xfId="0" applyFont="1" applyBorder="1" applyNumberFormat="1">
      <alignment horizontal="left" vertical="top" wrapText="1"/>
    </xf>
    <xf numFmtId="169" fontId="22" fillId="0" borderId="18" xfId="0" applyFont="1" applyBorder="1" applyNumberFormat="1">
      <alignment horizontal="center" vertical="center" wrapText="1"/>
    </xf>
    <xf numFmtId="169" fontId="22" fillId="0" borderId="24" xfId="0" applyFont="1" applyBorder="1" applyNumberFormat="1">
      <alignment horizontal="center" vertical="center" wrapText="1"/>
    </xf>
    <xf numFmtId="169" fontId="22" fillId="0" borderId="15" xfId="0" applyFont="1" applyBorder="1" applyNumberFormat="1">
      <alignment horizontal="center" vertical="center" wrapText="1"/>
    </xf>
    <xf numFmtId="169" fontId="22" fillId="0" borderId="16" xfId="0" applyFont="1" applyBorder="1" applyNumberFormat="1">
      <alignment horizontal="center" vertical="center" wrapText="1"/>
    </xf>
    <xf numFmtId="169" fontId="22" fillId="0" borderId="14" xfId="0" applyFont="1" applyBorder="1" applyNumberFormat="1">
      <alignment horizontal="center" vertical="center" wrapText="1"/>
    </xf>
    <xf numFmtId="49" fontId="22" fillId="0" borderId="13" xfId="0" applyFont="1" applyBorder="1" applyNumberFormat="1">
      <alignment horizontal="left" vertical="top" wrapText="1"/>
    </xf>
    <xf numFmtId="49" fontId="125" fillId="0" borderId="13" xfId="0" applyFont="1" applyBorder="1" applyNumberFormat="1">
      <alignment horizontal="left" vertical="top" wrapText="1"/>
    </xf>
    <xf numFmtId="0" fontId="22" fillId="0" borderId="16" xfId="0" applyFont="1" applyBorder="1" applyNumberFormat="1">
      <alignment horizontal="left" vertical="center" wrapText="1"/>
    </xf>
    <xf numFmtId="169" fontId="22" fillId="0" borderId="37" xfId="0" applyFont="1" applyBorder="1" applyNumberFormat="1">
      <alignment horizontal="center" vertical="center" wrapText="1"/>
    </xf>
    <xf numFmtId="169" fontId="22" fillId="0" borderId="13" xfId="0" applyFont="1" applyBorder="1" applyNumberFormat="1">
      <alignment horizontal="center" vertical="center" wrapText="1"/>
    </xf>
    <xf numFmtId="169" fontId="44" fillId="0" borderId="20" xfId="0" applyFont="1" applyBorder="1" applyNumberFormat="1">
      <alignment horizontal="center" vertical="center" wrapText="1"/>
    </xf>
    <xf numFmtId="49" fontId="22" fillId="41" borderId="31" xfId="0" applyFont="1" applyFill="1" applyBorder="1" applyNumberFormat="1">
      <alignment horizontal="left" vertical="center" wrapText="1"/>
    </xf>
    <xf numFmtId="49" fontId="22" fillId="41" borderId="24" xfId="0" applyFont="1" applyFill="1" applyBorder="1" applyNumberFormat="1">
      <alignment horizontal="left" vertical="center" wrapText="1"/>
    </xf>
    <xf numFmtId="14" fontId="22" fillId="41" borderId="13" xfId="0" applyFont="1" applyFill="1" applyBorder="1" applyNumberFormat="1">
      <alignment horizontal="left" vertical="center" wrapText="1"/>
    </xf>
    <xf numFmtId="49" fontId="22" fillId="41" borderId="15" xfId="0" applyFont="1" applyFill="1" applyBorder="1" applyNumberFormat="1">
      <alignment horizontal="left" vertical="center" wrapText="1"/>
    </xf>
    <xf numFmtId="49" fontId="22" fillId="41" borderId="13" xfId="0" applyFont="1" applyFill="1" applyBorder="1" applyNumberFormat="1">
      <alignment horizontal="left" vertical="center" wrapText="1"/>
    </xf>
    <xf numFmtId="0" fontId="22" fillId="35" borderId="30" xfId="0" applyFont="1" applyFill="1" applyBorder="1" applyNumberFormat="1">
      <alignment horizontal="left" vertical="center" wrapText="1"/>
    </xf>
    <xf numFmtId="14" fontId="22" fillId="41" borderId="24"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4" xfId="0" applyFont="1" applyBorder="1" applyNumberFormat="1">
      <alignment horizontal="left" vertical="center" wrapText="1" indent="1"/>
    </xf>
    <xf numFmtId="0" fontId="22" fillId="0" borderId="15" xfId="0" applyFont="1" applyBorder="1" applyNumberFormat="1">
      <alignment horizontal="left" vertical="center" wrapText="1" indent="1"/>
    </xf>
    <xf numFmtId="49" fontId="0" fillId="0" borderId="16" xfId="0" applyFont="1" applyBorder="1" applyNumberFormat="1">
      <alignment horizontal="left" vertical="center" indent="1"/>
    </xf>
    <xf numFmtId="49" fontId="121" fillId="0" borderId="13" xfId="0" applyFont="1" applyBorder="1" applyNumberFormat="1">
      <alignment horizontal="center" vertical="center" wrapText="1"/>
    </xf>
    <xf numFmtId="0" fontId="44" fillId="0" borderId="13" xfId="0" applyFont="1" applyBorder="1" applyNumberFormat="1">
      <alignment horizontal="center" vertical="center"/>
    </xf>
    <xf numFmtId="49" fontId="22" fillId="41" borderId="18" xfId="0" applyFont="1" applyFill="1" applyBorder="1" applyNumberFormat="1">
      <alignment horizontal="left" vertical="center" wrapText="1" indent="1"/>
    </xf>
    <xf numFmtId="49" fontId="22" fillId="41" borderId="37" xfId="0" applyFont="1" applyFill="1" applyBorder="1" applyNumberFormat="1">
      <alignment horizontal="left" vertical="center" wrapText="1" indent="1"/>
    </xf>
    <xf numFmtId="49" fontId="22" fillId="41" borderId="24" xfId="0" applyFont="1" applyFill="1" applyBorder="1" applyNumberFormat="1">
      <alignment horizontal="left" vertical="center" wrapText="1" indent="1"/>
    </xf>
    <xf numFmtId="49" fontId="22" fillId="35" borderId="13" xfId="0" applyFont="1" applyFill="1" applyBorder="1" applyNumberFormat="1">
      <alignment horizontal="left" vertical="center" wrapText="1"/>
    </xf>
    <xf numFmtId="0" fontId="0" fillId="0" borderId="13" xfId="0" applyFont="1" applyBorder="1" applyNumberFormat="1">
      <alignment horizontal="center" vertical="center"/>
    </xf>
    <xf numFmtId="49" fontId="0" fillId="40" borderId="13" xfId="0" applyFont="1" applyFill="1" applyBorder="1" applyNumberFormat="1">
      <alignment horizontal="left" vertical="center" wrapText="1"/>
      <protection locked="0"/>
    </xf>
    <xf numFmtId="0" fontId="22" fillId="41" borderId="13" xfId="0" applyFont="1" applyFill="1" applyBorder="1" applyNumberFormat="1">
      <alignment horizontal="left" vertical="top" wrapText="1"/>
    </xf>
    <xf numFmtId="49" fontId="0" fillId="41" borderId="13" xfId="0" applyFont="1" applyFill="1" applyBorder="1" applyNumberFormat="1">
      <alignment horizontal="left" vertical="top"/>
    </xf>
    <xf numFmtId="0" fontId="0" fillId="40" borderId="13" xfId="0" applyFont="1" applyFill="1" applyBorder="1" applyNumberFormat="1">
      <alignment horizontal="left" vertical="center" wrapText="1"/>
      <protection locked="0"/>
    </xf>
    <xf numFmtId="49" fontId="0" fillId="40" borderId="15" xfId="0" applyFont="1" applyFill="1" applyBorder="1" applyNumberFormat="1">
      <alignment horizontal="left" vertical="center" wrapText="1"/>
      <protection locked="0"/>
    </xf>
    <xf numFmtId="49" fontId="36" fillId="0" borderId="18" xfId="0" applyFont="1" applyBorder="1" applyNumberFormat="1">
      <alignment horizontal="center" vertical="top" wrapText="1"/>
    </xf>
    <xf numFmtId="49" fontId="22" fillId="0" borderId="37" xfId="0" applyFont="1" applyBorder="1" applyNumberFormat="1">
      <alignment horizontal="center" vertical="top" wrapText="1"/>
    </xf>
    <xf numFmtId="49" fontId="22" fillId="0" borderId="24" xfId="0" applyFont="1" applyBorder="1" applyNumberFormat="1">
      <alignment horizontal="center" vertical="top" wrapText="1"/>
    </xf>
    <xf numFmtId="49" fontId="22" fillId="40" borderId="15" xfId="0" applyFont="1" applyFill="1" applyBorder="1" applyNumberFormat="1">
      <alignment horizontal="left" vertical="center" wrapText="1" indent="1"/>
      <protection locked="0"/>
    </xf>
    <xf numFmtId="49" fontId="22" fillId="40"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xf>
    <xf numFmtId="49" fontId="0" fillId="41" borderId="13" xfId="0" applyFont="1" applyFill="1" applyBorder="1" applyNumberFormat="1">
      <alignment horizontal="left" vertical="center" wrapText="1"/>
    </xf>
    <xf numFmtId="49" fontId="22" fillId="37" borderId="13" xfId="0" applyFont="1" applyFill="1" applyBorder="1" applyNumberFormat="1">
      <alignment horizontal="left" vertical="center" wrapText="1"/>
      <protection locked="0"/>
    </xf>
    <xf numFmtId="49" fontId="0" fillId="37" borderId="13" xfId="0" applyFont="1" applyFill="1" applyBorder="1" applyNumberFormat="1">
      <alignment horizontal="left" vertical="top"/>
      <protection locked="0"/>
    </xf>
    <xf numFmtId="0" fontId="22" fillId="41" borderId="18" xfId="0" applyFont="1" applyFill="1" applyBorder="1" applyNumberFormat="1">
      <alignment horizontal="left" vertical="center" wrapText="1"/>
    </xf>
    <xf numFmtId="0" fontId="22" fillId="41" borderId="37" xfId="0" applyFont="1" applyFill="1" applyBorder="1" applyNumberFormat="1">
      <alignment horizontal="left" vertical="center" wrapText="1"/>
    </xf>
    <xf numFmtId="49" fontId="22" fillId="41" borderId="18" xfId="0" applyFont="1" applyFill="1" applyBorder="1" applyNumberFormat="1">
      <alignment horizontal="left" vertical="center" wrapText="1"/>
    </xf>
    <xf numFmtId="49" fontId="22" fillId="0" borderId="37" xfId="0" applyFont="1" applyBorder="1" applyNumberFormat="1">
      <alignment horizontal="center" vertical="center"/>
    </xf>
    <xf numFmtId="0" fontId="22" fillId="0" borderId="25" xfId="0" applyFont="1" applyBorder="1" applyNumberFormat="1">
      <alignment horizontal="center" vertical="center"/>
    </xf>
    <xf numFmtId="49" fontId="22" fillId="37" borderId="18" xfId="0" applyFont="1" applyFill="1" applyBorder="1" applyNumberFormat="1">
      <alignment horizontal="left" vertical="center" wrapText="1"/>
      <protection locked="0"/>
    </xf>
    <xf numFmtId="0" fontId="39" fillId="38" borderId="16" xfId="0" applyFont="1" applyFill="1" applyBorder="1" applyNumberFormat="1">
      <alignment horizontal="left" vertical="center"/>
    </xf>
    <xf numFmtId="0" fontId="39" fillId="38" borderId="14" xfId="0" applyFont="1" applyFill="1" applyBorder="1" applyNumberFormat="1">
      <alignment horizontal="left" vertical="center"/>
    </xf>
    <xf numFmtId="0" fontId="39" fillId="38" borderId="20" xfId="0" applyFont="1" applyFill="1" applyBorder="1" applyNumberFormat="1">
      <alignment horizontal="left" vertical="center"/>
    </xf>
    <xf numFmtId="0" fontId="39" fillId="38" borderId="21" xfId="0" applyFont="1" applyFill="1" applyBorder="1" applyNumberFormat="1">
      <alignment horizontal="left" vertical="center"/>
    </xf>
    <xf numFmtId="49" fontId="22" fillId="40" borderId="13" xfId="0" applyFont="1" applyFill="1" applyBorder="1" applyNumberFormat="1">
      <alignment horizontal="left" vertical="center" wrapText="1"/>
      <protection locked="0"/>
    </xf>
    <xf numFmtId="49" fontId="22" fillId="40" borderId="18" xfId="0" applyFont="1" applyFill="1" applyBorder="1" applyNumberFormat="1">
      <alignment horizontal="left" vertical="center" wrapText="1"/>
      <protection locked="0"/>
    </xf>
    <xf numFmtId="49" fontId="22" fillId="41" borderId="14" xfId="0" applyFont="1" applyFill="1" applyBorder="1" applyNumberFormat="1">
      <alignment horizontal="left" vertical="center" wrapText="1"/>
    </xf>
    <xf numFmtId="3" fontId="22" fillId="40" borderId="13" xfId="0" applyFont="1" applyFill="1" applyBorder="1" applyNumberFormat="1">
      <alignment horizontal="center" vertical="center" wrapText="1"/>
      <protection locked="0"/>
    </xf>
    <xf numFmtId="49" fontId="22" fillId="41" borderId="15" xfId="0" applyFont="1" applyFill="1" applyBorder="1" applyNumberFormat="1">
      <alignment horizontal="center" vertical="center" wrapText="1"/>
    </xf>
    <xf numFmtId="0" fontId="44" fillId="0" borderId="14" xfId="0" applyFont="1" applyBorder="1" applyNumberFormat="1">
      <alignment horizontal="center" vertical="center"/>
    </xf>
    <xf numFmtId="49" fontId="93" fillId="0" borderId="13" xfId="0" applyFont="1" applyBorder="1" applyNumberFormat="1">
      <alignment horizontal="center" vertical="top" wrapText="1"/>
    </xf>
    <xf numFmtId="0" fontId="93" fillId="42" borderId="13" xfId="0" applyFont="1" applyFill="1" applyBorder="1" applyNumberFormat="1">
      <alignment horizontal="center" vertical="center" wrapText="1"/>
    </xf>
    <xf numFmtId="49" fontId="93" fillId="0" borderId="38" xfId="0" applyFont="1" applyBorder="1" applyNumberFormat="1">
      <alignment horizontal="center" vertical="top" wrapText="1"/>
    </xf>
    <xf numFmtId="49" fontId="93" fillId="0" borderId="31" xfId="0" applyFont="1" applyBorder="1" applyNumberFormat="1">
      <alignment horizontal="center" vertical="top" wrapText="1"/>
    </xf>
    <xf numFmtId="49" fontId="93" fillId="0" borderId="15" xfId="0" applyFont="1" applyBorder="1" applyNumberFormat="1">
      <alignment horizontal="center" vertical="top" wrapText="1"/>
    </xf>
    <xf numFmtId="49" fontId="93" fillId="0" borderId="16" xfId="0" applyFont="1" applyBorder="1" applyNumberFormat="1">
      <alignment horizontal="center" vertical="top" wrapText="1"/>
    </xf>
    <xf numFmtId="49" fontId="93" fillId="0" borderId="14" xfId="0" applyFont="1" applyBorder="1" applyNumberFormat="1">
      <alignment horizontal="center" vertical="top" wrapText="1"/>
    </xf>
    <xf numFmtId="49" fontId="93" fillId="0" borderId="18" xfId="0" applyFont="1" applyBorder="1" applyNumberFormat="1">
      <alignment horizontal="center" vertical="top" wrapText="1"/>
    </xf>
    <xf numFmtId="49" fontId="93" fillId="0" borderId="37" xfId="0" applyFont="1" applyBorder="1" applyNumberFormat="1">
      <alignment horizontal="center" vertical="top" wrapText="1"/>
    </xf>
    <xf numFmtId="49" fontId="93" fillId="0" borderId="24" xfId="0" applyFont="1" applyBorder="1" applyNumberFormat="1">
      <alignment horizontal="center" vertical="top" wrapText="1"/>
    </xf>
    <xf numFmtId="4" fontId="22" fillId="35" borderId="13" xfId="0" applyFont="1" applyFill="1" applyBorder="1" applyNumberFormat="1">
      <alignment horizontal="left" vertical="center" wrapText="1"/>
    </xf>
    <xf numFmtId="0" fontId="22" fillId="0" borderId="0" xfId="0" applyFont="1" applyNumberFormat="1">
      <alignment horizontal="right" vertical="center" wrapText="1"/>
    </xf>
    <xf numFmtId="0" fontId="30" fillId="0" borderId="20" xfId="0" applyFont="1" applyBorder="1" applyNumberFormat="1">
      <alignment horizontal="left" vertical="center" wrapText="1" indent="1"/>
    </xf>
    <xf numFmtId="0" fontId="30" fillId="0" borderId="28" xfId="0" applyFont="1" applyBorder="1" applyNumberFormat="1">
      <alignment horizontal="left" vertical="center" wrapText="1" indent="1"/>
    </xf>
    <xf numFmtId="49" fontId="0" fillId="0" borderId="13" xfId="59" applyFont="1" applyBorder="1" applyNumberFormat="1">
      <alignment horizontal="center" vertical="top"/>
    </xf>
    <xf numFmtId="49" fontId="0" fillId="0" borderId="15" xfId="59" applyFont="1" applyBorder="1" applyNumberFormat="1">
      <alignment horizontal="center" vertical="top"/>
    </xf>
    <xf numFmtId="49" fontId="22" fillId="35" borderId="18" xfId="0" applyFont="1" applyFill="1" applyBorder="1" applyNumberFormat="1">
      <alignment horizontal="center" vertical="center" wrapText="1"/>
    </xf>
    <xf numFmtId="49" fontId="121" fillId="0" borderId="14" xfId="0" applyFont="1" applyBorder="1" applyNumberFormat="1">
      <alignment horizontal="center" vertical="center" wrapText="1"/>
    </xf>
    <xf numFmtId="49" fontId="0" fillId="0" borderId="37" xfId="0" applyFont="1" applyBorder="1" applyNumberFormat="1">
      <alignment vertical="top"/>
    </xf>
    <xf numFmtId="49" fontId="0" fillId="40" borderId="37" xfId="0" applyFont="1" applyFill="1" applyBorder="1" applyNumberFormat="1">
      <alignment vertical="top"/>
      <protection locked="0"/>
    </xf>
    <xf numFmtId="14" fontId="22" fillId="41" borderId="37" xfId="0" applyFont="1" applyFill="1" applyBorder="1" applyNumberFormat="1">
      <alignment horizontal="left" vertical="center" wrapText="1" indent="1"/>
    </xf>
    <xf numFmtId="14" fontId="22" fillId="41" borderId="23" xfId="0" applyFont="1" applyFill="1" applyBorder="1" applyNumberFormat="1">
      <alignment horizontal="left" vertical="center" wrapText="1" indent="1"/>
    </xf>
    <xf numFmtId="49" fontId="22" fillId="36" borderId="13" xfId="0" applyFont="1" applyFill="1" applyBorder="1" applyNumberFormat="1">
      <alignment horizontal="left" vertical="center" wrapText="1"/>
    </xf>
    <xf numFmtId="0" fontId="113" fillId="0" borderId="0" xfId="0" applyFont="1" applyNumberFormat="1">
      <alignment wrapText="1"/>
    </xf>
    <xf numFmtId="49" fontId="64" fillId="0" borderId="0" xfId="0" applyFont="1" applyNumberFormat="1">
      <alignment wrapText="1"/>
    </xf>
    <xf numFmtId="49" fontId="64" fillId="0" borderId="0" xfId="0" applyFont="1" applyNumberFormat="1">
      <alignment vertical="center" wrapText="1"/>
    </xf>
    <xf numFmtId="49" fontId="114" fillId="0" borderId="0" xfId="0" applyFont="1" applyNumberFormat="1">
      <alignment wrapText="1"/>
    </xf>
    <xf numFmtId="0" fontId="100" fillId="0" borderId="0" xfId="0" applyFont="1" applyNumberFormat="1">
      <alignment vertical="center" wrapText="1"/>
    </xf>
    <xf numFmtId="0" fontId="100" fillId="0" borderId="0" xfId="0" applyFont="1" applyNumberFormat="1">
      <alignment horizontal="left" vertical="center" wrapText="1"/>
    </xf>
    <xf numFmtId="49" fontId="115" fillId="0" borderId="0" xfId="0" applyFont="1" applyNumberFormat="1">
      <alignment wrapText="1"/>
    </xf>
    <xf numFmtId="0" fontId="100" fillId="0" borderId="0" xfId="0" applyFont="1" applyNumberFormat="1">
      <alignment vertical="center"/>
    </xf>
    <xf numFmtId="0" fontId="30" fillId="0" borderId="0" xfId="0" applyFont="1" applyNumberFormat="1">
      <alignment horizontal="left" vertical="top" wrapText="1"/>
    </xf>
    <xf numFmtId="49" fontId="22" fillId="0" borderId="0" xfId="0" applyFont="1" applyNumberFormat="1">
      <alignment vertical="top" wrapText="1"/>
    </xf>
    <xf numFmtId="0" fontId="30" fillId="56" borderId="65" xfId="0" applyFont="1" applyFill="1" applyBorder="1" applyNumberFormat="1">
      <alignment horizontal="center" vertical="center" wrapText="1"/>
    </xf>
    <xf numFmtId="0" fontId="30" fillId="56" borderId="66" xfId="0" applyFont="1" applyFill="1" applyBorder="1" applyNumberFormat="1">
      <alignment horizontal="center" vertical="center" wrapText="1"/>
    </xf>
    <xf numFmtId="0" fontId="30" fillId="56" borderId="67" xfId="0" applyFont="1" applyFill="1" applyBorder="1" applyNumberFormat="1">
      <alignment horizontal="center" vertical="center" wrapText="1"/>
    </xf>
    <xf numFmtId="0" fontId="64" fillId="0" borderId="0" xfId="0" applyFont="1" applyNumberFormat="1">
      <alignment wrapText="1"/>
    </xf>
    <xf numFmtId="0" fontId="30" fillId="34" borderId="39" xfId="0" applyFont="1" applyFill="1" applyBorder="1" applyNumberFormat="1">
      <alignment horizontal="right" vertical="center" wrapText="1" indent="1"/>
    </xf>
    <xf numFmtId="0" fontId="30" fillId="34" borderId="64" xfId="0" applyFont="1" applyFill="1" applyBorder="1" applyNumberFormat="1">
      <alignment horizontal="right" vertical="center" wrapText="1" indent="1"/>
    </xf>
    <xf numFmtId="0" fontId="116" fillId="0" borderId="0" xfId="0" applyFont="1" applyNumberFormat="1">
      <alignment horizontal="left" vertical="center" wrapText="1"/>
    </xf>
    <xf numFmtId="0" fontId="117" fillId="0" borderId="0" xfId="0" applyFont="1" applyNumberFormat="1">
      <alignment vertical="center" wrapText="1"/>
    </xf>
    <xf numFmtId="0" fontId="64" fillId="0" borderId="39" xfId="0" applyFont="1" applyBorder="1" applyNumberFormat="1">
      <alignment wrapText="1"/>
    </xf>
    <xf numFmtId="0" fontId="64" fillId="0" borderId="0" xfId="0" applyFont="1" applyNumberFormat="1"/>
    <xf numFmtId="0" fontId="116" fillId="0" borderId="0" xfId="0" applyFont="1" applyNumberFormat="1"/>
    <xf numFmtId="0" fontId="118" fillId="0" borderId="0" xfId="0" applyFont="1" applyNumberFormat="1">
      <alignment wrapText="1"/>
    </xf>
    <xf numFmtId="0" fontId="0" fillId="37" borderId="10" xfId="0" applyFont="1" applyFill="1" applyBorder="1" applyNumberFormat="1">
      <alignment horizontal="center" vertical="center" wrapText="1"/>
    </xf>
    <xf numFmtId="0" fontId="118" fillId="0" borderId="39" xfId="0" applyFont="1" applyBorder="1" applyNumberFormat="1">
      <alignment vertical="center" wrapText="1"/>
    </xf>
    <xf numFmtId="0" fontId="118" fillId="0" borderId="0" xfId="0" applyFont="1" applyNumberFormat="1">
      <alignment vertical="center" wrapText="1"/>
    </xf>
    <xf numFmtId="0" fontId="0" fillId="50" borderId="10" xfId="0" applyFont="1" applyFill="1" applyBorder="1" applyNumberFormat="1">
      <alignment horizontal="center" vertical="center" wrapText="1"/>
    </xf>
    <xf numFmtId="0" fontId="118" fillId="0" borderId="39" xfId="0" applyFont="1" applyBorder="1" applyNumberFormat="1">
      <alignment horizontal="left" vertical="center" wrapText="1"/>
    </xf>
    <xf numFmtId="0" fontId="118" fillId="0" borderId="0" xfId="0" applyFont="1" applyNumberFormat="1">
      <alignment horizontal="left" vertical="center" wrapText="1"/>
    </xf>
    <xf numFmtId="0" fontId="0" fillId="35" borderId="10" xfId="0" applyFont="1" applyFill="1" applyBorder="1" applyNumberFormat="1">
      <alignment horizontal="center" vertical="center" wrapText="1"/>
    </xf>
    <xf numFmtId="0" fontId="0" fillId="40" borderId="10" xfId="0" applyFont="1" applyFill="1" applyBorder="1" applyNumberFormat="1">
      <alignment horizontal="center" vertical="center" wrapText="1"/>
    </xf>
    <xf numFmtId="0" fontId="30" fillId="34" borderId="0" xfId="0" applyFont="1" applyFill="1" applyNumberFormat="1">
      <alignment horizontal="right" vertical="center" wrapText="1" indent="1"/>
    </xf>
    <xf numFmtId="0" fontId="116" fillId="0" borderId="39" xfId="0" applyFont="1" applyBorder="1" applyNumberFormat="1">
      <alignment horizontal="left" vertical="center" wrapText="1"/>
    </xf>
    <xf numFmtId="0" fontId="116" fillId="0" borderId="61" xfId="0" applyFont="1" applyBorder="1" applyNumberFormat="1">
      <alignment horizontal="left" vertical="center" wrapText="1"/>
    </xf>
    <xf numFmtId="0" fontId="30" fillId="34" borderId="10" xfId="0" applyFont="1" applyFill="1" applyBorder="1" applyNumberFormat="1">
      <alignment horizontal="right" vertical="center" wrapText="1" indent="1"/>
    </xf>
    <xf numFmtId="0" fontId="30" fillId="34" borderId="63" xfId="0" applyFont="1" applyFill="1" applyBorder="1" applyNumberFormat="1">
      <alignment horizontal="right" vertical="center" wrapText="1" indent="1"/>
    </xf>
    <xf numFmtId="0" fontId="118" fillId="0" borderId="0" xfId="0" applyFont="1" applyNumberFormat="1"/>
    <xf numFmtId="0" fontId="118" fillId="0" borderId="39" xfId="0" applyFont="1" applyBorder="1" applyNumberFormat="1">
      <alignment wrapText="1"/>
    </xf>
    <xf numFmtId="0" fontId="118" fillId="0" borderId="0" xfId="0" applyFont="1" applyNumberFormat="1">
      <alignment vertical="top" wrapText="1"/>
    </xf>
    <xf numFmtId="0" fontId="30" fillId="34" borderId="62" xfId="0" applyFont="1" applyFill="1" applyBorder="1" applyNumberFormat="1">
      <alignment horizontal="right" vertical="center" wrapText="1" indent="1"/>
    </xf>
    <xf numFmtId="0" fontId="30" fillId="34" borderId="40" xfId="0" applyFont="1" applyFill="1" applyBorder="1" applyNumberFormat="1">
      <alignment horizontal="right" vertical="center" wrapText="1" indent="1"/>
    </xf>
    <xf numFmtId="0" fontId="64" fillId="0" borderId="62" xfId="0" applyFont="1" applyBorder="1" applyNumberFormat="1">
      <alignment wrapText="1"/>
    </xf>
    <xf numFmtId="0" fontId="64" fillId="0" borderId="40" xfId="0" applyFont="1" applyBorder="1" applyNumberFormat="1">
      <alignment wrapText="1"/>
    </xf>
    <xf numFmtId="0" fontId="64" fillId="0" borderId="40" xfId="0" applyFont="1" applyBorder="1" applyNumberFormat="1">
      <alignment vertical="center" wrapText="1"/>
    </xf>
    <xf numFmtId="0" fontId="114" fillId="0" borderId="0" xfId="0" applyFont="1" applyNumberFormat="1"/>
    <xf numFmtId="49" fontId="64" fillId="0" borderId="0" xfId="0" applyFont="1" applyNumberFormat="1">
      <alignment vertical="top" wrapText="1"/>
    </xf>
    <xf numFmtId="0" fontId="27" fillId="0" borderId="0" xfId="0" applyFont="1" applyNumberFormat="1"/>
    <xf numFmtId="0" fontId="61" fillId="0" borderId="0" xfId="0" applyFont="1" applyNumberFormat="1">
      <alignment vertical="center" wrapText="1"/>
    </xf>
    <xf numFmtId="0" fontId="89" fillId="0" borderId="0" xfId="0" applyFont="1" applyNumberFormat="1">
      <alignment horizontal="left" vertical="center" wrapText="1"/>
    </xf>
    <xf numFmtId="0" fontId="61" fillId="0" borderId="0" xfId="0" applyFont="1" applyNumberFormat="1">
      <alignment horizontal="left" vertical="center" wrapText="1"/>
    </xf>
    <xf numFmtId="0" fontId="61" fillId="0" borderId="0" xfId="0" applyFont="1" applyNumberFormat="1">
      <alignment vertical="center" wrapText="1"/>
    </xf>
    <xf numFmtId="0" fontId="31" fillId="0" borderId="0" xfId="0" applyFont="1" applyNumberFormat="1">
      <alignment horizontal="center" vertical="center" wrapText="1"/>
    </xf>
    <xf numFmtId="0" fontId="31" fillId="0" borderId="0" xfId="0" applyFont="1" applyNumberFormat="1">
      <alignment vertical="center" wrapText="1"/>
    </xf>
    <xf numFmtId="0" fontId="46" fillId="0" borderId="0" xfId="0" applyFont="1" applyNumberFormat="1">
      <alignment vertical="center" wrapText="1"/>
    </xf>
    <xf numFmtId="0" fontId="31" fillId="0" borderId="0" xfId="0" applyFont="1" applyNumberFormat="1">
      <alignment vertical="center" wrapText="1"/>
    </xf>
    <xf numFmtId="0" fontId="31" fillId="0" borderId="0" xfId="0" applyFont="1" applyNumberFormat="1">
      <alignment horizontal="left" vertical="center" wrapText="1"/>
    </xf>
    <xf numFmtId="0" fontId="22" fillId="0" borderId="0" xfId="0" applyFont="1" applyNumberFormat="1">
      <alignment horizontal="left" vertical="top" indent="1"/>
    </xf>
    <xf numFmtId="49" fontId="64" fillId="0" borderId="0" xfId="0" applyFont="1" applyNumberFormat="1">
      <alignment vertical="top"/>
    </xf>
    <xf numFmtId="49" fontId="22" fillId="0" borderId="0" xfId="0" applyFont="1" applyNumberFormat="1">
      <alignment vertical="center" wrapText="1"/>
    </xf>
    <xf numFmtId="49" fontId="45"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5"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58" fillId="0" borderId="0" xfId="0" applyFont="1" applyNumberFormat="1">
      <alignment vertical="center" wrapText="1"/>
    </xf>
    <xf numFmtId="0" fontId="89" fillId="0" borderId="0" xfId="0" applyFont="1" applyNumberFormat="1">
      <alignment horizontal="left" vertical="center" wrapText="1"/>
    </xf>
    <xf numFmtId="0" fontId="56" fillId="0" borderId="0" xfId="0" applyFont="1" applyNumberFormat="1">
      <alignment horizontal="left" vertical="center" wrapText="1"/>
    </xf>
    <xf numFmtId="0" fontId="57" fillId="0" borderId="0" xfId="0" applyFont="1" applyNumberFormat="1">
      <alignment vertical="center" wrapText="1"/>
    </xf>
    <xf numFmtId="0" fontId="58" fillId="36" borderId="0" xfId="0" applyFont="1" applyFill="1" applyNumberFormat="1">
      <alignment vertical="center" wrapText="1"/>
    </xf>
    <xf numFmtId="0" fontId="58" fillId="0" borderId="0" xfId="0" applyFont="1" applyNumberFormat="1">
      <alignment vertical="center" wrapText="1"/>
    </xf>
    <xf numFmtId="0" fontId="58"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wrapText="1"/>
    </xf>
    <xf numFmtId="0" fontId="58" fillId="0" borderId="0" xfId="0" applyFont="1" applyNumberFormat="1">
      <alignment vertical="center" wrapText="1"/>
    </xf>
    <xf numFmtId="0" fontId="33" fillId="36" borderId="0" xfId="0" applyFont="1" applyFill="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48" fillId="36" borderId="0" xfId="0" applyFont="1" applyFill="1" applyNumberFormat="1">
      <alignment vertical="center" wrapText="1"/>
    </xf>
    <xf numFmtId="0" fontId="94" fillId="0" borderId="0" xfId="0" applyFont="1" applyNumberFormat="1">
      <alignment vertical="center" wrapText="1"/>
    </xf>
    <xf numFmtId="0" fontId="58" fillId="36" borderId="0" xfId="0" applyFont="1" applyFill="1" applyNumberFormat="1">
      <alignment horizontal="right" vertical="center" wrapText="1" indent="1"/>
    </xf>
    <xf numFmtId="0" fontId="60" fillId="36" borderId="0" xfId="0" applyFont="1" applyFill="1" applyNumberFormat="1">
      <alignment horizontal="center" vertical="center" wrapText="1"/>
    </xf>
    <xf numFmtId="0" fontId="22" fillId="36" borderId="27" xfId="0" applyFont="1" applyFill="1" applyBorder="1" applyNumberFormat="1">
      <alignment horizontal="right" vertical="center" wrapText="1" indent="1"/>
    </xf>
    <xf numFmtId="0" fontId="0" fillId="35" borderId="13" xfId="0" applyFont="1" applyFill="1" applyBorder="1" applyNumberFormat="1">
      <alignment horizontal="left" vertical="center" wrapText="1" indent="1"/>
    </xf>
    <xf numFmtId="14" fontId="89" fillId="36" borderId="0" xfId="0" applyFont="1" applyFill="1" applyNumberFormat="1">
      <alignment horizontal="left" vertical="center" wrapText="1"/>
    </xf>
    <xf numFmtId="0" fontId="56" fillId="36" borderId="0" xfId="0" applyFont="1" applyFill="1" applyNumberFormat="1">
      <alignment horizontal="center" vertical="center" wrapText="1"/>
    </xf>
    <xf numFmtId="0" fontId="58" fillId="36" borderId="0" xfId="0" applyFont="1" applyFill="1" applyNumberFormat="1">
      <alignment horizontal="left" vertical="center" wrapText="1" indent="1"/>
    </xf>
    <xf numFmtId="0" fontId="22" fillId="36" borderId="0" xfId="0" applyFont="1" applyFill="1" applyNumberFormat="1">
      <alignment horizontal="center" vertical="center" wrapText="1"/>
    </xf>
    <xf numFmtId="0" fontId="86" fillId="0" borderId="0" xfId="0" applyFont="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3" fillId="36" borderId="0" xfId="0" applyFont="1" applyFill="1" applyNumberFormat="1">
      <alignment vertical="center" wrapText="1"/>
    </xf>
    <xf numFmtId="0" fontId="22" fillId="36" borderId="27" xfId="0" applyFont="1" applyFill="1" applyBorder="1" applyNumberFormat="1">
      <alignment horizontal="right" vertical="center" wrapText="1" indent="1"/>
    </xf>
    <xf numFmtId="0" fontId="22" fillId="40" borderId="13"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5" fillId="0" borderId="0" xfId="0" applyFont="1" applyNumberFormat="1">
      <alignment vertical="center" wrapText="1"/>
    </xf>
    <xf numFmtId="0" fontId="56" fillId="0" borderId="0" xfId="0" applyFont="1" applyNumberFormat="1">
      <alignment horizontal="left" vertical="center" wrapText="1"/>
    </xf>
    <xf numFmtId="0" fontId="57" fillId="0" borderId="0" xfId="0" applyFont="1" applyNumberFormat="1">
      <alignment vertical="center" wrapText="1"/>
    </xf>
    <xf numFmtId="49" fontId="22" fillId="41" borderId="13" xfId="0" applyFont="1" applyFill="1" applyBorder="1" applyNumberFormat="1">
      <alignment horizontal="left" vertical="center" wrapText="1" indent="1"/>
    </xf>
    <xf numFmtId="0" fontId="58" fillId="0" borderId="0" xfId="0" applyFont="1" applyNumberFormat="1">
      <alignment vertical="center" wrapText="1"/>
    </xf>
    <xf numFmtId="14" fontId="91" fillId="0" borderId="13" xfId="0" applyFont="1" applyBorder="1" applyNumberFormat="1">
      <alignment horizontal="center" vertical="center" wrapText="1"/>
    </xf>
    <xf numFmtId="168" fontId="0" fillId="40" borderId="13" xfId="0" applyFont="1" applyFill="1" applyBorder="1" applyNumberFormat="1">
      <alignment horizontal="left" vertical="center" wrapText="1" indent="1"/>
      <protection locked="0"/>
    </xf>
    <xf numFmtId="0" fontId="51" fillId="0" borderId="0" xfId="0" applyFont="1" applyNumberFormat="1">
      <alignment horizontal="left" vertical="center" indent="1"/>
    </xf>
    <xf numFmtId="0" fontId="22" fillId="36" borderId="0" xfId="0" applyFont="1" applyFill="1" applyNumberFormat="1">
      <alignment vertical="center" wrapText="1"/>
    </xf>
    <xf numFmtId="14" fontId="91" fillId="0" borderId="13" xfId="0" applyFont="1" applyBorder="1" applyNumberFormat="1">
      <alignment horizontal="left" vertical="center" wrapText="1"/>
    </xf>
    <xf numFmtId="49" fontId="22" fillId="36" borderId="27" xfId="0" applyFont="1" applyFill="1" applyBorder="1" applyNumberFormat="1">
      <alignment horizontal="right" vertical="center" wrapText="1" indent="1"/>
    </xf>
    <xf numFmtId="49" fontId="45" fillId="0" borderId="0" xfId="0" applyFont="1" applyNumberFormat="1">
      <alignment vertical="center" wrapText="1"/>
    </xf>
    <xf numFmtId="0" fontId="0" fillId="40" borderId="13" xfId="0" applyFont="1" applyFill="1" applyBorder="1" applyNumberFormat="1">
      <alignment horizontal="left" vertical="center" wrapText="1" indent="1"/>
      <protection locked="0"/>
    </xf>
    <xf numFmtId="49" fontId="22" fillId="40" borderId="13" xfId="0" applyFont="1" applyFill="1" applyBorder="1" applyNumberFormat="1">
      <alignment horizontal="left" vertical="center" wrapText="1" indent="1"/>
      <protection locked="0"/>
    </xf>
    <xf numFmtId="168"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94" fillId="0" borderId="0" xfId="0" applyFont="1" applyNumberFormat="1">
      <alignment horizontal="left" vertical="center" wrapText="1"/>
    </xf>
    <xf numFmtId="0" fontId="22" fillId="36"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2" fillId="0" borderId="13" xfId="0" applyFont="1" applyBorder="1" applyNumberFormat="1">
      <alignment horizontal="left" vertical="center" wrapText="1" indent="1"/>
    </xf>
    <xf numFmtId="0" fontId="32" fillId="0" borderId="0" xfId="0" applyFont="1" applyNumberFormat="1">
      <alignment horizontal="center" vertical="center" wrapText="1"/>
    </xf>
    <xf numFmtId="0" fontId="34" fillId="36" borderId="0" xfId="0" applyFont="1" applyFill="1" applyNumberFormat="1">
      <alignment horizontal="center" vertical="center" wrapText="1"/>
    </xf>
    <xf numFmtId="49" fontId="22" fillId="35" borderId="13" xfId="0" applyFont="1" applyFill="1" applyBorder="1" applyNumberFormat="1">
      <alignment horizontal="left" vertical="center" wrapText="1" indent="1"/>
    </xf>
    <xf numFmtId="14" fontId="22"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0" fontId="22" fillId="0" borderId="0" xfId="0" applyFont="1" applyNumberFormat="1">
      <alignment vertical="center"/>
    </xf>
    <xf numFmtId="14" fontId="22" fillId="36" borderId="0" xfId="0" applyFont="1" applyFill="1" applyNumberFormat="1">
      <alignment horizontal="left" vertical="center" wrapText="1"/>
    </xf>
    <xf numFmtId="0" fontId="22" fillId="40" borderId="13" xfId="0" applyFont="1" applyFill="1" applyBorder="1" applyNumberFormat="1">
      <alignment horizontal="left" vertical="center" wrapText="1" indent="1"/>
      <protection locked="0"/>
    </xf>
    <xf numFmtId="0" fontId="59" fillId="36" borderId="0" xfId="0" applyFont="1" applyFill="1" applyNumberFormat="1">
      <alignment horizontal="right" vertical="center" wrapText="1" indent="1"/>
    </xf>
    <xf numFmtId="0" fontId="59" fillId="36" borderId="0" xfId="0" applyFont="1" applyFill="1" applyNumberFormat="1">
      <alignment horizontal="left" vertical="center" wrapText="1" indent="1"/>
    </xf>
    <xf numFmtId="49" fontId="22" fillId="41" borderId="13" xfId="0" applyFont="1" applyFill="1" applyBorder="1" applyNumberFormat="1">
      <alignment horizontal="left" vertical="center" wrapText="1" indent="1"/>
    </xf>
    <xf numFmtId="0" fontId="58" fillId="36" borderId="0" xfId="0" applyFont="1" applyFill="1" applyNumberFormat="1">
      <alignment vertical="center" wrapText="1"/>
    </xf>
    <xf numFmtId="0" fontId="59" fillId="36" borderId="0" xfId="0" applyFont="1" applyFill="1" applyNumberFormat="1">
      <alignment horizontal="right" vertical="center" wrapText="1" indent="1"/>
    </xf>
    <xf numFmtId="0" fontId="31" fillId="0" borderId="0" xfId="0" applyFont="1" applyNumberFormat="1">
      <alignment horizontal="left" vertical="center" wrapText="1"/>
    </xf>
    <xf numFmtId="49" fontId="122" fillId="0" borderId="13" xfId="0" applyFont="1" applyBorder="1" applyNumberFormat="1">
      <alignment horizontal="left" vertical="center" wrapText="1" indent="1"/>
    </xf>
    <xf numFmtId="0" fontId="31" fillId="0" borderId="0" xfId="0" applyFont="1" applyNumberFormat="1">
      <alignment horizontal="left" vertical="center" wrapText="1"/>
    </xf>
    <xf numFmtId="14" fontId="90" fillId="0" borderId="0" xfId="0" applyFont="1" applyNumberFormat="1">
      <alignment horizontal="center" vertical="center" wrapText="1"/>
    </xf>
    <xf numFmtId="0" fontId="32" fillId="0" borderId="0" xfId="0" applyFont="1" applyNumberFormat="1">
      <alignment vertical="center" wrapText="1"/>
    </xf>
    <xf numFmtId="0" fontId="31" fillId="0" borderId="0" xfId="0" applyFont="1" applyNumberFormat="1">
      <alignment horizontal="center" vertical="center" wrapText="1"/>
    </xf>
    <xf numFmtId="0" fontId="22" fillId="0" borderId="0" xfId="0" applyFont="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vertical="center" wrapText="1"/>
    </xf>
    <xf numFmtId="0" fontId="81" fillId="0" borderId="0" xfId="0" applyFont="1" applyNumberFormat="1">
      <alignment vertical="center" wrapText="1"/>
    </xf>
    <xf numFmtId="0" fontId="22" fillId="0" borderId="0" xfId="0" applyFont="1" applyNumberFormat="1">
      <alignment vertical="center" wrapText="1"/>
    </xf>
    <xf numFmtId="0" fontId="22" fillId="41" borderId="13" xfId="0" applyFont="1" applyFill="1" applyBorder="1" applyNumberFormat="1">
      <alignment horizontal="left" vertical="center" wrapText="1" indent="1"/>
    </xf>
    <xf numFmtId="168" fontId="0" fillId="40" borderId="12" xfId="0" applyFont="1" applyFill="1" applyBorder="1" applyNumberFormat="1">
      <alignment horizontal="left" vertical="center" wrapText="1" indent="1"/>
      <protection locked="0"/>
    </xf>
    <xf numFmtId="0" fontId="22" fillId="41" borderId="13" xfId="0" applyFont="1" applyFill="1" applyBorder="1" applyNumberFormat="1">
      <alignment horizontal="left" vertical="center" wrapText="1" indent="1"/>
    </xf>
    <xf numFmtId="49" fontId="22" fillId="41" borderId="13" xfId="0" applyFont="1" applyFill="1" applyBorder="1" applyNumberFormat="1">
      <alignment horizontal="left" vertical="center" wrapText="1" indent="1"/>
    </xf>
    <xf numFmtId="49" fontId="31" fillId="0" borderId="0" xfId="0" applyFont="1" applyNumberFormat="1">
      <alignment horizontal="left" vertical="center" wrapText="1"/>
    </xf>
    <xf numFmtId="49" fontId="33" fillId="36" borderId="0" xfId="0" applyFont="1" applyFill="1" applyNumberFormat="1">
      <alignment horizontal="center" vertical="center" wrapText="1"/>
    </xf>
    <xf numFmtId="0" fontId="22" fillId="40" borderId="13" xfId="0" applyFont="1" applyFill="1" applyBorder="1" applyNumberFormat="1">
      <alignment horizontal="left" vertical="center" wrapTex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40"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6" borderId="0" xfId="0" applyFont="1" applyFill="1" applyNumberFormat="1">
      <alignment horizontal="right" vertical="center" wrapText="1" indent="1"/>
    </xf>
    <xf numFmtId="49" fontId="45" fillId="0" borderId="0" xfId="0" applyFont="1" applyNumberFormat="1">
      <alignment horizontal="center" vertical="center" wrapText="1"/>
    </xf>
    <xf numFmtId="49" fontId="22" fillId="0" borderId="0" xfId="0" applyFont="1" applyNumberFormat="1">
      <alignment horizontal="center" vertical="center" wrapText="1"/>
    </xf>
    <xf numFmtId="49" fontId="0" fillId="36" borderId="0" xfId="0" applyFont="1" applyFill="1" applyNumberFormat="1">
      <alignment horizontal="right" vertical="center" wrapText="1" indent="1"/>
    </xf>
    <xf numFmtId="0" fontId="48" fillId="0" borderId="0" xfId="0" applyFont="1" applyNumberFormat="1">
      <alignment vertical="top" wrapText="1"/>
    </xf>
    <xf numFmtId="0" fontId="32" fillId="0" borderId="0" xfId="0" applyFont="1" applyNumberFormat="1">
      <alignment vertical="center" wrapText="1"/>
    </xf>
    <xf numFmtId="0" fontId="89" fillId="0" borderId="0" xfId="0" applyFont="1" applyNumberFormat="1">
      <alignment horizontal="left" vertical="center" wrapText="1"/>
    </xf>
    <xf numFmtId="0" fontId="31" fillId="0" borderId="0" xfId="0" applyFont="1" applyNumberFormat="1">
      <alignment horizontal="left" vertical="center" wrapText="1"/>
    </xf>
    <xf numFmtId="0" fontId="22" fillId="0" borderId="0" xfId="0" applyFont="1" applyNumberFormat="1">
      <alignment horizontal="center" vertical="center" wrapText="1"/>
    </xf>
    <xf numFmtId="0" fontId="45" fillId="0" borderId="0" xfId="0" applyFont="1" applyNumberFormat="1">
      <alignment vertical="center" wrapText="1"/>
    </xf>
    <xf numFmtId="0" fontId="46" fillId="0" borderId="0" xfId="0" applyFont="1" applyNumberFormat="1">
      <alignment vertical="center" wrapText="1"/>
    </xf>
    <xf numFmtId="0" fontId="70"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horizontal="center" vertical="center" wrapText="1"/>
    </xf>
    <xf numFmtId="0" fontId="46" fillId="0" borderId="0" xfId="0" applyFont="1" applyNumberFormat="1">
      <alignment horizontal="left" vertical="center" indent="1"/>
    </xf>
    <xf numFmtId="0" fontId="46" fillId="0" borderId="0" xfId="0" applyFont="1" applyNumberFormat="1">
      <alignment horizontal="center" vertical="center" wrapText="1"/>
    </xf>
    <xf numFmtId="0" fontId="46" fillId="0" borderId="0" xfId="0" applyFont="1" applyNumberFormat="1">
      <alignment horizontal="left" vertical="center" wrapText="1" indent="1"/>
    </xf>
    <xf numFmtId="0" fontId="46" fillId="0" borderId="0" xfId="0" applyFont="1" applyNumberFormat="1">
      <alignment horizontal="left" vertical="center" indent="1"/>
    </xf>
    <xf numFmtId="0" fontId="46" fillId="0" borderId="0" xfId="0" applyFont="1" applyNumberFormat="1">
      <alignment vertical="center" wrapText="1"/>
    </xf>
    <xf numFmtId="0" fontId="54" fillId="0" borderId="0" xfId="0" applyFont="1" applyNumberFormat="1">
      <alignment vertical="center" wrapText="1"/>
    </xf>
    <xf numFmtId="0" fontId="22" fillId="0" borderId="0" xfId="0" applyFont="1" applyNumberFormat="1">
      <alignment horizontal="left" vertical="center" wrapText="1" indent="1"/>
    </xf>
    <xf numFmtId="0" fontId="45" fillId="0" borderId="0" xfId="0" applyFont="1" applyNumberFormat="1">
      <alignment horizontal="left" vertical="center" wrapText="1" indent="1"/>
    </xf>
    <xf numFmtId="0" fontId="54" fillId="0" borderId="0" xfId="0" applyFont="1" applyNumberFormat="1">
      <alignment horizontal="left" vertical="center" wrapText="1" indent="1"/>
    </xf>
    <xf numFmtId="0" fontId="55" fillId="0" borderId="0" xfId="0" applyFont="1" applyNumberFormat="1">
      <alignment horizontal="left" vertical="center" indent="1"/>
    </xf>
    <xf numFmtId="0" fontId="54" fillId="0" borderId="0" xfId="0" applyFont="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45" fillId="0" borderId="0" xfId="0" applyFont="1" applyNumberFormat="1">
      <alignmen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6" fillId="0" borderId="0" xfId="0" applyFont="1" applyNumberFormat="1">
      <alignment vertical="center"/>
    </xf>
    <xf numFmtId="0" fontId="46" fillId="0" borderId="0" xfId="0" applyFont="1" applyNumberFormat="1">
      <alignment vertical="center"/>
    </xf>
    <xf numFmtId="0" fontId="53" fillId="0" borderId="0" xfId="0" applyFont="1" applyNumberFormat="1">
      <alignment vertical="center"/>
    </xf>
    <xf numFmtId="0" fontId="41" fillId="0" borderId="0" xfId="0" applyFont="1" applyNumberFormat="1">
      <alignment vertical="center" wrapText="1"/>
    </xf>
    <xf numFmtId="0" fontId="22" fillId="0" borderId="16"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5"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6" xfId="0" applyFont="1" applyBorder="1" applyNumberFormat="1">
      <alignment horizontal="center" vertical="center" wrapText="1"/>
    </xf>
    <xf numFmtId="4" fontId="22" fillId="0" borderId="13" xfId="0" applyFont="1" applyBorder="1" applyNumberFormat="1">
      <alignment horizontal="center" vertical="center" wrapText="1"/>
    </xf>
    <xf numFmtId="169" fontId="22" fillId="0" borderId="15" xfId="0" applyFont="1" applyBorder="1" applyNumberFormat="1">
      <alignment horizontal="center" vertical="center" wrapText="1"/>
    </xf>
    <xf numFmtId="169" fontId="22" fillId="0" borderId="13" xfId="0" applyFont="1" applyBorder="1" applyNumberFormat="1">
      <alignment horizontal="center" vertical="center" wrapText="1"/>
    </xf>
    <xf numFmtId="0" fontId="35" fillId="0" borderId="0" xfId="0" applyFont="1" applyNumberFormat="1">
      <alignment horizontal="center" vertical="center" wrapText="1"/>
    </xf>
    <xf numFmtId="49" fontId="35" fillId="0" borderId="16" xfId="0" applyFont="1" applyBorder="1" applyNumberFormat="1">
      <alignment horizontal="center" vertical="center" wrapText="1"/>
    </xf>
    <xf numFmtId="49" fontId="35" fillId="0" borderId="16" xfId="0" applyFont="1" applyBorder="1" applyNumberFormat="1">
      <alignment horizontal="center" vertical="center" wrapText="1"/>
    </xf>
    <xf numFmtId="0" fontId="45" fillId="0" borderId="0" xfId="0" applyFont="1" applyNumberFormat="1">
      <alignment vertical="center"/>
    </xf>
    <xf numFmtId="0" fontId="45" fillId="0" borderId="0" xfId="0" applyFont="1" applyNumberFormat="1">
      <alignment vertical="center"/>
    </xf>
    <xf numFmtId="0" fontId="52" fillId="0" borderId="0" xfId="0" applyFont="1" applyNumberFormat="1">
      <alignment vertical="center"/>
    </xf>
    <xf numFmtId="49" fontId="22" fillId="38" borderId="20" xfId="0" applyFont="1" applyFill="1" applyBorder="1" applyNumberFormat="1">
      <alignment horizontal="center" vertical="center" wrapText="1"/>
    </xf>
    <xf numFmtId="49" fontId="45" fillId="38" borderId="20" xfId="0" applyFont="1" applyFill="1" applyBorder="1" applyNumberFormat="1">
      <alignment horizontal="left" vertical="center" wrapText="1"/>
    </xf>
    <xf numFmtId="49" fontId="45" fillId="38" borderId="21" xfId="0" applyFont="1" applyFill="1" applyBorder="1" applyNumberFormat="1">
      <alignment horizontal="left" vertical="center" wrapText="1"/>
    </xf>
    <xf numFmtId="0" fontId="46" fillId="0" borderId="23" xfId="0" applyFont="1" applyBorder="1" applyNumberFormat="1">
      <alignment vertical="center"/>
    </xf>
    <xf numFmtId="0" fontId="22" fillId="0" borderId="0" xfId="0" applyFont="1" applyNumberFormat="1">
      <alignment horizontal="center" vertical="center" wrapText="1"/>
    </xf>
    <xf numFmtId="0" fontId="36" fillId="0" borderId="0" xfId="0" applyFont="1" applyNumberFormat="1">
      <alignment horizontal="center" vertical="center" wrapText="1"/>
    </xf>
    <xf numFmtId="0" fontId="22" fillId="0" borderId="13" xfId="0" applyFont="1" applyBorder="1" applyNumberFormat="1">
      <alignment horizontal="center" vertical="center" wrapText="1"/>
    </xf>
    <xf numFmtId="0" fontId="46" fillId="0" borderId="13" xfId="0" applyFont="1" applyBorder="1" applyNumberFormat="1">
      <alignment horizontal="center" vertical="center" wrapText="1"/>
    </xf>
    <xf numFmtId="49" fontId="22" fillId="40" borderId="13" xfId="0" applyFont="1" applyFill="1" applyBorder="1" applyNumberFormat="1">
      <alignment vertical="center" wrapText="1"/>
      <protection locked="0"/>
    </xf>
    <xf numFmtId="49" fontId="45" fillId="0" borderId="13" xfId="0" applyFont="1" applyBorder="1" applyNumberFormat="1">
      <alignment horizontal="left" vertical="center" wrapText="1"/>
    </xf>
    <xf numFmtId="0" fontId="46" fillId="0" borderId="0" xfId="0" applyFont="1" applyNumberFormat="1">
      <alignment vertical="center"/>
    </xf>
    <xf numFmtId="0" fontId="46" fillId="0" borderId="0" xfId="0" applyFont="1" applyNumberFormat="1">
      <alignment vertical="center"/>
    </xf>
    <xf numFmtId="0" fontId="41" fillId="0" borderId="0" xfId="0" applyFont="1" applyNumberFormat="1">
      <alignment vertical="center" wrapText="1"/>
    </xf>
    <xf numFmtId="49" fontId="0" fillId="0" borderId="0" xfId="0" applyFont="1" applyNumberFormat="1">
      <alignment vertical="top"/>
    </xf>
    <xf numFmtId="0" fontId="35" fillId="0" borderId="25" xfId="0" applyFont="1" applyBorder="1" applyNumberFormat="1">
      <alignment vertical="top" wrapText="1"/>
    </xf>
    <xf numFmtId="0" fontId="22" fillId="0" borderId="24" xfId="0" applyFont="1" applyBorder="1" applyNumberFormat="1">
      <alignment horizontal="center" vertical="center" wrapText="1"/>
    </xf>
    <xf numFmtId="0" fontId="46" fillId="0" borderId="24" xfId="0" applyFont="1" applyBorder="1" applyNumberFormat="1">
      <alignment horizontal="center" vertical="center" wrapText="1"/>
    </xf>
    <xf numFmtId="14" fontId="22" fillId="41" borderId="24" xfId="0" applyFont="1" applyFill="1" applyBorder="1" applyNumberFormat="1">
      <alignment horizontal="left" vertical="center" wrapText="1" indent="1"/>
    </xf>
    <xf numFmtId="49" fontId="22" fillId="35" borderId="24" xfId="0" applyFont="1" applyFill="1" applyBorder="1" applyNumberFormat="1">
      <alignment horizontal="center" vertical="center" wrapText="1"/>
    </xf>
    <xf numFmtId="0" fontId="72" fillId="0" borderId="0" xfId="0" applyFont="1" applyNumberFormat="1">
      <alignment vertical="center" wrapText="1"/>
    </xf>
    <xf numFmtId="49" fontId="45" fillId="0" borderId="0" xfId="0" applyFont="1" applyNumberFormat="1">
      <alignment vertical="top"/>
    </xf>
    <xf numFmtId="49" fontId="46" fillId="0" borderId="0" xfId="0" applyFont="1" applyNumberFormat="1">
      <alignment vertical="top"/>
    </xf>
    <xf numFmtId="49" fontId="0" fillId="0" borderId="0" xfId="0" applyFont="1" applyNumberFormat="1">
      <alignment vertical="top"/>
    </xf>
    <xf numFmtId="0" fontId="45" fillId="0" borderId="0" xfId="0" applyFont="1" applyNumberFormat="1">
      <alignment horizontal="center" vertical="center" wrapText="1"/>
    </xf>
    <xf numFmtId="0" fontId="22" fillId="0" borderId="13" xfId="0" applyFont="1" applyBorder="1" applyNumberFormat="1">
      <alignment horizontal="center" vertical="center" wrapText="1"/>
    </xf>
    <xf numFmtId="0" fontId="45" fillId="0" borderId="13" xfId="0" applyFont="1" applyBorder="1" applyNumberFormat="1">
      <alignment horizontal="center" vertical="center" wrapText="1"/>
    </xf>
    <xf numFmtId="14" fontId="22" fillId="41" borderId="13" xfId="0" applyFont="1" applyFill="1" applyBorder="1" applyNumberFormat="1">
      <alignment horizontal="left" vertical="center" wrapText="1" indent="1"/>
    </xf>
    <xf numFmtId="49" fontId="22" fillId="35" borderId="13" xfId="0" applyFont="1" applyFill="1" applyBorder="1" applyNumberFormat="1">
      <alignment horizontal="center" vertical="center" wrapText="1"/>
    </xf>
    <xf numFmtId="0" fontId="46" fillId="0" borderId="0" xfId="0" applyFont="1" applyNumberFormat="1">
      <alignment vertical="center" wrapText="1"/>
    </xf>
    <xf numFmtId="0" fontId="46" fillId="0" borderId="0" xfId="0" applyFont="1" applyNumberFormat="1">
      <alignment vertical="center"/>
    </xf>
    <xf numFmtId="49" fontId="46" fillId="0" borderId="0" xfId="0" applyFont="1" applyNumberFormat="1">
      <alignment vertical="top"/>
    </xf>
    <xf numFmtId="0" fontId="0" fillId="0" borderId="0" xfId="0" applyFont="1" applyNumberFormat="1">
      <alignment vertical="center" wrapText="1"/>
    </xf>
    <xf numFmtId="0" fontId="35" fillId="0" borderId="0" xfId="0" applyFont="1" applyNumberFormat="1">
      <alignment vertical="top" wrapText="1"/>
    </xf>
    <xf numFmtId="49" fontId="48" fillId="38" borderId="15" xfId="0" applyFont="1" applyFill="1" applyBorder="1" applyNumberFormat="1">
      <alignment horizontal="right" vertical="center" wrapText="1"/>
    </xf>
    <xf numFmtId="49" fontId="48" fillId="38" borderId="16" xfId="0" applyFont="1" applyFill="1" applyBorder="1" applyNumberFormat="1">
      <alignment horizontal="right" vertical="center" wrapText="1"/>
    </xf>
    <xf numFmtId="49" fontId="39" fillId="38" borderId="16" xfId="0" applyFont="1" applyFill="1" applyBorder="1" applyNumberFormat="1">
      <alignment horizontal="left" vertical="center" indent="1"/>
    </xf>
    <xf numFmtId="49" fontId="0" fillId="38" borderId="16" xfId="0" applyFont="1" applyFill="1" applyBorder="1" applyNumberFormat="1">
      <alignment horizontal="right" vertical="center" wrapText="1"/>
    </xf>
    <xf numFmtId="49" fontId="0" fillId="38" borderId="14" xfId="0" applyFont="1" applyFill="1" applyBorder="1" applyNumberFormat="1">
      <alignment horizontal="right" vertical="center" wrapText="1"/>
    </xf>
    <xf numFmtId="0" fontId="45" fillId="0" borderId="0" xfId="0" applyFont="1" applyNumberFormat="1">
      <alignment vertical="center" wrapText="1"/>
    </xf>
    <xf numFmtId="0" fontId="36" fillId="0" borderId="0" xfId="0" applyFont="1" applyNumberFormat="1">
      <alignment horizontal="center" vertical="center" wrapText="1"/>
    </xf>
    <xf numFmtId="0" fontId="22" fillId="0" borderId="13" xfId="0" applyFont="1" applyBorder="1" applyNumberFormat="1">
      <alignment horizontal="center" vertical="center" wrapText="1"/>
    </xf>
    <xf numFmtId="0" fontId="46" fillId="0" borderId="13" xfId="0" applyFont="1" applyBorder="1" applyNumberFormat="1">
      <alignment horizontal="center" vertical="center"/>
    </xf>
    <xf numFmtId="0" fontId="22" fillId="0" borderId="24" xfId="0" applyFont="1" applyBorder="1" applyNumberFormat="1">
      <alignment horizontal="center" vertical="center" wrapText="1"/>
    </xf>
    <xf numFmtId="0" fontId="45" fillId="0" borderId="24" xfId="0" applyFont="1" applyBorder="1" applyNumberFormat="1">
      <alignment horizontal="center" vertical="center" wrapText="1"/>
    </xf>
    <xf numFmtId="49" fontId="22" fillId="38" borderId="15" xfId="0" applyFont="1" applyFill="1" applyBorder="1" applyNumberFormat="1">
      <alignment horizontal="right" vertical="center" wrapText="1"/>
    </xf>
    <xf numFmtId="49" fontId="22" fillId="38" borderId="16" xfId="0" applyFont="1" applyFill="1" applyBorder="1" applyNumberFormat="1">
      <alignment horizontal="right" vertical="center" wrapText="1"/>
    </xf>
    <xf numFmtId="49" fontId="39" fillId="38" borderId="16" xfId="0" applyFont="1" applyFill="1" applyBorder="1" applyNumberFormat="1">
      <alignment horizontal="left" vertical="center"/>
    </xf>
    <xf numFmtId="49" fontId="22" fillId="38" borderId="14" xfId="0" applyFont="1" applyFill="1" applyBorder="1" applyNumberFormat="1">
      <alignment horizontal="right" vertical="center" wrapText="1"/>
    </xf>
    <xf numFmtId="0" fontId="36" fillId="0" borderId="0" xfId="0" applyFont="1" applyNumberFormat="1">
      <alignment horizontal="center" vertical="center" wrapText="1"/>
    </xf>
    <xf numFmtId="0" fontId="22" fillId="0" borderId="22" xfId="0" applyFont="1" applyBorder="1" applyNumberFormat="1">
      <alignment vertical="center" wrapText="1"/>
    </xf>
    <xf numFmtId="0" fontId="44" fillId="0" borderId="0" xfId="0" applyFont="1" applyNumberFormat="1">
      <alignment vertical="center" wrapText="1"/>
    </xf>
    <xf numFmtId="0" fontId="92" fillId="0" borderId="0" xfId="0" applyFont="1" applyNumberFormat="1">
      <alignment vertical="center" wrapText="1"/>
    </xf>
    <xf numFmtId="0" fontId="49" fillId="0" borderId="0" xfId="0" applyFont="1" applyNumberFormat="1">
      <alignment horizontal="center" vertical="center" wrapText="1"/>
    </xf>
    <xf numFmtId="0" fontId="44" fillId="0" borderId="0" xfId="0" applyFont="1" applyNumberFormat="1">
      <alignment vertical="center" wrapText="1"/>
    </xf>
    <xf numFmtId="49" fontId="0" fillId="0" borderId="0" xfId="0" applyFont="1" applyNumberFormat="1">
      <alignment vertical="top"/>
    </xf>
    <xf numFmtId="0" fontId="36"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1" xfId="0" applyFont="1" applyBorder="1" applyNumberFormat="1">
      <alignment horizontal="left" vertical="center" wrapText="1" indent="1"/>
    </xf>
    <xf numFmtId="0" fontId="22" fillId="0" borderId="18" xfId="0" applyFont="1" applyBorder="1" applyNumberFormat="1">
      <alignment horizontal="left" vertical="center" wrapText="1" indent="1"/>
    </xf>
    <xf numFmtId="0" fontId="22" fillId="0" borderId="38" xfId="0" applyFont="1" applyBorder="1" applyNumberFormat="1">
      <alignment horizontal="left" vertical="center" wrapText="1" indent="1"/>
    </xf>
    <xf numFmtId="0" fontId="45" fillId="0" borderId="0" xfId="0" applyFont="1" applyNumberFormat="1">
      <alignment vertical="center"/>
    </xf>
    <xf numFmtId="0" fontId="40" fillId="0" borderId="0" xfId="0" applyFont="1" applyNumberFormat="1">
      <alignment vertical="center"/>
    </xf>
    <xf numFmtId="0" fontId="22" fillId="0" borderId="30" xfId="0" applyFont="1" applyBorder="1" applyNumberFormat="1">
      <alignment horizontal="left" vertical="center" indent="1"/>
    </xf>
    <xf numFmtId="0" fontId="22" fillId="0" borderId="24" xfId="0" applyFont="1" applyBorder="1" applyNumberFormat="1">
      <alignment horizontal="left" vertical="center" indent="1"/>
    </xf>
    <xf numFmtId="0" fontId="22" fillId="0" borderId="31" xfId="0" applyFont="1" applyBorder="1" applyNumberFormat="1">
      <alignment horizontal="left" vertical="center" indent="1"/>
    </xf>
    <xf numFmtId="0" fontId="84" fillId="0" borderId="0" xfId="0" applyFont="1" applyNumberFormat="1">
      <alignment vertical="center"/>
    </xf>
    <xf numFmtId="0" fontId="47" fillId="0" borderId="0" xfId="0" applyFont="1" applyNumberFormat="1">
      <alignment vertical="center"/>
    </xf>
    <xf numFmtId="0" fontId="106" fillId="0" borderId="0" xfId="0" applyFont="1" applyNumberFormat="1">
      <alignment vertical="center"/>
    </xf>
    <xf numFmtId="0" fontId="40" fillId="0" borderId="0" xfId="0" applyFont="1" applyNumberFormat="1">
      <alignment vertical="center"/>
    </xf>
    <xf numFmtId="0" fontId="22" fillId="0" borderId="0" xfId="0" applyFont="1" applyNumberFormat="1">
      <alignment vertical="center" wrapText="1"/>
    </xf>
    <xf numFmtId="0" fontId="84" fillId="0" borderId="0" xfId="0" applyFont="1" applyNumberFormat="1">
      <alignment vertical="center"/>
    </xf>
    <xf numFmtId="0" fontId="47" fillId="0" borderId="0" xfId="0" applyFont="1" applyNumberFormat="1">
      <alignment vertical="center"/>
    </xf>
    <xf numFmtId="0" fontId="106"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29" fillId="0" borderId="0" xfId="0" applyFont="1" applyNumberFormat="1">
      <alignment vertical="center"/>
    </xf>
    <xf numFmtId="0" fontId="22" fillId="43" borderId="0" xfId="0" applyFont="1" applyFill="1" applyNumberFormat="1">
      <alignment horizontal="center" vertical="center" wrapText="1"/>
    </xf>
    <xf numFmtId="0" fontId="22" fillId="0" borderId="0" xfId="0" applyFont="1" applyNumberFormat="1">
      <alignment vertical="center" wrapText="1"/>
    </xf>
    <xf numFmtId="0" fontId="22" fillId="0" borderId="13" xfId="0" applyFont="1" applyBorder="1" applyNumberFormat="1">
      <alignment horizontal="center" vertical="center" wrapText="1"/>
    </xf>
    <xf numFmtId="0" fontId="73" fillId="0" borderId="38" xfId="0" applyFont="1" applyBorder="1" applyNumberFormat="1">
      <alignment horizontal="center" vertical="center" wrapText="1"/>
    </xf>
    <xf numFmtId="0" fontId="73" fillId="0" borderId="20" xfId="0" applyFont="1" applyBorder="1" applyNumberFormat="1">
      <alignment horizontal="center" vertical="center" wrapText="1"/>
    </xf>
    <xf numFmtId="0" fontId="73" fillId="0" borderId="13" xfId="0" applyFont="1" applyBorder="1" applyNumberFormat="1">
      <alignment horizontal="center" vertical="center" wrapText="1"/>
    </xf>
    <xf numFmtId="0" fontId="22" fillId="0" borderId="0" xfId="0" applyFont="1" applyNumberFormat="1">
      <alignment horizontal="center" vertical="center" wrapText="1"/>
    </xf>
    <xf numFmtId="0" fontId="80" fillId="0" borderId="0" xfId="0" applyFont="1" applyNumberFormat="1">
      <alignment horizontal="center" vertical="center" wrapText="1"/>
    </xf>
    <xf numFmtId="0" fontId="22" fillId="0" borderId="13"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5" fillId="0" borderId="23" xfId="0" applyFont="1" applyBorder="1" applyNumberFormat="1">
      <alignment vertical="center"/>
    </xf>
    <xf numFmtId="0" fontId="0" fillId="0" borderId="0" xfId="0" applyFont="1" applyNumberFormat="1">
      <alignment vertical="center"/>
    </xf>
    <xf numFmtId="49" fontId="35" fillId="0" borderId="0" xfId="0" applyFont="1" applyNumberFormat="1">
      <alignment horizontal="center" vertical="center" wrapText="1"/>
    </xf>
    <xf numFmtId="49" fontId="35" fillId="0" borderId="13" xfId="0" applyFont="1" applyBorder="1" applyNumberFormat="1">
      <alignment horizontal="center" vertical="center" wrapText="1"/>
    </xf>
    <xf numFmtId="49" fontId="35" fillId="0" borderId="68" xfId="0" applyFont="1" applyBorder="1" applyNumberFormat="1">
      <alignment horizontal="center" vertical="center" wrapText="1"/>
    </xf>
    <xf numFmtId="49" fontId="35" fillId="0" borderId="69" xfId="0" applyFont="1" applyBorder="1" applyNumberFormat="1">
      <alignment horizontal="center" vertical="center" wrapText="1"/>
    </xf>
    <xf numFmtId="49" fontId="35" fillId="0" borderId="15" xfId="0" applyFont="1" applyBorder="1" applyNumberFormat="1">
      <alignment horizontal="center" vertical="center" wrapText="1"/>
    </xf>
    <xf numFmtId="49" fontId="35" fillId="0" borderId="14" xfId="0" applyFont="1" applyBorder="1" applyNumberFormat="1">
      <alignment horizontal="center" vertical="center" wrapText="1"/>
    </xf>
    <xf numFmtId="0" fontId="45" fillId="0" borderId="23" xfId="0" applyFont="1" applyBorder="1" applyNumberFormat="1">
      <alignment vertical="center"/>
    </xf>
    <xf numFmtId="0" fontId="46" fillId="0" borderId="0" xfId="0" applyFont="1" applyNumberFormat="1">
      <alignment vertical="center"/>
    </xf>
    <xf numFmtId="0" fontId="46" fillId="0" borderId="0" xfId="0" applyFont="1" applyNumberFormat="1">
      <alignment vertical="center"/>
    </xf>
    <xf numFmtId="0" fontId="22" fillId="0" borderId="0" xfId="0" applyFont="1" applyNumberFormat="1">
      <alignment vertical="center"/>
    </xf>
    <xf numFmtId="0" fontId="45" fillId="0" borderId="0" xfId="0" applyFont="1" applyNumberFormat="1">
      <alignment vertical="center"/>
    </xf>
    <xf numFmtId="0" fontId="0" fillId="0" borderId="0" xfId="0" applyFont="1" applyNumberFormat="1">
      <alignment vertical="center"/>
    </xf>
    <xf numFmtId="0" fontId="46" fillId="0" borderId="0" xfId="0" applyFont="1" applyNumberFormat="1">
      <alignment horizontal="center" vertical="center"/>
    </xf>
    <xf numFmtId="0" fontId="22" fillId="0" borderId="0" xfId="0" applyFont="1" applyNumberFormat="1">
      <alignment horizontal="center" vertical="center" wrapText="1"/>
    </xf>
    <xf numFmtId="0" fontId="22" fillId="38" borderId="15" xfId="0" applyFont="1" applyFill="1" applyBorder="1" applyNumberFormat="1">
      <alignment horizontal="center" vertical="center" wrapText="1"/>
    </xf>
    <xf numFmtId="49" fontId="22" fillId="38" borderId="16" xfId="0" applyFont="1" applyFill="1" applyBorder="1" applyNumberFormat="1">
      <alignment horizontal="center" vertical="center" wrapText="1"/>
    </xf>
    <xf numFmtId="49" fontId="22" fillId="38" borderId="16" xfId="0" applyFont="1" applyFill="1" applyBorder="1" applyNumberFormat="1">
      <alignment horizontal="center" vertical="center" wrapText="1"/>
    </xf>
    <xf numFmtId="49" fontId="22" fillId="38" borderId="42" xfId="0" applyFont="1" applyFill="1" applyBorder="1" applyNumberFormat="1">
      <alignment horizontal="center" vertical="center" wrapText="1"/>
    </xf>
    <xf numFmtId="49" fontId="0" fillId="38" borderId="16" xfId="0" applyFont="1" applyFill="1" applyBorder="1" applyNumberFormat="1">
      <alignment horizontal="left" vertical="center"/>
    </xf>
    <xf numFmtId="0" fontId="0" fillId="38" borderId="14" xfId="0" applyFont="1" applyFill="1" applyBorder="1" applyNumberFormat="1">
      <alignment vertical="center"/>
    </xf>
    <xf numFmtId="49" fontId="0" fillId="0" borderId="0" xfId="0" applyFont="1" applyNumberFormat="1">
      <alignment vertical="top"/>
    </xf>
    <xf numFmtId="0" fontId="36" fillId="0" borderId="0" xfId="0" applyFont="1" applyNumberFormat="1">
      <alignment horizontal="center" vertical="center" wrapText="1"/>
    </xf>
    <xf numFmtId="49" fontId="22" fillId="0" borderId="13" xfId="0" applyFont="1" applyBorder="1" applyNumberFormat="1">
      <alignment horizontal="center" vertical="center" wrapText="1"/>
    </xf>
    <xf numFmtId="0" fontId="22" fillId="41" borderId="18" xfId="0" applyFont="1" applyFill="1" applyBorder="1" applyNumberFormat="1">
      <alignment horizontal="left" vertical="center" wrapText="1" indent="2"/>
    </xf>
    <xf numFmtId="49" fontId="22" fillId="41" borderId="24" xfId="0" applyFont="1" applyFill="1" applyBorder="1" applyNumberFormat="1">
      <alignment horizontal="center" vertical="center" wrapText="1"/>
    </xf>
    <xf numFmtId="14" fontId="79"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1" borderId="18" xfId="0" applyFont="1" applyFill="1" applyBorder="1" applyNumberFormat="1">
      <alignment horizontal="left" vertical="center" wrapText="1" indent="1"/>
    </xf>
    <xf numFmtId="49" fontId="22" fillId="41" borderId="13" xfId="0" applyFont="1" applyFill="1" applyBorder="1" applyNumberFormat="1">
      <alignment horizontal="center" vertical="center" wrapText="1"/>
    </xf>
    <xf numFmtId="49" fontId="22" fillId="0" borderId="18" xfId="0" applyFont="1" applyBorder="1" applyNumberFormat="1">
      <alignment horizontal="center" vertical="center" wrapText="1"/>
    </xf>
    <xf numFmtId="49" fontId="22" fillId="0" borderId="13" xfId="0" applyFont="1" applyBorder="1" applyNumberFormat="1">
      <alignment horizontal="center" vertical="center" wrapText="1"/>
    </xf>
    <xf numFmtId="49" fontId="73" fillId="40" borderId="13" xfId="0" applyFont="1" applyFill="1" applyBorder="1" applyNumberFormat="1">
      <alignment horizontal="left" vertical="center" wrapText="1" indent="1"/>
      <protection locked="0"/>
    </xf>
    <xf numFmtId="0" fontId="45" fillId="0" borderId="23" xfId="0" applyFont="1" applyBorder="1" applyNumberFormat="1">
      <alignment vertical="center"/>
    </xf>
    <xf numFmtId="0" fontId="46" fillId="0" borderId="0" xfId="0" applyFont="1" applyNumberFormat="1">
      <alignment vertical="center"/>
    </xf>
    <xf numFmtId="0" fontId="22" fillId="0" borderId="0" xfId="0" applyFont="1" applyNumberFormat="1">
      <alignment vertical="center"/>
    </xf>
    <xf numFmtId="0" fontId="45" fillId="0" borderId="0" xfId="0" applyFont="1" applyNumberFormat="1">
      <alignment vertical="center"/>
    </xf>
    <xf numFmtId="0" fontId="0" fillId="0" borderId="0" xfId="0" applyFont="1" applyNumberFormat="1">
      <alignment vertical="center"/>
    </xf>
    <xf numFmtId="49" fontId="0" fillId="0" borderId="13" xfId="0" applyFont="1" applyBorder="1" applyNumberFormat="1">
      <alignment vertical="top"/>
    </xf>
    <xf numFmtId="0" fontId="35" fillId="0" borderId="13" xfId="0" applyFont="1" applyBorder="1" applyNumberFormat="1">
      <alignment horizontal="center" vertical="center" wrapText="1"/>
    </xf>
    <xf numFmtId="49" fontId="22" fillId="0" borderId="14" xfId="0" applyFont="1" applyBorder="1" applyNumberFormat="1">
      <alignment horizontal="center" vertical="center" wrapText="1"/>
    </xf>
    <xf numFmtId="49" fontId="73" fillId="40" borderId="13" xfId="0" applyFont="1" applyFill="1" applyBorder="1" applyNumberFormat="1">
      <alignment horizontal="left" vertical="center" wrapText="1" indent="1"/>
      <protection locked="0"/>
    </xf>
    <xf numFmtId="0" fontId="72" fillId="0" borderId="0" xfId="0" applyFont="1" applyNumberFormat="1">
      <alignment vertical="center"/>
    </xf>
    <xf numFmtId="0" fontId="22" fillId="41" borderId="37" xfId="0" applyFont="1" applyFill="1" applyBorder="1" applyNumberFormat="1">
      <alignment horizontal="left" vertical="center" wrapText="1" indent="2"/>
    </xf>
    <xf numFmtId="0" fontId="22" fillId="41" borderId="24" xfId="0" applyFont="1" applyFill="1" applyBorder="1" applyNumberFormat="1">
      <alignment horizontal="left" vertical="center" wrapText="1" indent="1"/>
    </xf>
    <xf numFmtId="49" fontId="39" fillId="38" borderId="14" xfId="0" applyFont="1" applyFill="1" applyBorder="1" applyNumberFormat="1">
      <alignment horizontal="left" vertical="center" indent="1"/>
    </xf>
    <xf numFmtId="0" fontId="35" fillId="0" borderId="13" xfId="0" applyFont="1" applyBorder="1" applyNumberFormat="1">
      <alignment horizontal="center" vertical="center" wrapText="1"/>
    </xf>
    <xf numFmtId="0" fontId="22" fillId="41" borderId="13" xfId="0" applyFont="1" applyFill="1" applyBorder="1" applyNumberFormat="1">
      <alignment horizontal="left" vertical="center" wrapText="1" indent="1"/>
    </xf>
    <xf numFmtId="0" fontId="79" fillId="0" borderId="18" xfId="0" applyFont="1" applyBorder="1" applyNumberFormat="1">
      <alignment horizontal="center" vertical="center" wrapText="1"/>
    </xf>
    <xf numFmtId="49" fontId="22" fillId="0" borderId="13" xfId="0" applyFont="1" applyBorder="1" applyNumberFormat="1">
      <alignment horizontal="center" vertical="center" wrapText="1"/>
    </xf>
    <xf numFmtId="0" fontId="22" fillId="41" borderId="24" xfId="0" applyFont="1" applyFill="1" applyBorder="1" applyNumberFormat="1">
      <alignment horizontal="left" vertical="center" wrapText="1" indent="2"/>
    </xf>
    <xf numFmtId="49" fontId="48" fillId="38" borderId="43" xfId="0" applyFont="1" applyFill="1" applyBorder="1" applyNumberFormat="1">
      <alignment horizontal="right" vertical="center" wrapText="1"/>
    </xf>
    <xf numFmtId="49" fontId="48" fillId="38" borderId="44" xfId="0" applyFont="1" applyFill="1" applyBorder="1" applyNumberFormat="1">
      <alignment horizontal="right" vertical="center" wrapText="1"/>
    </xf>
    <xf numFmtId="49" fontId="39" fillId="38" borderId="16" xfId="0" applyFont="1" applyFill="1" applyBorder="1" applyNumberFormat="1">
      <alignment horizontal="left" vertical="center" indent="1"/>
    </xf>
    <xf numFmtId="49" fontId="48" fillId="38" borderId="14" xfId="0" applyFont="1" applyFill="1" applyBorder="1" applyNumberFormat="1">
      <alignment horizontal="right" vertical="center" wrapText="1"/>
    </xf>
    <xf numFmtId="0" fontId="35" fillId="0" borderId="25" xfId="0" applyFont="1" applyBorder="1" applyNumberFormat="1">
      <alignment horizontal="center" vertical="center" wrapText="1"/>
    </xf>
    <xf numFmtId="14" fontId="79" fillId="0" borderId="18" xfId="0" applyFont="1" applyBorder="1" applyNumberFormat="1">
      <alignment horizontal="center" vertical="center" wrapText="1"/>
    </xf>
    <xf numFmtId="0" fontId="73" fillId="41" borderId="13" xfId="0" applyFont="1" applyFill="1" applyBorder="1" applyNumberFormat="1">
      <alignment horizontal="left" vertical="center" wrapText="1" indent="1"/>
      <protection locked="0"/>
    </xf>
    <xf numFmtId="0" fontId="35" fillId="0" borderId="0" xfId="0" applyFont="1" applyNumberFormat="1">
      <alignment horizontal="center" vertical="center" wrapText="1"/>
    </xf>
    <xf numFmtId="14" fontId="79" fillId="0" borderId="37" xfId="0" applyFont="1" applyBorder="1" applyNumberFormat="1">
      <alignment horizontal="center" vertical="center" wrapText="1"/>
    </xf>
    <xf numFmtId="0" fontId="73" fillId="41" borderId="13" xfId="0" applyFont="1" applyFill="1" applyBorder="1" applyNumberFormat="1">
      <alignment horizontal="left" vertical="top" indent="1"/>
      <protection locked="0"/>
    </xf>
    <xf numFmtId="0" fontId="73" fillId="0" borderId="13" xfId="0" applyFont="1" applyBorder="1" applyNumberFormat="1">
      <alignment horizontal="left" vertical="center" wrapText="1" indent="1"/>
    </xf>
    <xf numFmtId="0" fontId="73" fillId="0" borderId="13" xfId="0" applyFont="1" applyBorder="1" applyNumberFormat="1">
      <alignment horizontal="left" vertical="top" indent="1"/>
    </xf>
    <xf numFmtId="0" fontId="35" fillId="0" borderId="25" xfId="0" applyFont="1" applyBorder="1" applyNumberFormat="1">
      <alignment horizontal="center" vertical="center" wrapText="1"/>
    </xf>
    <xf numFmtId="0" fontId="73" fillId="41" borderId="13" xfId="0" applyFont="1" applyFill="1" applyBorder="1" applyNumberFormat="1">
      <alignment horizontal="left" vertical="center" wrapText="1" indent="1"/>
      <protection locked="0"/>
    </xf>
    <xf numFmtId="49" fontId="73" fillId="40" borderId="13" xfId="0" applyFont="1" applyFill="1" applyBorder="1" applyNumberFormat="1">
      <alignment horizontal="left" vertical="center" wrapText="1" indent="1"/>
      <protection locked="0"/>
    </xf>
    <xf numFmtId="0" fontId="0" fillId="0" borderId="0" xfId="0" applyFont="1" applyNumberFormat="1">
      <alignment vertical="center"/>
    </xf>
    <xf numFmtId="0" fontId="73" fillId="41" borderId="13" xfId="0" applyFont="1" applyFill="1" applyBorder="1" applyNumberFormat="1">
      <alignment horizontal="left" vertical="top" indent="1"/>
      <protection locked="0"/>
    </xf>
    <xf numFmtId="49" fontId="0" fillId="0" borderId="13" xfId="0" applyFont="1" applyBorder="1" applyNumberFormat="1">
      <alignment vertical="top"/>
    </xf>
    <xf numFmtId="49" fontId="73" fillId="0" borderId="13" xfId="0" applyFont="1" applyBorder="1" applyNumberFormat="1">
      <alignment horizontal="left" vertical="center" wrapText="1" indent="1"/>
    </xf>
    <xf numFmtId="0" fontId="73" fillId="43"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39" fillId="38" borderId="16" xfId="0" applyFont="1" applyFill="1" applyBorder="1" applyNumberFormat="1">
      <alignment horizontal="left" vertical="center" indent="2"/>
    </xf>
    <xf numFmtId="0" fontId="22" fillId="0" borderId="0" xfId="0" applyFont="1" applyNumberFormat="1">
      <alignment vertical="center"/>
    </xf>
    <xf numFmtId="0" fontId="45" fillId="0" borderId="0" xfId="0" applyFont="1" applyNumberFormat="1">
      <alignment vertical="center"/>
    </xf>
    <xf numFmtId="0" fontId="46"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21" xfId="0" applyFont="1" applyBorder="1" applyNumberFormat="1">
      <alignment horizontal="left" vertical="top" wrapText="1" indent="1"/>
    </xf>
    <xf numFmtId="0" fontId="22" fillId="0" borderId="18" xfId="0" applyFont="1" applyBorder="1" applyNumberFormat="1">
      <alignment horizontal="left" vertical="top" wrapText="1" indent="1"/>
    </xf>
    <xf numFmtId="0" fontId="22" fillId="0" borderId="38" xfId="0" applyFont="1" applyBorder="1" applyNumberFormat="1">
      <alignment horizontal="left" vertical="top" wrapText="1" indent="1"/>
    </xf>
    <xf numFmtId="0" fontId="62" fillId="0" borderId="0" xfId="0" applyFont="1" applyNumberFormat="1">
      <alignment vertical="center" wrapText="1"/>
    </xf>
    <xf numFmtId="0" fontId="30" fillId="0" borderId="0" xfId="0" applyFont="1" applyNumberFormat="1">
      <alignment vertical="center" wrapText="1"/>
    </xf>
    <xf numFmtId="0" fontId="30" fillId="0" borderId="0" xfId="0" applyFont="1" applyNumberFormat="1">
      <alignment vertical="center" wrapText="1"/>
    </xf>
    <xf numFmtId="0" fontId="106" fillId="0" borderId="0" xfId="0" applyFont="1" applyNumberFormat="1">
      <alignment vertical="center"/>
    </xf>
    <xf numFmtId="0" fontId="40" fillId="0" borderId="0" xfId="0" applyFont="1" applyNumberFormat="1">
      <alignment vertical="center"/>
    </xf>
    <xf numFmtId="0" fontId="22" fillId="0" borderId="28" xfId="0" applyFont="1" applyBorder="1" applyNumberFormat="1">
      <alignment horizontal="left" vertical="center" indent="1"/>
    </xf>
    <xf numFmtId="0" fontId="65" fillId="0" borderId="0" xfId="0" applyFont="1" applyNumberFormat="1">
      <alignment vertical="center"/>
    </xf>
    <xf numFmtId="0" fontId="46" fillId="0" borderId="0" xfId="0" applyFont="1" applyNumberFormat="1">
      <alignment vertical="center"/>
    </xf>
    <xf numFmtId="0" fontId="70" fillId="0" borderId="25" xfId="0" applyFont="1" applyBorder="1" applyNumberFormat="1">
      <alignment horizontal="left" vertical="center" wrapText="1" indent="1"/>
    </xf>
    <xf numFmtId="0" fontId="70" fillId="0" borderId="37" xfId="0" applyFont="1" applyBorder="1" applyNumberFormat="1">
      <alignment horizontal="left" vertical="center" wrapText="1" indent="1"/>
    </xf>
    <xf numFmtId="0" fontId="70" fillId="0" borderId="23" xfId="0" applyFont="1" applyBorder="1" applyNumberFormat="1">
      <alignment horizontal="left" vertical="center" wrapText="1" indent="1"/>
    </xf>
    <xf numFmtId="0" fontId="22" fillId="0" borderId="0" xfId="0" applyFont="1" applyNumberFormat="1">
      <alignment vertical="center"/>
    </xf>
    <xf numFmtId="0" fontId="65" fillId="0" borderId="0" xfId="0" applyFont="1" applyNumberFormat="1">
      <alignment vertical="center"/>
    </xf>
    <xf numFmtId="0" fontId="29" fillId="0" borderId="0" xfId="0" applyFont="1" applyNumberFormat="1">
      <alignment vertical="center"/>
    </xf>
    <xf numFmtId="0" fontId="40" fillId="0" borderId="0" xfId="0" applyFont="1" applyNumberFormat="1">
      <alignment vertical="center"/>
    </xf>
    <xf numFmtId="0" fontId="0"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0" xfId="0" applyFont="1" applyNumberFormat="1">
      <alignment vertical="center"/>
    </xf>
    <xf numFmtId="49" fontId="46" fillId="36" borderId="0" xfId="0" applyFont="1" applyFill="1" applyNumberFormat="1">
      <alignment horizontal="center" vertical="center" wrapText="1"/>
    </xf>
    <xf numFmtId="49" fontId="46" fillId="36" borderId="28" xfId="0" applyFont="1" applyFill="1" applyBorder="1" applyNumberFormat="1">
      <alignment horizontal="center" vertical="center" wrapText="1"/>
    </xf>
    <xf numFmtId="0" fontId="46" fillId="0" borderId="0" xfId="0" applyFont="1" applyNumberFormat="1">
      <alignment vertical="center"/>
    </xf>
    <xf numFmtId="0" fontId="36" fillId="0" borderId="0" xfId="0" applyFont="1" applyNumberFormat="1">
      <alignment horizontal="center" vertical="center" wrapText="1"/>
    </xf>
    <xf numFmtId="0" fontId="46" fillId="0" borderId="13" xfId="0" applyFont="1" applyBorder="1" applyNumberFormat="1">
      <alignment horizontal="center" vertical="center"/>
    </xf>
    <xf numFmtId="0" fontId="22" fillId="0" borderId="13" xfId="0" applyFont="1" applyBorder="1" applyNumberFormat="1">
      <alignment horizontal="center" vertical="center" wrapText="1"/>
    </xf>
    <xf numFmtId="0" fontId="0" fillId="0" borderId="13" xfId="0" applyFont="1" applyBorder="1" applyNumberFormat="1">
      <alignment horizontal="center" vertical="center"/>
    </xf>
    <xf numFmtId="49" fontId="22" fillId="0" borderId="13" xfId="0" applyFont="1" applyBorder="1" applyNumberFormat="1">
      <alignment horizontal="center" vertical="center" wrapText="1"/>
    </xf>
    <xf numFmtId="49" fontId="22"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2" fillId="0" borderId="13" xfId="0" applyFont="1" applyBorder="1" applyNumberFormat="1">
      <alignment horizontal="center" vertical="center" wrapText="1"/>
    </xf>
    <xf numFmtId="49" fontId="22"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2" fillId="0" borderId="13" xfId="0" applyFont="1" applyBorder="1" applyNumberFormat="1">
      <alignment horizontal="left" vertical="top" wrapText="1"/>
    </xf>
    <xf numFmtId="0" fontId="22" fillId="41"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2" fillId="0" borderId="20" xfId="0" applyFont="1" applyBorder="1" applyNumberFormat="1">
      <alignment horizontal="left" vertical="center" wrapText="1"/>
    </xf>
    <xf numFmtId="49" fontId="22"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2" fillId="0" borderId="21"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1"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9" fillId="0" borderId="0" xfId="0" applyFont="1" applyNumberFormat="1">
      <alignment horizontal="left" vertical="center"/>
    </xf>
    <xf numFmtId="0" fontId="39" fillId="0" borderId="25"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3" xfId="0" applyFont="1" applyBorder="1" applyNumberFormat="1">
      <alignment horizontal="left" vertical="top"/>
    </xf>
    <xf numFmtId="0" fontId="22" fillId="41" borderId="24" xfId="0" applyFont="1" applyFill="1" applyBorder="1" applyNumberFormat="1">
      <alignment horizontal="center" vertical="top" wrapText="1"/>
    </xf>
    <xf numFmtId="0" fontId="39" fillId="0" borderId="31" xfId="0" applyFont="1" applyBorder="1" applyNumberFormat="1">
      <alignment horizontal="left" vertical="center"/>
    </xf>
    <xf numFmtId="0" fontId="39" fillId="0" borderId="28" xfId="0" applyFont="1" applyBorder="1" applyNumberFormat="1">
      <alignment horizontal="left" vertical="center"/>
    </xf>
    <xf numFmtId="0" fontId="0" fillId="0" borderId="28" xfId="0" applyFont="1" applyBorder="1" applyNumberFormat="1">
      <alignment vertical="center"/>
    </xf>
    <xf numFmtId="0" fontId="39" fillId="0" borderId="30" xfId="0" applyFont="1" applyBorder="1" applyNumberFormat="1">
      <alignment horizontal="left" vertical="center"/>
    </xf>
    <xf numFmtId="0" fontId="22" fillId="40" borderId="13"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40" borderId="13" xfId="0" applyFont="1" applyFill="1" applyBorder="1" applyNumberFormat="1">
      <alignment horizontal="left" vertical="top"/>
      <protection locked="0"/>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0" fontId="39" fillId="0" borderId="0" xfId="0" applyFont="1" applyNumberFormat="1">
      <alignment horizontal="left" vertical="center"/>
    </xf>
    <xf numFmtId="0" fontId="39" fillId="0" borderId="25" xfId="0" applyFont="1" applyBorder="1" applyNumberFormat="1">
      <alignment horizontal="left" vertical="center"/>
    </xf>
    <xf numFmtId="49" fontId="22" fillId="0" borderId="0" xfId="0" applyFont="1" applyNumberFormat="1">
      <alignment horizontal="center" vertical="center" wrapText="1"/>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0" fillId="0" borderId="0" xfId="0" applyFont="1" applyNumberFormat="1">
      <alignment vertical="center"/>
    </xf>
    <xf numFmtId="0" fontId="0" fillId="0" borderId="18" xfId="0" applyFont="1" applyBorder="1" applyNumberFormat="1">
      <alignment horizontal="center" vertical="top"/>
    </xf>
    <xf numFmtId="0" fontId="22" fillId="0" borderId="18" xfId="0" applyFont="1" applyBorder="1" applyNumberFormat="1">
      <alignment horizontal="left" vertical="top" wrapText="1"/>
    </xf>
    <xf numFmtId="0" fontId="0" fillId="0" borderId="0" xfId="0" applyFont="1" applyNumberFormat="1">
      <alignment vertical="center"/>
    </xf>
    <xf numFmtId="0" fontId="0" fillId="0" borderId="37" xfId="0" applyFont="1" applyBorder="1" applyNumberFormat="1">
      <alignment horizontal="center" vertical="top"/>
    </xf>
    <xf numFmtId="0" fontId="22" fillId="0" borderId="37" xfId="0" applyFont="1" applyBorder="1" applyNumberFormat="1">
      <alignment horizontal="left" vertical="top" wrapText="1"/>
    </xf>
    <xf numFmtId="0" fontId="0" fillId="0" borderId="24" xfId="0" applyFont="1" applyBorder="1" applyNumberFormat="1">
      <alignment horizontal="center" vertical="top"/>
    </xf>
    <xf numFmtId="0" fontId="22" fillId="0" borderId="24" xfId="0" applyFont="1" applyBorder="1" applyNumberFormat="1">
      <alignment horizontal="left" vertical="top" wrapText="1"/>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2" fillId="0" borderId="0" xfId="0" applyFont="1" applyNumberFormat="1">
      <alignment horizontal="center" vertical="center" wrapText="1"/>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39" fillId="0" borderId="0" xfId="0" applyFont="1" applyNumberFormat="1">
      <alignment horizontal="left" vertical="center"/>
    </xf>
    <xf numFmtId="0" fontId="39" fillId="0" borderId="25" xfId="0" applyFont="1" applyBorder="1" applyNumberFormat="1">
      <alignment horizontal="left" vertical="center"/>
    </xf>
    <xf numFmtId="49" fontId="22" fillId="0" borderId="0" xfId="0" applyFont="1" applyNumberFormat="1">
      <alignment horizontal="center" vertical="center" wrapText="1"/>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2" fillId="0" borderId="0" xfId="0" applyFont="1" applyNumberFormat="1">
      <alignment horizontal="center" vertical="center" wrapText="1"/>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39" fillId="0" borderId="0" xfId="0" applyFont="1" applyNumberFormat="1">
      <alignment horizontal="left" vertical="center"/>
    </xf>
    <xf numFmtId="0" fontId="39" fillId="0" borderId="25" xfId="0" applyFont="1" applyBorder="1" applyNumberFormat="1">
      <alignment horizontal="left" vertical="center"/>
    </xf>
    <xf numFmtId="49" fontId="22" fillId="0" borderId="0" xfId="0" applyFont="1" applyNumberFormat="1">
      <alignment horizontal="center" vertical="center" wrapText="1"/>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46" fillId="0" borderId="0" xfId="0" applyFont="1" applyNumberFormat="1">
      <alignment vertical="center"/>
    </xf>
    <xf numFmtId="0" fontId="0" fillId="0" borderId="0" xfId="0" applyFont="1" applyNumberFormat="1">
      <alignment vertical="center"/>
    </xf>
    <xf numFmtId="49" fontId="46" fillId="0" borderId="0" xfId="0" applyFont="1" applyNumberFormat="1">
      <alignment vertical="top"/>
    </xf>
    <xf numFmtId="49" fontId="46" fillId="0" borderId="0" xfId="0" applyFont="1" applyNumberFormat="1">
      <alignment horizontal="center" vertical="center"/>
    </xf>
    <xf numFmtId="49" fontId="45" fillId="0" borderId="0" xfId="0" applyFont="1" applyNumberFormat="1">
      <alignment horizontal="center" vertical="center"/>
    </xf>
    <xf numFmtId="49" fontId="65" fillId="0" borderId="0" xfId="0" applyFont="1" applyNumberFormat="1">
      <alignment vertical="top"/>
    </xf>
    <xf numFmtId="49" fontId="0" fillId="0" borderId="0" xfId="0" applyFont="1" applyNumberFormat="1">
      <alignment vertical="top"/>
    </xf>
    <xf numFmtId="49" fontId="31" fillId="0" borderId="0" xfId="0" applyFont="1" applyNumberFormat="1">
      <alignment vertical="top"/>
    </xf>
    <xf numFmtId="0" fontId="31"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30" fillId="0" borderId="0" xfId="0" applyFont="1" applyNumberFormat="1">
      <alignment horizontal="left" vertical="center" wrapText="1" indent="1"/>
    </xf>
    <xf numFmtId="0" fontId="41" fillId="0" borderId="0" xfId="0" applyFont="1" applyNumberFormat="1">
      <alignment vertical="center"/>
    </xf>
    <xf numFmtId="0" fontId="111" fillId="0" borderId="0" xfId="0" applyFont="1" applyNumberFormat="1">
      <alignment vertical="center" wrapText="1"/>
    </xf>
    <xf numFmtId="0" fontId="112" fillId="0" borderId="0" xfId="0" applyFont="1" applyNumberFormat="1">
      <alignment vertical="center" wrapText="1"/>
    </xf>
    <xf numFmtId="0" fontId="22" fillId="0" borderId="0" xfId="0" applyFont="1" applyNumberFormat="1">
      <alignment vertical="center" wrapText="1"/>
    </xf>
    <xf numFmtId="0" fontId="22" fillId="0" borderId="28" xfId="0" applyFont="1" applyBorder="1" applyNumberFormat="1">
      <alignment horizontal="left" vertical="center" wrapText="1" indent="1"/>
    </xf>
    <xf numFmtId="0" fontId="41" fillId="0" borderId="0" xfId="0" applyFont="1" applyNumberFormat="1">
      <alignment vertical="center" wrapText="1"/>
    </xf>
    <xf numFmtId="0" fontId="22" fillId="0" borderId="38" xfId="0" applyFont="1" applyBorder="1" applyNumberFormat="1">
      <alignment horizontal="center" vertical="center" wrapText="1"/>
    </xf>
    <xf numFmtId="0" fontId="22" fillId="0" borderId="21"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38"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25"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1"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38" xfId="0" applyFont="1" applyBorder="1" applyNumberFormat="1">
      <alignment horizontal="center" vertical="center" wrapText="1"/>
    </xf>
    <xf numFmtId="49" fontId="22" fillId="0" borderId="0" xfId="0" applyFont="1" applyNumberFormat="1">
      <alignment vertical="top"/>
    </xf>
    <xf numFmtId="49" fontId="22" fillId="0" borderId="13" xfId="0" applyFont="1" applyBorder="1" applyNumberFormat="1">
      <alignment horizontal="center" vertical="center"/>
    </xf>
    <xf numFmtId="0" fontId="22" fillId="0" borderId="13" xfId="0" applyFont="1" applyBorder="1" applyNumberFormat="1">
      <alignment horizontal="left" vertical="center" wrapText="1"/>
    </xf>
    <xf numFmtId="49" fontId="22" fillId="41" borderId="18" xfId="0" applyFont="1" applyFill="1" applyBorder="1" applyNumberFormat="1">
      <alignment horizontal="center" vertical="center" wrapText="1"/>
    </xf>
    <xf numFmtId="49" fontId="22" fillId="0" borderId="38" xfId="0" applyFont="1" applyBorder="1" applyNumberFormat="1">
      <alignment vertical="center" wrapText="1"/>
    </xf>
    <xf numFmtId="0" fontId="22" fillId="0" borderId="20" xfId="0" applyFont="1" applyBorder="1" applyNumberFormat="1">
      <alignment horizontal="center" vertical="center"/>
    </xf>
    <xf numFmtId="49" fontId="22" fillId="0" borderId="20" xfId="0" applyFont="1" applyBorder="1" applyNumberFormat="1">
      <alignment horizontal="left" vertical="center" wrapText="1"/>
    </xf>
    <xf numFmtId="49" fontId="22" fillId="0" borderId="20" xfId="0" applyFont="1" applyBorder="1" applyNumberFormat="1">
      <alignment vertical="center" wrapText="1"/>
    </xf>
    <xf numFmtId="49" fontId="22" fillId="0" borderId="20" xfId="0" applyFont="1" applyBorder="1" applyNumberFormat="1">
      <alignment horizontal="left" vertical="center" wrapText="1"/>
    </xf>
    <xf numFmtId="49" fontId="36" fillId="0" borderId="20" xfId="0" applyFont="1" applyBorder="1" applyNumberFormat="1">
      <alignment vertical="center" wrapText="1"/>
    </xf>
    <xf numFmtId="49" fontId="22" fillId="0" borderId="20" xfId="0" applyFont="1" applyBorder="1" applyNumberFormat="1">
      <alignment horizontal="center" vertical="center" wrapText="1"/>
    </xf>
    <xf numFmtId="0" fontId="22" fillId="0" borderId="20" xfId="0" applyFont="1" applyBorder="1" applyNumberFormat="1">
      <alignment horizontal="left" vertical="center" wrapText="1"/>
    </xf>
    <xf numFmtId="49" fontId="22" fillId="0" borderId="20" xfId="0" applyFont="1" applyBorder="1" applyNumberFormat="1">
      <alignment horizontal="center" vertical="center" wrapText="1"/>
    </xf>
    <xf numFmtId="49" fontId="22" fillId="0" borderId="20" xfId="0" applyFont="1" applyBorder="1" applyNumberFormat="1">
      <alignment vertical="center" wrapText="1"/>
    </xf>
    <xf numFmtId="49" fontId="22" fillId="41" borderId="37" xfId="0" applyFont="1" applyFill="1" applyBorder="1" applyNumberFormat="1">
      <alignment horizontal="center" vertical="center" wrapText="1"/>
    </xf>
    <xf numFmtId="49" fontId="22" fillId="0" borderId="23"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39" fillId="0" borderId="0" xfId="0" applyFont="1" applyNumberFormat="1">
      <alignment horizontal="left" vertical="center"/>
    </xf>
    <xf numFmtId="0" fontId="39" fillId="0" borderId="0" xfId="0" applyFont="1" applyNumberFormat="1">
      <alignment horizontal="left" vertical="center"/>
    </xf>
    <xf numFmtId="0" fontId="39" fillId="0" borderId="25" xfId="0" applyFont="1" applyBorder="1" applyNumberFormat="1">
      <alignment horizontal="left" vertical="center"/>
    </xf>
    <xf numFmtId="49" fontId="22" fillId="0" borderId="0" xfId="0" applyFont="1" applyNumberFormat="1">
      <alignment horizontal="center" vertical="center" wrapText="1"/>
    </xf>
    <xf numFmtId="49" fontId="36" fillId="0" borderId="0" xfId="0" applyFont="1" applyNumberFormat="1">
      <alignment horizontal="center" vertical="center" wrapText="1"/>
    </xf>
    <xf numFmtId="0" fontId="39" fillId="0" borderId="0" xfId="0" applyFont="1" applyNumberFormat="1">
      <alignment vertical="center"/>
    </xf>
    <xf numFmtId="0" fontId="39" fillId="0" borderId="23" xfId="0" applyFont="1" applyBorder="1" applyNumberFormat="1">
      <alignment horizontal="left" vertical="center"/>
    </xf>
    <xf numFmtId="49" fontId="22" fillId="0" borderId="18" xfId="0" applyFont="1" applyBorder="1" applyNumberFormat="1">
      <alignment horizontal="center" vertical="center"/>
    </xf>
    <xf numFmtId="0" fontId="22" fillId="0" borderId="18" xfId="0" applyFont="1" applyBorder="1" applyNumberFormat="1">
      <alignment horizontal="left" vertical="center" wrapText="1"/>
    </xf>
    <xf numFmtId="0" fontId="22" fillId="0" borderId="38" xfId="0" applyFont="1" applyBorder="1" applyNumberFormat="1">
      <alignment horizontal="left" vertical="center" wrapText="1"/>
    </xf>
    <xf numFmtId="49" fontId="65" fillId="0" borderId="31" xfId="0" applyFont="1" applyBorder="1" applyNumberFormat="1">
      <alignment vertical="top"/>
    </xf>
    <xf numFmtId="49" fontId="65" fillId="0" borderId="28" xfId="0" applyFont="1" applyBorder="1" applyNumberFormat="1">
      <alignment vertical="top"/>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22" fillId="0" borderId="0" xfId="0" applyFont="1" applyNumberFormat="1">
      <alignment horizontal="left" vertical="center" wrapText="1"/>
    </xf>
    <xf numFmtId="0" fontId="22" fillId="0" borderId="15" xfId="0" applyFont="1" applyBorder="1" applyNumberFormat="1">
      <alignment horizontal="left" vertical="center" wrapText="1"/>
    </xf>
    <xf numFmtId="49" fontId="31" fillId="0" borderId="0" xfId="0" applyFont="1" applyNumberFormat="1">
      <alignment vertical="top"/>
    </xf>
    <xf numFmtId="0" fontId="22" fillId="36" borderId="0" xfId="0" applyFont="1" applyFill="1" applyNumberFormat="1"/>
    <xf numFmtId="0" fontId="0" fillId="36" borderId="0" xfId="0" applyFont="1" applyFill="1" applyNumberFormat="1"/>
    <xf numFmtId="0" fontId="59" fillId="36" borderId="0" xfId="0" applyFont="1" applyFill="1" applyNumberFormat="1"/>
    <xf numFmtId="0" fontId="46" fillId="36" borderId="0" xfId="0" applyFont="1" applyFill="1" applyNumberFormat="1"/>
    <xf numFmtId="0" fontId="59" fillId="36" borderId="0" xfId="0" applyFont="1" applyFill="1" applyNumberFormat="1">
      <alignment horizontal="center"/>
    </xf>
    <xf numFmtId="0" fontId="88" fillId="0" borderId="0" xfId="0" applyFont="1" applyNumberFormat="1">
      <alignment vertical="center"/>
    </xf>
    <xf numFmtId="0" fontId="87" fillId="0" borderId="0" xfId="0" applyFont="1" applyNumberFormat="1">
      <alignment vertical="center"/>
    </xf>
    <xf numFmtId="0" fontId="71" fillId="36" borderId="0" xfId="0" applyFont="1" applyFill="1" applyNumberFormat="1">
      <alignment horizontal="right" vertical="center"/>
    </xf>
    <xf numFmtId="0" fontId="22" fillId="36" borderId="0" xfId="0" applyFont="1" applyFill="1" applyNumberFormat="1">
      <alignment vertical="center" wrapText="1"/>
    </xf>
    <xf numFmtId="0" fontId="46" fillId="36" borderId="0" xfId="0" applyFont="1" applyFill="1" applyNumberFormat="1">
      <alignment vertical="center" wrapText="1"/>
    </xf>
    <xf numFmtId="0" fontId="22" fillId="36" borderId="0" xfId="0" applyFont="1" applyFill="1" applyNumberFormat="1">
      <alignment horizontal="center" vertical="center" wrapText="1"/>
    </xf>
    <xf numFmtId="0" fontId="91"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2"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2"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2" fillId="36" borderId="13" xfId="0" applyFont="1" applyFill="1" applyBorder="1" applyNumberFormat="1">
      <alignment horizontal="center" vertical="center" wrapText="1"/>
    </xf>
    <xf numFmtId="0" fontId="35" fillId="36" borderId="0" xfId="0" applyFont="1" applyFill="1" applyNumberFormat="1">
      <alignment horizontal="center" vertical="center"/>
    </xf>
    <xf numFmtId="49" fontId="46" fillId="0" borderId="13" xfId="0" applyFont="1" applyBorder="1" applyNumberFormat="1">
      <alignment horizontal="center" vertical="center"/>
    </xf>
    <xf numFmtId="0" fontId="46" fillId="0" borderId="13" xfId="0" applyFont="1" applyBorder="1" applyNumberFormat="1">
      <alignment vertical="center" wrapText="1"/>
    </xf>
    <xf numFmtId="0" fontId="46" fillId="0" borderId="13" xfId="0" applyFont="1" applyBorder="1" applyNumberFormat="1">
      <alignment horizontal="left" vertical="center" wrapText="1"/>
    </xf>
    <xf numFmtId="0" fontId="63"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2"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0" borderId="13" xfId="0" applyFont="1" applyFill="1" applyBorder="1" applyNumberFormat="1">
      <alignment horizontal="left" vertical="center" wrapText="1"/>
      <protection locked="0"/>
    </xf>
    <xf numFmtId="0" fontId="46" fillId="0" borderId="13" xfId="0" applyFont="1" applyBorder="1" applyNumberFormat="1">
      <alignment horizontal="left" vertical="center" wrapText="1" indent="1"/>
    </xf>
    <xf numFmtId="49" fontId="22" fillId="36" borderId="0" xfId="0" applyFont="1" applyFill="1" applyNumberFormat="1">
      <alignment horizontal="center" vertical="center" wrapText="1"/>
    </xf>
    <xf numFmtId="0" fontId="22" fillId="36" borderId="25" xfId="0" applyFont="1" applyFill="1" applyBorder="1" applyNumberFormat="1">
      <alignment horizontal="center" vertical="center" wrapText="1"/>
    </xf>
    <xf numFmtId="0" fontId="88" fillId="0" borderId="0" xfId="0" applyFont="1" applyNumberFormat="1">
      <alignment vertical="center" wrapText="1"/>
    </xf>
    <xf numFmtId="0" fontId="0" fillId="36" borderId="13" xfId="0" applyFont="1" applyFill="1" applyBorder="1" applyNumberFormat="1">
      <alignment horizontal="center" vertical="center"/>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2" fillId="36" borderId="0" xfId="0" applyFont="1" applyFill="1" applyNumberFormat="1">
      <alignment vertical="center" wrapText="1"/>
    </xf>
    <xf numFmtId="0" fontId="22" fillId="36" borderId="25" xfId="0" applyFont="1" applyFill="1" applyBorder="1" applyNumberFormat="1">
      <alignment vertical="center" wrapText="1"/>
    </xf>
    <xf numFmtId="0" fontId="22" fillId="38" borderId="15" xfId="0" applyFont="1" applyFill="1" applyBorder="1" applyNumberFormat="1">
      <alignment horizontal="center"/>
    </xf>
    <xf numFmtId="49" fontId="39" fillId="38" borderId="16" xfId="0" applyFont="1" applyFill="1" applyBorder="1" applyNumberFormat="1">
      <alignment horizontal="left" vertical="center" indent="1"/>
    </xf>
    <xf numFmtId="0" fontId="71" fillId="38" borderId="16" xfId="0" applyFont="1" applyFill="1" applyBorder="1" applyNumberFormat="1">
      <alignment horizontal="left" vertical="center"/>
    </xf>
    <xf numFmtId="0" fontId="71" fillId="38" borderId="14" xfId="0" applyFont="1" applyFill="1" applyBorder="1" applyNumberFormat="1">
      <alignment horizontal="left" vertical="center"/>
    </xf>
    <xf numFmtId="49" fontId="46" fillId="36" borderId="13" xfId="0" applyFont="1" applyFill="1" applyBorder="1" applyNumberFormat="1">
      <alignment horizontal="center" vertical="center"/>
    </xf>
    <xf numFmtId="0" fontId="46" fillId="36" borderId="13" xfId="0" applyFont="1" applyFill="1" applyBorder="1" applyNumberFormat="1">
      <alignment vertical="center" wrapText="1"/>
    </xf>
    <xf numFmtId="0" fontId="46" fillId="0" borderId="13" xfId="0" applyFont="1" applyBorder="1" applyNumberFormat="1">
      <alignment horizontal="center" vertical="center" wrapText="1"/>
    </xf>
    <xf numFmtId="0" fontId="46" fillId="36" borderId="13" xfId="0" applyFont="1" applyFill="1" applyBorder="1" applyNumberFormat="1">
      <alignment horizontal="left" vertical="center" wrapText="1" indent="1"/>
    </xf>
    <xf numFmtId="0" fontId="46" fillId="36" borderId="13" xfId="0" applyFont="1" applyFill="1" applyBorder="1" applyNumberFormat="1">
      <alignment horizontal="left" vertical="center" wrapText="1" indent="2"/>
    </xf>
    <xf numFmtId="49" fontId="46" fillId="0" borderId="13" xfId="0" applyFont="1" applyBorder="1" applyNumberFormat="1">
      <alignment horizontal="left" vertical="center" wrapText="1"/>
    </xf>
    <xf numFmtId="49" fontId="46"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7"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2"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2" fillId="36" borderId="37" xfId="0" applyFont="1" applyFill="1" applyBorder="1" applyNumberFormat="1">
      <alignment horizontal="left" vertical="top" wrapText="1"/>
    </xf>
    <xf numFmtId="0" fontId="36" fillId="36" borderId="0" xfId="0" applyFont="1" applyFill="1" applyNumberFormat="1">
      <alignment horizontal="center" vertical="center" wrapText="1"/>
    </xf>
    <xf numFmtId="49" fontId="0" fillId="40" borderId="13" xfId="0" applyFont="1" applyFill="1" applyBorder="1" applyNumberFormat="1">
      <alignment horizontal="left" vertical="center" wrapText="1" indent="1"/>
      <protection locked="0"/>
    </xf>
    <xf numFmtId="49" fontId="22" fillId="40" borderId="15" xfId="0" applyFont="1" applyFill="1" applyBorder="1" applyNumberFormat="1">
      <alignment horizontal="left" vertical="center" wrapText="1"/>
      <protection locked="0"/>
    </xf>
    <xf numFmtId="0" fontId="22" fillId="36" borderId="24" xfId="0" applyFont="1" applyFill="1" applyBorder="1" applyNumberFormat="1">
      <alignment horizontal="left" vertical="top" wrapText="1"/>
    </xf>
    <xf numFmtId="0" fontId="50" fillId="36" borderId="0" xfId="0" applyFont="1" applyFill="1" applyNumberFormat="1"/>
    <xf numFmtId="49" fontId="22" fillId="40" borderId="13" xfId="0" applyFont="1" applyFill="1" applyBorder="1" applyNumberFormat="1" quotePrefix="1">
      <alignment horizontal="left" vertical="center" wrapText="1"/>
      <protection locked="0"/>
    </xf>
    <xf numFmtId="49" fontId="22" fillId="37" borderId="13" xfId="0" applyFont="1" applyFill="1" applyBorder="1" applyNumberFormat="1">
      <alignment horizontal="left" vertical="center" wrapText="1"/>
      <protection locked="0"/>
    </xf>
    <xf numFmtId="49" fontId="22" fillId="41" borderId="13" xfId="0" applyFont="1" applyFill="1" applyBorder="1" applyNumberFormat="1">
      <alignment horizontal="left" vertical="center" wrapText="1"/>
    </xf>
    <xf numFmtId="49" fontId="22" fillId="41"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2" fillId="41" borderId="15" xfId="0" applyFont="1" applyFill="1" applyBorder="1" applyNumberFormat="1">
      <alignment horizontal="left" vertical="center" wrapText="1"/>
    </xf>
    <xf numFmtId="0" fontId="0" fillId="36" borderId="13" xfId="0" applyFont="1" applyFill="1" applyBorder="1" applyNumberFormat="1">
      <alignment vertical="top" wrapText="1"/>
    </xf>
    <xf numFmtId="49" fontId="22"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74" fillId="36" borderId="0" xfId="0" applyFont="1" applyFill="1" applyNumberFormat="1"/>
    <xf numFmtId="0" fontId="22" fillId="0" borderId="0" xfId="0" applyFont="1" applyNumberFormat="1">
      <alignment vertical="top" wrapText="1"/>
    </xf>
    <xf numFmtId="0" fontId="46" fillId="0" borderId="0" xfId="0" applyFont="1" applyNumberFormat="1">
      <alignment vertical="center" wrapText="1"/>
    </xf>
    <xf numFmtId="0" fontId="44" fillId="0" borderId="0" xfId="0" applyFont="1" applyNumberFormat="1">
      <alignment horizontal="right" vertical="top" wrapText="1"/>
    </xf>
    <xf numFmtId="0" fontId="44" fillId="0" borderId="0" xfId="0" applyFont="1" applyNumberFormat="1">
      <alignment horizontal="left" vertical="top" wrapText="1" indent="1"/>
    </xf>
    <xf numFmtId="0" fontId="44" fillId="0" borderId="0" xfId="0" applyFont="1" applyNumberFormat="1">
      <alignment vertical="center" wrapText="1"/>
    </xf>
    <xf numFmtId="0" fontId="73" fillId="36" borderId="0" xfId="0" applyFont="1" applyFill="1" applyNumberFormat="1">
      <alignment horizontal="center"/>
    </xf>
    <xf numFmtId="0" fontId="73" fillId="36" borderId="0" xfId="0" applyFont="1" applyFill="1" applyNumberFormat="1"/>
    <xf numFmtId="0" fontId="75" fillId="36" borderId="0" xfId="0" applyFont="1" applyFill="1" applyNumberFormat="1">
      <alignment horizontal="right" vertical="center"/>
    </xf>
    <xf numFmtId="0" fontId="76" fillId="36" borderId="0" xfId="0" applyFont="1" applyFill="1" applyNumberFormat="1">
      <alignment vertical="center"/>
    </xf>
    <xf numFmtId="0" fontId="75" fillId="36" borderId="0" xfId="0" applyFont="1" applyFill="1" applyNumberFormat="1">
      <alignment horizontal="right" vertical="top"/>
    </xf>
    <xf numFmtId="0" fontId="76" fillId="36" borderId="0" xfId="0" applyFont="1" applyFill="1" applyNumberFormat="1">
      <alignment vertical="center" wrapText="1"/>
    </xf>
    <xf numFmtId="0" fontId="0" fillId="36" borderId="0" xfId="0" applyFont="1" applyFill="1" applyNumberFormat="1">
      <alignment horizontal="center"/>
    </xf>
    <xf numFmtId="0" fontId="22" fillId="0" borderId="0" xfId="0" applyFont="1" applyNumberFormat="1">
      <alignment vertical="center" wrapText="1"/>
    </xf>
    <xf numFmtId="0" fontId="86" fillId="0" borderId="0" xfId="0" applyFont="1" applyNumberFormat="1">
      <alignment vertical="center" wrapText="1"/>
    </xf>
    <xf numFmtId="0" fontId="86" fillId="36" borderId="0" xfId="0" applyFont="1" applyFill="1" applyNumberFormat="1">
      <alignment horizontal="center" vertical="center" wrapText="1"/>
    </xf>
    <xf numFmtId="0" fontId="86" fillId="36" borderId="0" xfId="0" applyFont="1" applyFill="1" applyNumberFormat="1">
      <alignment horizontal="right" vertical="center" wrapText="1"/>
    </xf>
    <xf numFmtId="0" fontId="86" fillId="0" borderId="0" xfId="0" applyFont="1" applyNumberFormat="1">
      <alignment vertical="center" wrapText="1"/>
    </xf>
    <xf numFmtId="0" fontId="36" fillId="36" borderId="0" xfId="0" applyFont="1" applyFill="1" applyNumberFormat="1">
      <alignment horizontal="center" vertical="center" wrapText="1"/>
    </xf>
    <xf numFmtId="0" fontId="30" fillId="0" borderId="0" xfId="0" applyFont="1" applyNumberFormat="1">
      <alignment horizontal="left" vertical="center" wrapText="1" indent="3"/>
    </xf>
    <xf numFmtId="0" fontId="62" fillId="0" borderId="0" xfId="0" applyFont="1" applyNumberFormat="1">
      <alignment horizontal="center" vertical="center" wrapText="1"/>
    </xf>
    <xf numFmtId="0" fontId="62" fillId="0" borderId="0" xfId="0" applyFont="1" applyNumberFormat="1">
      <alignment vertical="center" wrapText="1"/>
    </xf>
    <xf numFmtId="0" fontId="31" fillId="0" borderId="0" xfId="0" applyFont="1" applyNumberFormat="1">
      <alignment vertical="center" wrapText="1"/>
    </xf>
    <xf numFmtId="0" fontId="36" fillId="36" borderId="0" xfId="0" applyFont="1" applyFill="1" applyNumberFormat="1">
      <alignment horizontal="center" vertical="center" wrapText="1"/>
    </xf>
    <xf numFmtId="0" fontId="22" fillId="0" borderId="30" xfId="0" applyFont="1" applyBorder="1" applyNumberFormat="1">
      <alignment horizontal="left" vertical="center" wrapText="1" indent="1"/>
    </xf>
    <xf numFmtId="0" fontId="22" fillId="0" borderId="24" xfId="0" applyFont="1" applyBorder="1" applyNumberFormat="1">
      <alignment horizontal="left" vertical="center" wrapText="1" indent="1"/>
    </xf>
    <xf numFmtId="0" fontId="22" fillId="0" borderId="31" xfId="0" applyFont="1" applyBorder="1" applyNumberFormat="1">
      <alignment horizontal="left" vertical="center" wrapText="1" indent="1"/>
    </xf>
    <xf numFmtId="0" fontId="56" fillId="0" borderId="0" xfId="0" applyFont="1" applyNumberFormat="1">
      <alignment vertical="center" wrapText="1"/>
    </xf>
    <xf numFmtId="0" fontId="77" fillId="36" borderId="0" xfId="0" applyFont="1" applyFill="1" applyNumberFormat="1">
      <alignment horizontal="center" vertical="center" wrapText="1"/>
    </xf>
    <xf numFmtId="0" fontId="58" fillId="0" borderId="0" xfId="0" applyFont="1" applyNumberFormat="1">
      <alignment horizontal="left" vertical="center" wrapText="1" indent="1"/>
    </xf>
    <xf numFmtId="0" fontId="22" fillId="0" borderId="0" xfId="0" applyFont="1" applyNumberFormat="1">
      <alignment horizontal="right" vertical="center"/>
    </xf>
    <xf numFmtId="0" fontId="46" fillId="0" borderId="0" xfId="0" applyFont="1" applyNumberFormat="1">
      <alignment vertical="center" wrapText="1"/>
    </xf>
    <xf numFmtId="0" fontId="58"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35" fillId="36" borderId="0" xfId="0" applyFont="1" applyFill="1" applyNumberFormat="1">
      <alignment horizontal="center" vertical="center" wrapText="1"/>
    </xf>
    <xf numFmtId="49" fontId="35" fillId="36" borderId="0" xfId="0" applyFont="1" applyFill="1" applyNumberFormat="1">
      <alignment horizontal="center" vertical="center" wrapText="1"/>
    </xf>
    <xf numFmtId="0" fontId="70" fillId="0" borderId="0" xfId="0" applyFont="1" applyNumberFormat="1">
      <alignment vertical="center" wrapText="1"/>
    </xf>
    <xf numFmtId="0" fontId="78" fillId="36" borderId="0" xfId="0" applyFont="1" applyFill="1" applyNumberFormat="1">
      <alignment horizontal="center" vertical="center" wrapText="1"/>
    </xf>
    <xf numFmtId="49" fontId="70" fillId="0" borderId="18" xfId="0" applyFont="1" applyBorder="1" applyNumberFormat="1">
      <alignment horizontal="left" vertical="center" wrapText="1"/>
    </xf>
    <xf numFmtId="49" fontId="70"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7" borderId="13" xfId="0" applyFont="1" applyFill="1" applyBorder="1" applyNumberFormat="1">
      <alignment horizontal="left" vertical="center" wrapText="1"/>
      <protection locked="0"/>
    </xf>
    <xf numFmtId="0" fontId="22" fillId="41" borderId="15" xfId="0" applyFont="1" applyFill="1" applyBorder="1" applyNumberFormat="1">
      <alignment horizontal="left" vertical="center" wrapText="1"/>
    </xf>
    <xf numFmtId="49" fontId="35" fillId="36" borderId="13" xfId="0" applyFont="1" applyFill="1" applyBorder="1" applyNumberFormat="1">
      <alignment horizontal="center" vertical="center" wrapText="1"/>
    </xf>
    <xf numFmtId="4" fontId="0" fillId="40" borderId="13" xfId="0" applyFont="1" applyFill="1" applyBorder="1" applyNumberFormat="1">
      <alignment horizontal="right" vertical="center" wrapText="1"/>
      <protection locked="0"/>
    </xf>
    <xf numFmtId="3" fontId="0" fillId="40" borderId="13" xfId="0" applyFont="1" applyFill="1" applyBorder="1" applyNumberFormat="1">
      <alignment horizontal="right" vertical="center" wrapText="1"/>
      <protection locked="0"/>
    </xf>
    <xf numFmtId="4" fontId="0" fillId="40" borderId="14" xfId="0" applyFont="1" applyFill="1" applyBorder="1" applyNumberFormat="1">
      <alignment horizontal="right" vertical="center" wrapText="1"/>
      <protection locked="0"/>
    </xf>
    <xf numFmtId="0" fontId="0" fillId="37"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48" fillId="38" borderId="15" xfId="0" applyFont="1" applyFill="1" applyBorder="1" applyNumberFormat="1">
      <alignment horizontal="center" vertical="center"/>
    </xf>
    <xf numFmtId="0" fontId="39" fillId="38" borderId="16" xfId="0" applyFont="1" applyFill="1" applyBorder="1" applyNumberFormat="1">
      <alignment vertical="center"/>
    </xf>
    <xf numFmtId="49" fontId="39" fillId="38" borderId="16" xfId="0" applyFont="1" applyFill="1" applyBorder="1" applyNumberFormat="1">
      <alignment vertical="center"/>
    </xf>
    <xf numFmtId="49" fontId="71" fillId="38" borderId="16" xfId="0" applyFont="1" applyFill="1" applyBorder="1" applyNumberFormat="1">
      <alignment vertical="center"/>
    </xf>
    <xf numFmtId="49" fontId="71" fillId="38" borderId="14" xfId="0" applyFont="1" applyFill="1" applyBorder="1" applyNumberFormat="1">
      <alignment vertical="center"/>
    </xf>
    <xf numFmtId="0" fontId="0" fillId="0" borderId="24" xfId="0" applyFont="1" applyBorder="1" applyNumberFormat="1">
      <alignment horizontal="left" vertical="top" wrapText="1"/>
    </xf>
    <xf numFmtId="0" fontId="31" fillId="0" borderId="0" xfId="0" applyFont="1" applyNumberFormat="1">
      <alignmen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3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2" fillId="41" borderId="20" xfId="0" applyFont="1" applyFill="1" applyBorder="1" applyNumberFormat="1">
      <alignment horizontal="left" vertical="center" wrapText="1"/>
    </xf>
    <xf numFmtId="0" fontId="36" fillId="36" borderId="13"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protection locked="0"/>
    </xf>
    <xf numFmtId="3" fontId="22" fillId="40" borderId="13" xfId="0" applyFont="1" applyFill="1" applyBorder="1" applyNumberFormat="1">
      <alignment horizontal="right" vertical="center" wrapText="1"/>
      <protection locked="0"/>
    </xf>
    <xf numFmtId="0" fontId="46" fillId="0" borderId="0" xfId="0" applyFont="1" applyNumberFormat="1">
      <alignment vertical="center" wrapText="1"/>
    </xf>
    <xf numFmtId="0" fontId="22" fillId="0" borderId="0" xfId="0" applyFont="1" applyNumberFormat="1">
      <alignment vertical="center" wrapText="1"/>
    </xf>
    <xf numFmtId="49" fontId="0" fillId="0" borderId="31" xfId="0" applyFont="1" applyBorder="1" applyNumberFormat="1">
      <alignment horizontal="center" vertical="center" wrapText="1"/>
    </xf>
    <xf numFmtId="0" fontId="22" fillId="41" borderId="28" xfId="0" applyFont="1" applyFill="1" applyBorder="1" applyNumberFormat="1">
      <alignment horizontal="left" vertical="center" wrapText="1"/>
    </xf>
    <xf numFmtId="0" fontId="46" fillId="0" borderId="0" xfId="0" applyFont="1" applyNumberFormat="1">
      <alignment vertical="center" wrapText="1"/>
    </xf>
    <xf numFmtId="0" fontId="36" fillId="36" borderId="0" xfId="0" applyFont="1" applyFill="1" applyNumberFormat="1">
      <alignment horizontal="center" vertical="center" wrapText="1"/>
    </xf>
    <xf numFmtId="0" fontId="22" fillId="0" borderId="20" xfId="0" applyFont="1" applyBorder="1" applyNumberFormat="1">
      <alignment horizontal="left" vertical="top" wrapText="1" indent="1"/>
    </xf>
    <xf numFmtId="0" fontId="62" fillId="0" borderId="0" xfId="0" applyFont="1" applyNumberFormat="1">
      <alignment vertical="center" wrapText="1"/>
    </xf>
    <xf numFmtId="0" fontId="56" fillId="0" borderId="0" xfId="0" applyFont="1" applyNumberFormat="1">
      <alignment vertical="center" wrapText="1"/>
    </xf>
    <xf numFmtId="0" fontId="22" fillId="0" borderId="24" xfId="0" applyFont="1" applyBorder="1" applyNumberFormat="1">
      <alignment horizontal="center" vertical="center" wrapText="1"/>
    </xf>
    <xf numFmtId="0" fontId="36" fillId="36" borderId="13" xfId="0" applyFont="1" applyFill="1" applyBorder="1" applyNumberFormat="1">
      <alignment horizontal="center" vertical="center" wrapText="1"/>
    </xf>
    <xf numFmtId="49" fontId="22" fillId="0" borderId="13" xfId="0" applyFont="1" applyBorder="1" applyNumberFormat="1">
      <alignment horizontal="center" vertical="center" wrapText="1"/>
    </xf>
    <xf numFmtId="0" fontId="31" fillId="0" borderId="0" xfId="0" applyFont="1" applyNumberFormat="1">
      <alignment vertical="center" wrapText="1"/>
    </xf>
    <xf numFmtId="0" fontId="58" fillId="36" borderId="0" xfId="0" applyFont="1" applyFill="1" applyNumberFormat="1">
      <alignment vertical="center" wrapText="1"/>
    </xf>
    <xf numFmtId="0" fontId="58" fillId="36" borderId="0" xfId="0" applyFont="1" applyFill="1" applyNumberFormat="1">
      <alignment horizontal="right" vertical="center"/>
    </xf>
    <xf numFmtId="0" fontId="58" fillId="36" borderId="0" xfId="0" applyFont="1" applyFill="1" applyNumberFormat="1">
      <alignment horizontal="right" vertical="center" wrapText="1"/>
    </xf>
    <xf numFmtId="0" fontId="30" fillId="0" borderId="0" xfId="0" applyFont="1" applyNumberFormat="1">
      <alignment horizontal="center" vertical="center" wrapText="1"/>
    </xf>
    <xf numFmtId="4" fontId="58" fillId="0" borderId="0" xfId="0" applyFont="1" applyNumberFormat="1">
      <alignment horizontal="right" vertical="center" wrapText="1"/>
    </xf>
    <xf numFmtId="0" fontId="22" fillId="36" borderId="13" xfId="0" applyFont="1" applyFill="1" applyBorder="1" applyNumberFormat="1">
      <alignment horizontal="center" vertical="center" wrapText="1"/>
    </xf>
    <xf numFmtId="0" fontId="22" fillId="36" borderId="13"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5" fillId="36" borderId="16" xfId="0" applyFont="1" applyFill="1" applyBorder="1" applyNumberFormat="1">
      <alignment horizontal="center" vertical="center" wrapText="1"/>
    </xf>
    <xf numFmtId="49" fontId="35" fillId="36" borderId="16" xfId="0" applyFont="1" applyFill="1" applyBorder="1" applyNumberFormat="1">
      <alignment horizontal="center" vertical="center" wrapText="1"/>
    </xf>
    <xf numFmtId="0" fontId="36" fillId="36" borderId="0" xfId="0" applyFont="1" applyFill="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9" fontId="22" fillId="0" borderId="13" xfId="0" applyFont="1" applyBorder="1" applyNumberFormat="1">
      <alignment horizontal="left" vertical="center" wrapText="1"/>
    </xf>
    <xf numFmtId="49" fontId="22" fillId="0" borderId="0" xfId="0" applyFont="1" applyNumberFormat="1">
      <alignment vertical="top"/>
    </xf>
    <xf numFmtId="0" fontId="36" fillId="36" borderId="25" xfId="0" applyFont="1" applyFill="1" applyBorder="1" applyNumberFormat="1">
      <alignment vertical="top" wrapText="1"/>
    </xf>
    <xf numFmtId="14" fontId="22" fillId="38" borderId="16" xfId="0" applyFont="1" applyFill="1" applyBorder="1" applyNumberFormat="1">
      <alignment horizontal="center" vertical="center" wrapText="1"/>
    </xf>
    <xf numFmtId="49" fontId="22" fillId="38" borderId="16" xfId="0" applyFont="1" applyFill="1" applyBorder="1" applyNumberFormat="1">
      <alignment horizontal="center" vertical="center" wrapText="1"/>
    </xf>
    <xf numFmtId="14" fontId="79" fillId="38" borderId="16" xfId="0" applyFont="1" applyFill="1" applyBorder="1" applyNumberFormat="1">
      <alignment horizontal="center" vertical="center" wrapText="1"/>
    </xf>
    <xf numFmtId="49" fontId="51" fillId="38"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46" fillId="0" borderId="0" xfId="0" applyFont="1" applyNumberFormat="1">
      <alignment horizontal="left" vertical="center" wrapText="1"/>
    </xf>
    <xf numFmtId="49" fontId="46" fillId="0" borderId="0" xfId="0" applyFont="1" applyNumberFormat="1">
      <alignment horizontal="left" vertical="center" wrapText="1"/>
    </xf>
    <xf numFmtId="0" fontId="36" fillId="36" borderId="0" xfId="0" applyFont="1" applyFill="1" applyNumberFormat="1">
      <alignment vertical="top" wrapText="1"/>
    </xf>
    <xf numFmtId="0" fontId="46" fillId="36" borderId="24" xfId="0" applyFont="1" applyFill="1" applyBorder="1" applyNumberFormat="1">
      <alignment horizontal="center" vertical="center" wrapText="1"/>
    </xf>
    <xf numFmtId="14" fontId="22" fillId="41" borderId="24" xfId="0" applyFont="1" applyFill="1" applyBorder="1" applyNumberFormat="1">
      <alignment horizontal="left" vertical="center" wrapText="1"/>
    </xf>
    <xf numFmtId="14" fontId="22" fillId="41" borderId="13" xfId="0" applyFont="1" applyFill="1" applyBorder="1" applyNumberFormat="1">
      <alignment horizontal="center" vertical="center" wrapText="1"/>
    </xf>
    <xf numFmtId="49" fontId="51" fillId="40" borderId="13" xfId="0" applyFont="1" applyFill="1" applyBorder="1" applyNumberFormat="1">
      <alignment horizontal="left" vertical="center" wrapText="1"/>
      <protection locked="0"/>
    </xf>
    <xf numFmtId="49" fontId="48" fillId="38" borderId="16" xfId="0" applyFont="1" applyFill="1" applyBorder="1" applyNumberFormat="1">
      <alignment horizontal="center" vertical="center"/>
    </xf>
    <xf numFmtId="49" fontId="71" fillId="38" borderId="16" xfId="0" applyFont="1" applyFill="1" applyBorder="1" applyNumberFormat="1">
      <alignment horizontal="left" vertical="center" indent="1"/>
    </xf>
    <xf numFmtId="49" fontId="71" fillId="38" borderId="14" xfId="0" applyFont="1" applyFill="1" applyBorder="1" applyNumberFormat="1">
      <alignment horizontal="left" vertical="center" indent="1"/>
    </xf>
    <xf numFmtId="0" fontId="77" fillId="0" borderId="0" xfId="0" applyFont="1" applyNumberFormat="1">
      <alignment horizontal="center" vertical="center" wrapText="1"/>
    </xf>
    <xf numFmtId="0" fontId="44" fillId="0" borderId="0" xfId="0" applyFont="1" applyNumberFormat="1">
      <alignment vertical="top" wrapText="1"/>
    </xf>
    <xf numFmtId="0" fontId="22" fillId="0" borderId="0" xfId="0" applyFont="1" applyNumberFormat="1">
      <alignment horizontal="right" vertical="top" wrapText="1"/>
    </xf>
    <xf numFmtId="0" fontId="44" fillId="0" borderId="0" xfId="0" applyFont="1" applyNumberFormat="1">
      <alignment vertical="top"/>
    </xf>
    <xf numFmtId="0" fontId="22" fillId="0" borderId="0" xfId="0" applyFont="1" applyNumberFormat="1">
      <alignment vertical="center" wrapText="1"/>
    </xf>
    <xf numFmtId="0" fontId="45" fillId="0" borderId="0" xfId="0" applyFont="1" applyNumberFormat="1">
      <alignment horizontal="left" vertical="center" indent="1"/>
    </xf>
    <xf numFmtId="0" fontId="45" fillId="0" borderId="13" xfId="0" applyFont="1" applyBorder="1" applyNumberFormat="1">
      <alignment horizontal="center" vertical="center"/>
    </xf>
    <xf numFmtId="0" fontId="45" fillId="0" borderId="0" xfId="0" applyFont="1" applyNumberFormat="1">
      <alignment horizontal="center" vertical="center"/>
    </xf>
    <xf numFmtId="0" fontId="45"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5" xfId="0" applyFont="1" applyBorder="1" applyNumberFormat="1">
      <alignment vertical="top"/>
    </xf>
    <xf numFmtId="0" fontId="22" fillId="36" borderId="13" xfId="0" applyFont="1" applyFill="1" applyBorder="1" applyNumberFormat="1">
      <alignment horizontal="left" vertical="center" wrapText="1"/>
    </xf>
    <xf numFmtId="0" fontId="22" fillId="0" borderId="13" xfId="0" applyFont="1" applyBorder="1" applyNumberFormat="1">
      <alignment vertical="center" wrapText="1"/>
    </xf>
    <xf numFmtId="0" fontId="22" fillId="0" borderId="13" xfId="0" applyFont="1" applyBorder="1" applyNumberFormat="1">
      <alignment horizontal="left" vertical="center" wrapText="1" indent="6"/>
    </xf>
    <xf numFmtId="0" fontId="22" fillId="35" borderId="15" xfId="0" applyFont="1" applyFill="1" applyBorder="1" applyNumberFormat="1">
      <alignment horizontal="left" vertical="center" wrapText="1"/>
    </xf>
    <xf numFmtId="0" fontId="22" fillId="35" borderId="16" xfId="0" applyFont="1" applyFill="1" applyBorder="1" applyNumberFormat="1">
      <alignment horizontal="left" vertical="center" wrapText="1"/>
    </xf>
    <xf numFmtId="0" fontId="22" fillId="35" borderId="14" xfId="0" applyFont="1" applyFill="1" applyBorder="1" applyNumberFormat="1">
      <alignment horizontal="left" vertical="center" wrapText="1"/>
    </xf>
    <xf numFmtId="0" fontId="44" fillId="0" borderId="13" xfId="0" applyFont="1" applyBorder="1" applyNumberFormat="1">
      <alignment vertical="top" wrapText="1"/>
    </xf>
    <xf numFmtId="0" fontId="45" fillId="0" borderId="15" xfId="0" applyFont="1" applyBorder="1" applyNumberFormat="1">
      <alignment horizontal="center" vertical="center"/>
    </xf>
    <xf numFmtId="0" fontId="22" fillId="0" borderId="0" xfId="0" applyFont="1" applyNumberFormat="1">
      <alignment horizontal="center" vertical="center" wrapText="1"/>
    </xf>
    <xf numFmtId="0" fontId="41" fillId="36" borderId="0" xfId="0" applyFont="1" applyFill="1" applyNumberFormat="1">
      <alignment horizontal="center" vertical="center" wrapText="1"/>
    </xf>
    <xf numFmtId="0" fontId="22" fillId="0" borderId="25" xfId="0" applyFont="1" applyBorder="1" applyNumberFormat="1">
      <alignment vertical="center" wrapText="1"/>
    </xf>
    <xf numFmtId="0" fontId="22" fillId="36" borderId="13" xfId="0" applyFont="1" applyFill="1" applyBorder="1" applyNumberFormat="1">
      <alignment horizontal="left" vertical="center" wrapText="1" indent="1"/>
    </xf>
    <xf numFmtId="0" fontId="36" fillId="0" borderId="0" xfId="0" applyFont="1" applyNumberFormat="1">
      <alignment vertical="center" wrapText="1"/>
    </xf>
    <xf numFmtId="0" fontId="22" fillId="36" borderId="13" xfId="0" applyFont="1" applyFill="1" applyBorder="1" applyNumberFormat="1">
      <alignment horizontal="left" vertical="center" wrapText="1" indent="2"/>
    </xf>
    <xf numFmtId="0" fontId="22" fillId="36" borderId="13" xfId="0" applyFont="1" applyFill="1" applyBorder="1" applyNumberFormat="1">
      <alignment horizontal="left" vertical="center" wrapText="1" indent="3"/>
    </xf>
    <xf numFmtId="0" fontId="45" fillId="0" borderId="13" xfId="0" applyFont="1" applyBorder="1" applyNumberFormat="1">
      <alignment horizontal="center" vertical="center" wrapText="1"/>
    </xf>
    <xf numFmtId="0" fontId="45" fillId="0" borderId="0" xfId="0" applyFont="1" applyNumberFormat="1">
      <alignment vertical="center" wrapText="1"/>
    </xf>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46" fillId="0" borderId="25" xfId="0" applyFont="1" applyBorder="1" applyNumberFormat="1">
      <alignment horizontal="center" vertical="center" wrapText="1"/>
    </xf>
    <xf numFmtId="0" fontId="22" fillId="36" borderId="13" xfId="0" applyFont="1" applyFill="1" applyBorder="1" applyNumberFormat="1">
      <alignment horizontal="left" vertical="center" wrapText="1" indent="4"/>
    </xf>
    <xf numFmtId="0" fontId="22" fillId="41" borderId="15" xfId="0" applyFont="1" applyFill="1" applyBorder="1" applyNumberFormat="1">
      <alignment horizontal="left" vertical="center" wrapText="1"/>
    </xf>
    <xf numFmtId="0" fontId="22" fillId="41" borderId="16" xfId="0" applyFont="1" applyFill="1" applyBorder="1" applyNumberFormat="1">
      <alignment horizontal="left" vertical="center" wrapText="1"/>
    </xf>
    <xf numFmtId="0" fontId="22" fillId="41" borderId="14" xfId="0" applyFont="1" applyFill="1" applyBorder="1" applyNumberFormat="1">
      <alignment horizontal="left" vertical="center" wrapText="1"/>
    </xf>
    <xf numFmtId="0" fontId="45" fillId="0" borderId="15" xfId="0" applyFont="1" applyBorder="1" applyNumberFormat="1">
      <alignment horizontal="center" vertical="center" wrapText="1"/>
    </xf>
    <xf numFmtId="0" fontId="46" fillId="0" borderId="25" xfId="0" applyFont="1" applyBorder="1" applyNumberFormat="1">
      <alignment vertical="center" wrapText="1"/>
    </xf>
    <xf numFmtId="0" fontId="22" fillId="36" borderId="13" xfId="0" applyFont="1" applyFill="1" applyBorder="1" applyNumberFormat="1">
      <alignment horizontal="left" vertical="center" wrapText="1" indent="5"/>
    </xf>
    <xf numFmtId="0" fontId="22" fillId="41" borderId="13" xfId="0" applyFont="1" applyFill="1" applyBorder="1" applyNumberFormat="1">
      <alignment horizontal="left" vertical="center" wrapText="1" indent="6"/>
    </xf>
    <xf numFmtId="4" fontId="22" fillId="37" borderId="13" xfId="0" applyFont="1" applyFill="1" applyBorder="1" applyNumberFormat="1">
      <alignment horizontal="right" vertical="center" wrapText="1"/>
      <protection locked="0"/>
    </xf>
    <xf numFmtId="4" fontId="22" fillId="0" borderId="13" xfId="0" applyFont="1" applyBorder="1" applyNumberFormat="1">
      <alignment horizontal="right" vertical="center" wrapText="1"/>
    </xf>
    <xf numFmtId="166" fontId="22" fillId="37" borderId="13" xfId="0" applyFont="1" applyFill="1" applyBorder="1" applyNumberFormat="1">
      <alignment horizontal="right" vertical="center" wrapText="1"/>
      <protection locked="0"/>
    </xf>
    <xf numFmtId="168" fontId="0" fillId="40" borderId="13" xfId="0" applyFont="1" applyFill="1" applyBorder="1" applyNumberFormat="1">
      <alignment horizontal="center" vertical="center" wrapText="1"/>
      <protection locked="0"/>
    </xf>
    <xf numFmtId="0" fontId="44" fillId="0" borderId="18" xfId="0" applyFont="1" applyBorder="1" applyNumberFormat="1">
      <alignment horizontal="left" vertical="top" wrapText="1"/>
    </xf>
    <xf numFmtId="49" fontId="22" fillId="0" borderId="13" xfId="0" applyFont="1" applyBorder="1" applyNumberFormat="1">
      <alignment horizontal="left" vertical="center" wrapText="1"/>
    </xf>
    <xf numFmtId="4" fontId="46" fillId="0" borderId="13" xfId="0" applyFont="1" applyBorder="1" applyNumberFormat="1">
      <alignment horizontal="center" vertical="center" wrapText="1"/>
    </xf>
    <xf numFmtId="49" fontId="0" fillId="40" borderId="13" xfId="0" applyFont="1" applyFill="1" applyBorder="1" applyNumberFormat="1">
      <alignment horizontal="center" vertical="center" wrapText="1"/>
      <protection locked="0"/>
    </xf>
    <xf numFmtId="0" fontId="44" fillId="0" borderId="37" xfId="0" applyFont="1" applyBorder="1" applyNumberFormat="1">
      <alignment horizontal="left" vertical="top" wrapText="1"/>
    </xf>
    <xf numFmtId="49" fontId="71" fillId="38" borderId="15" xfId="0" applyFont="1" applyFill="1" applyBorder="1" applyNumberFormat="1">
      <alignment horizontal="left" vertical="center"/>
    </xf>
    <xf numFmtId="49" fontId="39" fillId="38" borderId="16" xfId="0" applyFont="1" applyFill="1" applyBorder="1" applyNumberFormat="1">
      <alignment horizontal="left" vertical="center" indent="6"/>
    </xf>
    <xf numFmtId="49" fontId="22" fillId="38" borderId="14" xfId="0" applyFont="1" applyFill="1" applyBorder="1" applyNumberFormat="1">
      <alignment horizontal="center" vertical="center" wrapText="1"/>
    </xf>
    <xf numFmtId="0" fontId="44" fillId="0" borderId="24" xfId="0" applyFont="1" applyBorder="1" applyNumberFormat="1">
      <alignment horizontal="left" vertical="top" wrapText="1"/>
    </xf>
    <xf numFmtId="49" fontId="39" fillId="38" borderId="16" xfId="0" applyFont="1" applyFill="1" applyBorder="1" applyNumberFormat="1">
      <alignment horizontal="left" vertical="center" indent="5"/>
    </xf>
    <xf numFmtId="49" fontId="0" fillId="38" borderId="16" xfId="0" applyFont="1" applyFill="1" applyBorder="1" applyNumberFormat="1">
      <alignment horizontal="center" vertical="center" wrapText="1"/>
    </xf>
    <xf numFmtId="49" fontId="0" fillId="38" borderId="14" xfId="0" applyFont="1" applyFill="1" applyBorder="1" applyNumberFormat="1">
      <alignment horizontal="center" vertical="center" wrapText="1"/>
    </xf>
    <xf numFmtId="49" fontId="38" fillId="0" borderId="0" xfId="0" applyFont="1" applyNumberFormat="1">
      <alignment vertical="top"/>
    </xf>
    <xf numFmtId="49" fontId="39" fillId="38" borderId="16" xfId="0" applyFont="1" applyFill="1" applyBorder="1" applyNumberFormat="1">
      <alignment horizontal="left" vertical="center" indent="4"/>
    </xf>
    <xf numFmtId="0" fontId="46" fillId="0" borderId="0" xfId="0" applyFont="1" applyNumberFormat="1">
      <alignment horizontal="left" vertical="center" indent="1"/>
    </xf>
    <xf numFmtId="0" fontId="46" fillId="0" borderId="0" xfId="0" applyFont="1" applyNumberFormat="1">
      <alignment horizontal="center" vertical="center"/>
    </xf>
    <xf numFmtId="0" fontId="46" fillId="0" borderId="0" xfId="0" applyFont="1" applyNumberFormat="1">
      <alignment horizontal="left" vertical="center" wrapText="1"/>
    </xf>
    <xf numFmtId="49" fontId="105" fillId="0" borderId="0" xfId="0" applyFont="1" applyNumberFormat="1">
      <alignment vertical="top"/>
    </xf>
    <xf numFmtId="49" fontId="95" fillId="0" borderId="20" xfId="0" applyFont="1" applyBorder="1" applyNumberFormat="1">
      <alignment horizontal="left" vertical="center"/>
    </xf>
    <xf numFmtId="49" fontId="46" fillId="0" borderId="20" xfId="0" applyFont="1" applyBorder="1" applyNumberFormat="1">
      <alignment horizontal="left" vertical="center" indent="3"/>
    </xf>
    <xf numFmtId="49" fontId="46" fillId="0" borderId="20" xfId="0" applyFont="1" applyBorder="1" applyNumberFormat="1">
      <alignment horizontal="center" vertical="center" wrapText="1"/>
    </xf>
    <xf numFmtId="0" fontId="46" fillId="0" borderId="0" xfId="0" applyFont="1" applyNumberFormat="1">
      <alignment vertical="center" wrapText="1"/>
    </xf>
    <xf numFmtId="49" fontId="46" fillId="0" borderId="0" xfId="0" applyFont="1" applyNumberFormat="1">
      <alignment horizontal="left" vertical="center"/>
    </xf>
    <xf numFmtId="49" fontId="95" fillId="0" borderId="0" xfId="0" applyFont="1" applyNumberFormat="1">
      <alignment horizontal="left" vertical="center"/>
    </xf>
    <xf numFmtId="49" fontId="46" fillId="0" borderId="0" xfId="0" applyFont="1" applyNumberFormat="1">
      <alignment horizontal="left" vertical="center" indent="2"/>
    </xf>
    <xf numFmtId="49" fontId="46" fillId="0" borderId="0" xfId="0" applyFont="1" applyNumberFormat="1">
      <alignment horizontal="center" vertical="center" wrapText="1"/>
    </xf>
    <xf numFmtId="49" fontId="46" fillId="0" borderId="0" xfId="0" applyFont="1" applyNumberFormat="1">
      <alignment horizontal="left" vertical="center" indent="1"/>
    </xf>
    <xf numFmtId="49" fontId="22" fillId="0" borderId="0" xfId="0" applyFont="1" applyNumberFormat="1">
      <alignment vertical="center" wrapText="1"/>
    </xf>
    <xf numFmtId="4" fontId="45" fillId="0" borderId="13" xfId="0" applyFont="1" applyBorder="1" applyNumberFormat="1">
      <alignment horizontal="right" vertical="center" wrapText="1"/>
    </xf>
    <xf numFmtId="166" fontId="45" fillId="0" borderId="13" xfId="0" applyFont="1" applyBorder="1" applyNumberFormat="1">
      <alignment horizontal="right" vertical="center" wrapText="1"/>
    </xf>
    <xf numFmtId="168" fontId="45" fillId="0" borderId="13" xfId="0" applyFont="1" applyBorder="1" applyNumberFormat="1">
      <alignment horizontal="center" vertical="center" wrapText="1"/>
    </xf>
    <xf numFmtId="49" fontId="45"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vertical="center" wrapText="1"/>
    </xf>
    <xf numFmtId="49" fontId="45" fillId="0" borderId="13" xfId="0" applyFont="1" applyBorder="1" applyNumberFormat="1">
      <alignment vertical="center" wrapText="1"/>
    </xf>
    <xf numFmtId="0" fontId="67" fillId="0" borderId="0" xfId="0" applyFont="1" applyNumberFormat="1">
      <alignment vertical="center" wrapText="1"/>
    </xf>
    <xf numFmtId="0" fontId="45" fillId="0" borderId="0" xfId="0" applyFont="1" applyNumberFormat="1">
      <alignment horizontal="left" vertical="center" wrapText="1"/>
    </xf>
    <xf numFmtId="0" fontId="38" fillId="36" borderId="0" xfId="0" applyFont="1" applyFill="1" applyNumberFormat="1">
      <alignment vertical="center" wrapText="1"/>
    </xf>
    <xf numFmtId="0" fontId="22" fillId="36" borderId="0" xfId="0" applyFont="1" applyFill="1" applyNumberFormat="1">
      <alignment horizontal="left" vertical="center" wrapText="1"/>
    </xf>
    <xf numFmtId="0" fontId="22" fillId="36" borderId="0" xfId="0" applyFont="1" applyFill="1" applyNumberFormat="1">
      <alignment vertical="center" wrapText="1"/>
    </xf>
    <xf numFmtId="0" fontId="30" fillId="0" borderId="0" xfId="0" applyFont="1" applyNumberFormat="1">
      <alignment vertical="center" wrapText="1"/>
    </xf>
    <xf numFmtId="0" fontId="48" fillId="36" borderId="0" xfId="0" applyFont="1" applyFill="1" applyNumberFormat="1">
      <alignment horizontal="center" vertical="center" wrapText="1"/>
    </xf>
    <xf numFmtId="0" fontId="45" fillId="0" borderId="0" xfId="0" applyFont="1" applyNumberFormat="1">
      <alignment vertical="center"/>
    </xf>
    <xf numFmtId="0" fontId="4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2" fillId="35" borderId="13" xfId="0" applyFont="1" applyFill="1" applyBorder="1" applyNumberFormat="1">
      <alignment horizontal="left" vertical="center" wrapText="1" indent="1"/>
    </xf>
    <xf numFmtId="0" fontId="22" fillId="0" borderId="0" xfId="0" applyFont="1" applyNumberFormat="1">
      <alignment vertical="center" wrapText="1"/>
    </xf>
    <xf numFmtId="0" fontId="66" fillId="0" borderId="0" xfId="0" applyFont="1" applyNumberFormat="1">
      <alignment vertical="center"/>
    </xf>
    <xf numFmtId="0" fontId="46" fillId="0" borderId="0" xfId="0" applyFont="1" applyNumberFormat="1">
      <alignment vertical="center"/>
    </xf>
    <xf numFmtId="0" fontId="0" fillId="0" borderId="0" xfId="0" applyFont="1" applyNumberFormat="1">
      <alignment vertical="center"/>
    </xf>
    <xf numFmtId="168" fontId="22" fillId="35" borderId="13"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6" fillId="0" borderId="0" xfId="0" applyFont="1" applyNumberFormat="1">
      <alignment vertical="center" wrapText="1"/>
    </xf>
    <xf numFmtId="0" fontId="22" fillId="36" borderId="28" xfId="0" applyFont="1" applyFill="1" applyBorder="1" applyNumberFormat="1">
      <alignment vertical="center" wrapText="1"/>
    </xf>
    <xf numFmtId="0" fontId="36" fillId="0" borderId="28" xfId="0" applyFont="1" applyBorder="1" applyNumberFormat="1">
      <alignment horizontal="center" vertical="center" wrapText="1"/>
    </xf>
    <xf numFmtId="0" fontId="22" fillId="36" borderId="13" xfId="0" applyFont="1" applyFill="1" applyBorder="1" applyNumberFormat="1">
      <alignment horizontal="left" vertical="center" wrapText="1"/>
    </xf>
    <xf numFmtId="0" fontId="22"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2" fillId="36" borderId="18" xfId="0" applyFont="1" applyFill="1" applyBorder="1" applyNumberFormat="1">
      <alignment horizontal="center" vertical="center" wrapText="1"/>
    </xf>
    <xf numFmtId="49" fontId="39" fillId="38" borderId="18" xfId="0" applyFont="1" applyFill="1" applyBorder="1" applyNumberFormat="1">
      <alignment horizontal="center" vertical="center" textRotation="90" wrapText="1"/>
    </xf>
    <xf numFmtId="0" fontId="22" fillId="0" borderId="37" xfId="0" applyFont="1" applyBorder="1" applyNumberFormat="1">
      <alignment vertical="center" wrapText="1"/>
    </xf>
    <xf numFmtId="0" fontId="45" fillId="0" borderId="18" xfId="0" applyFont="1" applyBorder="1" applyNumberFormat="1">
      <alignment horizontal="center" vertical="center" wrapText="1"/>
    </xf>
    <xf numFmtId="0" fontId="22" fillId="36" borderId="37" xfId="0" applyFont="1" applyFill="1" applyBorder="1" applyNumberFormat="1">
      <alignment horizontal="center" vertical="center" wrapText="1"/>
    </xf>
    <xf numFmtId="49" fontId="39" fillId="38" borderId="37" xfId="0" applyFont="1" applyFill="1" applyBorder="1" applyNumberFormat="1">
      <alignment horizontal="center" vertical="center" textRotation="90" wrapText="1"/>
    </xf>
    <xf numFmtId="0" fontId="22" fillId="0" borderId="24" xfId="0" applyFont="1" applyBorder="1" applyNumberFormat="1">
      <alignment vertical="center" wrapText="1"/>
    </xf>
    <xf numFmtId="0" fontId="4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2"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39" fillId="38" borderId="24" xfId="0" applyFont="1" applyFill="1" applyBorder="1" applyNumberFormat="1">
      <alignment horizontal="center" vertical="center" textRotation="90" wrapText="1"/>
    </xf>
    <xf numFmtId="49" fontId="70" fillId="0" borderId="0" xfId="0" applyFont="1" applyNumberFormat="1">
      <alignment vertical="center" wrapText="1"/>
    </xf>
    <xf numFmtId="0" fontId="104" fillId="36" borderId="0" xfId="0" applyFont="1" applyFill="1" applyNumberFormat="1">
      <alignment vertical="center" wrapText="1"/>
    </xf>
    <xf numFmtId="0" fontId="105" fillId="36" borderId="0" xfId="0" applyFont="1" applyFill="1" applyNumberFormat="1">
      <alignment vertical="center" wrapText="1"/>
    </xf>
    <xf numFmtId="49" fontId="78" fillId="36" borderId="20" xfId="0" applyFont="1" applyFill="1" applyBorder="1" applyNumberFormat="1">
      <alignment horizontal="left" vertical="center" wrapText="1"/>
    </xf>
    <xf numFmtId="49" fontId="78" fillId="36" borderId="20" xfId="0" applyFont="1" applyFill="1" applyBorder="1" applyNumberFormat="1">
      <alignment horizontal="center" vertical="center" wrapText="1"/>
    </xf>
    <xf numFmtId="0" fontId="46" fillId="36" borderId="20" xfId="0" applyFont="1" applyFill="1" applyBorder="1" applyNumberFormat="1">
      <alignment horizontal="center" vertical="center" wrapText="1"/>
    </xf>
    <xf numFmtId="0" fontId="78" fillId="36" borderId="20" xfId="0" applyFont="1" applyFill="1" applyBorder="1" applyNumberFormat="1">
      <alignment horizontal="center" vertical="center" wrapText="1"/>
    </xf>
    <xf numFmtId="0" fontId="78" fillId="36" borderId="20" xfId="0" applyFont="1" applyFill="1" applyBorder="1" applyNumberFormat="1">
      <alignment horizontal="center" vertical="center" wrapText="1"/>
    </xf>
    <xf numFmtId="0" fontId="78" fillId="36" borderId="20" xfId="0" applyFont="1" applyFill="1" applyBorder="1" applyNumberFormat="1">
      <alignment horizontal="center"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168" fontId="0" fillId="40" borderId="18" xfId="0" applyFont="1" applyFill="1" applyBorder="1" applyNumberFormat="1">
      <alignment horizontal="center" vertical="center" wrapText="1"/>
      <protection locked="0"/>
    </xf>
    <xf numFmtId="4" fontId="22" fillId="0" borderId="18" xfId="0" applyFont="1" applyBorder="1" applyNumberFormat="1">
      <alignment horizontal="right" vertical="center" wrapText="1"/>
    </xf>
    <xf numFmtId="49" fontId="22" fillId="0" borderId="13" xfId="0" applyFont="1" applyBorder="1" applyNumberFormat="1">
      <alignment horizontal="left" vertical="center" wrapText="1"/>
    </xf>
    <xf numFmtId="49" fontId="0" fillId="40" borderId="24" xfId="0" applyFont="1" applyFill="1" applyBorder="1" applyNumberFormat="1">
      <alignment horizontal="center" vertical="center" wrapText="1"/>
      <protection locked="0"/>
    </xf>
    <xf numFmtId="4" fontId="22" fillId="0" borderId="24" xfId="0" applyFont="1" applyBorder="1" applyNumberFormat="1">
      <alignment horizontal="right" vertical="center" wrapText="1"/>
    </xf>
    <xf numFmtId="0" fontId="46" fillId="0" borderId="0" xfId="0" applyFont="1" applyNumberFormat="1">
      <alignment horizontal="left" vertical="center" indent="1"/>
    </xf>
    <xf numFmtId="0" fontId="46" fillId="0" borderId="0" xfId="0" applyFont="1" applyNumberFormat="1">
      <alignment horizontal="center" vertical="center"/>
    </xf>
    <xf numFmtId="49" fontId="46" fillId="0" borderId="0" xfId="0" applyFont="1" applyNumberFormat="1">
      <alignment vertical="top"/>
    </xf>
    <xf numFmtId="49" fontId="105"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8" fillId="0" borderId="0" xfId="0" applyFont="1" applyNumberFormat="1">
      <alignment vertical="center" wrapText="1"/>
    </xf>
    <xf numFmtId="0" fontId="22" fillId="0" borderId="0" xfId="0" applyFont="1" applyNumberFormat="1">
      <alignment horizontal="left" vertical="center" wrapText="1"/>
    </xf>
    <xf numFmtId="0" fontId="45"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0" fontId="22" fillId="0" borderId="0" xfId="0" applyFont="1" applyNumberFormat="1">
      <alignment horizontal="right"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22" fillId="0" borderId="13" xfId="0" applyFont="1" applyBorder="1" applyNumberFormat="1">
      <alignment horizontal="center" vertical="center"/>
    </xf>
    <xf numFmtId="0" fontId="22" fillId="0" borderId="0" xfId="0" applyFont="1" applyNumberFormat="1">
      <alignment horizontal="center" vertical="center"/>
    </xf>
    <xf numFmtId="0" fontId="22" fillId="36" borderId="13" xfId="0" applyFont="1" applyFill="1" applyBorder="1" applyNumberFormat="1">
      <alignment horizontal="left" vertical="center" wrapText="1"/>
    </xf>
    <xf numFmtId="0" fontId="22" fillId="0" borderId="13" xfId="0" applyFont="1" applyBorder="1" applyNumberFormat="1">
      <alignment vertical="center" wrapText="1"/>
    </xf>
    <xf numFmtId="0" fontId="22" fillId="0" borderId="15" xfId="0" applyFont="1" applyBorder="1" applyNumberFormat="1">
      <alignment horizontal="center" vertical="center"/>
    </xf>
    <xf numFmtId="0" fontId="22" fillId="0" borderId="0" xfId="0" applyFont="1" applyNumberFormat="1">
      <alignment horizontal="center" vertical="center" wrapText="1"/>
    </xf>
    <xf numFmtId="0" fontId="22" fillId="36" borderId="13" xfId="0" applyFont="1" applyFill="1" applyBorder="1" applyNumberFormat="1">
      <alignment horizontal="left" vertical="center" wrapText="1" inden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0" fontId="70" fillId="0" borderId="0" xfId="0" applyFont="1" applyNumberFormat="1">
      <alignment horizontal="left" vertical="center" indent="1"/>
    </xf>
    <xf numFmtId="0" fontId="70" fillId="0" borderId="0" xfId="0" applyFont="1" applyNumberFormat="1">
      <alignment horizontal="center" vertical="center"/>
    </xf>
    <xf numFmtId="0" fontId="70" fillId="0" borderId="0" xfId="0" applyFont="1" applyNumberFormat="1">
      <alignment horizontal="left" vertical="center" wrapText="1"/>
    </xf>
    <xf numFmtId="0" fontId="70" fillId="0" borderId="0" xfId="0" applyFont="1" applyNumberFormat="1">
      <alignment vertical="center" wrapText="1"/>
    </xf>
    <xf numFmtId="0" fontId="46" fillId="0" borderId="0" xfId="0" applyFont="1" applyNumberFormat="1">
      <alignment vertical="center"/>
    </xf>
    <xf numFmtId="49" fontId="70"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3"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8" xfId="0" applyFont="1" applyBorder="1" applyNumberFormat="1">
      <alignment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70" fillId="0" borderId="0" xfId="0" applyFont="1" applyNumberFormat="1">
      <alignment horizontal="left" vertical="center" indent="1"/>
    </xf>
    <xf numFmtId="0" fontId="70"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66" fontId="22"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46" fillId="0" borderId="18" xfId="0" applyFont="1" applyBorder="1" applyNumberFormat="1">
      <alignment horizontal="center" vertical="center" wrapText="1"/>
    </xf>
    <xf numFmtId="0" fontId="46" fillId="0" borderId="13" xfId="0" applyFont="1" applyBorder="1" applyNumberFormat="1">
      <alignment vertical="center" wrapText="1"/>
    </xf>
    <xf numFmtId="0" fontId="46" fillId="0" borderId="24" xfId="0" applyFont="1" applyBorder="1" applyNumberFormat="1">
      <alignment horizontal="center" vertical="center" wrapText="1"/>
    </xf>
    <xf numFmtId="0" fontId="4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22" fillId="0" borderId="0" xfId="0" applyFont="1" applyNumberFormat="1">
      <alignment vertical="center"/>
    </xf>
    <xf numFmtId="0" fontId="78" fillId="36" borderId="0" xfId="0" applyFont="1" applyFill="1" applyNumberFormat="1">
      <alignment horizontal="center" vertical="center" wrapText="1"/>
    </xf>
    <xf numFmtId="0" fontId="46" fillId="0" borderId="13" xfId="0" applyFont="1" applyBorder="1" applyNumberFormat="1">
      <alignment horizontal="left" vertical="center" wrapText="1"/>
    </xf>
    <xf numFmtId="0" fontId="46" fillId="0" borderId="13" xfId="0" applyFont="1" applyBorder="1" applyNumberFormat="1">
      <alignment horizontal="left" vertical="center" wrapText="1" indent="4"/>
    </xf>
    <xf numFmtId="0" fontId="46" fillId="0" borderId="13" xfId="0" applyFont="1" applyBorder="1" applyNumberFormat="1">
      <alignment horizontal="left" vertical="center" wrapText="1" indent="6"/>
    </xf>
    <xf numFmtId="0" fontId="46" fillId="0" borderId="15" xfId="0" applyFont="1" applyBorder="1" applyNumberFormat="1">
      <alignment horizontal="left" vertical="center" wrapText="1"/>
    </xf>
    <xf numFmtId="0" fontId="46" fillId="0" borderId="16" xfId="0" applyFont="1" applyBorder="1" applyNumberFormat="1">
      <alignment horizontal="left" vertical="center" wrapText="1"/>
    </xf>
    <xf numFmtId="0" fontId="46" fillId="0" borderId="14" xfId="0" applyFont="1" applyBorder="1" applyNumberFormat="1">
      <alignment horizontal="left" vertical="center" wrapText="1"/>
    </xf>
    <xf numFmtId="0" fontId="46" fillId="0" borderId="13" xfId="0" applyFont="1" applyBorder="1" applyNumberFormat="1">
      <alignment vertical="top" wrapText="1"/>
    </xf>
    <xf numFmtId="49" fontId="95" fillId="0" borderId="15" xfId="0" applyFont="1" applyBorder="1" applyNumberFormat="1">
      <alignment horizontal="left" vertical="center"/>
    </xf>
    <xf numFmtId="49" fontId="46" fillId="0" borderId="16" xfId="0" applyFont="1" applyBorder="1" applyNumberFormat="1">
      <alignment horizontal="left" vertical="center" indent="4"/>
    </xf>
    <xf numFmtId="49" fontId="46" fillId="0" borderId="16" xfId="0" applyFont="1" applyBorder="1" applyNumberFormat="1">
      <alignment horizontal="center" vertical="center" wrapText="1"/>
    </xf>
    <xf numFmtId="49" fontId="46" fillId="0" borderId="14" xfId="0" applyFont="1" applyBorder="1" applyNumberFormat="1">
      <alignment horizontal="center" vertical="center" wrapText="1"/>
    </xf>
    <xf numFmtId="49" fontId="46" fillId="0" borderId="0" xfId="0" applyFont="1" applyNumberFormat="1">
      <alignment vertical="center" wrapText="1"/>
    </xf>
    <xf numFmtId="0" fontId="45" fillId="0" borderId="0" xfId="0" applyFont="1" applyNumberFormat="1">
      <alignment vertical="top" wrapText="1"/>
    </xf>
    <xf numFmtId="0" fontId="22" fillId="36" borderId="18" xfId="0" applyFont="1" applyFill="1" applyBorder="1" applyNumberFormat="1">
      <alignment horizontal="left" vertical="center" wrapText="1"/>
    </xf>
    <xf numFmtId="0" fontId="22" fillId="36" borderId="18" xfId="0" applyFont="1" applyFill="1" applyBorder="1" applyNumberFormat="1">
      <alignment horizontal="left" vertical="center" wrapText="1" indent="2"/>
    </xf>
    <xf numFmtId="0" fontId="22" fillId="0" borderId="18" xfId="0" applyFont="1" applyBorder="1" applyNumberFormat="1">
      <alignment horizontal="left" vertical="center" wrapText="1" indent="6"/>
    </xf>
    <xf numFmtId="0" fontId="22" fillId="35" borderId="38" xfId="0" applyFont="1" applyFill="1" applyBorder="1" applyNumberFormat="1">
      <alignment horizontal="left" vertical="center" wrapText="1"/>
    </xf>
    <xf numFmtId="0" fontId="22" fillId="35" borderId="20" xfId="0" applyFont="1" applyFill="1" applyBorder="1" applyNumberFormat="1">
      <alignment horizontal="left" vertical="center" wrapText="1"/>
    </xf>
    <xf numFmtId="0" fontId="22" fillId="35" borderId="21" xfId="0" applyFont="1" applyFill="1" applyBorder="1" applyNumberFormat="1">
      <alignment horizontal="left" vertical="center" wrapText="1"/>
    </xf>
    <xf numFmtId="0" fontId="22" fillId="36" borderId="13" xfId="0" applyFont="1" applyFill="1" applyBorder="1" applyNumberFormat="1">
      <alignment horizontal="left" vertical="center" wrapText="1"/>
    </xf>
    <xf numFmtId="0" fontId="22" fillId="35" borderId="13" xfId="0" applyFont="1" applyFill="1" applyBorder="1" applyNumberFormat="1">
      <alignment horizontal="left" vertical="center" wrapText="1"/>
    </xf>
    <xf numFmtId="0" fontId="44" fillId="0" borderId="14" xfId="0" applyFont="1" applyBorder="1" applyNumberFormat="1">
      <alignment vertical="top" wrapText="1"/>
    </xf>
    <xf numFmtId="0" fontId="46" fillId="0" borderId="0" xfId="0" applyFont="1" applyNumberFormat="1">
      <alignment horizontal="center" vertical="center" wrapText="1"/>
    </xf>
    <xf numFmtId="0" fontId="46" fillId="0" borderId="13" xfId="0" applyFont="1" applyBorder="1" applyNumberFormat="1">
      <alignment horizontal="left" vertical="center" wrapText="1"/>
    </xf>
    <xf numFmtId="0" fontId="46" fillId="0" borderId="14" xfId="0" applyFont="1" applyBorder="1" applyNumberFormat="1">
      <alignment vertical="top" wrapText="1"/>
    </xf>
    <xf numFmtId="0" fontId="22" fillId="41" borderId="13" xfId="0" applyFont="1" applyFill="1" applyBorder="1" applyNumberFormat="1">
      <alignment horizontal="left" vertical="center" wrapText="1"/>
    </xf>
    <xf numFmtId="0" fontId="22" fillId="36" borderId="24" xfId="0" applyFont="1" applyFill="1" applyBorder="1" applyNumberFormat="1">
      <alignment horizontal="left" vertical="center" wrapText="1"/>
    </xf>
    <xf numFmtId="0" fontId="22" fillId="41" borderId="24" xfId="0" applyFont="1" applyFill="1" applyBorder="1" applyNumberFormat="1">
      <alignment horizontal="left" vertical="center" wrapText="1" indent="6"/>
    </xf>
    <xf numFmtId="0" fontId="22" fillId="0" borderId="24" xfId="0" applyFont="1" applyBorder="1" applyNumberFormat="1">
      <alignment horizontal="left" vertical="center" wrapText="1" indent="6"/>
    </xf>
    <xf numFmtId="4" fontId="22" fillId="37" borderId="24" xfId="0" applyFont="1" applyFill="1" applyBorder="1" applyNumberFormat="1">
      <alignment horizontal="right" vertical="center" wrapText="1"/>
      <protection locked="0"/>
    </xf>
    <xf numFmtId="166" fontId="22" fillId="37" borderId="24" xfId="0" applyFont="1" applyFill="1" applyBorder="1" applyNumberFormat="1">
      <alignment horizontal="right" vertical="center" wrapText="1"/>
      <protection locked="0"/>
    </xf>
    <xf numFmtId="168" fontId="0" fillId="40" borderId="24" xfId="0" applyFont="1" applyFill="1" applyBorder="1" applyNumberFormat="1">
      <alignment horizontal="center" vertical="center" wrapText="1"/>
      <protection locked="0"/>
    </xf>
    <xf numFmtId="0" fontId="22" fillId="0" borderId="0" xfId="0" applyFont="1" applyNumberFormat="1">
      <alignment horizontal="left" vertical="center" wrapText="1"/>
    </xf>
    <xf numFmtId="0" fontId="22" fillId="41" borderId="21" xfId="0" applyFont="1" applyFill="1" applyBorder="1" applyNumberFormat="1">
      <alignment horizontal="left" vertical="center" wrapText="1"/>
    </xf>
    <xf numFmtId="0" fontId="22" fillId="0" borderId="0" xfId="0" applyFont="1" applyNumberFormat="1">
      <alignment horizontal="center" vertical="center" wrapText="1"/>
    </xf>
    <xf numFmtId="166" fontId="22" fillId="37" borderId="15" xfId="0" applyFont="1" applyFill="1" applyBorder="1" applyNumberFormat="1">
      <alignment horizontal="right" vertical="center" wrapText="1"/>
      <protection locked="0"/>
    </xf>
    <xf numFmtId="4" fontId="22" fillId="37" borderId="14" xfId="0" applyFont="1" applyFill="1" applyBorder="1" applyNumberFormat="1">
      <alignment horizontal="right" vertical="center" wrapText="1"/>
      <protection locked="0"/>
    </xf>
    <xf numFmtId="0" fontId="44" fillId="0" borderId="18" xfId="0" applyFont="1" applyBorder="1" applyNumberFormat="1">
      <alignment vertical="top" wrapText="1"/>
    </xf>
    <xf numFmtId="0" fontId="22" fillId="37" borderId="13" xfId="0" applyFont="1" applyFill="1" applyBorder="1" applyNumberFormat="1">
      <alignment horizontal="left" vertical="center" wrapText="1" indent="7"/>
      <protection locked="0"/>
    </xf>
    <xf numFmtId="4" fontId="46" fillId="0" borderId="15" xfId="0" applyFont="1" applyBorder="1" applyNumberFormat="1">
      <alignment horizontal="center" vertical="center" wrapText="1"/>
    </xf>
    <xf numFmtId="4" fontId="22" fillId="0" borderId="14" xfId="0" applyFont="1" applyBorder="1" applyNumberFormat="1">
      <alignment horizontal="right" vertical="center" wrapText="1"/>
    </xf>
    <xf numFmtId="0" fontId="22" fillId="38" borderId="16" xfId="0" applyFont="1" applyFill="1" applyBorder="1" applyNumberFormat="1">
      <alignment horizontal="left" vertical="center" wrapText="1" indent="6"/>
    </xf>
    <xf numFmtId="4" fontId="22" fillId="38" borderId="16" xfId="0" applyFont="1" applyFill="1" applyBorder="1" applyNumberFormat="1">
      <alignment horizontal="right" vertical="center" wrapText="1"/>
    </xf>
    <xf numFmtId="4" fontId="46" fillId="38" borderId="16" xfId="0" applyFont="1" applyFill="1" applyBorder="1" applyNumberFormat="1">
      <alignment horizontal="center" vertical="center" wrapText="1"/>
    </xf>
    <xf numFmtId="4" fontId="22" fillId="38" borderId="14" xfId="0" applyFont="1" applyFill="1" applyBorder="1" applyNumberFormat="1">
      <alignment horizontal="right" vertical="center" wrapText="1"/>
    </xf>
    <xf numFmtId="49" fontId="22" fillId="38" borderId="28"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20" xfId="0" applyFont="1" applyBorder="1" applyNumberFormat="1">
      <alignment horizontal="center" vertical="center" wrapText="1"/>
    </xf>
    <xf numFmtId="0" fontId="22" fillId="0" borderId="28" xfId="0" applyFont="1" applyBorder="1" applyNumberFormat="1">
      <alignment horizontal="center" vertical="center" wrapText="1"/>
    </xf>
    <xf numFmtId="0" fontId="0" fillId="0" borderId="37" xfId="0" applyFont="1" applyBorder="1" applyNumberFormat="1">
      <alignment horizontal="center" vertical="center" wrapText="1"/>
    </xf>
    <xf numFmtId="49" fontId="45" fillId="0" borderId="0" xfId="0" applyFont="1" applyNumberFormat="1">
      <alignment vertical="center" wrapText="1"/>
    </xf>
    <xf numFmtId="0" fontId="45" fillId="0" borderId="0" xfId="0" applyFont="1" applyNumberFormat="1">
      <alignment horizontal="center" vertical="center" wrapText="1"/>
    </xf>
    <xf numFmtId="0" fontId="54" fillId="36" borderId="0" xfId="0" applyFont="1" applyFill="1" applyNumberFormat="1">
      <alignment horizontal="center" vertical="center" wrapText="1"/>
    </xf>
    <xf numFmtId="0" fontId="46" fillId="0" borderId="13" xfId="0" applyFont="1" applyBorder="1" applyNumberFormat="1">
      <alignment horizontal="left" vertical="center" wrapText="1" indent="5"/>
    </xf>
    <xf numFmtId="0" fontId="46" fillId="0" borderId="25" xfId="0" applyFont="1" applyBorder="1" applyNumberFormat="1">
      <alignment horizontal="center" vertical="top" wrapText="1"/>
    </xf>
    <xf numFmtId="0" fontId="22" fillId="36" borderId="18" xfId="0" applyFont="1" applyFill="1" applyBorder="1" applyNumberFormat="1">
      <alignment horizontal="left" vertical="center" wrapText="1"/>
    </xf>
    <xf numFmtId="49" fontId="22" fillId="40" borderId="18" xfId="0" applyFont="1" applyFill="1" applyBorder="1" applyNumberFormat="1">
      <alignment horizontal="left" vertical="center" wrapText="1" indent="6"/>
      <protection locked="0"/>
    </xf>
    <xf numFmtId="0" fontId="36" fillId="0" borderId="13" xfId="0" applyFont="1" applyBorder="1" applyNumberFormat="1">
      <alignment horizontal="center" vertical="center" wrapText="1"/>
    </xf>
    <xf numFmtId="49" fontId="22" fillId="41" borderId="13" xfId="0" applyFont="1" applyFill="1" applyBorder="1" applyNumberFormat="1">
      <alignment horizontal="left" vertical="center" wrapText="1" indent="1"/>
    </xf>
    <xf numFmtId="0" fontId="22" fillId="0" borderId="13" xfId="0" applyFont="1" applyBorder="1" applyNumberFormat="1">
      <alignment horizontal="left" vertical="center" wrapText="1" indent="4"/>
    </xf>
    <xf numFmtId="49" fontId="22" fillId="36" borderId="13" xfId="0" applyFont="1" applyFill="1" applyBorder="1" applyNumberFormat="1">
      <alignment horizontal="center" vertical="center" wrapText="1"/>
    </xf>
    <xf numFmtId="0" fontId="22" fillId="41" borderId="13" xfId="0" applyFont="1" applyFill="1" applyBorder="1" applyNumberFormat="1">
      <alignment horizontal="left" vertical="center" wrapText="1" indent="1"/>
    </xf>
    <xf numFmtId="168" fontId="0" fillId="40" borderId="13" xfId="0" applyFont="1" applyFill="1" applyBorder="1" applyNumberFormat="1">
      <alignment horizontal="center" vertical="center" wrapText="1"/>
      <protection locked="0"/>
    </xf>
    <xf numFmtId="49" fontId="22" fillId="41" borderId="13" xfId="0" applyFont="1" applyFill="1" applyBorder="1" applyNumberFormat="1">
      <alignment horizontal="center" vertical="center" wrapText="1"/>
    </xf>
    <xf numFmtId="0" fontId="22" fillId="36" borderId="37" xfId="0" applyFont="1" applyFill="1" applyBorder="1" applyNumberFormat="1">
      <alignment horizontal="left" vertical="center" wrapText="1"/>
    </xf>
    <xf numFmtId="49" fontId="22" fillId="40" borderId="37" xfId="0" applyFont="1" applyFill="1" applyBorder="1" applyNumberFormat="1">
      <alignment horizontal="left" vertical="center" wrapText="1" indent="6"/>
      <protection locked="0"/>
    </xf>
    <xf numFmtId="166" fontId="22" fillId="38" borderId="14" xfId="0" applyFont="1" applyFill="1" applyBorder="1" applyNumberFormat="1">
      <alignment horizontal="right" vertical="center" wrapText="1"/>
    </xf>
    <xf numFmtId="49" fontId="39" fillId="38" borderId="15" xfId="0" applyFont="1" applyFill="1" applyBorder="1" applyNumberFormat="1">
      <alignment horizontal="left" vertical="center"/>
    </xf>
    <xf numFmtId="166" fontId="22" fillId="38" borderId="16" xfId="0" applyFont="1" applyFill="1" applyBorder="1" applyNumberFormat="1">
      <alignment horizontal="right" vertical="center" wrapText="1"/>
    </xf>
    <xf numFmtId="4" fontId="22" fillId="0" borderId="37" xfId="0" applyFont="1" applyBorder="1" applyNumberFormat="1">
      <alignment horizontal="right" vertical="center" wrapText="1"/>
    </xf>
    <xf numFmtId="49" fontId="39" fillId="38" borderId="15" xfId="0" applyFont="1" applyFill="1" applyBorder="1" applyNumberFormat="1">
      <alignment horizontal="left" vertical="center" indent="1"/>
    </xf>
    <xf numFmtId="0" fontId="22" fillId="36" borderId="24" xfId="0" applyFont="1" applyFill="1" applyBorder="1" applyNumberFormat="1">
      <alignment horizontal="left" vertical="center" wrapText="1"/>
    </xf>
    <xf numFmtId="49" fontId="22" fillId="40" borderId="24" xfId="0" applyFont="1" applyFill="1" applyBorder="1" applyNumberFormat="1">
      <alignment horizontal="left" vertical="center" wrapText="1" indent="6"/>
      <protection locked="0"/>
    </xf>
    <xf numFmtId="4" fontId="46" fillId="38" borderId="14" xfId="0" applyFont="1" applyFill="1" applyBorder="1" applyNumberFormat="1">
      <alignment horizontal="center" vertical="center" wrapText="1"/>
    </xf>
    <xf numFmtId="49" fontId="39" fillId="38" borderId="15" xfId="0" applyFont="1" applyFill="1" applyBorder="1" applyNumberFormat="1">
      <alignment vertical="center" wrapText="1"/>
    </xf>
    <xf numFmtId="49" fontId="39" fillId="38" borderId="16" xfId="0" applyFont="1" applyFill="1" applyBorder="1" applyNumberFormat="1">
      <alignment vertical="center" wrapText="1"/>
    </xf>
    <xf numFmtId="49" fontId="46" fillId="0" borderId="25" xfId="0" applyFont="1" applyBorder="1" applyNumberFormat="1">
      <alignment vertical="top"/>
    </xf>
    <xf numFmtId="0" fontId="109" fillId="0" borderId="0" xfId="0" applyFont="1" applyNumberFormat="1">
      <alignment horizontal="center" vertical="center" wrapText="1"/>
    </xf>
    <xf numFmtId="49" fontId="46" fillId="0" borderId="0" xfId="0" applyFont="1" applyNumberFormat="1">
      <alignment horizontal="center" vertical="center" wrapText="1"/>
    </xf>
    <xf numFmtId="49" fontId="46" fillId="0" borderId="0" xfId="0" applyFont="1" applyNumberFormat="1">
      <alignment horizontal="left" vertical="center" wrapText="1" indent="1"/>
    </xf>
    <xf numFmtId="0" fontId="46" fillId="0" borderId="0" xfId="0" applyFont="1" applyNumberFormat="1">
      <alignment horizontal="left" vertical="center" wrapText="1" indent="4"/>
    </xf>
    <xf numFmtId="0" fontId="46" fillId="0" borderId="25" xfId="0" applyFont="1" applyBorder="1" applyNumberFormat="1">
      <alignment horizontal="left" vertical="center" wrapText="1" indent="1"/>
    </xf>
    <xf numFmtId="4" fontId="46" fillId="0" borderId="13" xfId="0" applyFont="1" applyBorder="1" applyNumberFormat="1">
      <alignment horizontal="right" vertical="center" wrapText="1"/>
    </xf>
    <xf numFmtId="166" fontId="46" fillId="0" borderId="13" xfId="0" applyFont="1" applyBorder="1" applyNumberFormat="1">
      <alignment horizontal="right" vertical="center" wrapText="1"/>
    </xf>
    <xf numFmtId="168" fontId="46" fillId="0" borderId="13" xfId="0" applyFont="1" applyBorder="1" applyNumberFormat="1">
      <alignment horizontal="center" vertical="center" wrapText="1"/>
    </xf>
    <xf numFmtId="49" fontId="46" fillId="0" borderId="13" xfId="0" applyFont="1" applyBorder="1" applyNumberFormat="1">
      <alignment horizontal="center" vertical="center" wrapText="1"/>
    </xf>
    <xf numFmtId="0" fontId="45" fillId="0" borderId="0" xfId="0" applyFont="1" applyNumberFormat="1">
      <alignment horizontal="left" vertical="center"/>
    </xf>
    <xf numFmtId="49" fontId="45" fillId="0" borderId="0" xfId="0" applyFont="1" applyNumberFormat="1">
      <alignment horizontal="left" vertical="center"/>
    </xf>
    <xf numFmtId="0" fontId="67" fillId="0" borderId="0" xfId="0" applyFont="1" applyNumberFormat="1">
      <alignment horizontal="left" vertical="center"/>
    </xf>
    <xf numFmtId="0" fontId="45" fillId="0" borderId="0" xfId="0" applyFont="1" applyNumberFormat="1">
      <alignment horizontal="left" vertical="center"/>
    </xf>
    <xf numFmtId="0" fontId="46" fillId="0" borderId="0" xfId="0" applyFont="1" applyNumberFormat="1">
      <alignment horizontal="left" vertical="center"/>
    </xf>
    <xf numFmtId="0" fontId="67" fillId="36" borderId="0" xfId="0" applyFont="1" applyFill="1" applyNumberFormat="1">
      <alignment vertical="center" wrapText="1"/>
    </xf>
    <xf numFmtId="0" fontId="22" fillId="36" borderId="3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22" fillId="36" borderId="23"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0" borderId="13" xfId="0" applyFont="1" applyFill="1" applyBorder="1" applyNumberFormat="1">
      <alignment horizontal="center" vertical="center" wrapText="1"/>
      <protection locked="0"/>
    </xf>
    <xf numFmtId="0" fontId="22" fillId="36" borderId="13" xfId="0" applyFont="1" applyFill="1" applyBorder="1" applyNumberFormat="1">
      <alignment horizontal="center" vertical="center" wrapText="1"/>
    </xf>
    <xf numFmtId="0" fontId="22" fillId="36" borderId="31"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30" xfId="0" applyFont="1" applyFill="1" applyBorder="1" applyNumberFormat="1">
      <alignment horizontal="center" vertical="center" wrapText="1"/>
    </xf>
    <xf numFmtId="0" fontId="22" fillId="36" borderId="24" xfId="0" applyFont="1" applyFill="1" applyBorder="1" applyNumberFormat="1">
      <alignment horizontal="center" vertical="center" wrapText="1"/>
    </xf>
    <xf numFmtId="49" fontId="22" fillId="0" borderId="13" xfId="0" applyFont="1" applyBorder="1" applyNumberFormat="1">
      <alignment horizontal="left" vertical="center" wrapText="1" indent="1"/>
    </xf>
    <xf numFmtId="0" fontId="22" fillId="0" borderId="13" xfId="0" applyFont="1" applyBorder="1" applyNumberFormat="1">
      <alignment horizontal="left" vertical="center" wrapText="1" indent="1"/>
    </xf>
    <xf numFmtId="49" fontId="22" fillId="38" borderId="15" xfId="0" applyFont="1" applyFill="1" applyBorder="1" applyNumberFormat="1">
      <alignment horizontal="center" vertical="center" wrapText="1"/>
    </xf>
    <xf numFmtId="49" fontId="70" fillId="0" borderId="25" xfId="0" applyFont="1" applyBorder="1" applyNumberFormat="1">
      <alignment vertical="top"/>
    </xf>
    <xf numFmtId="0" fontId="22" fillId="0" borderId="0" xfId="0" applyFont="1" applyNumberFormat="1">
      <alignment horizontal="left" vertical="top"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0" fontId="22" fillId="37" borderId="15" xfId="0" applyFont="1" applyFill="1" applyBorder="1" applyNumberFormat="1">
      <alignment horizontal="left" vertical="center" wrapText="1"/>
      <protection locked="0"/>
    </xf>
    <xf numFmtId="0" fontId="22" fillId="37" borderId="16" xfId="0" applyFont="1" applyFill="1" applyBorder="1" applyNumberFormat="1">
      <alignment horizontal="left" vertical="center" wrapText="1"/>
      <protection locked="0"/>
    </xf>
    <xf numFmtId="0" fontId="22" fillId="37" borderId="14" xfId="0" applyFont="1" applyFill="1" applyBorder="1" applyNumberFormat="1">
      <alignment horizontal="left" vertical="center" wrapText="1"/>
      <protection locked="0"/>
    </xf>
    <xf numFmtId="49" fontId="22" fillId="37" borderId="15" xfId="0" applyFont="1" applyFill="1" applyBorder="1" applyNumberFormat="1">
      <alignment horizontal="left" vertical="center" wrapText="1"/>
      <protection locked="0"/>
    </xf>
    <xf numFmtId="49" fontId="22" fillId="37" borderId="16" xfId="0" applyFont="1" applyFill="1" applyBorder="1" applyNumberFormat="1">
      <alignment horizontal="left" vertical="center" wrapText="1"/>
      <protection locked="0"/>
    </xf>
    <xf numFmtId="49" fontId="22" fillId="37" borderId="14" xfId="0" applyFont="1" applyFill="1" applyBorder="1" applyNumberFormat="1">
      <alignment horizontal="left" vertical="center" wrapText="1"/>
      <protection locked="0"/>
    </xf>
    <xf numFmtId="49" fontId="22" fillId="37" borderId="13" xfId="0" applyFont="1" applyFill="1" applyBorder="1" applyNumberFormat="1">
      <alignment horizontal="left" vertical="center" wrapText="1" indent="6"/>
      <protection locked="0"/>
    </xf>
    <xf numFmtId="4" fontId="22" fillId="0" borderId="38" xfId="0" applyFont="1" applyBorder="1" applyNumberFormat="1">
      <alignment horizontal="right" vertical="center" wrapText="1"/>
    </xf>
    <xf numFmtId="0" fontId="44" fillId="0" borderId="13" xfId="0" applyFont="1" applyBorder="1" applyNumberFormat="1">
      <alignment horizontal="left" vertical="top" wrapText="1"/>
    </xf>
    <xf numFmtId="49" fontId="22" fillId="0" borderId="13" xfId="0" applyFont="1" applyBorder="1" applyNumberFormat="1">
      <alignment horizontal="left" vertical="center" wrapText="1"/>
    </xf>
    <xf numFmtId="4" fontId="22" fillId="0" borderId="31" xfId="0" applyFont="1" applyBorder="1" applyNumberFormat="1">
      <alignment horizontal="right" vertical="center" wrapText="1"/>
    </xf>
    <xf numFmtId="49" fontId="0" fillId="38" borderId="30" xfId="0" applyFont="1" applyFill="1" applyBorder="1" applyNumberFormat="1">
      <alignment horizontal="center" vertical="center" wrapText="1"/>
    </xf>
    <xf numFmtId="49" fontId="39" fillId="38" borderId="16" xfId="0" applyFont="1" applyFill="1" applyBorder="1" applyNumberFormat="1">
      <alignment horizontal="left" vertical="center" indent="3"/>
    </xf>
    <xf numFmtId="0" fontId="46" fillId="0" borderId="0" xfId="0" applyFont="1" applyNumberFormat="1">
      <alignment horizontal="center" vertical="center"/>
    </xf>
    <xf numFmtId="0" fontId="45" fillId="0" borderId="0" xfId="0" applyFont="1" applyNumberFormat="1">
      <alignment horizontal="center" vertical="center" wrapText="1"/>
    </xf>
    <xf numFmtId="0" fontId="108" fillId="0" borderId="0" xfId="0" applyFont="1" applyNumberFormat="1">
      <alignment vertical="center" wrapText="1"/>
    </xf>
    <xf numFmtId="0" fontId="22" fillId="0" borderId="0" xfId="0" applyFont="1" applyNumberFormat="1">
      <alignment horizontal="right" vertical="center" wrapText="1"/>
    </xf>
    <xf numFmtId="0" fontId="22"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49" fontId="22" fillId="0" borderId="0" xfId="0" applyFont="1" applyNumberFormat="1">
      <alignment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0" fontId="46" fillId="0" borderId="0" xfId="0" applyFont="1" applyNumberFormat="1">
      <alignment horizontal="center" vertical="center"/>
    </xf>
    <xf numFmtId="0" fontId="45" fillId="0" borderId="0" xfId="0" applyFont="1" applyNumberFormat="1">
      <alignment horizontal="center" vertical="center" wrapText="1"/>
    </xf>
    <xf numFmtId="0" fontId="22" fillId="0" borderId="0" xfId="0" applyFont="1" applyNumberFormat="1">
      <alignment horizontal="right" vertical="center" wrapText="1"/>
    </xf>
    <xf numFmtId="0" fontId="22"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49" fontId="22" fillId="0" borderId="0" xfId="0" applyFont="1" applyNumberFormat="1">
      <alignment vertical="center" wrapText="1"/>
    </xf>
    <xf numFmtId="0" fontId="22" fillId="35" borderId="16" xfId="0" applyFont="1" applyFill="1" applyBorder="1" applyNumberFormat="1">
      <alignment horizontal="left" vertical="center" wrapText="1"/>
    </xf>
    <xf numFmtId="0" fontId="45" fillId="0" borderId="0" xfId="0" applyFont="1" applyNumberFormat="1">
      <alignment horizontal="center" vertical="center" wrapText="1"/>
    </xf>
    <xf numFmtId="0" fontId="46" fillId="0" borderId="16" xfId="0" applyFont="1" applyBorder="1" applyNumberFormat="1">
      <alignment horizontal="left" vertical="center" wrapText="1"/>
    </xf>
    <xf numFmtId="0" fontId="22" fillId="0" borderId="13" xfId="0" applyFont="1" applyBorder="1" applyNumberFormat="1">
      <alignment horizontal="center" vertical="center" wrapText="1"/>
    </xf>
    <xf numFmtId="0" fontId="46" fillId="0" borderId="25" xfId="0" applyFont="1" applyBorder="1" applyNumberFormat="1">
      <alignment horizontal="center" vertical="top" wrapText="1"/>
    </xf>
    <xf numFmtId="0" fontId="22" fillId="36" borderId="18" xfId="0" applyFont="1" applyFill="1" applyBorder="1" applyNumberFormat="1">
      <alignment horizontal="left" vertical="center" wrapText="1"/>
    </xf>
    <xf numFmtId="49" fontId="22" fillId="40" borderId="18" xfId="0" applyFont="1" applyFill="1" applyBorder="1" applyNumberFormat="1">
      <alignment horizontal="left" vertical="center" wrapText="1" indent="6"/>
      <protection locked="0"/>
    </xf>
    <xf numFmtId="168" fontId="0" fillId="40" borderId="13" xfId="0" applyFont="1" applyFill="1" applyBorder="1" applyNumberFormat="1">
      <alignment horizontal="center" vertical="center" wrapText="1"/>
      <protection locked="0"/>
    </xf>
    <xf numFmtId="49" fontId="22" fillId="41" borderId="13" xfId="0" applyFont="1" applyFill="1" applyBorder="1" applyNumberFormat="1">
      <alignment horizontal="center" vertical="center" wrapText="1"/>
    </xf>
    <xf numFmtId="49" fontId="22" fillId="37" borderId="18" xfId="0" applyFont="1" applyFill="1" applyBorder="1" applyNumberFormat="1">
      <alignment horizontal="left" vertical="center" wrapText="1" indent="6"/>
      <protection locked="0"/>
    </xf>
    <xf numFmtId="4" fontId="22" fillId="40" borderId="13" xfId="0" applyFont="1" applyFill="1" applyBorder="1" applyNumberFormat="1">
      <alignment horizontal="left" vertical="center" wrapText="1" indent="1"/>
      <protection locked="0"/>
    </xf>
    <xf numFmtId="168" fontId="0" fillId="40" borderId="13" xfId="0" applyFont="1" applyFill="1" applyBorder="1" applyNumberFormat="1">
      <alignment horizontal="center" vertical="center" wrapText="1"/>
      <protection locked="0"/>
    </xf>
    <xf numFmtId="49" fontId="22" fillId="41" borderId="13" xfId="0" applyFont="1" applyFill="1" applyBorder="1" applyNumberFormat="1">
      <alignment horizontal="center" vertical="center" wrapText="1"/>
    </xf>
    <xf numFmtId="49" fontId="46" fillId="0" borderId="13"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6" fillId="0" borderId="28" xfId="0" applyFont="1" applyBorder="1" applyNumberFormat="1">
      <alignment horizontal="center" vertical="center" wrapText="1"/>
    </xf>
    <xf numFmtId="0" fontId="22" fillId="40" borderId="14" xfId="0" applyFont="1" applyFill="1" applyBorder="1" applyNumberFormat="1">
      <alignment horizontal="center" vertical="center" wrapText="1"/>
      <protection locked="0"/>
    </xf>
    <xf numFmtId="0" fontId="22" fillId="36" borderId="13" xfId="0" applyFont="1" applyFill="1" applyBorder="1" applyNumberFormat="1">
      <alignment horizontal="center" vertical="center" wrapText="1"/>
    </xf>
    <xf numFmtId="0" fontId="22" fillId="36" borderId="30" xfId="0" applyFont="1" applyFill="1" applyBorder="1" applyNumberFormat="1">
      <alignment horizontal="center" vertical="center" wrapText="1"/>
    </xf>
    <xf numFmtId="0" fontId="22" fillId="36" borderId="24"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36" borderId="18" xfId="0" applyFont="1" applyFill="1" applyBorder="1" applyNumberFormat="1">
      <alignment horizontal="left" vertical="center" wrapText="1"/>
    </xf>
    <xf numFmtId="49" fontId="22" fillId="40" borderId="18" xfId="0" applyFont="1" applyFill="1" applyBorder="1" applyNumberFormat="1">
      <alignment horizontal="left" vertical="center" wrapText="1" indent="6"/>
      <protection locked="0"/>
    </xf>
    <xf numFmtId="49" fontId="22" fillId="37" borderId="18" xfId="0" applyFont="1" applyFill="1" applyBorder="1" applyNumberFormat="1">
      <alignment horizontal="left" vertical="center" wrapText="1" indent="6"/>
      <protection locked="0"/>
    </xf>
    <xf numFmtId="4" fontId="22" fillId="40" borderId="13"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6" borderId="13" xfId="0" applyFont="1" applyFill="1" applyBorder="1" applyNumberFormat="1">
      <alignment horizontal="left" vertical="center" wrapText="1"/>
    </xf>
    <xf numFmtId="0" fontId="109" fillId="0" borderId="0" xfId="0" applyFont="1" applyNumberFormat="1">
      <alignment vertical="center" wrapText="1"/>
    </xf>
    <xf numFmtId="0" fontId="109" fillId="36" borderId="0" xfId="0" applyFont="1" applyFill="1" applyNumberFormat="1">
      <alignment horizontal="center" vertical="center" wrapText="1"/>
    </xf>
    <xf numFmtId="0" fontId="46" fillId="36" borderId="13" xfId="0" applyFont="1" applyFill="1" applyBorder="1" applyNumberFormat="1">
      <alignment horizontal="left" vertical="center" wrapText="1" indent="3"/>
    </xf>
    <xf numFmtId="0" fontId="46" fillId="0" borderId="0" xfId="0" applyFont="1" applyNumberFormat="1">
      <alignment horizontal="center" vertical="center" wrapText="1"/>
    </xf>
    <xf numFmtId="49" fontId="22" fillId="37" borderId="18" xfId="0" applyFont="1" applyFill="1" applyBorder="1" applyNumberFormat="1">
      <alignment horizontal="left" vertical="center" wrapText="1" indent="6"/>
      <protection locked="0"/>
    </xf>
    <xf numFmtId="4" fontId="22" fillId="40" borderId="13" xfId="0" applyFont="1" applyFill="1" applyBorder="1" applyNumberFormat="1">
      <alignment horizontal="left" vertical="center" wrapText="1" indent="1"/>
      <protection locked="0"/>
    </xf>
    <xf numFmtId="4" fontId="22" fillId="40" borderId="13" xfId="0" applyFont="1" applyFill="1" applyBorder="1" applyNumberFormat="1">
      <alignment horizontal="center" vertical="center" wrapText="1"/>
      <protection locked="0"/>
    </xf>
    <xf numFmtId="49" fontId="22" fillId="41" borderId="21" xfId="0" applyFont="1" applyFill="1" applyBorder="1" applyNumberFormat="1">
      <alignment horizontal="center" vertical="center" wrapText="1"/>
    </xf>
    <xf numFmtId="49" fontId="22" fillId="36" borderId="13" xfId="0" applyFont="1" applyFill="1" applyBorder="1" applyNumberFormat="1">
      <alignment horizontal="center" vertical="center" wrapText="1"/>
    </xf>
    <xf numFmtId="49" fontId="22" fillId="40" borderId="13" xfId="0" applyFont="1" applyFill="1" applyBorder="1" applyNumberFormat="1">
      <alignment horizontal="left" vertical="center" wrapText="1" indent="1"/>
      <protection locked="0"/>
    </xf>
    <xf numFmtId="49" fontId="22" fillId="37" borderId="37" xfId="0" applyFont="1" applyFill="1" applyBorder="1" applyNumberFormat="1">
      <alignment horizontal="left" vertical="center" wrapText="1" indent="6"/>
      <protection locked="0"/>
    </xf>
    <xf numFmtId="49" fontId="22" fillId="41" borderId="30" xfId="0" applyFont="1" applyFill="1" applyBorder="1" applyNumberFormat="1">
      <alignment horizontal="center" vertical="center" wrapText="1"/>
    </xf>
    <xf numFmtId="49" fontId="39" fillId="38" borderId="28" xfId="0" applyFont="1" applyFill="1" applyBorder="1" applyNumberFormat="1">
      <alignment horizontal="left" vertical="center"/>
    </xf>
    <xf numFmtId="49" fontId="22" fillId="37" borderId="24" xfId="0" applyFont="1" applyFill="1" applyBorder="1" applyNumberFormat="1">
      <alignment horizontal="left" vertical="center" wrapText="1" indent="6"/>
      <protection locked="0"/>
    </xf>
    <xf numFmtId="0" fontId="46" fillId="0" borderId="0" xfId="0" applyFont="1" applyNumberFormat="1">
      <alignment horizontal="center" vertical="center"/>
    </xf>
    <xf numFmtId="0" fontId="46" fillId="0" borderId="0" xfId="0" applyFont="1" applyNumberFormat="1">
      <alignment horizontal="left" vertical="center" wrapText="1" indent="1"/>
    </xf>
    <xf numFmtId="0" fontId="22" fillId="36" borderId="13" xfId="0" applyFont="1" applyFill="1" applyBorder="1" applyNumberFormat="1">
      <alignment horizontal="center" vertical="center" wrapText="1"/>
    </xf>
    <xf numFmtId="0" fontId="46" fillId="0" borderId="20" xfId="0" applyFont="1" applyBorder="1" applyNumberFormat="1">
      <alignment horizontal="left" vertical="center" wrapText="1"/>
    </xf>
    <xf numFmtId="0" fontId="22" fillId="0" borderId="0" xfId="0" applyFont="1" applyNumberFormat="1">
      <alignment horizontal="left" vertical="top" wrapText="1"/>
    </xf>
    <xf numFmtId="0" fontId="45" fillId="0" borderId="0" xfId="0" applyFont="1" applyNumberFormat="1">
      <alignment horizontal="center"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0" fontId="46" fillId="0" borderId="0" xfId="0" applyFont="1" applyNumberFormat="1">
      <alignment horizontal="center" vertical="center"/>
    </xf>
    <xf numFmtId="0" fontId="45" fillId="0" borderId="0" xfId="0" applyFont="1" applyNumberFormat="1">
      <alignment horizontal="center" vertical="center" wrapText="1"/>
    </xf>
    <xf numFmtId="0" fontId="22" fillId="0" borderId="0" xfId="0" applyFont="1" applyNumberFormat="1">
      <alignment horizontal="right" vertical="center" wrapText="1"/>
    </xf>
    <xf numFmtId="0" fontId="22"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49" fontId="22" fillId="0" borderId="0" xfId="0" applyFont="1" applyNumberFormat="1">
      <alignment vertical="center" wrapText="1"/>
    </xf>
    <xf numFmtId="49" fontId="22" fillId="41" borderId="13" xfId="0" applyFont="1" applyFill="1" applyBorder="1" applyNumberFormat="1">
      <alignment horizontal="center" vertical="center" wrapText="1"/>
    </xf>
    <xf numFmtId="49" fontId="22" fillId="36" borderId="13" xfId="0" applyFont="1" applyFill="1" applyBorder="1" applyNumberFormat="1">
      <alignment horizontal="center" vertical="center" wrapText="1"/>
    </xf>
    <xf numFmtId="49" fontId="22" fillId="40" borderId="13" xfId="0" applyFont="1" applyFill="1" applyBorder="1" applyNumberFormat="1">
      <alignment horizontal="left" vertical="center" wrapText="1" indent="1"/>
      <protection locked="0"/>
    </xf>
    <xf numFmtId="49" fontId="46" fillId="0" borderId="13" xfId="0" applyFont="1" applyBorder="1" applyNumberFormat="1">
      <alignment horizontal="center" vertical="center" wrapText="1"/>
    </xf>
    <xf numFmtId="0" fontId="22" fillId="36" borderId="13" xfId="0" applyFont="1" applyFill="1" applyBorder="1" applyNumberFormat="1">
      <alignment horizontal="center" vertical="center" wrapText="1"/>
    </xf>
    <xf numFmtId="0" fontId="22" fillId="0" borderId="0" xfId="0" applyFont="1" applyNumberFormat="1">
      <alignment horizontal="left" vertical="top" wrapText="1"/>
    </xf>
    <xf numFmtId="49" fontId="22" fillId="36" borderId="13" xfId="0" applyFont="1" applyFill="1" applyBorder="1" applyNumberFormat="1">
      <alignment horizontal="center" vertical="center" wrapText="1"/>
    </xf>
    <xf numFmtId="0" fontId="45" fillId="0" borderId="0" xfId="0" applyFont="1" applyNumberFormat="1">
      <alignment horizontal="center" vertical="center" wrapText="1"/>
    </xf>
    <xf numFmtId="49" fontId="22" fillId="36" borderId="13" xfId="0" applyFont="1" applyFill="1" applyBorder="1" applyNumberFormat="1">
      <alignment horizontal="center" vertical="center" wrapText="1"/>
    </xf>
    <xf numFmtId="0" fontId="45" fillId="0" borderId="0" xfId="0" applyFont="1" applyNumberFormat="1">
      <alignment horizontal="center" vertical="center" wrapText="1"/>
    </xf>
    <xf numFmtId="49" fontId="22" fillId="0" borderId="0" xfId="0" applyFont="1" applyNumberFormat="1">
      <alignment vertical="center" wrapText="1"/>
    </xf>
    <xf numFmtId="0" fontId="78" fillId="36" borderId="20" xfId="0" applyFont="1" applyFill="1" applyBorder="1" applyNumberFormat="1">
      <alignment horizontal="center" vertical="center" wrapText="1"/>
    </xf>
    <xf numFmtId="0" fontId="22" fillId="0" borderId="0" xfId="0" applyFont="1" applyNumberFormat="1">
      <alignment vertical="center" wrapText="1"/>
    </xf>
    <xf numFmtId="49" fontId="46"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9" xfId="0" applyFont="1" applyBorder="1" applyNumberFormat="1">
      <alignment horizontal="center" vertical="center" wrapText="1"/>
    </xf>
    <xf numFmtId="0" fontId="22" fillId="40" borderId="13" xfId="0" applyFont="1" applyFill="1" applyBorder="1" applyNumberFormat="1">
      <alignment horizontal="left" vertical="center" wrapText="1" indent="2"/>
      <protection locked="0"/>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vertical="center" wrapText="1"/>
    </xf>
    <xf numFmtId="0" fontId="82" fillId="0" borderId="0" xfId="0" applyFont="1" applyNumberFormat="1">
      <alignment vertical="center" wrapText="1"/>
    </xf>
    <xf numFmtId="0" fontId="46" fillId="0" borderId="29" xfId="0" applyFont="1" applyBorder="1" applyNumberFormat="1">
      <alignment horizontal="center" vertical="center" wrapText="1"/>
    </xf>
    <xf numFmtId="0" fontId="46" fillId="0" borderId="13" xfId="0" applyFont="1" applyBorder="1" applyNumberFormat="1">
      <alignment horizontal="left" vertical="center" wrapText="1" indent="2"/>
    </xf>
    <xf numFmtId="0" fontId="46" fillId="0" borderId="13" xfId="0" applyFont="1" applyBorder="1" applyNumberFormat="1">
      <alignment horizontal="center" vertical="center" wrapText="1"/>
    </xf>
    <xf numFmtId="0" fontId="46" fillId="0" borderId="13" xfId="0" applyFont="1" applyBorder="1" applyNumberFormat="1">
      <alignment horizontal="center" vertical="center" wrapText="1"/>
    </xf>
    <xf numFmtId="0" fontId="46" fillId="0" borderId="13" xfId="0" applyFont="1" applyBorder="1" applyNumberFormat="1">
      <alignment vertical="center" wrapText="1"/>
    </xf>
    <xf numFmtId="0" fontId="22" fillId="0" borderId="13" xfId="0" applyFont="1" applyBorder="1" applyNumberFormat="1">
      <alignment horizontal="left" vertical="center" wrapText="1" indent="3"/>
    </xf>
    <xf numFmtId="49" fontId="22" fillId="40" borderId="13" xfId="0" applyFont="1" applyFill="1" applyBorder="1" applyNumberFormat="1">
      <alignment horizontal="center" vertical="center" wrapText="1"/>
      <protection locked="0"/>
    </xf>
    <xf numFmtId="4" fontId="22" fillId="37" borderId="13" xfId="0" applyFont="1" applyFill="1" applyBorder="1" applyNumberFormat="1">
      <alignment horizontal="right" vertical="center" wrapText="1"/>
      <protection locked="0"/>
    </xf>
    <xf numFmtId="4" fontId="22" fillId="37" borderId="13" xfId="0" applyFont="1" applyFill="1" applyBorder="1" applyNumberFormat="1">
      <alignment horizontal="right" vertical="center" wrapText="1"/>
      <protection locked="0"/>
    </xf>
    <xf numFmtId="0" fontId="22" fillId="37" borderId="13" xfId="0" applyFont="1" applyFill="1" applyBorder="1" applyNumberFormat="1">
      <alignment horizontal="left" vertical="center" wrapText="1"/>
      <protection locked="0"/>
    </xf>
    <xf numFmtId="0" fontId="22" fillId="37" borderId="13" xfId="0" applyFont="1" applyFill="1" applyBorder="1" applyNumberFormat="1">
      <alignment horizontal="left" vertical="center" wrapText="1"/>
      <protection locked="0"/>
    </xf>
    <xf numFmtId="49" fontId="89" fillId="0" borderId="0" xfId="0" applyFont="1" applyNumberFormat="1">
      <alignment horizontal="center" vertical="center" wrapText="1"/>
    </xf>
    <xf numFmtId="0" fontId="45" fillId="0" borderId="0" xfId="0" applyFont="1" applyNumberFormat="1">
      <alignment vertical="center" wrapText="1"/>
    </xf>
    <xf numFmtId="49" fontId="22" fillId="0" borderId="0" xfId="0" applyFont="1" applyNumberFormat="1">
      <alignment horizontal="center" vertical="top" wrapText="1"/>
    </xf>
    <xf numFmtId="0" fontId="22" fillId="0" borderId="13" xfId="0" applyFont="1" applyBorder="1" applyNumberFormat="1">
      <alignment horizontal="center" vertical="center" wrapText="1"/>
    </xf>
    <xf numFmtId="0" fontId="22" fillId="0" borderId="14" xfId="0" applyFont="1" applyBorder="1" applyNumberFormat="1">
      <alignment vertical="top" wrapText="1"/>
    </xf>
    <xf numFmtId="0" fontId="52" fillId="0" borderId="0" xfId="0" applyFont="1" applyNumberFormat="1">
      <alignment vertical="center" wrapText="1"/>
    </xf>
    <xf numFmtId="0" fontId="22" fillId="0" borderId="14" xfId="0" applyFont="1" applyBorder="1" applyNumberFormat="1">
      <alignment horizontal="center" vertical="center" wrapText="1"/>
    </xf>
    <xf numFmtId="167" fontId="22" fillId="37" borderId="13" xfId="0" applyFont="1" applyFill="1" applyBorder="1" applyNumberFormat="1">
      <alignment horizontal="right" vertical="center" wrapText="1"/>
      <protection locked="0"/>
    </xf>
    <xf numFmtId="167" fontId="22" fillId="37" borderId="13" xfId="0" applyFont="1" applyFill="1" applyBorder="1" applyNumberFormat="1">
      <alignment horizontal="right" vertical="center" wrapText="1"/>
      <protection locked="0"/>
    </xf>
    <xf numFmtId="0" fontId="22" fillId="0" borderId="21" xfId="0" applyFont="1" applyBorder="1" applyNumberFormat="1">
      <alignment vertical="center" wrapText="1"/>
    </xf>
    <xf numFmtId="0" fontId="31" fillId="0" borderId="0" xfId="0" applyFont="1" applyNumberFormat="1">
      <alignment vertical="center" wrapText="1"/>
    </xf>
    <xf numFmtId="0" fontId="31" fillId="0" borderId="0" xfId="0" applyFont="1" applyNumberFormat="1">
      <alignment vertical="center" wrapText="1"/>
    </xf>
    <xf numFmtId="0" fontId="22" fillId="0" borderId="20" xfId="0" applyFont="1" applyBorder="1" applyNumberFormat="1">
      <alignment horizontal="left" vertical="top" wrapText="1" indent="1"/>
    </xf>
    <xf numFmtId="0" fontId="22" fillId="0" borderId="20" xfId="0" applyFont="1" applyBorder="1" applyNumberFormat="1">
      <alignment horizontal="left" vertical="top" wrapText="1" indent="1"/>
    </xf>
    <xf numFmtId="0" fontId="30" fillId="0" borderId="0" xfId="0" applyFont="1" applyNumberFormat="1">
      <alignment vertical="center" wrapText="1"/>
    </xf>
    <xf numFmtId="0" fontId="22" fillId="0" borderId="28"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5" fillId="36" borderId="0" xfId="0" applyFont="1" applyFill="1" applyNumberFormat="1">
      <alignment horizontal="right" vertical="center"/>
    </xf>
    <xf numFmtId="0" fontId="95" fillId="36" borderId="0" xfId="0" applyFont="1" applyFill="1" applyNumberFormat="1">
      <alignment horizontal="right" vertical="center"/>
    </xf>
    <xf numFmtId="0" fontId="22" fillId="0" borderId="15" xfId="0" applyFont="1" applyBorder="1" applyNumberFormat="1">
      <alignment vertical="center" wrapText="1"/>
    </xf>
    <xf numFmtId="0" fontId="22" fillId="0" borderId="16" xfId="0" applyFont="1" applyBorder="1" applyNumberFormat="1">
      <alignment horizontal="right" vertical="center" wrapText="1" indent="1"/>
    </xf>
    <xf numFmtId="0" fontId="22" fillId="0" borderId="14" xfId="0" applyFont="1" applyBorder="1" applyNumberFormat="1">
      <alignment horizontal="right" vertical="center" wrapText="1" indent="1"/>
    </xf>
    <xf numFmtId="0" fontId="22" fillId="35" borderId="15" xfId="0" applyFont="1" applyFill="1" applyBorder="1" applyNumberFormat="1">
      <alignment horizontal="left" vertical="top" wrapText="1"/>
    </xf>
    <xf numFmtId="0" fontId="22" fillId="35" borderId="15" xfId="0" applyFont="1" applyFill="1" applyBorder="1" applyNumberFormat="1">
      <alignment horizontal="left" vertical="top" wrapText="1"/>
    </xf>
    <xf numFmtId="0" fontId="22" fillId="35" borderId="15" xfId="0" applyFont="1" applyFill="1" applyBorder="1" applyNumberFormat="1">
      <alignment horizontal="left" vertical="top" wrapText="1"/>
    </xf>
    <xf numFmtId="0" fontId="22" fillId="0" borderId="15" xfId="0" applyFont="1" applyBorder="1" applyNumberFormat="1">
      <alignment horizontal="right" vertical="center" wrapText="1"/>
    </xf>
    <xf numFmtId="0" fontId="22" fillId="0" borderId="16" xfId="0" applyFont="1" applyBorder="1" applyNumberFormat="1">
      <alignment horizontal="right" vertical="center" wrapText="1"/>
    </xf>
    <xf numFmtId="0" fontId="22" fillId="0" borderId="16" xfId="0" applyFont="1" applyBorder="1" applyNumberFormat="1">
      <alignment horizontal="right" vertical="center" wrapText="1" indent="1"/>
    </xf>
    <xf numFmtId="0" fontId="22" fillId="0" borderId="16" xfId="0" applyFont="1" applyBorder="1" applyNumberFormat="1">
      <alignment horizontal="right" vertical="center" wrapText="1" indent="1"/>
    </xf>
    <xf numFmtId="0" fontId="22" fillId="0" borderId="16"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4" fontId="22" fillId="40" borderId="13" xfId="0" applyFont="1" applyFill="1" applyBorder="1" applyNumberFormat="1">
      <alignment horizontal="right" vertical="center" wrapText="1"/>
      <protection locked="0"/>
    </xf>
    <xf numFmtId="4" fontId="22" fillId="40" borderId="13" xfId="0" applyFont="1" applyFill="1" applyBorder="1" applyNumberFormat="1">
      <alignment horizontal="right" vertical="center" wrapText="1"/>
      <protection locked="0"/>
    </xf>
    <xf numFmtId="4" fontId="22" fillId="35" borderId="13" xfId="0" applyFont="1" applyFill="1" applyBorder="1" applyNumberFormat="1">
      <alignment horizontal="right" vertical="center" wrapText="1"/>
    </xf>
    <xf numFmtId="4" fontId="22" fillId="35" borderId="13" xfId="0" applyFont="1" applyFill="1" applyBorder="1" applyNumberFormat="1">
      <alignment horizontal="right" vertical="center" wrapText="1"/>
    </xf>
    <xf numFmtId="0" fontId="22" fillId="0" borderId="13" xfId="0" applyFont="1" applyBorder="1" applyNumberFormat="1">
      <alignment horizontal="left" vertical="center" wrapText="1" indent="1"/>
    </xf>
    <xf numFmtId="49" fontId="89" fillId="34" borderId="0" xfId="0" applyFont="1" applyFill="1" applyNumberFormat="1">
      <alignment horizontal="center" vertical="center" textRotation="90" wrapText="1"/>
    </xf>
    <xf numFmtId="0" fontId="70" fillId="0" borderId="0" xfId="0" applyFont="1" applyNumberFormat="1">
      <alignment horizontal="center" vertical="center" wrapText="1"/>
    </xf>
    <xf numFmtId="49" fontId="70" fillId="0" borderId="0" xfId="0" applyFont="1" applyNumberFormat="1">
      <alignment horizontal="center" vertical="center" wrapText="1"/>
    </xf>
    <xf numFmtId="49" fontId="70" fillId="0" borderId="29" xfId="0" applyFont="1" applyBorder="1" applyNumberFormat="1">
      <alignment horizontal="center" vertical="center" wrapText="1"/>
    </xf>
    <xf numFmtId="0" fontId="70" fillId="0" borderId="13" xfId="0" applyFont="1" applyBorder="1" applyNumberFormat="1">
      <alignment horizontal="left" vertical="center" wrapText="1" indent="2"/>
    </xf>
    <xf numFmtId="0" fontId="70" fillId="0" borderId="13" xfId="0" applyFont="1" applyBorder="1" applyNumberFormat="1">
      <alignment horizontal="center" vertical="center" wrapText="1"/>
    </xf>
    <xf numFmtId="49" fontId="70" fillId="0" borderId="13" xfId="0" applyFont="1" applyBorder="1" applyNumberFormat="1">
      <alignment horizontal="left" vertical="center" wrapText="1"/>
    </xf>
    <xf numFmtId="0" fontId="70" fillId="0" borderId="13" xfId="0" applyFont="1" applyBorder="1" applyNumberFormat="1">
      <alignment vertical="center" wrapText="1"/>
    </xf>
    <xf numFmtId="0" fontId="83" fillId="0" borderId="0" xfId="0" applyFont="1" applyNumberFormat="1">
      <alignment vertical="center" wrapText="1"/>
    </xf>
    <xf numFmtId="0" fontId="61" fillId="0" borderId="0" xfId="0" applyFont="1" applyNumberFormat="1">
      <alignment vertical="center" wrapText="1"/>
    </xf>
    <xf numFmtId="0" fontId="70" fillId="0" borderId="29" xfId="0" applyFont="1" applyBorder="1" applyNumberFormat="1">
      <alignment horizontal="center" vertical="center" wrapText="1"/>
    </xf>
    <xf numFmtId="0" fontId="70" fillId="0" borderId="13" xfId="0" applyFont="1" applyBorder="1" applyNumberFormat="1">
      <alignment horizontal="left" vertical="center" wrapText="1" indent="3"/>
    </xf>
    <xf numFmtId="4" fontId="70" fillId="0" borderId="13" xfId="0" applyFont="1" applyBorder="1" applyNumberFormat="1">
      <alignment horizontal="right" vertical="center" wrapText="1"/>
    </xf>
    <xf numFmtId="4" fontId="70" fillId="0" borderId="13" xfId="0" applyFont="1" applyBorder="1" applyNumberFormat="1">
      <alignment horizontal="right"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0" fontId="82" fillId="0" borderId="0" xfId="0" applyFont="1" applyNumberFormat="1">
      <alignment vertical="center" wrapText="1"/>
    </xf>
    <xf numFmtId="0" fontId="52" fillId="0" borderId="0" xfId="0" applyFont="1" applyNumberFormat="1">
      <alignment vertical="center" wrapText="1"/>
    </xf>
    <xf numFmtId="0" fontId="46" fillId="0" borderId="0" xfId="0" applyFont="1" applyNumberFormat="1">
      <alignment vertical="center" wrapText="1"/>
    </xf>
    <xf numFmtId="49" fontId="22" fillId="0" borderId="0" xfId="0" applyFont="1" applyNumberFormat="1">
      <alignment horizontal="center" vertical="center" wrapText="1"/>
    </xf>
    <xf numFmtId="0" fontId="36" fillId="0" borderId="0" xfId="0" applyFont="1" applyNumberFormat="1">
      <alignment horizontal="center" vertical="center" wrapText="1"/>
    </xf>
    <xf numFmtId="49" fontId="22" fillId="38" borderId="15" xfId="0" applyFont="1" applyFill="1" applyBorder="1" applyNumberFormat="1">
      <alignment vertical="center" wrapText="1"/>
    </xf>
    <xf numFmtId="0" fontId="22" fillId="38" borderId="16"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0" borderId="13" xfId="0" applyFont="1" applyBorder="1" applyNumberFormat="1">
      <alignment horizontal="left" vertical="center" wrapText="1" indent="2"/>
    </xf>
    <xf numFmtId="14" fontId="22" fillId="0" borderId="0" xfId="0" applyFont="1" applyNumberFormat="1">
      <alignment horizontal="center" vertical="center" wrapText="1"/>
    </xf>
    <xf numFmtId="49" fontId="89" fillId="34" borderId="0" xfId="0" applyFont="1" applyFill="1" applyNumberFormat="1">
      <alignment horizontal="center" vertical="center" wrapText="1"/>
    </xf>
    <xf numFmtId="49" fontId="48" fillId="0" borderId="0" xfId="0" applyFont="1" applyNumberFormat="1">
      <alignment horizontal="center" vertical="center"/>
    </xf>
    <xf numFmtId="167" fontId="22" fillId="40" borderId="13" xfId="0" applyFont="1" applyFill="1" applyBorder="1" applyNumberFormat="1">
      <alignment horizontal="right" vertical="center" wrapText="1"/>
      <protection locked="0"/>
    </xf>
    <xf numFmtId="167" fontId="22" fillId="40" borderId="13" xfId="0" applyFont="1" applyFill="1" applyBorder="1" applyNumberFormat="1">
      <alignment horizontal="right" vertical="center" wrapText="1"/>
      <protection locked="0"/>
    </xf>
    <xf numFmtId="49" fontId="89" fillId="0" borderId="0" xfId="0" applyFont="1" applyNumberFormat="1">
      <alignment horizontal="left" vertical="center" wrapText="1"/>
    </xf>
    <xf numFmtId="0" fontId="46" fillId="0" borderId="0" xfId="0" applyFont="1" applyNumberFormat="1">
      <alignment horizontal="left" vertical="center" wrapText="1"/>
    </xf>
    <xf numFmtId="49" fontId="22" fillId="0" borderId="0" xfId="0" applyFont="1" applyNumberFormat="1">
      <alignment horizontal="left" vertical="center" wrapText="1"/>
    </xf>
    <xf numFmtId="0" fontId="52" fillId="0" borderId="0" xfId="0" applyFont="1" applyNumberFormat="1">
      <alignment horizontal="left" vertical="center" wrapText="1"/>
    </xf>
    <xf numFmtId="49" fontId="22" fillId="41" borderId="13" xfId="0" applyFont="1" applyFill="1" applyBorder="1" applyNumberFormat="1">
      <alignment horizontal="left" vertical="center" wrapText="1"/>
    </xf>
    <xf numFmtId="49" fontId="22" fillId="41" borderId="13" xfId="0" applyFont="1" applyFill="1" applyBorder="1" applyNumberFormat="1">
      <alignment horizontal="left" vertical="center" wrapText="1"/>
    </xf>
    <xf numFmtId="49" fontId="22" fillId="41" borderId="13" xfId="0" applyFont="1" applyFill="1" applyBorder="1" applyNumberFormat="1">
      <alignment horizontal="left" vertical="center" wrapText="1"/>
    </xf>
    <xf numFmtId="0" fontId="22" fillId="0" borderId="18" xfId="0" applyFont="1" applyBorder="1" applyNumberFormat="1">
      <alignment horizontal="center" vertical="center" wrapText="1"/>
    </xf>
    <xf numFmtId="4" fontId="22" fillId="35" borderId="18" xfId="0" applyFont="1" applyFill="1" applyBorder="1" applyNumberFormat="1">
      <alignment horizontal="right" vertical="center" wrapText="1"/>
    </xf>
    <xf numFmtId="4" fontId="22" fillId="35" borderId="18" xfId="0" applyFont="1" applyFill="1" applyBorder="1" applyNumberFormat="1">
      <alignment horizontal="right" vertical="center" wrapText="1"/>
    </xf>
    <xf numFmtId="0" fontId="46" fillId="0" borderId="13" xfId="0" applyFont="1" applyBorder="1" applyNumberFormat="1">
      <alignment horizontal="left" vertical="center" wrapText="1" indent="3"/>
    </xf>
    <xf numFmtId="49" fontId="46" fillId="0" borderId="13" xfId="0" applyFont="1" applyBorder="1" applyNumberFormat="1">
      <alignment vertical="center" wrapText="1"/>
    </xf>
    <xf numFmtId="49" fontId="46" fillId="0" borderId="13" xfId="0" applyFont="1" applyBorder="1" applyNumberFormat="1">
      <alignment vertical="center" wrapText="1"/>
    </xf>
    <xf numFmtId="0" fontId="46" fillId="0" borderId="18" xfId="0" applyFont="1" applyBorder="1" applyNumberFormat="1">
      <alignment vertical="top"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0" borderId="18" xfId="0" applyFont="1" applyBorder="1" applyNumberFormat="1">
      <alignment horizontal="center" vertical="center" wrapText="1"/>
    </xf>
    <xf numFmtId="0" fontId="22" fillId="0" borderId="15"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40" borderId="14" xfId="0" applyFont="1" applyFill="1" applyBorder="1" applyNumberFormat="1">
      <alignment horizontal="right" vertical="center" wrapText="1"/>
      <protection locked="0"/>
    </xf>
    <xf numFmtId="4" fontId="22" fillId="40" borderId="14" xfId="0" applyFont="1" applyFill="1" applyBorder="1" applyNumberFormat="1">
      <alignment horizontal="right" vertical="center" wrapText="1"/>
      <protection locked="0"/>
    </xf>
    <xf numFmtId="0" fontId="22" fillId="0" borderId="15" xfId="0" applyFont="1" applyBorder="1" applyNumberFormat="1">
      <alignment horizontal="left" vertical="center" wrapText="1" indent="1"/>
    </xf>
    <xf numFmtId="0" fontId="22" fillId="0" borderId="15" xfId="0" applyFont="1" applyBorder="1" applyNumberFormat="1">
      <alignment horizontal="left" vertical="center" wrapText="1"/>
    </xf>
    <xf numFmtId="0" fontId="22" fillId="0" borderId="24" xfId="0" applyFont="1" applyBorder="1" applyNumberFormat="1">
      <alignment horizontal="center" vertical="center" wrapText="1"/>
    </xf>
    <xf numFmtId="49" fontId="51" fillId="37" borderId="14" xfId="0" applyFont="1" applyFill="1" applyBorder="1" applyNumberFormat="1">
      <alignment horizontal="left" vertical="center" wrapText="1"/>
      <protection locked="0"/>
    </xf>
    <xf numFmtId="49" fontId="51" fillId="37" borderId="13" xfId="0" applyFont="1" applyFill="1" applyBorder="1" applyNumberFormat="1">
      <alignment horizontal="left" vertical="center" wrapText="1"/>
      <protection locked="0"/>
    </xf>
    <xf numFmtId="49" fontId="51" fillId="37" borderId="14" xfId="0" applyFont="1" applyFill="1" applyBorder="1" applyNumberFormat="1">
      <alignment horizontal="left" vertical="center" wrapText="1"/>
      <protection locked="0"/>
    </xf>
    <xf numFmtId="0" fontId="46" fillId="0" borderId="0" xfId="0" applyFont="1" applyNumberFormat="1">
      <alignment vertical="center" wrapText="1"/>
    </xf>
    <xf numFmtId="49" fontId="22" fillId="0" borderId="0" xfId="0" applyFont="1" applyNumberFormat="1">
      <alignment horizontal="center" vertical="center" wrapText="1"/>
    </xf>
    <xf numFmtId="0" fontId="22" fillId="0" borderId="13" xfId="0" applyFont="1" applyBorder="1" applyNumberFormat="1">
      <alignment horizontal="center" vertical="center" wrapText="1"/>
    </xf>
    <xf numFmtId="167" fontId="22" fillId="40" borderId="14" xfId="0" applyFont="1" applyFill="1" applyBorder="1" applyNumberFormat="1">
      <alignment horizontal="right" vertical="center" wrapText="1"/>
      <protection locked="0"/>
    </xf>
    <xf numFmtId="167" fontId="22" fillId="40" borderId="14" xfId="0" applyFont="1" applyFill="1" applyBorder="1" applyNumberFormat="1">
      <alignment horizontal="right" vertical="center" wrapText="1"/>
      <protection locked="0"/>
    </xf>
    <xf numFmtId="0" fontId="31" fillId="0" borderId="0" xfId="0" applyFont="1" applyNumberFormat="1">
      <alignment vertical="center" wrapText="1"/>
    </xf>
    <xf numFmtId="0" fontId="45" fillId="0" borderId="0" xfId="0" applyFont="1" applyNumberFormat="1">
      <alignment vertical="center" wrapText="1"/>
    </xf>
    <xf numFmtId="49" fontId="48" fillId="0" borderId="0" xfId="0" applyFont="1" applyNumberFormat="1">
      <alignment horizontal="center" vertical="center"/>
    </xf>
    <xf numFmtId="0" fontId="22" fillId="0" borderId="0" xfId="0" applyFont="1" applyNumberFormat="1">
      <alignment vertical="center" wrapText="1"/>
    </xf>
    <xf numFmtId="167" fontId="22" fillId="35" borderId="14" xfId="0" applyFont="1" applyFill="1" applyBorder="1" applyNumberFormat="1">
      <alignment horizontal="right" vertical="center" wrapText="1"/>
    </xf>
    <xf numFmtId="167" fontId="22" fillId="35" borderId="13" xfId="0" applyFont="1" applyFill="1" applyBorder="1" applyNumberFormat="1">
      <alignment horizontal="right" vertical="center" wrapText="1"/>
    </xf>
    <xf numFmtId="167" fontId="22" fillId="35" borderId="14" xfId="0" applyFont="1" applyFill="1" applyBorder="1" applyNumberFormat="1">
      <alignment horizontal="right" vertical="center" wrapText="1"/>
    </xf>
    <xf numFmtId="0" fontId="22" fillId="40" borderId="13" xfId="0" applyFont="1" applyFill="1" applyBorder="1" applyNumberFormat="1">
      <alignment horizontal="center" vertical="center" wrapText="1"/>
      <protection locked="0"/>
    </xf>
    <xf numFmtId="4" fontId="22" fillId="40" borderId="30" xfId="0" applyFont="1" applyFill="1" applyBorder="1" applyNumberFormat="1">
      <alignment horizontal="right" vertical="center" wrapText="1"/>
      <protection locked="0"/>
    </xf>
    <xf numFmtId="4" fontId="22" fillId="40" borderId="24" xfId="0" applyFont="1" applyFill="1" applyBorder="1" applyNumberFormat="1">
      <alignment horizontal="right" vertical="center" wrapText="1"/>
      <protection locked="0"/>
    </xf>
    <xf numFmtId="4" fontId="22" fillId="40" borderId="30" xfId="0" applyFont="1" applyFill="1" applyBorder="1" applyNumberFormat="1">
      <alignment horizontal="right" vertical="center" wrapText="1"/>
      <protection locked="0"/>
    </xf>
    <xf numFmtId="0" fontId="46" fillId="0" borderId="37" xfId="0" applyFont="1" applyBorder="1" applyNumberFormat="1">
      <alignment horizontal="left" vertical="center" wrapText="1" indent="1"/>
    </xf>
    <xf numFmtId="0" fontId="46" fillId="0" borderId="37" xfId="0" applyFont="1" applyBorder="1" applyNumberFormat="1">
      <alignment horizontal="center" vertical="center" wrapText="1"/>
    </xf>
    <xf numFmtId="0" fontId="46" fillId="0" borderId="18" xfId="0" applyFont="1" applyBorder="1" applyNumberFormat="1">
      <alignment vertical="center" wrapText="1"/>
    </xf>
    <xf numFmtId="49" fontId="22" fillId="38" borderId="38" xfId="0" applyFont="1" applyFill="1" applyBorder="1" applyNumberFormat="1">
      <alignment vertical="center" wrapText="1"/>
    </xf>
    <xf numFmtId="49" fontId="39" fillId="38" borderId="20" xfId="0" applyFont="1" applyFill="1" applyBorder="1" applyNumberFormat="1">
      <alignment horizontal="left" vertical="center" inden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4" fontId="22" fillId="37" borderId="14" xfId="0" applyFont="1" applyFill="1" applyBorder="1" applyNumberFormat="1">
      <alignment horizontal="right" vertical="center" wrapText="1"/>
      <protection locked="0"/>
    </xf>
    <xf numFmtId="0" fontId="22" fillId="0" borderId="14" xfId="0" applyFont="1" applyBorder="1" applyNumberFormat="1">
      <alignment horizontal="center" vertical="center" wrapText="1"/>
    </xf>
    <xf numFmtId="0" fontId="22" fillId="0" borderId="21" xfId="0" applyFont="1" applyBorder="1" applyNumberFormat="1">
      <alignment horizontal="center" vertical="center" wrapText="1"/>
    </xf>
    <xf numFmtId="167" fontId="22" fillId="40" borderId="18" xfId="0" applyFont="1" applyFill="1" applyBorder="1" applyNumberFormat="1">
      <alignment horizontal="right" vertical="center" wrapText="1"/>
      <protection locked="0"/>
    </xf>
    <xf numFmtId="167" fontId="22" fillId="40" borderId="18" xfId="0" applyFont="1" applyFill="1" applyBorder="1" applyNumberFormat="1">
      <alignment horizontal="right" vertical="center" wrapText="1"/>
      <protection locked="0"/>
    </xf>
    <xf numFmtId="0" fontId="46" fillId="0" borderId="24" xfId="0" applyFont="1" applyBorder="1" applyNumberFormat="1">
      <alignment horizontal="left" vertical="center" wrapText="1" indent="1"/>
    </xf>
    <xf numFmtId="0" fontId="46" fillId="0" borderId="18" xfId="0" applyFont="1" applyBorder="1" applyNumberFormat="1">
      <alignment horizontal="center" vertical="center" wrapText="1"/>
    </xf>
    <xf numFmtId="0" fontId="36" fillId="0" borderId="0" xfId="0" applyFont="1" applyNumberFormat="1">
      <alignment horizontal="center" vertical="center" wrapText="1"/>
    </xf>
    <xf numFmtId="49" fontId="22" fillId="38" borderId="38" xfId="0" applyFont="1" applyFill="1" applyBorder="1" applyNumberFormat="1">
      <alignment vertical="center" wrapText="1"/>
    </xf>
    <xf numFmtId="49" fontId="39" fillId="38" borderId="20" xfId="0" applyFont="1" applyFill="1" applyBorder="1" applyNumberFormat="1">
      <alignment horizontal="left" vertical="center" indent="1"/>
    </xf>
    <xf numFmtId="0" fontId="22" fillId="38" borderId="16"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0" borderId="24" xfId="0" applyFont="1" applyBorder="1" applyNumberFormat="1">
      <alignment vertical="top"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6" fillId="0" borderId="18" xfId="0" applyFont="1" applyBorder="1" applyNumberFormat="1">
      <alignment horizontal="left" vertical="center" wrapText="1" inden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49" fontId="51" fillId="37" borderId="13" xfId="0" applyFont="1" applyFill="1" applyBorder="1" applyNumberFormat="1">
      <alignment horizontal="left" vertical="center" wrapText="1"/>
      <protection locked="0"/>
    </xf>
    <xf numFmtId="49" fontId="51" fillId="37" borderId="13"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2" fillId="0" borderId="0" xfId="0" applyFont="1" applyNumberFormat="1">
      <alignment vertical="center"/>
    </xf>
    <xf numFmtId="0" fontId="70" fillId="0" borderId="0" xfId="0" applyFont="1" applyNumberFormat="1">
      <alignment vertical="center" wrapText="1"/>
    </xf>
    <xf numFmtId="0" fontId="61" fillId="0" borderId="0" xfId="0" applyFont="1" applyNumberFormat="1">
      <alignment vertical="center" wrapText="1"/>
    </xf>
    <xf numFmtId="0" fontId="89" fillId="0" borderId="0" xfId="0" applyFont="1" applyNumberFormat="1">
      <alignment vertical="center" wrapText="1"/>
    </xf>
    <xf numFmtId="0" fontId="22" fillId="0" borderId="20" xfId="0" applyFont="1" applyBorder="1" applyNumberFormat="1">
      <alignment vertical="center" wrapText="1"/>
    </xf>
    <xf numFmtId="0" fontId="22" fillId="0" borderId="0" xfId="0" applyFont="1" applyNumberFormat="1">
      <alignment horizontal="center" vertical="center" wrapText="1"/>
    </xf>
    <xf numFmtId="49" fontId="31" fillId="0" borderId="0" xfId="0" applyFont="1" applyNumberFormat="1">
      <alignment horizontal="center" vertical="center" wrapText="1"/>
    </xf>
    <xf numFmtId="0" fontId="22" fillId="0" borderId="28" xfId="0" applyFont="1" applyBorder="1" applyNumberFormat="1">
      <alignment vertical="center" wrapText="1"/>
    </xf>
    <xf numFmtId="0" fontId="46" fillId="0" borderId="0" xfId="0" applyFont="1" applyNumberFormat="1">
      <alignment vertical="center" wrapText="1"/>
    </xf>
    <xf numFmtId="0" fontId="31" fillId="0" borderId="0" xfId="0" applyFont="1" applyNumberFormat="1">
      <alignment vertical="center" wrapText="1"/>
    </xf>
    <xf numFmtId="0" fontId="48" fillId="0" borderId="0" xfId="0" applyFont="1" applyNumberFormat="1">
      <alignment horizontal="center" vertical="center" wrapText="1"/>
    </xf>
    <xf numFmtId="49" fontId="61" fillId="0" borderId="0" xfId="0" applyFont="1" applyNumberFormat="1">
      <alignment horizontal="center" vertical="center" wrapText="1"/>
    </xf>
    <xf numFmtId="0" fontId="70" fillId="0" borderId="0" xfId="0" applyFont="1" applyNumberFormat="1">
      <alignment horizontal="center" vertical="center" wrapText="1"/>
    </xf>
    <xf numFmtId="0" fontId="98" fillId="0" borderId="0" xfId="0" applyFont="1" applyNumberFormat="1">
      <alignment horizontal="center" vertical="center" wrapText="1"/>
    </xf>
    <xf numFmtId="0" fontId="99" fillId="36" borderId="0" xfId="0" applyFont="1" applyFill="1" applyNumberFormat="1">
      <alignment horizontal="right" vertical="center"/>
    </xf>
    <xf numFmtId="0" fontId="69" fillId="0" borderId="0" xfId="0" applyFont="1" applyNumberFormat="1">
      <alignment vertical="center" wrapText="1"/>
    </xf>
    <xf numFmtId="0" fontId="22" fillId="0" borderId="13" xfId="0" applyFont="1" applyBorder="1" applyNumberFormat="1">
      <alignment horizontal="center" vertical="center" wrapText="1"/>
    </xf>
    <xf numFmtId="49" fontId="46" fillId="0" borderId="0" xfId="0" applyFont="1" applyNumberFormat="1">
      <alignment horizontal="center" vertical="center" wrapText="1"/>
    </xf>
    <xf numFmtId="49" fontId="46" fillId="0" borderId="0" xfId="0" applyFont="1" applyNumberFormat="1">
      <alignment horizontal="center" vertical="center" wrapText="1"/>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48" fillId="0" borderId="0" xfId="0" applyFont="1" applyNumberFormat="1">
      <alignment horizontal="center" vertical="center" wrapText="1"/>
    </xf>
    <xf numFmtId="0" fontId="69" fillId="0" borderId="0" xfId="0" applyFont="1" applyNumberFormat="1">
      <alignment vertical="center" wrapText="1"/>
    </xf>
    <xf numFmtId="0" fontId="46" fillId="0" borderId="0" xfId="0" applyFont="1" applyNumberFormat="1">
      <alignment vertical="center" wrapText="1"/>
    </xf>
    <xf numFmtId="0" fontId="3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6"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5" borderId="13" xfId="0" applyFont="1" applyFill="1" applyBorder="1" applyNumberFormat="1">
      <alignment horizontal="left" vertical="center" wrapText="1" indent="1"/>
    </xf>
    <xf numFmtId="0" fontId="22" fillId="0" borderId="14" xfId="0" applyFont="1" applyBorder="1" applyNumberFormat="1">
      <alignment horizontal="left" vertical="center" wrapText="1" indent="1"/>
    </xf>
    <xf numFmtId="49" fontId="46" fillId="0" borderId="23" xfId="0" applyFont="1" applyBorder="1" applyNumberFormat="1">
      <alignment vertical="top"/>
    </xf>
    <xf numFmtId="49" fontId="46"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0" fontId="45" fillId="0" borderId="0" xfId="0" applyFont="1" applyNumberFormat="1">
      <alignment horizontal="center" vertical="top"/>
    </xf>
    <xf numFmtId="49" fontId="45" fillId="0" borderId="0" xfId="0" applyFont="1" applyNumberFormat="1">
      <alignment vertical="top"/>
    </xf>
    <xf numFmtId="0" fontId="45" fillId="0" borderId="0" xfId="0" applyFont="1" applyNumberFormat="1">
      <alignment vertical="top"/>
    </xf>
    <xf numFmtId="0" fontId="72" fillId="0" borderId="0" xfId="0" applyFont="1" applyNumberFormat="1">
      <alignment vertical="top"/>
    </xf>
    <xf numFmtId="0" fontId="85" fillId="0" borderId="0" xfId="0" applyFont="1" applyNumberFormat="1">
      <alignment vertical="top"/>
    </xf>
    <xf numFmtId="49" fontId="46" fillId="0" borderId="37" xfId="0" applyFont="1" applyBorder="1" applyNumberFormat="1">
      <alignment horizontal="center" vertical="center" wrapText="1"/>
    </xf>
    <xf numFmtId="0" fontId="45" fillId="0" borderId="0" xfId="0" applyFont="1" applyNumberFormat="1">
      <alignment horizontal="center" vertical="center" wrapText="1"/>
    </xf>
    <xf numFmtId="0" fontId="22" fillId="0" borderId="24" xfId="0" applyFont="1" applyBorder="1" applyNumberFormat="1">
      <alignment horizontal="left" vertical="center" wrapText="1"/>
    </xf>
    <xf numFmtId="2" fontId="22" fillId="0" borderId="24" xfId="0" applyFont="1" applyBorder="1" applyNumberFormat="1">
      <alignment horizontal="center" vertical="center" wrapText="1"/>
    </xf>
    <xf numFmtId="0" fontId="22" fillId="0" borderId="13" xfId="0" applyFont="1" applyBorder="1" applyNumberFormat="1">
      <alignment horizontal="left" vertical="center" wrapText="1"/>
    </xf>
    <xf numFmtId="49" fontId="46" fillId="0" borderId="23" xfId="0" applyFont="1" applyBorder="1" applyNumberFormat="1">
      <alignment vertical="top"/>
    </xf>
    <xf numFmtId="0" fontId="46" fillId="0" borderId="0" xfId="0" applyFont="1" applyNumberFormat="1">
      <alignment horizontal="center" vertical="center" wrapText="1"/>
    </xf>
    <xf numFmtId="0" fontId="46" fillId="0" borderId="13" xfId="0" applyFont="1" applyBorder="1" applyNumberFormat="1">
      <alignment horizontal="left" vertical="center" wrapText="1"/>
    </xf>
    <xf numFmtId="0" fontId="46" fillId="0" borderId="13" xfId="0" applyFont="1" applyBorder="1" applyNumberFormat="1">
      <alignment vertical="center" wrapText="1"/>
    </xf>
    <xf numFmtId="0" fontId="46" fillId="0" borderId="23" xfId="0" applyFont="1" applyBorder="1" applyNumberFormat="1">
      <alignment vertical="center" wrapText="1"/>
    </xf>
    <xf numFmtId="49" fontId="39" fillId="38" borderId="15" xfId="0" applyFont="1" applyFill="1" applyBorder="1" applyNumberFormat="1">
      <alignment horizontal="left" vertical="center"/>
    </xf>
    <xf numFmtId="49" fontId="39" fillId="38" borderId="16" xfId="0" applyFont="1" applyFill="1" applyBorder="1" applyNumberFormat="1">
      <alignment horizontal="left" vertical="center" indent="1"/>
    </xf>
    <xf numFmtId="49" fontId="39" fillId="38" borderId="16" xfId="0" applyFont="1" applyFill="1" applyBorder="1" applyNumberFormat="1">
      <alignment horizontal="left" vertical="center"/>
    </xf>
    <xf numFmtId="49" fontId="39" fillId="38" borderId="14" xfId="0" applyFont="1" applyFill="1" applyBorder="1" applyNumberFormat="1">
      <alignment horizontal="left" vertical="center" indent="1"/>
    </xf>
    <xf numFmtId="0" fontId="22" fillId="0" borderId="24" xfId="0" applyFont="1" applyBorder="1" applyNumberFormat="1">
      <alignment horizontal="left" vertical="center" wrapText="1"/>
    </xf>
    <xf numFmtId="0" fontId="22" fillId="0" borderId="13" xfId="0" applyFont="1" applyBorder="1" applyNumberFormat="1">
      <alignment horizontal="left" vertical="center" wrapText="1"/>
    </xf>
    <xf numFmtId="0" fontId="45" fillId="0" borderId="0" xfId="0" applyFont="1" applyNumberFormat="1">
      <alignment horizontal="center" vertical="top"/>
    </xf>
    <xf numFmtId="0" fontId="46" fillId="0" borderId="0" xfId="0" applyFont="1" applyNumberFormat="1">
      <alignment horizontal="center" vertical="center" wrapText="1"/>
    </xf>
    <xf numFmtId="49" fontId="46" fillId="0" borderId="24" xfId="0" applyFont="1" applyBorder="1" applyNumberFormat="1">
      <alignment horizontal="center" vertical="center" wrapText="1"/>
    </xf>
    <xf numFmtId="49" fontId="22" fillId="0" borderId="18" xfId="0" applyFont="1" applyBorder="1" applyNumberFormat="1">
      <alignment horizontal="center" vertical="center" wrapText="1"/>
    </xf>
    <xf numFmtId="49" fontId="22" fillId="0" borderId="37" xfId="0" applyFont="1" applyBorder="1" applyNumberFormat="1">
      <alignment horizontal="center" vertical="center" wrapText="1"/>
    </xf>
    <xf numFmtId="0" fontId="45" fillId="0" borderId="0" xfId="0" applyFont="1" applyNumberFormat="1">
      <alignment horizontal="center" vertical="center" wrapText="1"/>
    </xf>
    <xf numFmtId="0" fontId="22" fillId="0" borderId="13" xfId="0" applyFont="1" applyBorder="1" applyNumberFormat="1">
      <alignment horizontal="left" vertical="center" wrapText="1"/>
    </xf>
    <xf numFmtId="0" fontId="46" fillId="0" borderId="0" xfId="0" applyFont="1" applyNumberFormat="1">
      <alignment horizontal="center" vertical="center" wrapText="1"/>
    </xf>
    <xf numFmtId="0" fontId="39" fillId="0" borderId="13" xfId="0" applyFont="1" applyBorder="1" applyNumberFormat="1">
      <alignment horizontal="left" vertical="center" indent="1"/>
    </xf>
    <xf numFmtId="0" fontId="46" fillId="0" borderId="24" xfId="0" applyFont="1" applyBorder="1" applyNumberFormat="1">
      <alignment vertical="center" wrapText="1"/>
    </xf>
    <xf numFmtId="4" fontId="46" fillId="0" borderId="13" xfId="0" applyFont="1" applyBorder="1" applyNumberFormat="1">
      <alignment horizontal="right" vertical="center" wrapText="1"/>
    </xf>
    <xf numFmtId="2" fontId="46" fillId="0" borderId="24" xfId="0" applyFont="1" applyBorder="1" applyNumberFormat="1">
      <alignment horizontal="center" vertical="center" wrapText="1"/>
    </xf>
    <xf numFmtId="0" fontId="46" fillId="0" borderId="0" xfId="0" applyFont="1" applyNumberFormat="1">
      <alignment horizontal="center" vertical="top"/>
    </xf>
    <xf numFmtId="49" fontId="46" fillId="0" borderId="0" xfId="0" applyFont="1" applyNumberFormat="1">
      <alignment vertical="top"/>
    </xf>
    <xf numFmtId="49" fontId="22" fillId="0" borderId="24" xfId="0" applyFont="1" applyBorder="1" applyNumberFormat="1">
      <alignment horizontal="center" vertical="center" wrapText="1"/>
    </xf>
    <xf numFmtId="49" fontId="46" fillId="0" borderId="15" xfId="0" applyFont="1" applyBorder="1" applyNumberFormat="1">
      <alignment horizontal="left" vertical="center"/>
    </xf>
    <xf numFmtId="49" fontId="46" fillId="0" borderId="16" xfId="0" applyFont="1" applyBorder="1" applyNumberFormat="1">
      <alignment horizontal="left" vertical="center" indent="1"/>
    </xf>
    <xf numFmtId="49" fontId="46" fillId="0" borderId="16" xfId="0" applyFont="1" applyBorder="1" applyNumberFormat="1">
      <alignment horizontal="left" vertical="center"/>
    </xf>
    <xf numFmtId="49" fontId="46" fillId="0" borderId="14" xfId="0" applyFont="1" applyBorder="1" applyNumberFormat="1">
      <alignment horizontal="left" vertical="center" indent="1"/>
    </xf>
    <xf numFmtId="0" fontId="46" fillId="0" borderId="13" xfId="0" applyFont="1" applyBorder="1" applyNumberFormat="1">
      <alignment horizontal="left" vertical="center" indent="1"/>
    </xf>
    <xf numFmtId="49" fontId="0" fillId="0" borderId="0" xfId="0" applyFont="1" applyNumberFormat="1">
      <alignment vertical="top"/>
    </xf>
    <xf numFmtId="49" fontId="46" fillId="0" borderId="0" xfId="0" applyFont="1" applyNumberFormat="1">
      <alignment vertical="top"/>
    </xf>
    <xf numFmtId="49" fontId="39" fillId="0" borderId="20"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4" fillId="0" borderId="0" xfId="0" applyFont="1" applyNumberFormat="1">
      <alignment horizontal="right" vertical="top" wrapText="1"/>
    </xf>
    <xf numFmtId="0" fontId="44" fillId="0" borderId="0" xfId="0" applyFont="1" applyNumberFormat="1">
      <alignment horizontal="left" vertical="top" wrapText="1"/>
    </xf>
    <xf numFmtId="49" fontId="31" fillId="0" borderId="0" xfId="0" applyFont="1" applyNumberFormat="1">
      <alignment horizontal="center" vertical="center" wrapText="1"/>
    </xf>
    <xf numFmtId="0" fontId="45" fillId="52" borderId="13" xfId="0" applyFont="1" applyFill="1" applyBorder="1" applyNumberFormat="1">
      <alignment horizontal="left" vertical="center" wrapText="1"/>
    </xf>
    <xf numFmtId="0" fontId="22" fillId="51" borderId="13" xfId="0" applyFont="1" applyFill="1" applyBorder="1" applyNumberFormat="1">
      <alignment vertical="center"/>
    </xf>
    <xf numFmtId="49" fontId="0" fillId="7" borderId="13" xfId="0" applyFont="1" applyFill="1" applyBorder="1" applyNumberFormat="1">
      <alignment horizontal="center" vertical="center" wrapText="1"/>
    </xf>
    <xf numFmtId="49" fontId="0" fillId="7" borderId="13" xfId="0" applyFont="1" applyFill="1" applyBorder="1" applyNumberFormat="1">
      <alignment horizontal="center" vertical="center" wrapText="1"/>
    </xf>
    <xf numFmtId="49" fontId="35" fillId="0" borderId="0" xfId="0" applyFont="1" applyNumberFormat="1">
      <alignment horizontal="center" vertical="center" wrapText="1"/>
    </xf>
    <xf numFmtId="49"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49" fontId="124" fillId="0" borderId="18"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20" xfId="0" applyFont="1" applyBorder="1" applyNumberFormat="1">
      <alignment horizontal="left" vertical="center" wrapText="1" indent="1"/>
    </xf>
    <xf numFmtId="49" fontId="124" fillId="0" borderId="13" xfId="0" applyFont="1" applyBorder="1" applyNumberFormat="1">
      <alignment horizontal="center" vertical="center" wrapText="1"/>
    </xf>
    <xf numFmtId="0" fontId="22" fillId="35" borderId="15" xfId="0" applyFont="1" applyFill="1" applyBorder="1" applyNumberFormat="1">
      <alignment horizontal="left" vertical="top" wrapText="1"/>
    </xf>
    <xf numFmtId="0" fontId="46" fillId="0" borderId="15" xfId="0" applyFont="1" applyBorder="1" applyNumberFormat="1">
      <alignment vertical="center" wrapText="1"/>
    </xf>
    <xf numFmtId="0" fontId="22" fillId="0" borderId="16" xfId="0" applyFont="1" applyBorder="1" applyNumberFormat="1">
      <alignment horizontal="right" vertical="center" wrapText="1" indent="1"/>
    </xf>
    <xf numFmtId="0" fontId="22" fillId="0" borderId="20"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89"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9" xfId="0" applyFont="1" applyBorder="1" applyNumberFormat="1">
      <alignment horizontal="center" vertical="center" wrapText="1"/>
    </xf>
    <xf numFmtId="0" fontId="22" fillId="0" borderId="13" xfId="0" applyFont="1" applyBorder="1" applyNumberFormat="1">
      <alignment horizontal="left" vertical="center" wrapText="1"/>
    </xf>
    <xf numFmtId="49" fontId="51" fillId="37" borderId="15" xfId="0" applyFont="1" applyFill="1" applyBorder="1" applyNumberFormat="1">
      <alignment horizontal="left" vertical="center" wrapText="1"/>
      <protection locked="0"/>
    </xf>
    <xf numFmtId="49" fontId="51" fillId="37" borderId="15" xfId="0" applyFont="1" applyFill="1" applyBorder="1" applyNumberFormat="1">
      <alignment horizontal="left" vertical="center" wrapText="1"/>
      <protection locked="0"/>
    </xf>
    <xf numFmtId="49" fontId="22" fillId="0" borderId="58" xfId="0" applyFont="1" applyBorder="1" applyNumberFormat="1">
      <alignment horizontal="center" vertical="center" wrapText="1"/>
    </xf>
    <xf numFmtId="0" fontId="22" fillId="0" borderId="18" xfId="0" applyFont="1" applyBorder="1" applyNumberFormat="1">
      <alignment horizontal="left" vertical="center" wrapText="1"/>
    </xf>
    <xf numFmtId="0" fontId="22" fillId="0" borderId="18" xfId="0" applyFont="1" applyBorder="1" applyNumberFormat="1">
      <alignment horizontal="center" vertical="center" wrapText="1"/>
    </xf>
    <xf numFmtId="4" fontId="22" fillId="40" borderId="38" xfId="0" applyFont="1" applyFill="1" applyBorder="1" applyNumberFormat="1">
      <alignment horizontal="right" vertical="center" wrapText="1"/>
      <protection locked="0"/>
    </xf>
    <xf numFmtId="4" fontId="22" fillId="40" borderId="18" xfId="0" applyFont="1" applyFill="1" applyBorder="1" applyNumberFormat="1">
      <alignment horizontal="right" vertical="center" wrapText="1"/>
      <protection locked="0"/>
    </xf>
    <xf numFmtId="4" fontId="22" fillId="40" borderId="38" xfId="0" applyFont="1" applyFill="1" applyBorder="1" applyNumberFormat="1">
      <alignment horizontal="right" vertical="center" wrapText="1"/>
      <protection locked="0"/>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49" fontId="22" fillId="0" borderId="59" xfId="0" applyFont="1" applyBorder="1" applyNumberFormat="1">
      <alignment horizontal="center" vertical="center" wrapText="1"/>
    </xf>
    <xf numFmtId="0" fontId="22" fillId="0" borderId="16" xfId="0" applyFont="1" applyBorder="1" applyNumberFormat="1">
      <alignment horizontal="center" vertical="center" wrapText="1"/>
    </xf>
    <xf numFmtId="4" fontId="22" fillId="40" borderId="15" xfId="0" applyFont="1" applyFill="1" applyBorder="1" applyNumberFormat="1">
      <alignment horizontal="right" vertical="center" wrapText="1"/>
      <protection locked="0"/>
    </xf>
    <xf numFmtId="4" fontId="22" fillId="40" borderId="15" xfId="0" applyFont="1" applyFill="1" applyBorder="1" applyNumberFormat="1">
      <alignment horizontal="right" vertical="center" wrapText="1"/>
      <protection locked="0"/>
    </xf>
    <xf numFmtId="49" fontId="22" fillId="0" borderId="60" xfId="0" applyFont="1" applyBorder="1" applyNumberFormat="1">
      <alignment horizontal="center" vertical="center" wrapText="1"/>
    </xf>
    <xf numFmtId="3" fontId="22" fillId="40" borderId="15" xfId="0" applyFont="1" applyFill="1" applyBorder="1" applyNumberFormat="1">
      <alignment horizontal="right" vertical="center" wrapText="1"/>
      <protection locked="0"/>
    </xf>
    <xf numFmtId="3" fontId="22" fillId="40" borderId="15" xfId="0" applyFont="1" applyFill="1" applyBorder="1" applyNumberFormat="1">
      <alignment horizontal="right" vertical="center" wrapText="1"/>
      <protection locked="0"/>
    </xf>
    <xf numFmtId="0" fontId="22" fillId="0" borderId="18" xfId="0" applyFont="1" applyBorder="1" applyNumberFormat="1">
      <alignment horizontal="left" vertical="center" wrapText="1"/>
    </xf>
    <xf numFmtId="0" fontId="22" fillId="0" borderId="38"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49" fontId="51" fillId="40" borderId="15" xfId="0" applyFont="1" applyFill="1" applyBorder="1" applyNumberFormat="1">
      <alignment horizontal="left" vertical="center" wrapText="1"/>
      <protection locked="0"/>
    </xf>
    <xf numFmtId="49" fontId="51" fillId="40" borderId="15"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19" fillId="0" borderId="0" xfId="0" applyFont="1" applyNumberFormat="1">
      <alignment horizontal="center" vertical="center" wrapText="1"/>
    </xf>
    <xf numFmtId="49" fontId="0" fillId="36" borderId="13" xfId="0" applyFont="1" applyFill="1" applyBorder="1" applyNumberFormat="1">
      <alignment horizontal="center" vertical="center" wrapText="1"/>
    </xf>
    <xf numFmtId="49" fontId="0" fillId="40" borderId="13" xfId="0" applyFont="1" applyFill="1" applyBorder="1" applyNumberFormat="1">
      <alignment horizontal="left" vertical="center" wrapText="1" indent="1"/>
      <protection locked="0"/>
    </xf>
    <xf numFmtId="0" fontId="22" fillId="0" borderId="13" xfId="0" applyFont="1" applyBorder="1" applyNumberFormat="1">
      <alignment vertical="top" wrapText="1"/>
    </xf>
    <xf numFmtId="0" fontId="22" fillId="36" borderId="0" xfId="0" applyFont="1" applyFill="1" applyNumberFormat="1">
      <alignment horizontal="right" vertical="center" wrapText="1"/>
    </xf>
    <xf numFmtId="0" fontId="62" fillId="0" borderId="0" xfId="0" applyFont="1" applyNumberFormat="1">
      <alignment vertical="center" wrapText="1"/>
    </xf>
    <xf numFmtId="0" fontId="22" fillId="36" borderId="0" xfId="0" applyFont="1" applyFill="1" applyNumberFormat="1">
      <alignment horizontal="right" vertical="center"/>
    </xf>
    <xf numFmtId="0" fontId="22" fillId="36" borderId="15" xfId="0" applyFont="1" applyFill="1" applyBorder="1" applyNumberFormat="1">
      <alignment horizontal="center" vertical="center" wrapText="1"/>
    </xf>
    <xf numFmtId="0" fontId="22" fillId="36" borderId="16" xfId="0" applyFont="1" applyFill="1" applyBorder="1" applyNumberFormat="1">
      <alignment horizontal="center" vertical="center" wrapText="1"/>
    </xf>
    <xf numFmtId="0" fontId="22" fillId="36" borderId="21" xfId="0" applyFont="1" applyFill="1" applyBorder="1" applyNumberFormat="1">
      <alignment horizontal="center" vertical="center" wrapText="1"/>
    </xf>
    <xf numFmtId="0" fontId="22" fillId="36" borderId="13" xfId="0" applyFont="1" applyFill="1" applyBorder="1" applyNumberFormat="1">
      <alignment horizontal="center" vertical="center"/>
    </xf>
    <xf numFmtId="0" fontId="22"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left" vertical="top" wrapText="1"/>
    </xf>
    <xf numFmtId="0" fontId="0" fillId="0" borderId="13" xfId="0" applyFont="1" applyBorder="1" applyNumberFormat="1">
      <alignment horizontal="left" vertical="center" wrapText="1"/>
    </xf>
    <xf numFmtId="49" fontId="22" fillId="0" borderId="0" xfId="0" applyFont="1" applyNumberFormat="1">
      <alignment vertical="top"/>
    </xf>
    <xf numFmtId="0" fontId="22" fillId="38" borderId="15" xfId="0" applyFont="1" applyFill="1" applyBorder="1" applyNumberFormat="1">
      <alignment vertical="center" wrapText="1"/>
    </xf>
    <xf numFmtId="49" fontId="43" fillId="38" borderId="14" xfId="0" applyFont="1" applyFill="1" applyBorder="1" applyNumberFormat="1">
      <alignment horizontal="center" vertical="top"/>
    </xf>
    <xf numFmtId="49" fontId="39" fillId="0" borderId="20" xfId="0" applyFont="1" applyBorder="1" applyNumberFormat="1">
      <alignment horizontal="left" vertical="center"/>
    </xf>
    <xf numFmtId="49" fontId="39" fillId="0" borderId="20" xfId="0" applyFont="1" applyBorder="1" applyNumberFormat="1">
      <alignment horizontal="left" vertical="center" indent="2"/>
    </xf>
    <xf numFmtId="49" fontId="43" fillId="0" borderId="20"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5" borderId="15" xfId="0" applyFont="1" applyFill="1" applyBorder="1" applyNumberFormat="1">
      <alignment horizontal="left" vertical="top" wrapText="1"/>
    </xf>
    <xf numFmtId="0" fontId="46" fillId="0" borderId="16" xfId="0" applyFont="1" applyBorder="1" applyNumberFormat="1">
      <alignment horizontal="right" vertical="center" wrapText="1" indent="1"/>
    </xf>
    <xf numFmtId="0" fontId="46" fillId="0" borderId="14" xfId="0" applyFont="1" applyBorder="1" applyNumberFormat="1">
      <alignment horizontal="right" vertical="center" wrapText="1" indent="1"/>
    </xf>
    <xf numFmtId="0" fontId="46" fillId="0" borderId="15" xfId="0" applyFont="1" applyBorder="1" applyNumberFormat="1">
      <alignment horizontal="left" vertical="top" wrapText="1"/>
    </xf>
    <xf numFmtId="0" fontId="46" fillId="0" borderId="15" xfId="0" applyFont="1" applyBorder="1" applyNumberFormat="1">
      <alignment horizontal="left" vertical="top" wrapText="1"/>
    </xf>
    <xf numFmtId="0" fontId="22" fillId="0" borderId="16"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0" fontId="22" fillId="0" borderId="13"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4" fontId="22" fillId="40" borderId="18" xfId="0" applyFont="1" applyFill="1" applyBorder="1" applyNumberFormat="1">
      <alignment horizontal="right" vertical="center" wrapText="1"/>
      <protection locked="0"/>
    </xf>
    <xf numFmtId="0" fontId="22" fillId="0" borderId="18" xfId="0" applyFont="1" applyBorder="1" applyNumberFormat="1">
      <alignment horizontal="center" vertical="center" wrapText="1"/>
    </xf>
    <xf numFmtId="49" fontId="39" fillId="38" borderId="20" xfId="0" applyFont="1" applyFill="1" applyBorder="1" applyNumberFormat="1">
      <alignment horizontal="left" vertical="center" indent="2"/>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5" borderId="15" xfId="0" applyFont="1" applyFill="1" applyBorder="1" applyNumberFormat="1">
      <alignment horizontal="left" vertical="top" wrapText="1"/>
    </xf>
    <xf numFmtId="0" fontId="22" fillId="0" borderId="16"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0" fontId="22" fillId="0" borderId="18" xfId="0" applyFont="1" applyBorder="1" applyNumberFormat="1">
      <alignment horizontal="left" vertical="center" wrapText="1" indent="1"/>
    </xf>
    <xf numFmtId="0" fontId="22" fillId="0" borderId="18" xfId="0" applyFont="1" applyBorder="1" applyNumberFormat="1">
      <alignment horizontal="center"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45" fillId="0" borderId="0" xfId="0" applyFont="1" applyNumberFormat="1">
      <alignment horizontal="center" vertical="center" wrapText="1"/>
    </xf>
    <xf numFmtId="49" fontId="45" fillId="0" borderId="0" xfId="0" applyFont="1" applyNumberFormat="1">
      <alignment horizontal="center" vertical="center" wrapText="1"/>
    </xf>
    <xf numFmtId="0" fontId="71" fillId="36" borderId="0" xfId="0" applyFont="1" applyFill="1" applyNumberFormat="1">
      <alignment horizontal="right" vertical="center"/>
    </xf>
    <xf numFmtId="0" fontId="46" fillId="0" borderId="28" xfId="0" applyFont="1" applyBorder="1" applyNumberFormat="1">
      <alignment vertical="center" wrapText="1"/>
    </xf>
    <xf numFmtId="0" fontId="46" fillId="0" borderId="28" xfId="0" applyFont="1" applyBorder="1" applyNumberFormat="1">
      <alignment vertical="center" wrapText="1"/>
    </xf>
    <xf numFmtId="0" fontId="22" fillId="35" borderId="15" xfId="0" applyFont="1" applyFill="1" applyBorder="1" applyNumberFormat="1">
      <alignment horizontal="left" vertical="top" wrapText="1"/>
    </xf>
    <xf numFmtId="0" fontId="22" fillId="35" borderId="14" xfId="0" applyFont="1" applyFill="1" applyBorder="1" applyNumberFormat="1">
      <alignment horizontal="left" vertical="top" wrapText="1"/>
    </xf>
    <xf numFmtId="0" fontId="22" fillId="35" borderId="14" xfId="0" applyFont="1" applyFill="1" applyBorder="1" applyNumberFormat="1">
      <alignment horizontal="left" vertical="top" wrapText="1"/>
    </xf>
    <xf numFmtId="49" fontId="45" fillId="0" borderId="0" xfId="0" applyFont="1" applyNumberFormat="1">
      <alignment horizontal="center" vertical="center" wrapText="1"/>
    </xf>
    <xf numFmtId="49" fontId="45" fillId="0" borderId="0" xfId="0" applyFont="1" applyNumberFormat="1">
      <alignment horizontal="center" vertical="center" wrapText="1"/>
    </xf>
    <xf numFmtId="0" fontId="22" fillId="0" borderId="16" xfId="0" applyFont="1" applyBorder="1" applyNumberFormat="1">
      <alignment horizontal="center" vertical="center" wrapText="1"/>
    </xf>
    <xf numFmtId="0" fontId="22" fillId="0" borderId="16" xfId="0" applyFont="1" applyBorder="1" applyNumberFormat="1">
      <alignment horizontal="center" vertical="center" wrapText="1"/>
    </xf>
    <xf numFmtId="0" fontId="22" fillId="0" borderId="0" xfId="0" applyFont="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horizontal="left" vertical="top" wrapText="1"/>
    </xf>
    <xf numFmtId="49" fontId="46" fillId="0" borderId="0" xfId="0" applyFont="1" applyNumberFormat="1">
      <alignment horizontal="center" vertical="center" wrapText="1"/>
    </xf>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46"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4" fontId="22" fillId="0" borderId="13" xfId="0" applyFont="1" applyBorder="1" applyNumberFormat="1">
      <alignment horizontal="center" vertical="center" wrapText="1"/>
    </xf>
    <xf numFmtId="49" fontId="51" fillId="37" borderId="15" xfId="0" applyFont="1" applyFill="1" applyBorder="1" applyNumberFormat="1">
      <alignment horizontal="left" vertical="center" wrapText="1"/>
      <protection locked="0"/>
    </xf>
    <xf numFmtId="0" fontId="69" fillId="0" borderId="23" xfId="0" applyFont="1" applyBorder="1" applyNumberFormat="1">
      <alignment vertical="center" wrapText="1"/>
    </xf>
    <xf numFmtId="49"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9" fontId="22" fillId="37" borderId="13" xfId="0" applyFont="1" applyFill="1" applyBorder="1" applyNumberFormat="1">
      <alignment horizontal="left" vertical="center" wrapText="1"/>
      <protection locked="0"/>
    </xf>
    <xf numFmtId="49" fontId="22" fillId="37" borderId="13" xfId="0" applyFont="1" applyFill="1" applyBorder="1" applyNumberFormat="1">
      <alignment horizontal="left" vertical="center" wrapText="1"/>
      <protection locked="0"/>
    </xf>
    <xf numFmtId="49" fontId="22" fillId="37" borderId="13" xfId="0" applyFont="1" applyFill="1" applyBorder="1" applyNumberFormat="1">
      <alignment horizontal="left" vertical="center" wrapText="1"/>
      <protection locked="0"/>
    </xf>
    <xf numFmtId="3" fontId="22" fillId="37" borderId="15" xfId="0" applyFont="1" applyFill="1" applyBorder="1" applyNumberFormat="1">
      <alignment horizontal="right" vertical="center" wrapText="1"/>
      <protection locked="0"/>
    </xf>
    <xf numFmtId="3" fontId="22" fillId="37" borderId="15" xfId="0" applyFont="1" applyFill="1" applyBorder="1" applyNumberFormat="1">
      <alignment horizontal="right" vertical="center" wrapText="1"/>
      <protection locked="0"/>
    </xf>
    <xf numFmtId="4" fontId="22" fillId="37" borderId="15" xfId="0" applyFont="1" applyFill="1" applyBorder="1" applyNumberFormat="1">
      <alignment horizontal="right" vertical="center" wrapText="1"/>
      <protection locked="0"/>
    </xf>
    <xf numFmtId="4" fontId="22" fillId="37" borderId="15" xfId="0" applyFont="1" applyFill="1" applyBorder="1" applyNumberFormat="1">
      <alignment horizontal="right" vertical="center" wrapText="1"/>
      <protection locked="0"/>
    </xf>
    <xf numFmtId="49" fontId="22" fillId="40" borderId="13"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protection locked="0"/>
    </xf>
    <xf numFmtId="0" fontId="36" fillId="0" borderId="0" xfId="0" applyFont="1" applyNumberFormat="1">
      <alignment horizontal="center" vertical="center" wrapText="1"/>
    </xf>
    <xf numFmtId="0" fontId="22" fillId="0" borderId="18"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5" xfId="0" applyFont="1" applyBorder="1" applyNumberFormat="1">
      <alignment horizontal="center" vertical="center" wrapText="1"/>
    </xf>
    <xf numFmtId="0" fontId="81" fillId="0" borderId="0" xfId="0" applyFont="1" applyNumberFormat="1">
      <alignment vertical="center" wrapText="1"/>
    </xf>
    <xf numFmtId="0" fontId="22" fillId="0" borderId="13" xfId="0" applyFont="1" applyBorder="1" applyNumberFormat="1">
      <alignment horizontal="left" vertical="center" wrapText="1" indent="2"/>
    </xf>
    <xf numFmtId="49" fontId="22" fillId="37" borderId="15" xfId="0" applyFont="1" applyFill="1" applyBorder="1" applyNumberFormat="1">
      <alignment horizontal="left" vertical="center" wrapText="1"/>
      <protection locked="0"/>
    </xf>
    <xf numFmtId="49" fontId="22" fillId="37" borderId="15" xfId="0" applyFont="1" applyFill="1" applyBorder="1" applyNumberFormat="1">
      <alignment horizontal="left" vertical="center" wrapText="1"/>
      <protection locked="0"/>
    </xf>
    <xf numFmtId="49" fontId="22" fillId="37" borderId="15" xfId="0" applyFont="1" applyFill="1" applyBorder="1" applyNumberFormat="1">
      <alignment horizontal="left" vertical="center" wrapText="1"/>
      <protection locked="0"/>
    </xf>
    <xf numFmtId="0" fontId="44"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1" fillId="0" borderId="13" xfId="0" applyFont="1" applyBorder="1" applyNumberFormat="1">
      <alignment horizontal="left" vertical="center" wrapText="1"/>
    </xf>
    <xf numFmtId="49" fontId="51" fillId="0" borderId="13" xfId="0" applyFont="1" applyBorder="1" applyNumberFormat="1">
      <alignment horizontal="left" vertical="center" wrapText="1"/>
    </xf>
    <xf numFmtId="49" fontId="22" fillId="0" borderId="33" xfId="0" applyFont="1" applyBorder="1" applyNumberFormat="1">
      <alignment horizontal="center" vertical="center" wrapText="1"/>
    </xf>
    <xf numFmtId="0" fontId="22" fillId="0" borderId="33" xfId="0" applyFont="1" applyBorder="1" applyNumberFormat="1">
      <alignment horizontal="left" vertical="center" wrapText="1"/>
    </xf>
    <xf numFmtId="4" fontId="22" fillId="0" borderId="41" xfId="0" applyFont="1" applyBorder="1" applyNumberFormat="1">
      <alignment horizontal="center" vertical="center" wrapText="1"/>
    </xf>
    <xf numFmtId="49" fontId="51" fillId="0" borderId="31" xfId="0" applyFont="1" applyBorder="1" applyNumberFormat="1">
      <alignment horizontal="left" vertical="center" wrapText="1"/>
    </xf>
    <xf numFmtId="4" fontId="22" fillId="0" borderId="41" xfId="0" applyFont="1" applyBorder="1" applyNumberFormat="1">
      <alignment horizontal="center" vertical="center" wrapText="1"/>
    </xf>
    <xf numFmtId="49" fontId="51" fillId="0" borderId="31"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4" xfId="0" applyFont="1" applyBorder="1" applyNumberFormat="1">
      <alignment horizontal="left" vertical="center" wrapText="1" indent="1"/>
    </xf>
    <xf numFmtId="4" fontId="22" fillId="40" borderId="32" xfId="0" applyFont="1" applyFill="1" applyBorder="1" applyNumberFormat="1">
      <alignment horizontal="right" vertical="center" wrapText="1"/>
      <protection locked="0"/>
    </xf>
    <xf numFmtId="49" fontId="51" fillId="0" borderId="15" xfId="0" applyFont="1" applyBorder="1" applyNumberFormat="1">
      <alignment horizontal="left" vertical="center" wrapText="1"/>
    </xf>
    <xf numFmtId="4" fontId="22" fillId="40" borderId="32" xfId="0" applyFont="1" applyFill="1" applyBorder="1" applyNumberFormat="1">
      <alignment horizontal="right" vertical="center" wrapText="1"/>
      <protection locked="0"/>
    </xf>
    <xf numFmtId="4" fontId="22" fillId="40" borderId="32" xfId="0" applyFont="1" applyFill="1" applyBorder="1" applyNumberFormat="1">
      <alignment horizontal="right" vertical="center" wrapText="1"/>
      <protection locked="0"/>
    </xf>
    <xf numFmtId="49" fontId="51" fillId="0" borderId="15" xfId="0" applyFont="1" applyBorder="1" applyNumberFormat="1">
      <alignment horizontal="left" vertical="center" wrapText="1"/>
    </xf>
    <xf numFmtId="4" fontId="22" fillId="0" borderId="18" xfId="0" applyFont="1" applyBorder="1" applyNumberFormat="1">
      <alignment horizontal="center" vertical="center" wrapText="1"/>
    </xf>
    <xf numFmtId="4" fontId="22" fillId="40" borderId="36" xfId="0" applyFont="1" applyFill="1" applyBorder="1" applyNumberFormat="1">
      <alignment horizontal="right" vertical="center" wrapText="1"/>
      <protection locked="0"/>
    </xf>
    <xf numFmtId="4" fontId="22" fillId="40" borderId="36" xfId="0" applyFont="1" applyFill="1" applyBorder="1" applyNumberFormat="1">
      <alignment horizontal="right" vertical="center" wrapText="1"/>
      <protection locked="0"/>
    </xf>
    <xf numFmtId="0" fontId="22" fillId="0" borderId="34" xfId="0" applyFont="1" applyBorder="1" applyNumberFormat="1">
      <alignment horizontal="left" vertical="center" wrapText="1"/>
    </xf>
    <xf numFmtId="49" fontId="51" fillId="0" borderId="16" xfId="0" applyFont="1" applyBorder="1" applyNumberFormat="1">
      <alignment horizontal="left" vertical="center" wrapText="1"/>
    </xf>
    <xf numFmtId="4" fontId="22" fillId="0" borderId="13" xfId="0" applyFont="1" applyBorder="1" applyNumberFormat="1">
      <alignment horizontal="center" vertical="center" wrapText="1"/>
    </xf>
    <xf numFmtId="4" fontId="22" fillId="0" borderId="13" xfId="0" applyFont="1" applyBorder="1" applyNumberFormat="1">
      <alignment horizontal="center" vertical="center" wrapText="1"/>
    </xf>
    <xf numFmtId="49" fontId="51" fillId="0" borderId="16" xfId="0" applyFont="1" applyBorder="1" applyNumberFormat="1">
      <alignment horizontal="left" vertical="center" wrapText="1"/>
    </xf>
    <xf numFmtId="0" fontId="22" fillId="0" borderId="32" xfId="0" applyFont="1" applyBorder="1" applyNumberFormat="1">
      <alignment horizontal="left" vertical="center" wrapText="1" indent="1"/>
    </xf>
    <xf numFmtId="4" fontId="22" fillId="0" borderId="33" xfId="0" applyFont="1" applyBorder="1" applyNumberFormat="1">
      <alignment horizontal="center" vertical="center" wrapText="1"/>
    </xf>
    <xf numFmtId="4" fontId="22" fillId="40" borderId="24" xfId="0" applyFont="1" applyFill="1" applyBorder="1" applyNumberFormat="1">
      <alignment horizontal="right" vertical="center" wrapText="1"/>
      <protection locked="0"/>
    </xf>
    <xf numFmtId="0" fontId="22" fillId="0" borderId="32" xfId="0" applyFont="1" applyBorder="1" applyNumberFormat="1">
      <alignment horizontal="left" vertical="center" wrapText="1"/>
    </xf>
    <xf numFmtId="0" fontId="22" fillId="0" borderId="32" xfId="0" applyFont="1" applyBorder="1" applyNumberFormat="1">
      <alignment horizontal="left" vertical="center" wrapText="1" indent="2"/>
    </xf>
    <xf numFmtId="4" fontId="22" fillId="0" borderId="32" xfId="0" applyFont="1" applyBorder="1" applyNumberFormat="1">
      <alignment horizontal="center" vertical="center" wrapText="1"/>
    </xf>
    <xf numFmtId="49" fontId="22" fillId="0" borderId="35" xfId="0" applyFont="1" applyBorder="1" applyNumberFormat="1">
      <alignment horizontal="center" vertical="center" wrapText="1"/>
    </xf>
    <xf numFmtId="49" fontId="51" fillId="40" borderId="13" xfId="0" applyFont="1" applyFill="1" applyBorder="1" applyNumberFormat="1">
      <alignment horizontal="left" vertical="center" wrapText="1"/>
      <protection locked="0"/>
    </xf>
    <xf numFmtId="49" fontId="51" fillId="40" borderId="13" xfId="0" applyFont="1" applyFill="1" applyBorder="1" applyNumberFormat="1">
      <alignment horizontal="left" vertical="center" wrapText="1"/>
      <protection locked="0"/>
    </xf>
    <xf numFmtId="0" fontId="22" fillId="0" borderId="36" xfId="0" applyFont="1" applyBorder="1" applyNumberFormat="1">
      <alignment horizontal="left" vertical="center" wrapText="1"/>
    </xf>
    <xf numFmtId="4" fontId="22" fillId="0" borderId="36" xfId="0" applyFont="1" applyBorder="1" applyNumberFormat="1">
      <alignment horizontal="center" vertical="center" wrapText="1"/>
    </xf>
    <xf numFmtId="49" fontId="51" fillId="0" borderId="38" xfId="0" applyFont="1" applyBorder="1" applyNumberFormat="1">
      <alignment horizontal="left" vertical="center" wrapText="1"/>
    </xf>
    <xf numFmtId="49" fontId="51" fillId="0" borderId="38" xfId="0" applyFont="1" applyBorder="1" applyNumberFormat="1">
      <alignment horizontal="left" vertical="center" wrapText="1"/>
    </xf>
    <xf numFmtId="49" fontId="22" fillId="0" borderId="34" xfId="0" applyFont="1" applyBorder="1" applyNumberFormat="1">
      <alignment horizontal="center" vertical="center" wrapText="1"/>
    </xf>
    <xf numFmtId="4" fontId="22" fillId="40" borderId="34" xfId="0" applyFont="1" applyFill="1" applyBorder="1" applyNumberFormat="1">
      <alignment horizontal="right" vertical="center" wrapText="1"/>
      <protection locked="0"/>
    </xf>
    <xf numFmtId="4" fontId="22" fillId="40" borderId="34" xfId="0" applyFont="1" applyFill="1" applyBorder="1" applyNumberFormat="1">
      <alignment horizontal="right" vertical="center" wrapText="1"/>
      <protection locked="0"/>
    </xf>
    <xf numFmtId="4" fontId="22" fillId="0" borderId="34" xfId="0" applyFont="1" applyBorder="1" applyNumberFormat="1">
      <alignment horizontal="center" vertical="center" wrapText="1"/>
    </xf>
    <xf numFmtId="4" fontId="22" fillId="40" borderId="35" xfId="0" applyFont="1" applyFill="1" applyBorder="1" applyNumberFormat="1">
      <alignment horizontal="right" vertical="center" wrapText="1"/>
      <protection locked="0"/>
    </xf>
    <xf numFmtId="4" fontId="22" fillId="40" borderId="35" xfId="0" applyFont="1" applyFill="1" applyBorder="1" applyNumberFormat="1">
      <alignment horizontal="right" vertical="center" wrapText="1"/>
      <protection locked="0"/>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22" fillId="0" borderId="0" xfId="0" applyFont="1" applyNumberFormat="1">
      <alignment vertical="center" wrapText="1"/>
    </xf>
    <xf numFmtId="0" fontId="0" fillId="0" borderId="15" xfId="0" applyFont="1" applyBorder="1" applyNumberFormat="1">
      <alignment horizontal="center" vertical="center"/>
    </xf>
    <xf numFmtId="0" fontId="22" fillId="0" borderId="14" xfId="0" applyFont="1" applyBorder="1" applyNumberFormat="1">
      <alignment horizontal="center" vertical="center" wrapText="1"/>
    </xf>
    <xf numFmtId="168" fontId="0" fillId="37" borderId="13" xfId="0" applyFont="1" applyFill="1" applyBorder="1" applyNumberFormat="1">
      <alignment horizontal="left" vertical="center" wrapText="1" indent="1"/>
      <protection locked="0"/>
    </xf>
    <xf numFmtId="168" fontId="0" fillId="37" borderId="13" xfId="0" applyFont="1" applyFill="1" applyBorder="1" applyNumberFormat="1">
      <alignment horizontal="left" vertical="center" wrapText="1" indent="1"/>
      <protection locked="0"/>
    </xf>
    <xf numFmtId="49" fontId="22" fillId="40" borderId="15" xfId="0" applyFont="1" applyFill="1" applyBorder="1" applyNumberFormat="1">
      <alignment horizontal="left" vertical="center" wrapText="1"/>
      <protection locked="0"/>
    </xf>
    <xf numFmtId="49" fontId="22" fillId="40" borderId="15" xfId="0" applyFont="1" applyFill="1" applyBorder="1" applyNumberFormat="1">
      <alignment horizontal="left" vertical="center" wrapText="1"/>
      <protection locked="0"/>
    </xf>
    <xf numFmtId="168" fontId="0" fillId="40" borderId="13"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5" borderId="15" xfId="0" applyFont="1" applyFill="1" applyBorder="1" applyNumberFormat="1">
      <alignment horizontal="left" vertical="top" wrapText="1" indent="1"/>
    </xf>
    <xf numFmtId="0" fontId="22" fillId="35" borderId="14" xfId="0" applyFont="1" applyFill="1" applyBorder="1" applyNumberFormat="1">
      <alignment horizontal="left" vertical="top" wrapText="1" indent="1"/>
    </xf>
    <xf numFmtId="0" fontId="22" fillId="35" borderId="15" xfId="0" applyFont="1" applyFill="1" applyBorder="1" applyNumberFormat="1">
      <alignment horizontal="left" vertical="top" wrapText="1" indent="1"/>
    </xf>
    <xf numFmtId="0" fontId="22" fillId="35" borderId="14" xfId="0" applyFont="1" applyFill="1" applyBorder="1" applyNumberFormat="1">
      <alignment horizontal="left" vertical="top" wrapText="1" indent="1"/>
    </xf>
    <xf numFmtId="0" fontId="22" fillId="0" borderId="16" xfId="0" applyFont="1" applyBorder="1" applyNumberFormat="1">
      <alignment horizontal="right" vertical="center" wrapText="1" indent="1"/>
    </xf>
    <xf numFmtId="0" fontId="22" fillId="0" borderId="14"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35" fillId="0" borderId="0" xfId="0" applyFont="1" applyNumberFormat="1">
      <alignment horizontal="center" vertical="center" wrapText="1"/>
    </xf>
    <xf numFmtId="0" fontId="35"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0" borderId="14" xfId="0" applyFont="1" applyBorder="1" applyNumberFormat="1">
      <alignment horizontal="center"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0" borderId="16" xfId="0" applyFont="1" applyBorder="1" applyNumberFormat="1">
      <alignment horizontal="center" vertical="center" wrapText="1"/>
    </xf>
    <xf numFmtId="49" fontId="22" fillId="41" borderId="13" xfId="0" applyFont="1" applyFill="1" applyBorder="1" applyNumberFormat="1">
      <alignment horizontal="center" vertical="center" wrapText="1"/>
    </xf>
    <xf numFmtId="49" fontId="22" fillId="41" borderId="13" xfId="0" applyFont="1" applyFill="1" applyBorder="1" applyNumberFormat="1">
      <alignment horizontal="center" vertical="center" wrapText="1"/>
    </xf>
    <xf numFmtId="49" fontId="22" fillId="41" borderId="13" xfId="0" applyFont="1" applyFill="1" applyBorder="1" applyNumberFormat="1">
      <alignment horizontal="center" vertical="center" wrapText="1"/>
    </xf>
    <xf numFmtId="49" fontId="22" fillId="41" borderId="13" xfId="0" applyFont="1" applyFill="1" applyBorder="1" applyNumberFormat="1">
      <alignment horizontal="center"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49" fontId="45"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5" fillId="0" borderId="0" xfId="0" applyFont="1" applyNumberFormat="1">
      <alignment horizontal="center" vertical="center" wrapText="1"/>
    </xf>
    <xf numFmtId="49" fontId="96" fillId="0" borderId="0" xfId="0" applyFont="1" applyNumberFormat="1">
      <alignment horizontal="center" vertical="center" wrapText="1"/>
    </xf>
    <xf numFmtId="0" fontId="0" fillId="36" borderId="18" xfId="0" applyFont="1" applyFill="1" applyBorder="1" applyNumberFormat="1">
      <alignment horizontal="center" vertical="center" wrapText="1"/>
    </xf>
    <xf numFmtId="0" fontId="22"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46" fillId="0" borderId="0" xfId="0" applyFont="1" applyNumberFormat="1">
      <alignment horizontal="center" vertical="center" wrapText="1"/>
    </xf>
    <xf numFmtId="49" fontId="4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2" fillId="0" borderId="13" xfId="0" applyFont="1" applyBorder="1" applyNumberFormat="1">
      <alignment horizontal="left" vertical="center" wrapText="1"/>
    </xf>
    <xf numFmtId="49" fontId="46" fillId="0" borderId="0" xfId="0" applyFont="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top" wrapText="1"/>
    </xf>
    <xf numFmtId="0" fontId="0" fillId="35" borderId="13" xfId="0" applyFont="1" applyFill="1" applyBorder="1" applyNumberFormat="1">
      <alignment horizontal="left" vertical="top" wrapText="1" indent="1"/>
    </xf>
    <xf numFmtId="49" fontId="22" fillId="41" borderId="18" xfId="0" applyFont="1" applyFill="1" applyBorder="1" applyNumberFormat="1">
      <alignment horizontal="center" vertical="top" wrapText="1"/>
    </xf>
    <xf numFmtId="168" fontId="0" fillId="40" borderId="13" xfId="0" applyFont="1" applyFill="1" applyBorder="1" applyNumberFormat="1">
      <alignment horizontal="center" vertical="top" wrapText="1"/>
      <protection locked="0"/>
    </xf>
    <xf numFmtId="168" fontId="0" fillId="37" borderId="13" xfId="0" applyFont="1" applyFill="1" applyBorder="1" applyNumberFormat="1">
      <alignment horizontal="center" vertical="top" wrapText="1"/>
      <protection locked="0"/>
    </xf>
    <xf numFmtId="49" fontId="22" fillId="41" borderId="13" xfId="0" applyFont="1" applyFill="1" applyBorder="1" applyNumberFormat="1">
      <alignment horizontal="left" vertical="top" wrapText="1"/>
    </xf>
    <xf numFmtId="49" fontId="22" fillId="40" borderId="13" xfId="0" applyFont="1" applyFill="1" applyBorder="1" applyNumberFormat="1">
      <alignment horizontal="left" vertical="top" wrapText="1"/>
      <protection locked="0"/>
    </xf>
    <xf numFmtId="49" fontId="0" fillId="35" borderId="13" xfId="0" applyFont="1" applyFill="1" applyBorder="1" applyNumberFormat="1">
      <alignment horizontal="center" vertical="top" wrapText="1"/>
    </xf>
    <xf numFmtId="0" fontId="22" fillId="35" borderId="13" xfId="0" applyFont="1" applyFill="1" applyBorder="1" applyNumberFormat="1">
      <alignment horizontal="center" vertical="top" wrapText="1"/>
    </xf>
    <xf numFmtId="0" fontId="22" fillId="37" borderId="13" xfId="0" applyFont="1" applyFill="1" applyBorder="1" applyNumberFormat="1">
      <alignment horizontal="left" vertical="top" wrapText="1"/>
      <protection locked="0"/>
    </xf>
    <xf numFmtId="49" fontId="22" fillId="41" borderId="13" xfId="0" applyFont="1" applyFill="1" applyBorder="1" applyNumberFormat="1">
      <alignment horizontal="center" vertical="top" wrapText="1"/>
    </xf>
    <xf numFmtId="0" fontId="22" fillId="0" borderId="37" xfId="0" applyFont="1" applyBorder="1" applyNumberFormat="1">
      <alignment horizontal="center" vertical="center" wrapText="1"/>
    </xf>
    <xf numFmtId="0" fontId="22" fillId="0" borderId="13" xfId="0" applyFont="1" applyBorder="1" applyNumberFormat="1">
      <alignment horizontal="center" vertical="center" wrapText="1"/>
    </xf>
    <xf numFmtId="49" fontId="22" fillId="40" borderId="18" xfId="0" applyFont="1" applyFill="1" applyBorder="1" applyNumberFormat="1">
      <alignment horizontal="left" vertical="center" wrapText="1" indent="1"/>
      <protection locked="0"/>
    </xf>
    <xf numFmtId="0" fontId="22" fillId="0" borderId="25" xfId="0" applyFont="1" applyBorder="1" applyNumberFormat="1">
      <alignment vertical="top" wrapText="1"/>
    </xf>
    <xf numFmtId="49" fontId="22" fillId="41" borderId="24" xfId="0" applyFont="1" applyFill="1" applyBorder="1" applyNumberFormat="1">
      <alignment horizontal="center" vertical="top" wrapText="1"/>
    </xf>
    <xf numFmtId="49" fontId="0" fillId="40" borderId="13" xfId="0" applyFont="1" applyFill="1" applyBorder="1" applyNumberFormat="1">
      <alignment horizontal="center" vertical="top" wrapText="1"/>
      <protection locked="0"/>
    </xf>
    <xf numFmtId="49" fontId="0" fillId="37" borderId="13" xfId="0" applyFont="1" applyFill="1" applyBorder="1" applyNumberFormat="1">
      <alignment horizontal="center" vertical="top" wrapText="1"/>
      <protection locked="0"/>
    </xf>
    <xf numFmtId="49" fontId="22" fillId="41" borderId="15" xfId="0" applyFont="1" applyFill="1" applyBorder="1" applyNumberFormat="1">
      <alignment horizontal="center" vertical="top" wrapText="1"/>
    </xf>
    <xf numFmtId="49" fontId="39" fillId="38" borderId="15" xfId="0" applyFont="1" applyFill="1" applyBorder="1" applyNumberFormat="1">
      <alignment horizontal="left" vertical="center" indent="1"/>
    </xf>
    <xf numFmtId="0" fontId="22" fillId="38" borderId="30" xfId="0" applyFont="1" applyFill="1" applyBorder="1" applyNumberFormat="1">
      <alignment vertical="center" wrapText="1"/>
    </xf>
    <xf numFmtId="0" fontId="45" fillId="0" borderId="0" xfId="0" applyFont="1" applyNumberFormat="1">
      <alignment vertical="center" wrapText="1"/>
    </xf>
    <xf numFmtId="0" fontId="45" fillId="0" borderId="0" xfId="0" applyFont="1" applyNumberFormat="1">
      <alignment vertical="center" wrapText="1"/>
    </xf>
    <xf numFmtId="0" fontId="45" fillId="0" borderId="0" xfId="0" applyFont="1" applyNumberFormat="1">
      <alignment vertical="center" wrapText="1"/>
    </xf>
    <xf numFmtId="0" fontId="31" fillId="0" borderId="0" xfId="0" applyFont="1" applyNumberFormat="1">
      <alignment vertical="center" wrapText="1"/>
    </xf>
    <xf numFmtId="0" fontId="31" fillId="0" borderId="0" xfId="0" applyFont="1" applyNumberFormat="1">
      <alignment vertical="center" wrapText="1"/>
    </xf>
    <xf numFmtId="0" fontId="31" fillId="0" borderId="0" xfId="0" applyFont="1" applyNumberFormat="1">
      <alignment vertical="center" wrapText="1"/>
    </xf>
    <xf numFmtId="0" fontId="22" fillId="36" borderId="0" xfId="0" applyFont="1" applyFill="1" applyNumberFormat="1">
      <alignment vertical="center" wrapText="1"/>
    </xf>
    <xf numFmtId="0" fontId="22" fillId="36" borderId="40" xfId="0" applyFont="1" applyFill="1" applyBorder="1" applyNumberFormat="1">
      <alignment vertical="center" wrapText="1"/>
    </xf>
    <xf numFmtId="0" fontId="22" fillId="36" borderId="40" xfId="0" applyFont="1" applyFill="1" applyBorder="1" applyNumberFormat="1">
      <alignment vertical="center" wrapText="1"/>
    </xf>
    <xf numFmtId="49" fontId="71" fillId="0" borderId="40" xfId="0" applyFont="1" applyBorder="1" applyNumberFormat="1">
      <alignment vertical="top"/>
    </xf>
    <xf numFmtId="49" fontId="71" fillId="0" borderId="40" xfId="0" applyFont="1" applyBorder="1" applyNumberFormat="1">
      <alignment vertical="top"/>
    </xf>
    <xf numFmtId="0" fontId="48" fillId="36" borderId="40" xfId="0" applyFont="1" applyFill="1" applyBorder="1" applyNumberFormat="1">
      <alignment horizontal="center" wrapText="1"/>
    </xf>
    <xf numFmtId="0" fontId="48" fillId="36" borderId="40" xfId="0" applyFont="1" applyFill="1" applyBorder="1" applyNumberFormat="1">
      <alignment horizontal="center" wrapText="1"/>
    </xf>
    <xf numFmtId="0" fontId="22" fillId="36" borderId="40" xfId="0" applyFont="1" applyFill="1" applyBorder="1" applyNumberFormat="1">
      <alignment vertical="center" wrapText="1"/>
    </xf>
    <xf numFmtId="0" fontId="22" fillId="36" borderId="40" xfId="0" applyFont="1" applyFill="1" applyBorder="1" applyNumberFormat="1">
      <alignment vertical="center" wrapText="1"/>
    </xf>
    <xf numFmtId="49" fontId="22" fillId="0" borderId="0" xfId="0" applyFont="1" applyNumberFormat="1">
      <alignment vertical="top"/>
    </xf>
    <xf numFmtId="0" fontId="22" fillId="0" borderId="1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9" xfId="0" applyFont="1" applyBorder="1" applyNumberFormat="1">
      <alignment vertical="center" wrapText="1"/>
    </xf>
    <xf numFmtId="0" fontId="22" fillId="0" borderId="0" xfId="0" applyFont="1" applyNumberFormat="1">
      <alignment vertical="center" wrapText="1"/>
    </xf>
    <xf numFmtId="0" fontId="22" fillId="36" borderId="0" xfId="0" applyFont="1" applyFill="1" applyNumberFormat="1">
      <alignment vertical="center" wrapText="1"/>
    </xf>
    <xf numFmtId="49" fontId="22" fillId="0" borderId="0" xfId="0" applyFont="1" applyNumberFormat="1">
      <alignment vertical="top"/>
    </xf>
    <xf numFmtId="49" fontId="96" fillId="0" borderId="0" xfId="0" applyFont="1" applyNumberFormat="1">
      <alignment horizontal="center" vertical="center" wrapText="1"/>
    </xf>
    <xf numFmtId="0" fontId="22" fillId="36"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22" fillId="36" borderId="30"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6"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6" borderId="0" xfId="0" applyFont="1" applyFill="1" applyNumberFormat="1">
      <alignment vertical="center" wrapText="1"/>
    </xf>
    <xf numFmtId="0" fontId="101" fillId="0" borderId="49" xfId="0" applyFont="1" applyBorder="1" applyNumberFormat="1">
      <alignment horizontal="left" vertical="center" indent="1"/>
    </xf>
    <xf numFmtId="0" fontId="101"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2" fillId="0" borderId="50" xfId="0" applyFont="1" applyBorder="1" applyNumberFormat="1">
      <alignment vertical="center" wrapText="1"/>
    </xf>
    <xf numFmtId="0" fontId="22" fillId="0" borderId="54" xfId="0" applyFont="1" applyBorder="1" applyNumberFormat="1">
      <alignment vertical="center" wrapText="1"/>
    </xf>
    <xf numFmtId="0" fontId="22" fillId="0" borderId="55" xfId="0" applyFont="1" applyBorder="1" applyNumberFormat="1">
      <alignment vertical="center" wrapText="1"/>
    </xf>
    <xf numFmtId="0" fontId="22" fillId="0" borderId="23" xfId="0" applyFont="1" applyBorder="1" applyNumberFormat="1">
      <alignment vertical="center" wrapText="1"/>
    </xf>
    <xf numFmtId="49" fontId="22" fillId="0" borderId="0" xfId="0" applyFont="1" applyNumberFormat="1">
      <alignment vertical="top"/>
    </xf>
    <xf numFmtId="49" fontId="22" fillId="35" borderId="13"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45" fillId="0" borderId="14" xfId="0" applyFont="1" applyBorder="1" applyNumberFormat="1">
      <alignment horizontal="center" vertical="center" wrapText="1"/>
    </xf>
    <xf numFmtId="49" fontId="45" fillId="0" borderId="14" xfId="0" applyFont="1" applyBorder="1" applyNumberFormat="1">
      <alignment horizontal="left" vertical="center" wrapText="1"/>
    </xf>
    <xf numFmtId="49" fontId="45" fillId="0" borderId="13" xfId="0" applyFont="1" applyBorder="1" applyNumberFormat="1">
      <alignment horizontal="left" vertical="center" wrapText="1"/>
    </xf>
    <xf numFmtId="49" fontId="45" fillId="0" borderId="15" xfId="0" applyFont="1" applyBorder="1" applyNumberFormat="1">
      <alignment horizontal="center" vertical="center" wrapText="1"/>
    </xf>
    <xf numFmtId="49" fontId="92" fillId="0" borderId="44" xfId="0" applyFont="1" applyBorder="1" applyNumberFormat="1">
      <alignment horizontal="left" vertical="center" indent="1"/>
    </xf>
    <xf numFmtId="49" fontId="92" fillId="0" borderId="44" xfId="0" applyFont="1" applyBorder="1" applyNumberFormat="1">
      <alignment horizontal="center" vertical="center"/>
    </xf>
    <xf numFmtId="3" fontId="45" fillId="0" borderId="13" xfId="0" applyFont="1" applyBorder="1" applyNumberFormat="1">
      <alignment horizontal="center" vertical="center" wrapText="1"/>
    </xf>
    <xf numFmtId="49" fontId="123" fillId="0" borderId="14" xfId="0" applyFont="1" applyBorder="1" applyNumberFormat="1">
      <alignment horizontal="center" vertical="center" wrapText="1"/>
    </xf>
    <xf numFmtId="0" fontId="92" fillId="0" borderId="13" xfId="0" applyFont="1" applyBorder="1" applyNumberFormat="1">
      <alignment horizontal="center" vertical="center"/>
    </xf>
    <xf numFmtId="49" fontId="45" fillId="0" borderId="18" xfId="0" applyFont="1" applyBorder="1" applyNumberFormat="1">
      <alignment horizontal="left" vertical="center" wrapText="1" indent="1"/>
    </xf>
    <xf numFmtId="49" fontId="92" fillId="0" borderId="15" xfId="0" applyFont="1" applyBorder="1" applyNumberFormat="1">
      <alignment horizontal="left" vertical="center" indent="1"/>
    </xf>
    <xf numFmtId="49" fontId="92" fillId="0" borderId="16" xfId="0" applyFont="1" applyBorder="1" applyNumberFormat="1">
      <alignment horizontal="left" vertical="center" indent="1"/>
    </xf>
    <xf numFmtId="49" fontId="92" fillId="0" borderId="16" xfId="0" applyFont="1" applyBorder="1" applyNumberFormat="1">
      <alignment vertical="top" wrapText="1"/>
    </xf>
    <xf numFmtId="49" fontId="92" fillId="0" borderId="14" xfId="0" applyFont="1" applyBorder="1" applyNumberFormat="1">
      <alignment vertical="top" wrapText="1"/>
    </xf>
    <xf numFmtId="49" fontId="45" fillId="0" borderId="37" xfId="0" applyFont="1" applyBorder="1" applyNumberFormat="1">
      <alignment horizontal="left" vertical="center" wrapText="1" indent="1"/>
    </xf>
    <xf numFmtId="49" fontId="123" fillId="0" borderId="0" xfId="0" applyFont="1" applyNumberFormat="1">
      <alignment horizontal="center" vertical="top" wrapText="1"/>
    </xf>
    <xf numFmtId="0" fontId="92" fillId="0" borderId="13" xfId="0" applyFont="1" applyBorder="1" applyNumberFormat="1">
      <alignment horizontal="center" vertical="center"/>
    </xf>
    <xf numFmtId="0" fontId="92" fillId="0" borderId="13" xfId="0" applyFont="1" applyBorder="1" applyNumberFormat="1">
      <alignment horizontal="left" vertical="center" wrapText="1" indent="1"/>
    </xf>
    <xf numFmtId="4" fontId="45" fillId="0" borderId="32" xfId="0" applyFont="1" applyBorder="1" applyNumberFormat="1">
      <alignment horizontal="right" vertical="center" wrapText="1"/>
    </xf>
    <xf numFmtId="49" fontId="45" fillId="0" borderId="24" xfId="0" applyFont="1" applyBorder="1" applyNumberFormat="1">
      <alignment horizontal="left" vertical="center" wrapText="1" indent="1"/>
    </xf>
    <xf numFmtId="49" fontId="45" fillId="0" borderId="16" xfId="0" applyFont="1" applyBorder="1" applyNumberFormat="1">
      <alignment horizontal="left" vertical="center" indent="1"/>
    </xf>
    <xf numFmtId="49" fontId="92" fillId="0" borderId="53" xfId="0" applyFont="1" applyBorder="1" applyNumberFormat="1">
      <alignment vertical="top" wrapText="1"/>
    </xf>
    <xf numFmtId="49" fontId="92" fillId="0" borderId="53" xfId="0" applyFont="1" applyBorder="1" applyNumberFormat="1">
      <alignment horizontal="left" vertical="center" indent="1"/>
    </xf>
    <xf numFmtId="49" fontId="22" fillId="35" borderId="73" xfId="0" applyFont="1" applyFill="1" applyBorder="1" applyNumberFormat="1">
      <alignment horizontal="center" vertical="center" wrapText="1"/>
    </xf>
    <xf numFmtId="0" fontId="0" fillId="38" borderId="51" xfId="0" applyFont="1" applyFill="1" applyBorder="1" applyNumberFormat="1">
      <alignment horizontal="left" vertical="center"/>
    </xf>
    <xf numFmtId="49" fontId="39" fillId="38" borderId="52" xfId="0" applyFont="1" applyFill="1" applyBorder="1" applyNumberFormat="1">
      <alignment horizontal="left" vertical="center" indent="1"/>
    </xf>
    <xf numFmtId="0" fontId="22" fillId="38" borderId="51" xfId="0" applyFont="1" applyFill="1" applyBorder="1" applyNumberFormat="1">
      <alignment vertical="center" wrapText="1"/>
    </xf>
    <xf numFmtId="0" fontId="22" fillId="38" borderId="52" xfId="0" applyFont="1" applyFill="1" applyBorder="1" applyNumberFormat="1">
      <alignment vertical="center" wrapText="1"/>
    </xf>
    <xf numFmtId="49" fontId="22" fillId="35" borderId="18" xfId="0" applyFont="1" applyFill="1" applyBorder="1" applyNumberFormat="1">
      <alignment horizontal="center" vertical="center" wrapText="1"/>
    </xf>
    <xf numFmtId="49" fontId="22" fillId="41" borderId="14" xfId="0" applyFont="1" applyFill="1" applyBorder="1" applyNumberFormat="1">
      <alignment horizontal="left" vertical="center" wrapText="1"/>
    </xf>
    <xf numFmtId="49" fontId="22" fillId="41" borderId="13" xfId="0" applyFont="1" applyFill="1" applyBorder="1" applyNumberFormat="1">
      <alignment horizontal="left" vertical="center" wrapText="1"/>
    </xf>
    <xf numFmtId="49" fontId="22" fillId="40" borderId="13" xfId="0" applyFont="1" applyFill="1" applyBorder="1" applyNumberFormat="1">
      <alignment horizontal="left" vertical="center" wrapText="1"/>
      <protection locked="0"/>
    </xf>
    <xf numFmtId="49" fontId="22" fillId="41" borderId="15" xfId="0" applyFont="1" applyFill="1" applyBorder="1" applyNumberFormat="1">
      <alignment horizontal="center" vertical="center" wrapText="1"/>
    </xf>
    <xf numFmtId="49" fontId="103" fillId="38" borderId="44" xfId="0" applyFont="1" applyFill="1" applyBorder="1" applyNumberFormat="1">
      <alignment horizontal="left" vertical="center" indent="1"/>
    </xf>
    <xf numFmtId="49" fontId="92" fillId="38" borderId="44" xfId="0" applyFont="1" applyFill="1" applyBorder="1" applyNumberFormat="1">
      <alignment horizontal="center" vertical="center"/>
    </xf>
    <xf numFmtId="3" fontId="22" fillId="40" borderId="13" xfId="0" applyFont="1" applyFill="1" applyBorder="1" applyNumberFormat="1">
      <alignment horizontal="center" vertical="center" wrapText="1"/>
      <protection locked="0"/>
    </xf>
    <xf numFmtId="49" fontId="0" fillId="0" borderId="37" xfId="0" applyFont="1" applyBorder="1" applyNumberFormat="1">
      <alignment vertical="top"/>
    </xf>
    <xf numFmtId="49" fontId="121" fillId="0" borderId="14" xfId="0" applyFont="1" applyBorder="1" applyNumberFormat="1">
      <alignment horizontal="center" vertical="center" wrapText="1"/>
    </xf>
    <xf numFmtId="0" fontId="44" fillId="0" borderId="13" xfId="0" applyFont="1" applyBorder="1" applyNumberFormat="1">
      <alignment horizontal="center" vertical="center"/>
    </xf>
    <xf numFmtId="49" fontId="22" fillId="41" borderId="18" xfId="0" applyFont="1" applyFill="1" applyBorder="1" applyNumberFormat="1">
      <alignment horizontal="left" vertical="center" wrapText="1" indent="1"/>
    </xf>
    <xf numFmtId="49" fontId="103" fillId="38" borderId="15" xfId="0" applyFont="1" applyFill="1" applyBorder="1" applyNumberFormat="1">
      <alignment horizontal="left" vertical="center" indent="1"/>
    </xf>
    <xf numFmtId="49" fontId="103" fillId="38" borderId="16" xfId="0" applyFont="1" applyFill="1" applyBorder="1" applyNumberFormat="1">
      <alignment horizontal="left" vertical="center" indent="1"/>
    </xf>
    <xf numFmtId="49" fontId="44" fillId="38" borderId="16" xfId="0" applyFont="1" applyFill="1" applyBorder="1" applyNumberFormat="1">
      <alignment vertical="top" wrapText="1"/>
    </xf>
    <xf numFmtId="49" fontId="44" fillId="38" borderId="14" xfId="0" applyFont="1" applyFill="1" applyBorder="1" applyNumberFormat="1">
      <alignment vertical="top" wrapText="1"/>
    </xf>
    <xf numFmtId="49" fontId="22" fillId="41" borderId="37" xfId="0" applyFont="1" applyFill="1" applyBorder="1" applyNumberFormat="1">
      <alignment horizontal="left" vertical="center" wrapText="1" indent="1"/>
    </xf>
    <xf numFmtId="49" fontId="22" fillId="35" borderId="13" xfId="0" applyFont="1" applyFill="1" applyBorder="1" applyNumberFormat="1">
      <alignment horizontal="left" vertical="center" wrapText="1"/>
    </xf>
    <xf numFmtId="49" fontId="121" fillId="0" borderId="0" xfId="0" applyFont="1" applyNumberFormat="1">
      <alignment horizontal="center" vertical="top" wrapText="1"/>
    </xf>
    <xf numFmtId="0" fontId="44" fillId="0" borderId="13" xfId="0" applyFont="1" applyBorder="1" applyNumberFormat="1">
      <alignment horizontal="center" vertical="center"/>
    </xf>
    <xf numFmtId="0" fontId="44" fillId="41" borderId="13" xfId="0" applyFont="1" applyFill="1" applyBorder="1" applyNumberFormat="1">
      <alignment horizontal="left" vertical="center" wrapText="1" indent="1"/>
    </xf>
    <xf numFmtId="0" fontId="44" fillId="0" borderId="14" xfId="0" applyFont="1" applyBorder="1" applyNumberFormat="1">
      <alignment horizontal="center" vertical="center"/>
    </xf>
    <xf numFmtId="49" fontId="0" fillId="40" borderId="37" xfId="0" applyFont="1" applyFill="1" applyBorder="1" applyNumberFormat="1">
      <alignment vertical="top"/>
      <protection locked="0"/>
    </xf>
    <xf numFmtId="14" fontId="22" fillId="41" borderId="37" xfId="0" applyFont="1" applyFill="1" applyBorder="1" applyNumberFormat="1">
      <alignment horizontal="left" vertical="center" wrapText="1" indent="1"/>
    </xf>
    <xf numFmtId="14" fontId="22" fillId="41" borderId="23" xfId="0" applyFont="1" applyFill="1" applyBorder="1" applyNumberFormat="1">
      <alignment horizontal="left" vertical="center" wrapText="1" indent="1"/>
    </xf>
    <xf numFmtId="49" fontId="22" fillId="41" borderId="24" xfId="0" applyFont="1" applyFill="1" applyBorder="1" applyNumberFormat="1">
      <alignment horizontal="left" vertical="center" wrapText="1" indent="1"/>
    </xf>
    <xf numFmtId="49" fontId="39" fillId="38" borderId="16" xfId="0" applyFont="1" applyFill="1" applyBorder="1" applyNumberFormat="1">
      <alignment horizontal="left" vertical="center" indent="1"/>
    </xf>
    <xf numFmtId="49" fontId="44" fillId="38" borderId="53" xfId="0" applyFont="1" applyFill="1" applyBorder="1" applyNumberFormat="1">
      <alignment vertical="top" wrapText="1"/>
    </xf>
    <xf numFmtId="49" fontId="103" fillId="38" borderId="53" xfId="0" applyFont="1" applyFill="1" applyBorder="1" applyNumberFormat="1">
      <alignment horizontal="left" vertical="center" indent="1"/>
    </xf>
    <xf numFmtId="49" fontId="103" fillId="38" borderId="43" xfId="0" applyFont="1" applyFill="1" applyBorder="1" applyNumberFormat="1">
      <alignment horizontal="left" vertical="center" indent="1"/>
    </xf>
    <xf numFmtId="49" fontId="121" fillId="0" borderId="13" xfId="0" applyFont="1" applyBorder="1" applyNumberFormat="1">
      <alignment horizontal="center" vertical="center" wrapText="1"/>
    </xf>
    <xf numFmtId="0" fontId="44" fillId="0" borderId="14" xfId="0" applyFont="1" applyBorder="1" applyNumberFormat="1">
      <alignment horizontal="center" vertical="center"/>
    </xf>
    <xf numFmtId="49" fontId="22" fillId="36" borderId="13" xfId="0" applyFont="1" applyFill="1" applyBorder="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6" borderId="20" xfId="0" applyFont="1" applyFill="1" applyBorder="1" applyNumberFormat="1">
      <alignment vertical="center" wrapText="1"/>
    </xf>
    <xf numFmtId="49" fontId="22" fillId="0" borderId="0" xfId="0" applyFont="1" applyNumberFormat="1">
      <alignment vertical="top"/>
    </xf>
    <xf numFmtId="49" fontId="46" fillId="0" borderId="0" xfId="0" applyFont="1" applyNumberFormat="1">
      <alignment vertical="top"/>
    </xf>
    <xf numFmtId="0" fontId="46" fillId="0" borderId="40" xfId="0" applyFont="1" applyBorder="1" applyNumberFormat="1">
      <alignment vertical="center" wrapText="1"/>
    </xf>
    <xf numFmtId="0" fontId="22" fillId="0" borderId="74" xfId="0" applyFont="1" applyBorder="1" applyNumberFormat="1">
      <alignment horizontal="center" vertical="center"/>
    </xf>
    <xf numFmtId="0" fontId="22" fillId="0" borderId="44" xfId="0" applyFont="1" applyBorder="1" applyNumberFormat="1">
      <alignment horizontal="center" vertical="center"/>
    </xf>
    <xf numFmtId="0" fontId="22" fillId="0" borderId="44" xfId="0" applyFont="1" applyBorder="1" applyNumberFormat="1">
      <alignment horizontal="center" vertical="center"/>
    </xf>
    <xf numFmtId="0" fontId="22"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22" fillId="0" borderId="23" xfId="0" applyFont="1" applyBorder="1" applyNumberFormat="1">
      <alignment vertical="top"/>
    </xf>
    <xf numFmtId="49" fontId="0" fillId="0" borderId="37" xfId="0" applyFont="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5" borderId="13" xfId="0" applyFont="1" applyFill="1" applyBorder="1" applyNumberFormat="1">
      <alignment horizontal="center" vertical="center"/>
    </xf>
    <xf numFmtId="49" fontId="0" fillId="0" borderId="13" xfId="0" applyFont="1" applyBorder="1" applyNumberFormat="1">
      <alignment horizontal="center" vertical="center"/>
    </xf>
    <xf numFmtId="0" fontId="22"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5" borderId="13" xfId="0" applyFont="1" applyFill="1" applyBorder="1" applyNumberFormat="1">
      <alignment horizontal="righ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indent="2"/>
    </xf>
    <xf numFmtId="4" fontId="0" fillId="37"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44" fillId="0" borderId="0" xfId="0" applyFont="1" applyNumberFormat="1">
      <alignment vertical="center"/>
    </xf>
    <xf numFmtId="49" fontId="97"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97"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vertical="center" wrapText="1"/>
    </xf>
    <xf numFmtId="49" fontId="22" fillId="0" borderId="0" xfId="0" applyFont="1" applyNumberFormat="1">
      <alignment horizontal="center" vertical="top" wrapText="1"/>
    </xf>
    <xf numFmtId="49" fontId="31" fillId="0" borderId="0" xfId="0" applyFont="1" applyNumberFormat="1">
      <alignment horizontal="center" vertical="top" wrapText="1"/>
    </xf>
    <xf numFmtId="49" fontId="22" fillId="36" borderId="0" xfId="0" applyFont="1" applyFill="1" applyNumberFormat="1">
      <alignment horizontal="center" vertical="top" wrapText="1"/>
    </xf>
    <xf numFmtId="0" fontId="22" fillId="0" borderId="21" xfId="0" applyFont="1" applyBorder="1" applyNumberFormat="1">
      <alignment horizontal="left" vertical="top" wrapText="1"/>
    </xf>
    <xf numFmtId="49" fontId="22" fillId="36" borderId="0" xfId="0" applyFont="1" applyFill="1" applyNumberFormat="1">
      <alignment horizontal="center" vertical="center" wrapText="1"/>
    </xf>
    <xf numFmtId="49" fontId="22" fillId="0" borderId="0" xfId="0" applyFont="1" applyNumberFormat="1">
      <alignment horizontal="center" vertical="center" wrapText="1"/>
    </xf>
    <xf numFmtId="49" fontId="44" fillId="0" borderId="0" xfId="0" applyFont="1" applyNumberFormat="1">
      <alignment horizontal="center" vertical="center" wrapText="1"/>
    </xf>
    <xf numFmtId="49" fontId="97" fillId="0" borderId="0" xfId="0" applyFont="1" applyNumberFormat="1">
      <alignment horizontal="center" vertical="center" wrapText="1"/>
    </xf>
    <xf numFmtId="0" fontId="44" fillId="0" borderId="0" xfId="0" applyFont="1" applyNumberFormat="1">
      <alignment horizontal="center" vertical="center" wrapText="1"/>
    </xf>
    <xf numFmtId="49" fontId="44" fillId="0" borderId="0" xfId="0" applyFont="1" applyNumberFormat="1">
      <alignment horizontal="center" vertical="center" wrapText="1"/>
    </xf>
    <xf numFmtId="49" fontId="97"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6" borderId="15" xfId="0" applyFont="1" applyFill="1" applyBorder="1" applyNumberFormat="1">
      <alignment horizontal="center" vertical="center" wrapText="1"/>
    </xf>
    <xf numFmtId="0" fontId="22" fillId="46" borderId="16" xfId="0" applyFont="1" applyFill="1" applyBorder="1" applyNumberFormat="1">
      <alignment horizontal="center" vertical="center" wrapText="1"/>
    </xf>
    <xf numFmtId="0" fontId="22" fillId="46" borderId="14" xfId="0" applyFont="1" applyFill="1" applyBorder="1" applyNumberFormat="1">
      <alignment horizontal="center" vertical="center" wrapText="1"/>
    </xf>
    <xf numFmtId="49" fontId="45" fillId="44" borderId="15" xfId="0" applyFont="1" applyFill="1" applyBorder="1" applyNumberFormat="1">
      <alignment horizontal="center" vertical="center" wrapText="1"/>
    </xf>
    <xf numFmtId="49" fontId="45" fillId="44" borderId="16" xfId="0" applyFont="1" applyFill="1" applyBorder="1" applyNumberFormat="1">
      <alignment horizontal="center" vertical="center" wrapText="1"/>
    </xf>
    <xf numFmtId="49" fontId="45" fillId="44" borderId="14" xfId="0" applyFont="1" applyFill="1" applyBorder="1" applyNumberFormat="1">
      <alignment horizontal="center" vertical="center" wrapText="1"/>
    </xf>
    <xf numFmtId="49" fontId="45" fillId="47" borderId="15" xfId="0" applyFont="1" applyFill="1" applyBorder="1" applyNumberFormat="1">
      <alignment horizontal="center" vertical="center" wrapText="1"/>
    </xf>
    <xf numFmtId="49" fontId="45" fillId="47" borderId="16" xfId="0" applyFont="1" applyFill="1" applyBorder="1" applyNumberFormat="1">
      <alignment horizontal="center" vertical="center" wrapText="1"/>
    </xf>
    <xf numFmtId="49" fontId="45" fillId="47" borderId="14" xfId="0" applyFont="1" applyFill="1" applyBorder="1" applyNumberFormat="1">
      <alignment horizontal="center" vertical="center" wrapText="1"/>
    </xf>
    <xf numFmtId="49" fontId="22" fillId="48" borderId="15" xfId="0" applyFont="1" applyFill="1" applyBorder="1" applyNumberFormat="1">
      <alignment horizontal="center" vertical="center" wrapText="1"/>
    </xf>
    <xf numFmtId="49" fontId="22" fillId="48" borderId="16" xfId="0" applyFont="1" applyFill="1" applyBorder="1" applyNumberFormat="1">
      <alignment horizontal="center" vertical="center" wrapText="1"/>
    </xf>
    <xf numFmtId="49" fontId="22" fillId="42" borderId="20" xfId="0" applyFont="1" applyFill="1" applyBorder="1" applyNumberFormat="1">
      <alignment horizontal="center" vertical="center" wrapText="1"/>
    </xf>
    <xf numFmtId="49" fontId="22" fillId="42" borderId="0" xfId="0" applyFont="1" applyFill="1" applyNumberFormat="1">
      <alignment horizontal="center" vertical="center" wrapText="1"/>
    </xf>
    <xf numFmtId="49" fontId="22" fillId="0" borderId="16" xfId="0" applyFont="1" applyBorder="1" applyNumberFormat="1">
      <alignment horizontal="center" vertical="center" wrapText="1"/>
    </xf>
    <xf numFmtId="49" fontId="44" fillId="36" borderId="0" xfId="0" applyFont="1" applyFill="1" applyNumberFormat="1">
      <alignment vertical="center" wrapText="1"/>
    </xf>
    <xf numFmtId="49" fontId="22" fillId="42" borderId="13" xfId="0" applyFont="1" applyFill="1" applyBorder="1" applyNumberFormat="1">
      <alignment horizontal="center" vertical="center" wrapText="1"/>
    </xf>
    <xf numFmtId="0" fontId="22" fillId="42" borderId="13" xfId="0" applyFont="1" applyFill="1" applyBorder="1" applyNumberFormat="1">
      <alignment horizontal="center" vertical="center" wrapText="1"/>
    </xf>
    <xf numFmtId="0" fontId="22" fillId="42" borderId="15" xfId="0" applyFont="1" applyFill="1" applyBorder="1" applyNumberFormat="1">
      <alignment horizontal="center" vertical="center" wrapText="1"/>
    </xf>
    <xf numFmtId="0" fontId="22" fillId="36" borderId="14" xfId="0" applyFont="1" applyFill="1" applyBorder="1" applyNumberFormat="1">
      <alignment horizontal="center" vertical="center" wrapText="1"/>
    </xf>
    <xf numFmtId="0" fontId="22" fillId="42" borderId="14" xfId="0" applyFont="1" applyFill="1" applyBorder="1" applyNumberFormat="1">
      <alignment horizontal="center" vertical="center" wrapText="1"/>
    </xf>
    <xf numFmtId="49" fontId="22" fillId="0" borderId="0" xfId="0" applyFont="1" applyNumberFormat="1">
      <alignment vertical="center" wrapText="1"/>
    </xf>
    <xf numFmtId="49" fontId="44" fillId="0" borderId="0" xfId="0" applyFont="1" applyNumberFormat="1">
      <alignment vertical="top"/>
    </xf>
    <xf numFmtId="0" fontId="22" fillId="36" borderId="13" xfId="0" applyFont="1" applyFill="1" applyBorder="1" applyNumberFormat="1">
      <alignment horizontal="center" vertical="center" wrapText="1"/>
    </xf>
    <xf numFmtId="49" fontId="22" fillId="42" borderId="28" xfId="0" applyFont="1" applyFill="1" applyBorder="1" applyNumberFormat="1">
      <alignment horizontal="center" vertical="center" wrapText="1"/>
    </xf>
    <xf numFmtId="49" fontId="44" fillId="36" borderId="0" xfId="0" applyFont="1" applyFill="1" applyNumberFormat="1">
      <alignment vertical="center"/>
    </xf>
    <xf numFmtId="49" fontId="35" fillId="0" borderId="13" xfId="0" applyFont="1" applyBorder="1" applyNumberFormat="1">
      <alignment horizontal="center" vertical="center"/>
    </xf>
    <xf numFmtId="49" fontId="35" fillId="42" borderId="13" xfId="0" applyFont="1" applyFill="1" applyBorder="1" applyNumberFormat="1">
      <alignment horizontal="center" vertical="center"/>
    </xf>
    <xf numFmtId="0" fontId="35" fillId="0" borderId="13" xfId="0" applyFont="1" applyBorder="1" applyNumberFormat="1">
      <alignment horizontal="center" vertical="center"/>
    </xf>
    <xf numFmtId="49" fontId="35" fillId="0" borderId="24" xfId="0" applyFont="1" applyBorder="1" applyNumberFormat="1">
      <alignment horizontal="center" vertical="center"/>
    </xf>
    <xf numFmtId="49" fontId="22" fillId="0" borderId="0" xfId="0" applyFont="1" applyNumberFormat="1">
      <alignment vertical="center"/>
    </xf>
    <xf numFmtId="49" fontId="97" fillId="0" borderId="0" xfId="0" applyFont="1" applyNumberFormat="1">
      <alignment vertical="center"/>
    </xf>
    <xf numFmtId="49" fontId="45" fillId="0" borderId="18" xfId="0" applyFont="1" applyBorder="1" applyNumberFormat="1">
      <alignment horizontal="center" vertical="center"/>
    </xf>
    <xf numFmtId="49" fontId="22" fillId="0" borderId="18" xfId="0" applyFont="1" applyBorder="1" applyNumberFormat="1">
      <alignment horizontal="center" vertical="center"/>
    </xf>
    <xf numFmtId="0" fontId="22" fillId="0" borderId="18" xfId="0" applyFont="1" applyBorder="1" applyNumberFormat="1">
      <alignment horizontal="right" vertical="center"/>
    </xf>
    <xf numFmtId="0" fontId="22" fillId="0" borderId="18" xfId="0" applyFont="1" applyBorder="1" applyNumberFormat="1">
      <alignment horizontal="center" vertical="center"/>
    </xf>
    <xf numFmtId="0" fontId="22" fillId="0" borderId="13" xfId="0" applyFont="1" applyBorder="1" applyNumberFormat="1">
      <alignment horizontal="right" vertical="center"/>
    </xf>
    <xf numFmtId="49" fontId="22" fillId="0" borderId="0" xfId="0" applyFont="1" applyNumberFormat="1">
      <alignment vertical="center"/>
    </xf>
    <xf numFmtId="0" fontId="101" fillId="0" borderId="48" xfId="0" applyFont="1" applyBorder="1" applyNumberFormat="1">
      <alignment horizontal="left" vertical="center" indent="1"/>
    </xf>
    <xf numFmtId="49" fontId="22" fillId="0" borderId="56" xfId="0" applyFont="1" applyBorder="1" applyNumberFormat="1">
      <alignment horizontal="center" vertical="center"/>
    </xf>
    <xf numFmtId="0" fontId="22" fillId="0" borderId="56" xfId="0" applyFont="1" applyBorder="1" applyNumberFormat="1">
      <alignment horizontal="right" vertical="center"/>
    </xf>
    <xf numFmtId="0" fontId="22" fillId="0" borderId="56" xfId="0" applyFont="1" applyBorder="1" applyNumberFormat="1">
      <alignment horizontal="center" vertical="center"/>
    </xf>
    <xf numFmtId="0" fontId="22" fillId="0" borderId="16" xfId="0" applyFont="1" applyBorder="1" applyNumberFormat="1">
      <alignment horizontal="right" vertical="center"/>
    </xf>
    <xf numFmtId="0" fontId="22" fillId="0" borderId="14" xfId="0" applyFont="1" applyBorder="1" applyNumberFormat="1">
      <alignment horizontal="right" vertical="center"/>
    </xf>
    <xf numFmtId="0" fontId="22" fillId="36" borderId="13" xfId="0" applyFont="1" applyFill="1" applyBorder="1" applyNumberFormat="1">
      <alignment horizontal="center" vertical="center"/>
    </xf>
    <xf numFmtId="0" fontId="22" fillId="41" borderId="13" xfId="0" applyFont="1" applyFill="1" applyBorder="1" applyNumberFormat="1">
      <alignment horizontal="left" vertical="center" wrapText="1" indent="1"/>
    </xf>
    <xf numFmtId="49" fontId="22" fillId="37" borderId="13" xfId="0" applyFont="1" applyFill="1" applyBorder="1" applyNumberFormat="1">
      <alignment horizontal="left" vertical="center" indent="1"/>
      <protection locked="0"/>
    </xf>
    <xf numFmtId="0" fontId="22" fillId="42" borderId="13" xfId="0" applyFont="1" applyFill="1" applyBorder="1" applyNumberFormat="1">
      <alignment horizontal="right" vertical="center"/>
    </xf>
    <xf numFmtId="4" fontId="22" fillId="37" borderId="13" xfId="0" applyFont="1" applyFill="1" applyBorder="1" applyNumberFormat="1">
      <alignment horizontal="right" vertical="center"/>
      <protection locked="0"/>
    </xf>
    <xf numFmtId="49" fontId="39" fillId="38" borderId="57"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49" borderId="14" xfId="0" applyFont="1" applyFill="1" applyBorder="1" applyNumberFormat="1">
      <alignment horizontal="left" vertical="center" indent="1"/>
    </xf>
    <xf numFmtId="49" fontId="44" fillId="0" borderId="0" xfId="0" applyFont="1" applyNumberFormat="1">
      <alignment vertical="top"/>
    </xf>
    <xf numFmtId="49" fontId="44" fillId="0" borderId="0" xfId="0" applyFont="1" applyNumberFormat="1">
      <alignment vertical="top"/>
    </xf>
    <xf numFmtId="4" fontId="44" fillId="36" borderId="0" xfId="0" applyFont="1" applyFill="1" applyNumberFormat="1">
      <alignment vertical="center"/>
    </xf>
    <xf numFmtId="49" fontId="44" fillId="0" borderId="0" xfId="0" applyFont="1" applyNumberFormat="1">
      <alignment vertical="center" wrapText="1"/>
    </xf>
    <xf numFmtId="49" fontId="92" fillId="0" borderId="0" xfId="0" applyFont="1" applyNumberFormat="1">
      <alignment vertical="center" wrapText="1"/>
    </xf>
    <xf numFmtId="49" fontId="97" fillId="0" borderId="0" xfId="0" applyFont="1" applyNumberFormat="1">
      <alignment vertical="center" wrapText="1"/>
    </xf>
    <xf numFmtId="0" fontId="35" fillId="0" borderId="0" xfId="0" applyFont="1" applyNumberFormat="1">
      <alignment horizontal="center" vertical="center" wrapText="1"/>
    </xf>
    <xf numFmtId="0" fontId="22" fillId="0" borderId="13" xfId="0" applyFont="1" applyBorder="1" applyNumberFormat="1">
      <alignment horizontal="center" vertical="center" wrapText="1"/>
    </xf>
    <xf numFmtId="0" fontId="22" fillId="0" borderId="0" xfId="0" applyFont="1" applyNumberFormat="1">
      <alignment horizontal="left" vertical="center" wrapText="1"/>
    </xf>
    <xf numFmtId="0" fontId="22" fillId="35" borderId="15" xfId="0" applyFont="1" applyFill="1" applyBorder="1" applyNumberFormat="1">
      <alignment horizontal="left" vertical="top" wrapText="1" indent="1"/>
    </xf>
    <xf numFmtId="0" fontId="22" fillId="35" borderId="15" xfId="0" applyFont="1" applyFill="1" applyBorder="1" applyNumberFormat="1">
      <alignment horizontal="left" vertical="top" wrapText="1" indent="1"/>
    </xf>
    <xf numFmtId="0" fontId="22" fillId="0" borderId="15" xfId="0" applyFont="1" applyBorder="1" applyNumberFormat="1">
      <alignment horizontal="center" vertical="center" wrapText="1"/>
    </xf>
    <xf numFmtId="0" fontId="22" fillId="0" borderId="13" xfId="0" applyFont="1" applyBorder="1" applyNumberFormat="1">
      <alignment horizontal="left" vertical="top" wrapText="1"/>
    </xf>
    <xf numFmtId="3" fontId="22" fillId="40" borderId="15" xfId="0" applyFont="1" applyFill="1" applyBorder="1" applyNumberFormat="1">
      <alignment vertical="center" wrapText="1"/>
      <protection locked="0"/>
    </xf>
    <xf numFmtId="3" fontId="22" fillId="40" borderId="15"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3" xfId="0" applyFont="1" applyBorder="1" applyNumberFormat="1">
      <alignment horizontal="left" vertical="top" wrapText="1"/>
    </xf>
    <xf numFmtId="4" fontId="22" fillId="35" borderId="15" xfId="0" applyFont="1" applyFill="1" applyBorder="1" applyNumberFormat="1">
      <alignment horizontal="right" vertical="center" wrapText="1"/>
    </xf>
    <xf numFmtId="4" fontId="22" fillId="35" borderId="15" xfId="0" applyFont="1" applyFill="1" applyBorder="1" applyNumberFormat="1">
      <alignment horizontal="right" vertical="center" wrapText="1"/>
    </xf>
    <xf numFmtId="0" fontId="45" fillId="0" borderId="13" xfId="0" applyFont="1" applyBorder="1" applyNumberFormat="1">
      <alignment vertical="top" wrapText="1"/>
    </xf>
    <xf numFmtId="49" fontId="22" fillId="40" borderId="13" xfId="0" applyFont="1" applyFill="1" applyBorder="1" applyNumberFormat="1">
      <alignment horizontal="left" vertical="center" wrapText="1" indent="1"/>
      <protection locked="0"/>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38" fillId="36" borderId="0" xfId="0" applyFont="1" applyFill="1" applyNumberFormat="1">
      <alignment vertical="center" wrapText="1"/>
    </xf>
    <xf numFmtId="0" fontId="22" fillId="36" borderId="0" xfId="0" applyFont="1" applyFill="1" applyNumberFormat="1">
      <alignment vertical="center" wrapText="1"/>
    </xf>
    <xf numFmtId="49" fontId="22" fillId="0" borderId="0" xfId="0" applyFont="1" applyNumberFormat="1">
      <alignment vertical="center" wrapText="1"/>
    </xf>
    <xf numFmtId="0" fontId="22" fillId="36" borderId="0" xfId="0" applyFont="1" applyFill="1" applyNumberFormat="1">
      <alignment horizontal="center" vertical="center" wrapText="1"/>
    </xf>
    <xf numFmtId="49" fontId="22" fillId="0" borderId="0" xfId="0" applyFont="1" applyNumberFormat="1">
      <alignment vertical="center" wrapText="1"/>
    </xf>
    <xf numFmtId="0" fontId="22" fillId="36" borderId="0" xfId="0" applyFont="1" applyFill="1" applyNumberFormat="1">
      <alignment horizontal="center" vertical="center" wrapText="1"/>
    </xf>
    <xf numFmtId="0" fontId="22"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35" fillId="36" borderId="0" xfId="0" applyFont="1" applyFill="1" applyNumberFormat="1">
      <alignment horizontal="center" vertical="center" wrapText="1"/>
    </xf>
    <xf numFmtId="49" fontId="22"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2"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0" borderId="13" xfId="0" applyFont="1" applyFill="1" applyBorder="1" applyNumberFormat="1">
      <alignment horizontal="left" vertical="center" wrapText="1" indent="2"/>
      <protection locked="0"/>
    </xf>
    <xf numFmtId="49" fontId="51" fillId="40" borderId="13" xfId="0" applyFont="1" applyFill="1" applyBorder="1" applyNumberFormat="1">
      <alignment horizontal="left" vertical="center" wrapText="1"/>
      <protection locked="0"/>
    </xf>
    <xf numFmtId="0" fontId="22" fillId="38" borderId="15" xfId="0" applyFont="1" applyFill="1" applyBorder="1" applyNumberFormat="1">
      <alignment vertical="center" wrapText="1"/>
    </xf>
    <xf numFmtId="49" fontId="39" fillId="38" borderId="16" xfId="0" applyFont="1" applyFill="1" applyBorder="1" applyNumberFormat="1">
      <alignment horizontal="left" vertical="center" indent="2"/>
    </xf>
    <xf numFmtId="49" fontId="43" fillId="38" borderId="14" xfId="0" applyFont="1" applyFill="1" applyBorder="1" applyNumberFormat="1">
      <alignment horizontal="center" vertical="top"/>
    </xf>
    <xf numFmtId="0" fontId="45" fillId="0" borderId="0" xfId="0" applyFont="1" applyNumberFormat="1">
      <alignment vertical="center" wrapText="1"/>
    </xf>
    <xf numFmtId="0" fontId="38" fillId="36" borderId="0" xfId="0" applyFont="1" applyFill="1" applyNumberFormat="1">
      <alignment vertical="center" wrapText="1"/>
    </xf>
    <xf numFmtId="49" fontId="43" fillId="38" borderId="16" xfId="0" applyFont="1" applyFill="1" applyBorder="1" applyNumberFormat="1">
      <alignment horizontal="center" vertical="top"/>
    </xf>
    <xf numFmtId="0" fontId="46" fillId="0" borderId="0" xfId="0" applyFont="1" applyNumberFormat="1">
      <alignment vertical="center"/>
    </xf>
    <xf numFmtId="0" fontId="22" fillId="0" borderId="0" xfId="0" applyFont="1" applyNumberFormat="1">
      <alignment vertical="center"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65" fillId="0" borderId="13" xfId="0" applyFont="1" applyBorder="1" applyNumberFormat="1">
      <alignment horizontal="center" vertical="center" wrapText="1"/>
    </xf>
    <xf numFmtId="0" fontId="65" fillId="0" borderId="13" xfId="0" applyFont="1" applyBorder="1" applyNumberFormat="1">
      <alignment horizontal="left" vertical="center" wrapText="1" indent="2"/>
    </xf>
    <xf numFmtId="49" fontId="68" fillId="0" borderId="15" xfId="0" applyFont="1" applyBorder="1" applyNumberFormat="1">
      <alignment horizontal="left" vertical="center" wrapText="1"/>
    </xf>
    <xf numFmtId="0" fontId="22" fillId="0" borderId="18" xfId="0" applyFont="1" applyBorder="1" applyNumberFormat="1">
      <alignment vertical="top" wrapText="1"/>
    </xf>
    <xf numFmtId="49" fontId="39" fillId="38" borderId="16" xfId="0" applyFont="1" applyFill="1" applyBorder="1" applyNumberFormat="1">
      <alignment horizontal="left" vertical="center" indent="1"/>
    </xf>
    <xf numFmtId="0" fontId="22"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0" borderId="13" xfId="0" applyFont="1" applyBorder="1" applyNumberFormat="1">
      <alignment vertical="center" wrapText="1"/>
    </xf>
    <xf numFmtId="0" fontId="0" fillId="0" borderId="13"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8" fillId="0" borderId="0" xfId="0" applyFont="1" applyNumberFormat="1">
      <alignment vertical="center" wrapText="1"/>
    </xf>
    <xf numFmtId="49" fontId="45" fillId="0" borderId="0" xfId="0" applyFont="1" applyNumberFormat="1">
      <alignment vertical="top"/>
    </xf>
    <xf numFmtId="0" fontId="0" fillId="40" borderId="13" xfId="0" applyFont="1" applyFill="1" applyBorder="1" applyNumberFormat="1">
      <alignment horizontal="left" vertical="center" wrapText="1" indent="1"/>
      <protection locked="0"/>
    </xf>
    <xf numFmtId="49" fontId="51" fillId="40"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0"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2" fillId="41"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8" fontId="0" fillId="40" borderId="13" xfId="0" applyFont="1" applyFill="1" applyBorder="1" applyNumberFormat="1">
      <alignment horizontal="left" vertical="center" wrapText="1"/>
      <protection locked="0"/>
    </xf>
    <xf numFmtId="0" fontId="22"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2" fillId="0" borderId="13" xfId="0" applyFont="1" applyBorder="1" applyNumberFormat="1">
      <alignment horizontal="left" vertical="center" wrapText="1"/>
    </xf>
    <xf numFmtId="0" fontId="22" fillId="0" borderId="13" xfId="0" applyFont="1" applyBorder="1" applyNumberFormat="1">
      <alignment vertical="top" wrapText="1"/>
    </xf>
    <xf numFmtId="49" fontId="39" fillId="38" borderId="16" xfId="0" applyFont="1" applyFill="1" applyBorder="1" applyNumberFormat="1">
      <alignment horizontal="left" vertical="center" indent="2"/>
    </xf>
    <xf numFmtId="49" fontId="39" fillId="38" borderId="16" xfId="0" applyFont="1" applyFill="1" applyBorder="1" applyNumberFormat="1">
      <alignment horizontal="left" vertical="center" indent="3"/>
    </xf>
    <xf numFmtId="49" fontId="22" fillId="41" borderId="13" xfId="0" applyFont="1" applyFill="1" applyBorder="1" applyNumberFormat="1">
      <alignment horizontal="left" vertical="center" wrapText="1"/>
    </xf>
    <xf numFmtId="49" fontId="46"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4" xfId="0" applyFont="1" applyBorder="1" applyNumberFormat="1">
      <alignment horizontal="center" vertical="center" wrapText="1"/>
    </xf>
    <xf numFmtId="168" fontId="0" fillId="40" borderId="14" xfId="0" applyFont="1" applyFill="1" applyBorder="1" applyNumberFormat="1">
      <alignment horizontal="left" vertical="center" wrapText="1"/>
      <protection locked="0"/>
    </xf>
    <xf numFmtId="168" fontId="0" fillId="40" borderId="15" xfId="0" applyFont="1" applyFill="1" applyBorder="1" applyNumberFormat="1">
      <alignment horizontal="left" vertical="center" wrapText="1"/>
      <protection locked="0"/>
    </xf>
    <xf numFmtId="0" fontId="22" fillId="41"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0" fillId="0" borderId="14"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3" xfId="0" applyFont="1" applyBorder="1" applyNumberFormat="1">
      <alignment horizontal="center" vertical="center" wrapText="1"/>
    </xf>
    <xf numFmtId="0" fontId="22" fillId="0" borderId="16" xfId="0" applyFont="1" applyBorder="1" applyNumberFormat="1">
      <alignment horizontal="left" vertical="top" wrapText="1" indent="1"/>
    </xf>
    <xf numFmtId="0" fontId="30" fillId="0" borderId="0" xfId="0" applyFont="1" applyNumberFormat="1">
      <alignment vertical="center" wrapText="1"/>
    </xf>
    <xf numFmtId="0" fontId="0" fillId="36" borderId="15" xfId="0" applyFont="1" applyFill="1" applyBorder="1" applyNumberFormat="1">
      <alignment horizontal="right" vertical="center" wrapText="1" indent="1"/>
    </xf>
    <xf numFmtId="0" fontId="69" fillId="0" borderId="0" xfId="0" applyFont="1" applyNumberFormat="1">
      <alignment vertical="center" wrapText="1"/>
    </xf>
    <xf numFmtId="49" fontId="35" fillId="36" borderId="0" xfId="0" applyFont="1" applyFill="1" applyNumberFormat="1">
      <alignment horizontal="center" vertical="center" wrapText="1"/>
    </xf>
    <xf numFmtId="49" fontId="35" fillId="36" borderId="20"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22" fillId="0" borderId="13" xfId="0" applyFont="1" applyBorder="1" applyNumberFormat="1">
      <alignment horizontal="left" vertical="center" wrapText="1"/>
    </xf>
    <xf numFmtId="0" fontId="38" fillId="36" borderId="0" xfId="0" applyFont="1" applyFill="1" applyNumberFormat="1">
      <alignment horizontal="center" vertical="top" wrapText="1"/>
    </xf>
    <xf numFmtId="0" fontId="0" fillId="35"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39" fillId="38" borderId="28" xfId="0" applyFont="1" applyFill="1" applyBorder="1" applyNumberFormat="1">
      <alignment horizontal="left" vertical="center" indent="2"/>
    </xf>
    <xf numFmtId="49" fontId="39" fillId="38" borderId="16" xfId="0" applyFont="1" applyFill="1" applyBorder="1" applyNumberFormat="1">
      <alignment horizontal="left" vertical="center"/>
    </xf>
    <xf numFmtId="0" fontId="38" fillId="36" borderId="25" xfId="0" applyFont="1" applyFill="1" applyBorder="1" applyNumberFormat="1">
      <alignment horizontal="center" vertical="top" wrapText="1"/>
    </xf>
    <xf numFmtId="49" fontId="0" fillId="36" borderId="24" xfId="0" applyFont="1" applyFill="1" applyBorder="1" applyNumberFormat="1">
      <alignment horizontal="center" vertical="center" wrapText="1"/>
    </xf>
    <xf numFmtId="0" fontId="0" fillId="35" borderId="24" xfId="0" applyFont="1" applyFill="1" applyBorder="1" applyNumberFormat="1">
      <alignment horizontal="left" vertical="center" wrapText="1" indent="1"/>
    </xf>
    <xf numFmtId="0" fontId="0" fillId="0" borderId="14" xfId="0" applyFont="1" applyBorder="1" applyNumberFormat="1">
      <alignment horizontal="center" vertical="center" wrapText="1"/>
    </xf>
    <xf numFmtId="49" fontId="0" fillId="36" borderId="15" xfId="0" applyFont="1" applyFill="1" applyBorder="1" applyNumberFormat="1">
      <alignment horizontal="center" vertical="center" wrapText="1"/>
    </xf>
    <xf numFmtId="0" fontId="22" fillId="0" borderId="37" xfId="0" applyFont="1" applyBorder="1" applyNumberFormat="1">
      <alignment horizontal="left" vertical="top" wrapText="1"/>
    </xf>
    <xf numFmtId="49" fontId="22" fillId="0" borderId="0" xfId="0" applyFont="1" applyNumberFormat="1">
      <alignment vertical="top"/>
    </xf>
    <xf numFmtId="49" fontId="22" fillId="0" borderId="20" xfId="0" applyFont="1" applyBorder="1" applyNumberFormat="1">
      <alignment vertical="top"/>
    </xf>
    <xf numFmtId="0" fontId="30" fillId="0" borderId="0" xfId="0" applyFont="1" applyNumberFormat="1">
      <alignment horizontal="right" vertical="top" wrapText="1"/>
    </xf>
    <xf numFmtId="0" fontId="22" fillId="36" borderId="13" xfId="0" applyFont="1" applyFill="1" applyBorder="1" applyNumberFormat="1">
      <alignment horizontal="center" vertical="center" wrapText="1"/>
    </xf>
    <xf numFmtId="0" fontId="36" fillId="36" borderId="0" xfId="0" applyFont="1" applyFill="1" applyNumberFormat="1">
      <alignment horizontal="center" vertical="center" wrapText="1"/>
    </xf>
    <xf numFmtId="0" fontId="0" fillId="0" borderId="13" xfId="0" applyFont="1" applyBorder="1" applyNumberFormat="1">
      <alignment horizontal="left" vertical="center" wrapText="1"/>
    </xf>
    <xf numFmtId="0" fontId="22" fillId="0" borderId="20" xfId="0" applyFont="1" applyBorder="1" applyNumberFormat="1">
      <alignment vertical="center" wrapText="1"/>
    </xf>
    <xf numFmtId="0" fontId="22" fillId="0" borderId="20"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1" fillId="0" borderId="0" xfId="0" applyFont="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3" fontId="22" fillId="0" borderId="15" xfId="0" applyFont="1" applyBorder="1" applyNumberFormat="1">
      <alignment vertical="center" wrapText="1"/>
    </xf>
    <xf numFmtId="3" fontId="22" fillId="0" borderId="15" xfId="0" applyFont="1" applyBorder="1" applyNumberFormat="1">
      <alignment vertical="center" wrapText="1"/>
    </xf>
    <xf numFmtId="0" fontId="22" fillId="0" borderId="13"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3" xfId="0" applyFont="1" applyBorder="1" applyNumberFormat="1">
      <alignment horizontal="left" vertical="center" wrapText="1" indent="1"/>
    </xf>
    <xf numFmtId="49" fontId="22" fillId="0" borderId="13" xfId="0" applyFont="1" applyBorder="1" applyNumberFormat="1">
      <alignment horizontal="center" vertical="center" wrapText="1"/>
    </xf>
    <xf numFmtId="4" fontId="22" fillId="0" borderId="15" xfId="0" applyFont="1" applyBorder="1" applyNumberFormat="1">
      <alignment horizontal="right" vertical="center" wrapText="1"/>
    </xf>
    <xf numFmtId="4" fontId="22" fillId="0" borderId="31" xfId="0" applyFont="1" applyBorder="1" applyNumberFormat="1">
      <alignment horizontal="right" vertical="center" wrapText="1"/>
    </xf>
    <xf numFmtId="4" fontId="22" fillId="0" borderId="15" xfId="0" applyFont="1" applyBorder="1" applyNumberFormat="1">
      <alignment horizontal="right" vertical="center" wrapText="1"/>
    </xf>
    <xf numFmtId="4" fontId="22" fillId="0" borderId="31" xfId="0" applyFont="1" applyBorder="1" applyNumberFormat="1">
      <alignment horizontal="right" vertical="center" wrapText="1"/>
    </xf>
    <xf numFmtId="0" fontId="51" fillId="0" borderId="0" xfId="0" applyFont="1" applyNumberFormat="1">
      <alignment vertical="center" wrapText="1"/>
    </xf>
    <xf numFmtId="49" fontId="22" fillId="0" borderId="0" xfId="0" applyFont="1" applyNumberFormat="1">
      <alignment horizontal="center" vertical="top"/>
    </xf>
    <xf numFmtId="49" fontId="31" fillId="44" borderId="0" xfId="0" applyFont="1" applyFill="1" applyNumberFormat="1">
      <alignment horizontal="center" vertical="center"/>
    </xf>
    <xf numFmtId="49" fontId="22" fillId="0" borderId="13" xfId="0" applyFont="1" applyBorder="1" applyNumberFormat="1">
      <alignment horizontal="center" vertical="top"/>
    </xf>
    <xf numFmtId="49" fontId="45" fillId="44" borderId="0" xfId="0" applyFont="1" applyFill="1" applyNumberFormat="1">
      <alignment horizontal="center" vertical="center" wrapText="1"/>
    </xf>
    <xf numFmtId="0" fontId="0" fillId="46" borderId="13" xfId="0" applyFont="1" applyFill="1" applyBorder="1" applyNumberFormat="1">
      <alignment horizontal="center" vertical="center"/>
    </xf>
    <xf numFmtId="49" fontId="0" fillId="0" borderId="0" xfId="0" applyFont="1" applyNumberFormat="1">
      <alignment vertical="center"/>
    </xf>
    <xf numFmtId="49" fontId="45" fillId="44" borderId="13" xfId="0" applyFont="1" applyFill="1" applyBorder="1" applyNumberFormat="1">
      <alignment horizontal="center" vertical="center"/>
    </xf>
    <xf numFmtId="49" fontId="45" fillId="47" borderId="13" xfId="0" applyFont="1" applyFill="1" applyBorder="1" applyNumberFormat="1">
      <alignment horizontal="center" vertical="center"/>
    </xf>
    <xf numFmtId="49" fontId="0" fillId="48" borderId="13" xfId="0" applyFont="1" applyFill="1" applyBorder="1" applyNumberFormat="1">
      <alignment horizontal="center" vertical="center"/>
    </xf>
    <xf numFmtId="49" fontId="22" fillId="0" borderId="0" xfId="0" applyFont="1" applyNumberFormat="1">
      <alignment vertical="top"/>
    </xf>
    <xf numFmtId="0" fontId="22"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2" fillId="0" borderId="15" xfId="0" applyFont="1" applyBorder="1" applyNumberFormat="1">
      <alignment horizontal="left" vertical="center"/>
    </xf>
    <xf numFmtId="49" fontId="22" fillId="0" borderId="45" xfId="0" applyFont="1" applyBorder="1" applyNumberFormat="1">
      <alignment vertical="center"/>
    </xf>
    <xf numFmtId="49" fontId="22" fillId="0" borderId="46" xfId="0" applyFont="1" applyBorder="1" applyNumberFormat="1">
      <alignment vertical="top"/>
    </xf>
    <xf numFmtId="49" fontId="22"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2" fillId="0" borderId="14" xfId="0" applyFont="1" applyBorder="1" applyNumberFormat="1">
      <alignment vertical="center"/>
    </xf>
    <xf numFmtId="49" fontId="22" fillId="0" borderId="13" xfId="0" applyFont="1" applyBorder="1" applyNumberFormat="1">
      <alignment vertical="center"/>
    </xf>
    <xf numFmtId="0" fontId="0" fillId="0" borderId="0" xfId="0" applyFont="1" applyNumberFormat="1">
      <alignment vertical="top"/>
    </xf>
    <xf numFmtId="0" fontId="22" fillId="0" borderId="13" xfId="0" applyFont="1" applyBorder="1" applyNumberFormat="1">
      <alignment vertical="top"/>
    </xf>
    <xf numFmtId="0" fontId="0" fillId="45" borderId="0" xfId="0" applyFont="1" applyFill="1" applyNumberFormat="1">
      <alignment horizontal="right" vertical="center"/>
    </xf>
    <xf numFmtId="49" fontId="31" fillId="0" borderId="0" xfId="0" applyFont="1" applyNumberFormat="1">
      <alignment horizontal="center" vertical="center"/>
    </xf>
    <xf numFmtId="49" fontId="0" fillId="0" borderId="0" xfId="0" applyFont="1" applyNumberFormat="1">
      <alignment vertical="top"/>
    </xf>
    <xf numFmtId="49" fontId="31" fillId="44" borderId="0" xfId="0" applyFont="1" applyFill="1" applyNumberFormat="1">
      <alignment horizontal="center" vertical="center"/>
    </xf>
    <xf numFmtId="0" fontId="22" fillId="0" borderId="0" xfId="0" applyFont="1" applyNumberFormat="1">
      <alignment vertical="center"/>
    </xf>
    <xf numFmtId="0" fontId="0" fillId="45"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5" xfId="0" applyFont="1" applyBorder="1" applyNumberFormat="1">
      <alignment vertical="top"/>
    </xf>
    <xf numFmtId="0" fontId="0" fillId="45" borderId="0" xfId="0" applyFont="1" applyFill="1" applyNumberFormat="1">
      <alignment horizontal="right" vertical="center"/>
    </xf>
    <xf numFmtId="0" fontId="0" fillId="0" borderId="0" xfId="0" applyFont="1" applyNumberFormat="1">
      <alignment horizontal="left" vertical="center"/>
    </xf>
    <xf numFmtId="0" fontId="0" fillId="45" borderId="0" xfId="0" applyFont="1" applyFill="1" applyNumberFormat="1">
      <alignment horizontal="right" vertical="center"/>
    </xf>
    <xf numFmtId="0" fontId="0" fillId="45" borderId="0" xfId="0" applyFont="1" applyFill="1" applyNumberFormat="1">
      <alignment horizontal="left" vertical="center"/>
    </xf>
    <xf numFmtId="0" fontId="52" fillId="45"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2" fillId="0" borderId="0" xfId="0" applyFont="1" applyNumberFormat="1">
      <alignment horizontal="left" vertical="center"/>
    </xf>
    <xf numFmtId="49" fontId="0" fillId="0" borderId="15" xfId="0" applyFont="1" applyBorder="1" applyNumberFormat="1">
      <alignment vertical="top"/>
    </xf>
    <xf numFmtId="49" fontId="22" fillId="0" borderId="13" xfId="0" applyFont="1" applyBorder="1" applyNumberFormat="1">
      <alignment horizontal="right" vertical="top"/>
    </xf>
    <xf numFmtId="0" fontId="0" fillId="0" borderId="15" xfId="0" applyFont="1" applyBorder="1" applyNumberFormat="1">
      <alignment horizontal="left" vertical="center"/>
    </xf>
    <xf numFmtId="0" fontId="52" fillId="45" borderId="0" xfId="0" applyFont="1" applyFill="1" applyNumberFormat="1">
      <alignment horizontal="left" vertical="center"/>
    </xf>
    <xf numFmtId="49" fontId="22" fillId="0" borderId="18" xfId="0" applyFont="1" applyBorder="1" applyNumberFormat="1">
      <alignment horizontal="right" vertical="top"/>
    </xf>
    <xf numFmtId="0" fontId="0" fillId="0" borderId="18" xfId="0" applyFont="1" applyBorder="1" applyNumberFormat="1">
      <alignment vertical="top"/>
    </xf>
    <xf numFmtId="0" fontId="22" fillId="0" borderId="18" xfId="0" applyFont="1" applyBorder="1" applyNumberFormat="1">
      <alignment vertical="center"/>
    </xf>
    <xf numFmtId="49" fontId="22" fillId="0" borderId="32" xfId="0" applyFont="1" applyBorder="1" applyNumberFormat="1">
      <alignment horizontal="center" vertical="center"/>
    </xf>
    <xf numFmtId="49" fontId="22" fillId="0" borderId="13" xfId="0" applyFont="1" applyBorder="1" applyNumberFormat="1">
      <alignment horizontal="right" vertical="center"/>
    </xf>
    <xf numFmtId="49" fontId="22" fillId="0" borderId="13" xfId="0" applyFont="1" applyBorder="1" applyNumberFormat="1">
      <alignment vertical="top"/>
    </xf>
    <xf numFmtId="49" fontId="0" fillId="0" borderId="0" xfId="0" applyFont="1" applyNumberFormat="1">
      <alignment vertical="center"/>
    </xf>
    <xf numFmtId="0" fontId="22" fillId="45" borderId="0" xfId="0" applyFont="1" applyFill="1" applyNumberFormat="1">
      <alignment horizontal="left" vertical="center"/>
    </xf>
    <xf numFmtId="0" fontId="0" fillId="45" borderId="11" xfId="0" applyFont="1" applyFill="1" applyBorder="1" applyNumberFormat="1">
      <alignment horizontal="center"/>
    </xf>
    <xf numFmtId="49" fontId="102" fillId="0" borderId="17" xfId="0" applyFont="1" applyBorder="1" applyNumberFormat="1">
      <alignment vertical="top"/>
    </xf>
    <xf numFmtId="49" fontId="0" fillId="0" borderId="0" xfId="0" applyFont="1" applyNumberFormat="1">
      <alignment vertical="center"/>
    </xf>
    <xf numFmtId="49" fontId="44" fillId="51" borderId="0" xfId="0" applyFont="1" applyFill="1" applyNumberFormat="1">
      <alignment vertical="center" wrapText="1"/>
    </xf>
    <xf numFmtId="0" fontId="0" fillId="0" borderId="11" xfId="0" applyFont="1" applyBorder="1" applyNumberFormat="1">
      <alignment horizontal="center"/>
    </xf>
    <xf numFmtId="49" fontId="31" fillId="44" borderId="0" xfId="0" applyFont="1" applyFill="1" applyNumberFormat="1">
      <alignment horizontal="center" vertical="center" wrapText="1"/>
    </xf>
    <xf numFmtId="49" fontId="22" fillId="45" borderId="0" xfId="0" applyFont="1" applyFill="1" applyNumberFormat="1">
      <alignment horizontal="center" vertical="center"/>
    </xf>
    <xf numFmtId="49" fontId="22" fillId="0" borderId="0" xfId="0" applyFont="1" applyNumberFormat="1">
      <alignment vertical="top"/>
    </xf>
    <xf numFmtId="49" fontId="0" fillId="37"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5"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0" fillId="0" borderId="47" xfId="0" applyFont="1" applyBorder="1" applyNumberFormat="1">
      <alignment horizontal="center" vertical="center"/>
    </xf>
    <xf numFmtId="0" fontId="0" fillId="0" borderId="47" xfId="0" applyFont="1" applyBorder="1" applyNumberFormat="1">
      <alignment horizontal="center" vertical="center"/>
    </xf>
    <xf numFmtId="49" fontId="31" fillId="44" borderId="13" xfId="0" applyFont="1" applyFill="1" applyBorder="1" applyNumberFormat="1">
      <alignment horizontal="right" vertical="center"/>
    </xf>
    <xf numFmtId="49" fontId="22" fillId="37" borderId="38" xfId="0" applyFont="1" applyFill="1" applyBorder="1" applyNumberFormat="1">
      <alignment vertical="top"/>
      <protection locked="0"/>
    </xf>
    <xf numFmtId="0" fontId="22" fillId="0" borderId="13" xfId="0" applyFont="1" applyBorder="1" applyNumberFormat="1">
      <alignment vertical="top"/>
    </xf>
    <xf numFmtId="0" fontId="0" fillId="42" borderId="13" xfId="0" applyFont="1" applyFill="1" applyBorder="1" applyNumberFormat="1">
      <alignment horizontal="right" vertical="center"/>
    </xf>
    <xf numFmtId="49" fontId="22" fillId="42" borderId="24" xfId="0" applyFont="1" applyFill="1" applyBorder="1" applyNumberFormat="1">
      <alignment vertical="top"/>
    </xf>
    <xf numFmtId="49" fontId="22" fillId="42" borderId="13" xfId="0" applyFont="1" applyFill="1" applyBorder="1" applyNumberFormat="1">
      <alignment vertical="top"/>
    </xf>
    <xf numFmtId="49" fontId="22" fillId="0" borderId="15" xfId="0" applyFont="1" applyBorder="1" applyNumberFormat="1">
      <alignment horizontal="center" vertical="top"/>
    </xf>
    <xf numFmtId="49" fontId="22" fillId="0" borderId="14" xfId="0" applyFont="1" applyBorder="1" applyNumberFormat="1">
      <alignment horizontal="center" vertical="top"/>
    </xf>
    <xf numFmtId="0" fontId="22" fillId="35" borderId="31" xfId="0" applyFont="1" applyFill="1" applyBorder="1" applyNumberFormat="1">
      <alignment horizontal="center" vertical="top"/>
    </xf>
    <xf numFmtId="0" fontId="22" fillId="35"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2" fillId="0" borderId="13" xfId="0" applyFont="1" applyBorder="1" applyNumberFormat="1">
      <alignment horizontal="left" vertical="top"/>
    </xf>
    <xf numFmtId="49" fontId="22" fillId="0" borderId="0" xfId="0" applyFont="1" applyNumberFormat="1">
      <alignment horizontal="left" vertical="top"/>
    </xf>
    <xf numFmtId="0" fontId="0" fillId="0" borderId="34" xfId="0" applyFont="1" applyBorder="1" applyNumberFormat="1">
      <alignment horizontal="center" vertical="center"/>
    </xf>
    <xf numFmtId="49" fontId="31" fillId="44" borderId="15" xfId="0" applyFont="1" applyFill="1" applyBorder="1" applyNumberFormat="1">
      <alignment horizontal="right" vertical="center"/>
    </xf>
    <xf numFmtId="49" fontId="22"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5"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6" borderId="13" xfId="0" applyFont="1" applyFill="1" applyBorder="1" applyNumberFormat="1">
      <alignment horizontal="center" vertical="center"/>
    </xf>
    <xf numFmtId="49" fontId="22" fillId="40" borderId="13" xfId="0" applyFont="1" applyFill="1" applyBorder="1" applyNumberFormat="1">
      <alignment horizontal="left" vertical="center" wrapText="1"/>
      <protection locked="0"/>
    </xf>
    <xf numFmtId="0" fontId="22" fillId="40" borderId="13" xfId="0" applyFont="1" applyFill="1" applyBorder="1" applyNumberFormat="1">
      <alignment horizontal="center" vertical="center" wrapText="1"/>
      <protection locked="0"/>
    </xf>
    <xf numFmtId="0" fontId="45" fillId="36" borderId="0" xfId="0" applyFont="1" applyFill="1" applyNumberFormat="1"/>
    <xf numFmtId="49" fontId="22"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2" fillId="35" borderId="13" xfId="0" applyFont="1" applyFill="1" applyBorder="1" applyNumberFormat="1">
      <alignment horizontal="left" vertical="center" wrapText="1"/>
    </xf>
    <xf numFmtId="0" fontId="66" fillId="36" borderId="0" xfId="0" applyFont="1" applyFill="1" applyNumberFormat="1"/>
    <xf numFmtId="0" fontId="22" fillId="36" borderId="13" xfId="0" applyFont="1" applyFill="1" applyBorder="1" applyNumberFormat="1">
      <alignment horizontal="left" vertical="center" wrapText="1"/>
    </xf>
    <xf numFmtId="0" fontId="22" fillId="0" borderId="13" xfId="0" applyFont="1" applyBorder="1" applyNumberFormat="1">
      <alignment horizontal="center" vertical="center" wrapText="1"/>
    </xf>
    <xf numFmtId="49" fontId="22" fillId="0" borderId="13" xfId="0" applyFont="1" applyBorder="1" applyNumberFormat="1">
      <alignment horizontal="center" vertical="center"/>
    </xf>
    <xf numFmtId="49" fontId="22" fillId="37"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0" fontId="22"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65" fillId="36" borderId="0" xfId="0" applyFont="1" applyFill="1" applyNumberFormat="1"/>
    <xf numFmtId="0" fontId="70" fillId="36" borderId="0" xfId="0" applyFont="1" applyFill="1" applyNumberFormat="1">
      <alignment vertical="center" wrapText="1"/>
    </xf>
    <xf numFmtId="0" fontId="4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82" fillId="36" borderId="0" xfId="0" applyFont="1" applyFill="1" applyNumberFormat="1"/>
    <xf numFmtId="0" fontId="22" fillId="36" borderId="13" xfId="0" applyFont="1" applyFill="1" applyBorder="1" applyNumberFormat="1">
      <alignment horizontal="left" vertical="top" wrapText="1"/>
    </xf>
    <xf numFmtId="49" fontId="51" fillId="37" borderId="24" xfId="0" applyFont="1" applyFill="1" applyBorder="1" applyNumberFormat="1">
      <alignment horizontal="left" vertical="center" wrapText="1"/>
      <protection locked="0"/>
    </xf>
    <xf numFmtId="0" fontId="22" fillId="36" borderId="13" xfId="0" applyFont="1" applyFill="1" applyBorder="1" applyNumberFormat="1">
      <alignment vertical="top" wrapText="1"/>
    </xf>
    <xf numFmtId="0" fontId="22" fillId="0" borderId="13" xfId="0" applyFont="1" applyBorder="1" applyNumberFormat="1">
      <alignment horizontal="center" vertical="center" wrapText="1"/>
    </xf>
    <xf numFmtId="49" fontId="22" fillId="41" borderId="13" xfId="0" applyFont="1" applyFill="1" applyBorder="1" applyNumberFormat="1">
      <alignment horizontal="left" vertical="center" wrapText="1"/>
    </xf>
    <xf numFmtId="14" fontId="22" fillId="40" borderId="15" xfId="0" applyFont="1" applyFill="1" applyBorder="1" applyNumberFormat="1">
      <alignment horizontal="left" vertical="center" wrapText="1" indent="1"/>
      <protection locked="0"/>
    </xf>
    <xf numFmtId="0" fontId="45" fillId="0" borderId="37" xfId="0" applyFont="1" applyBorder="1" applyNumberFormat="1">
      <alignment horizontal="left" vertical="center" wrapText="1" indent="1"/>
    </xf>
    <xf numFmtId="0" fontId="110" fillId="0" borderId="0" xfId="0" applyFont="1" applyNumberFormat="1">
      <alignment vertical="center"/>
    </xf>
    <xf numFmtId="0" fontId="36" fillId="0" borderId="0" xfId="0" applyFont="1" applyNumberFormat="1">
      <alignment horizontal="center" vertical="center" wrapText="1"/>
    </xf>
    <xf numFmtId="4" fontId="22" fillId="0" borderId="18" xfId="0" applyFont="1" applyBorder="1" applyNumberFormat="1">
      <alignment horizontal="center" vertical="center" wrapText="1"/>
    </xf>
    <xf numFmtId="169" fontId="22" fillId="0" borderId="38" xfId="0" applyFont="1" applyBorder="1" applyNumberFormat="1">
      <alignment horizontal="center" vertical="center" wrapText="1"/>
    </xf>
    <xf numFmtId="169" fontId="22" fillId="0" borderId="18" xfId="0" applyFont="1" applyBorder="1" applyNumberFormat="1">
      <alignment horizontal="center" vertical="center" wrapText="1"/>
    </xf>
    <xf numFmtId="4" fontId="22" fillId="0" borderId="24" xfId="0" applyFont="1" applyBorder="1" applyNumberFormat="1">
      <alignment horizontal="center" vertical="center" wrapText="1"/>
    </xf>
    <xf numFmtId="14" fontId="22" fillId="41" borderId="13" xfId="0" applyFont="1" applyFill="1" applyBorder="1" applyNumberFormat="1">
      <alignment horizontal="left" vertical="center" wrapText="1"/>
    </xf>
    <xf numFmtId="14" fontId="22" fillId="40" borderId="13" xfId="0" applyFont="1" applyFill="1" applyBorder="1" applyNumberFormat="1">
      <alignment horizontal="left" vertical="center" wrapText="1" indent="1"/>
      <protection locked="0"/>
    </xf>
    <xf numFmtId="49" fontId="48" fillId="38" borderId="31" xfId="0" applyFont="1" applyFill="1" applyBorder="1" applyNumberFormat="1">
      <alignment horizontal="right" vertical="center" wrapText="1"/>
    </xf>
    <xf numFmtId="49" fontId="0" fillId="38" borderId="28" xfId="0" applyFont="1" applyFill="1" applyBorder="1" applyNumberFormat="1">
      <alignment horizontal="right" vertical="center" wrapText="1"/>
    </xf>
    <xf numFmtId="49" fontId="0" fillId="38" borderId="30" xfId="0" applyFont="1" applyFill="1" applyBorder="1" applyNumberFormat="1">
      <alignment horizontal="right" vertical="center" wrapText="1"/>
    </xf>
    <xf numFmtId="0" fontId="110" fillId="0" borderId="0" xfId="0" applyFont="1" applyNumberFormat="1">
      <alignment vertical="center" wrapText="1"/>
    </xf>
    <xf numFmtId="49" fontId="0" fillId="0" borderId="0" xfId="0" applyFont="1" applyNumberFormat="1">
      <alignment vertical="top"/>
    </xf>
    <xf numFmtId="0" fontId="22" fillId="0" borderId="15" xfId="0" applyFont="1" applyBorder="1" applyNumberFormat="1">
      <alignment horizontal="center" vertical="center" wrapText="1"/>
    </xf>
    <xf numFmtId="0" fontId="22" fillId="35" borderId="13" xfId="0" applyFont="1" applyFill="1" applyBorder="1" applyNumberFormat="1">
      <alignment horizontal="left" vertical="center" wrapText="1" indent="1"/>
    </xf>
    <xf numFmtId="168" fontId="0" fillId="40" borderId="16" xfId="0" applyFont="1" applyFill="1" applyBorder="1" applyNumberFormat="1">
      <alignment horizontal="left" vertical="center" wrapText="1" indent="1"/>
      <protection locked="0"/>
    </xf>
    <xf numFmtId="170" fontId="22" fillId="40" borderId="13" xfId="0" applyFont="1" applyFill="1" applyBorder="1" applyNumberFormat="1">
      <alignment horizontal="left" vertical="center" wrapText="1" indent="1"/>
      <protection locked="0"/>
    </xf>
    <xf numFmtId="168" fontId="46" fillId="0" borderId="0" xfId="0" applyFont="1" applyNumberFormat="1">
      <alignment horizontal="center" vertical="center" wrapText="1"/>
    </xf>
    <xf numFmtId="169" fontId="22" fillId="0" borderId="18" xfId="0" applyFont="1" applyBorder="1" applyNumberFormat="1">
      <alignment horizontal="center" vertical="center" wrapText="1"/>
    </xf>
    <xf numFmtId="169" fontId="22" fillId="0" borderId="15" xfId="0" applyFont="1" applyBorder="1" applyNumberFormat="1">
      <alignment horizontal="center" vertical="center" wrapText="1"/>
    </xf>
    <xf numFmtId="169" fontId="22" fillId="0" borderId="16" xfId="0" applyFont="1" applyBorder="1" applyNumberFormat="1">
      <alignment horizontal="center" vertical="center" wrapText="1"/>
    </xf>
    <xf numFmtId="169" fontId="22" fillId="0" borderId="14" xfId="0" applyFont="1" applyBorder="1" applyNumberFormat="1">
      <alignment horizontal="center" vertical="center" wrapText="1"/>
    </xf>
    <xf numFmtId="4" fontId="22" fillId="0" borderId="37" xfId="0" applyFont="1" applyBorder="1" applyNumberFormat="1">
      <alignment horizontal="center" vertical="center" wrapText="1"/>
    </xf>
    <xf numFmtId="169" fontId="22" fillId="0" borderId="24" xfId="0" applyFont="1" applyBorder="1" applyNumberFormat="1">
      <alignment horizontal="center" vertical="center" wrapText="1"/>
    </xf>
    <xf numFmtId="169" fontId="22" fillId="0" borderId="24" xfId="0" applyFont="1" applyBorder="1" applyNumberFormat="1">
      <alignment horizontal="center" vertical="center" wrapText="1"/>
    </xf>
    <xf numFmtId="0" fontId="22" fillId="0" borderId="24" xfId="0" applyFont="1" applyBorder="1" applyNumberFormat="1">
      <alignment horizontal="center" vertical="center" wrapText="1"/>
    </xf>
    <xf numFmtId="0" fontId="22" fillId="35" borderId="24" xfId="0" applyFont="1" applyFill="1" applyBorder="1" applyNumberFormat="1">
      <alignment horizontal="left" vertical="center" wrapText="1" indent="1"/>
    </xf>
    <xf numFmtId="14" fontId="22" fillId="40" borderId="24" xfId="0" applyFont="1" applyFill="1" applyBorder="1" applyNumberFormat="1">
      <alignment horizontal="left" vertical="center" wrapText="1" indent="1"/>
      <protection locked="0"/>
    </xf>
    <xf numFmtId="0" fontId="22" fillId="0" borderId="30" xfId="0" applyFont="1" applyBorder="1" applyNumberFormat="1">
      <alignment horizontal="left" vertical="top" wrapText="1"/>
    </xf>
    <xf numFmtId="0" fontId="22" fillId="0" borderId="13" xfId="0" applyFont="1" applyBorder="1" applyNumberFormat="1">
      <alignment horizontal="center" vertical="center" wrapText="1"/>
    </xf>
    <xf numFmtId="0" fontId="22" fillId="35" borderId="13" xfId="0" applyFont="1" applyFill="1" applyBorder="1" applyNumberFormat="1">
      <alignment horizontal="left" vertical="center" wrapText="1" indent="1"/>
    </xf>
    <xf numFmtId="0" fontId="46"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69" fontId="22" fillId="0" borderId="24" xfId="0" applyFont="1" applyBorder="1" applyNumberFormat="1">
      <alignment horizontal="center" vertical="center" wrapText="1"/>
    </xf>
    <xf numFmtId="0" fontId="22" fillId="0" borderId="24" xfId="0" applyFont="1" applyBorder="1" applyNumberFormat="1">
      <alignment horizontal="left" vertical="center" wrapText="1" indent="1"/>
    </xf>
    <xf numFmtId="14" fontId="22" fillId="0" borderId="24" xfId="0" applyFont="1" applyBorder="1" applyNumberFormat="1">
      <alignment horizontal="left" vertical="center" wrapText="1" indent="1"/>
    </xf>
    <xf numFmtId="14" fontId="22" fillId="41" borderId="13" xfId="0" applyFont="1" applyFill="1" applyBorder="1" applyNumberFormat="1">
      <alignment horizontal="left" vertical="center" wrapText="1"/>
    </xf>
    <xf numFmtId="49" fontId="22" fillId="41" borderId="15" xfId="0" applyFont="1" applyFill="1" applyBorder="1" applyNumberFormat="1">
      <alignment horizontal="left" vertical="center" wrapText="1"/>
    </xf>
    <xf numFmtId="0" fontId="22" fillId="0" borderId="15" xfId="0" applyFont="1" applyBorder="1" applyNumberFormat="1">
      <alignment horizontal="center" vertical="center" wrapText="1"/>
    </xf>
    <xf numFmtId="49" fontId="22" fillId="40" borderId="13" xfId="0" applyFont="1" applyFill="1" applyBorder="1" applyNumberFormat="1">
      <alignment horizontal="left" vertical="center" wrapText="1"/>
      <protection locked="0"/>
    </xf>
    <xf numFmtId="49" fontId="51" fillId="38" borderId="28" xfId="0" applyFont="1" applyFill="1" applyBorder="1" applyNumberFormat="1">
      <alignment horizontal="left" vertical="center" wrapText="1"/>
    </xf>
    <xf numFmtId="49" fontId="51" fillId="38" borderId="30" xfId="0" applyFont="1" applyFill="1" applyBorder="1" applyNumberFormat="1">
      <alignment horizontal="left" vertical="center" wrapText="1"/>
    </xf>
    <xf numFmtId="0" fontId="22" fillId="36" borderId="37" xfId="0" applyFont="1" applyFill="1" applyBorder="1" applyNumberFormat="1">
      <alignment vertical="center" wrapText="1"/>
    </xf>
    <xf numFmtId="0" fontId="46" fillId="0" borderId="0" xfId="0" applyFont="1" applyNumberFormat="1">
      <alignment horizontal="center" vertical="center" wrapText="1"/>
    </xf>
    <xf numFmtId="0" fontId="46" fillId="0" borderId="28" xfId="0" applyFont="1" applyBorder="1" applyNumberFormat="1">
      <alignment horizontal="center" vertical="center" wrapText="1"/>
    </xf>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2" fillId="36" borderId="23" xfId="0" applyFont="1" applyFill="1" applyBorder="1" applyNumberFormat="1">
      <alignment vertical="center" wrapText="1"/>
    </xf>
    <xf numFmtId="0" fontId="35" fillId="0" borderId="13" xfId="0" applyFont="1" applyBorder="1" applyNumberFormat="1">
      <alignment horizontal="center" vertical="center" wrapText="1"/>
    </xf>
    <xf numFmtId="0" fontId="22" fillId="0" borderId="16" xfId="0" applyFont="1" applyBorder="1" applyNumberFormat="1">
      <alignment horizontal="center" vertical="center" wrapText="1"/>
    </xf>
    <xf numFmtId="0" fontId="22" fillId="0" borderId="16" xfId="0" applyFont="1" applyBorder="1" applyNumberFormat="1">
      <alignment horizontal="left" vertical="center" wrapText="1"/>
    </xf>
    <xf numFmtId="0" fontId="41" fillId="0" borderId="0" xfId="0" applyFont="1" applyNumberFormat="1">
      <alignment horizontal="center" vertical="center" wrapText="1"/>
    </xf>
    <xf numFmtId="0" fontId="22" fillId="0" borderId="0" xfId="0" applyFont="1" applyNumberFormat="1">
      <alignment horizontal="center" vertical="center" wrapText="1"/>
    </xf>
    <xf numFmtId="169" fontId="44" fillId="0" borderId="20" xfId="0" applyFont="1" applyBorder="1" applyNumberFormat="1">
      <alignment horizontal="center" vertical="center" wrapText="1"/>
    </xf>
    <xf numFmtId="169" fontId="44" fillId="0" borderId="20" xfId="0" applyFont="1" applyBorder="1" applyNumberFormat="1">
      <alignment horizontal="center" vertical="center" wrapText="1"/>
    </xf>
    <xf numFmtId="169" fontId="44" fillId="0" borderId="21" xfId="0" applyFont="1" applyBorder="1" applyNumberFormat="1">
      <alignment horizontal="center" vertical="center" wrapText="1"/>
    </xf>
    <xf numFmtId="0" fontId="46" fillId="0" borderId="0" xfId="0" applyFont="1" applyNumberFormat="1">
      <alignment horizontal="center" vertical="center"/>
    </xf>
    <xf numFmtId="169" fontId="22" fillId="0" borderId="13" xfId="0" applyFont="1" applyBorder="1" applyNumberFormat="1">
      <alignment horizontal="center" vertical="center" wrapText="1"/>
    </xf>
    <xf numFmtId="169" fontId="22" fillId="0" borderId="37" xfId="0" applyFont="1" applyBorder="1" applyNumberFormat="1">
      <alignment horizontal="center" vertical="center" wrapText="1"/>
    </xf>
    <xf numFmtId="169" fontId="22" fillId="0" borderId="13" xfId="0" applyFont="1" applyBorder="1" applyNumberFormat="1">
      <alignment horizontal="center" vertical="center" wrapText="1"/>
    </xf>
    <xf numFmtId="0" fontId="22" fillId="35" borderId="30" xfId="0" applyFont="1" applyFill="1" applyBorder="1" applyNumberFormat="1">
      <alignment horizontal="left" vertical="center" wrapText="1"/>
    </xf>
    <xf numFmtId="14" fontId="22" fillId="41" borderId="24" xfId="0" applyFont="1" applyFill="1" applyBorder="1" applyNumberFormat="1">
      <alignment horizontal="left" vertical="center" wrapText="1"/>
    </xf>
    <xf numFmtId="49" fontId="22" fillId="41" borderId="31" xfId="0" applyFont="1" applyFill="1" applyBorder="1" applyNumberFormat="1">
      <alignment horizontal="left" vertical="center" wrapText="1"/>
    </xf>
    <xf numFmtId="0" fontId="22" fillId="0" borderId="24" xfId="0" applyFont="1" applyBorder="1" applyNumberFormat="1">
      <alignment horizontal="center" vertical="center" wrapText="1"/>
    </xf>
    <xf numFmtId="49" fontId="22" fillId="40" borderId="28" xfId="0" applyFont="1" applyFill="1" applyBorder="1" applyNumberFormat="1">
      <alignment horizontal="left" vertical="center" wrapText="1"/>
      <protection locked="0"/>
    </xf>
    <xf numFmtId="49" fontId="22" fillId="40" borderId="31" xfId="0" applyFont="1" applyFill="1" applyBorder="1" applyNumberFormat="1">
      <alignment horizontal="left" vertical="center" wrapText="1"/>
      <protection locked="0"/>
    </xf>
    <xf numFmtId="49" fontId="22" fillId="0" borderId="13" xfId="0" applyFont="1" applyBorder="1" applyNumberFormat="1">
      <alignment horizontal="left" vertical="top" wrapText="1"/>
    </xf>
    <xf numFmtId="49" fontId="22" fillId="41" borderId="24" xfId="0" applyFont="1" applyFill="1" applyBorder="1" applyNumberFormat="1">
      <alignment horizontal="left" vertical="center" wrapText="1"/>
    </xf>
    <xf numFmtId="49" fontId="125" fillId="0" borderId="13" xfId="0" applyFont="1" applyBorder="1" applyNumberFormat="1">
      <alignment horizontal="left" vertical="top" wrapText="1"/>
    </xf>
    <xf numFmtId="49" fontId="22" fillId="0" borderId="0" xfId="0" applyFont="1" applyNumberFormat="1">
      <alignment vertical="top"/>
    </xf>
    <xf numFmtId="0" fontId="31" fillId="0" borderId="0" xfId="0" applyFont="1" applyNumberFormat="1">
      <alignment vertical="center" wrapText="1"/>
    </xf>
    <xf numFmtId="0" fontId="36" fillId="36" borderId="0" xfId="0" applyFont="1" applyFill="1" applyNumberFormat="1">
      <alignment horizontal="center" vertical="center" wrapText="1"/>
    </xf>
    <xf numFmtId="0" fontId="22" fillId="36" borderId="0" xfId="0" applyFont="1" applyFill="1" applyNumberFormat="1"/>
    <xf numFmtId="49" fontId="22" fillId="0" borderId="0" xfId="0" applyFont="1" applyNumberFormat="1">
      <alignment vertical="top"/>
    </xf>
    <xf numFmtId="49" fontId="36" fillId="0" borderId="0" xfId="0" applyFont="1" applyNumberFormat="1">
      <alignment horizontal="center" vertical="center"/>
    </xf>
    <xf numFmtId="0" fontId="42" fillId="36" borderId="0" xfId="0" applyFont="1" applyFill="1" applyNumberFormat="1">
      <alignment horizontal="center" vertical="center" wrapText="1"/>
    </xf>
    <xf numFmtId="0" fontId="31" fillId="36" borderId="0" xfId="0" applyFont="1" applyFill="1" applyNumberFormat="1"/>
    <xf numFmtId="49" fontId="31" fillId="0" borderId="0" xfId="0" applyFont="1" applyNumberFormat="1">
      <alignment vertical="top"/>
    </xf>
    <xf numFmtId="0" fontId="22" fillId="36" borderId="13" xfId="0" applyFont="1" applyFill="1" applyBorder="1" applyNumberFormat="1">
      <alignment horizontal="center" vertical="center" wrapText="1"/>
    </xf>
    <xf numFmtId="49" fontId="45"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protection locked="0"/>
    </xf>
    <xf numFmtId="0" fontId="46" fillId="0" borderId="0" xfId="0" applyFont="1" applyNumberFormat="1">
      <alignment vertical="top"/>
    </xf>
    <xf numFmtId="49" fontId="46" fillId="0" borderId="0" xfId="0" applyFont="1" applyNumberFormat="1">
      <alignment vertical="top"/>
    </xf>
    <xf numFmtId="49" fontId="22" fillId="0" borderId="0" xfId="0" applyFont="1" applyNumberFormat="1">
      <alignment vertical="top"/>
    </xf>
    <xf numFmtId="49" fontId="39" fillId="38" borderId="16" xfId="0" applyFont="1" applyFill="1" applyBorder="1" applyNumberFormat="1">
      <alignment horizontal="left" vertical="center"/>
    </xf>
    <xf numFmtId="49" fontId="43" fillId="38" borderId="16"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6" fillId="36" borderId="0" xfId="0" applyFont="1" applyFill="1" applyNumberFormat="1">
      <alignment horizontal="center" vertical="center"/>
    </xf>
    <xf numFmtId="0" fontId="22" fillId="36" borderId="0" xfId="0" applyFont="1" applyFill="1" applyNumberFormat="1"/>
    <xf numFmtId="0" fontId="22" fillId="0" borderId="14" xfId="0" applyFont="1" applyBorder="1" applyNumberFormat="1">
      <alignment horizontal="left" vertical="center" wrapText="1" indent="1"/>
    </xf>
    <xf numFmtId="0" fontId="22" fillId="0" borderId="15" xfId="0" applyFont="1" applyBorder="1" applyNumberFormat="1">
      <alignment horizontal="left" vertical="center" wrapText="1" indent="1"/>
    </xf>
    <xf numFmtId="0" fontId="62" fillId="0" borderId="0" xfId="0" applyFont="1" applyNumberFormat="1"/>
    <xf numFmtId="0" fontId="22" fillId="0" borderId="13" xfId="0" applyFont="1" applyBorder="1" applyNumberFormat="1">
      <alignment horizontal="center" vertical="center" wrapText="1"/>
    </xf>
    <xf numFmtId="0" fontId="22" fillId="36" borderId="18" xfId="0" applyFont="1" applyFill="1" applyBorder="1" applyNumberFormat="1">
      <alignment horizontal="center" vertical="center"/>
    </xf>
    <xf numFmtId="49" fontId="22" fillId="0" borderId="18" xfId="0" applyFont="1" applyBorder="1" applyNumberFormat="1">
      <alignment horizontal="left" vertical="center" wrapText="1"/>
    </xf>
    <xf numFmtId="0" fontId="36" fillId="36" borderId="0" xfId="0" applyFont="1" applyFill="1" applyNumberFormat="1">
      <alignment horizontal="center" vertical="center" wrapText="1"/>
    </xf>
    <xf numFmtId="0" fontId="22" fillId="36" borderId="13" xfId="0" applyFont="1" applyFill="1" applyBorder="1" applyNumberFormat="1">
      <alignment horizontal="center" vertical="center"/>
    </xf>
    <xf numFmtId="49" fontId="22" fillId="40" borderId="13" xfId="0" applyFont="1" applyFill="1" applyBorder="1" applyNumberFormat="1">
      <alignment horizontal="left" vertical="center" wrapText="1"/>
      <protection locked="0"/>
    </xf>
    <xf numFmtId="49" fontId="48" fillId="38" borderId="15" xfId="0" applyFont="1" applyFill="1" applyBorder="1" applyNumberFormat="1">
      <alignment horizontal="center" vertical="center"/>
    </xf>
    <xf numFmtId="49" fontId="39" fillId="38" borderId="14" xfId="0" applyFont="1" applyFill="1" applyBorder="1" applyNumberFormat="1">
      <alignment horizontal="left" vertical="center"/>
    </xf>
    <xf numFmtId="49" fontId="44" fillId="0" borderId="0" xfId="0" applyFont="1" applyNumberFormat="1">
      <alignment horizontal="right" vertical="top"/>
    </xf>
    <xf numFmtId="49" fontId="44" fillId="0" borderId="0" xfId="0" applyFont="1" applyNumberFormat="1">
      <alignment vertical="top"/>
    </xf>
    <xf numFmtId="0" fontId="36" fillId="0" borderId="0" xfId="0" applyFont="1" applyNumberFormat="1">
      <alignment horizontal="center" vertical="center"/>
    </xf>
    <xf numFmtId="0" fontId="22" fillId="0" borderId="0" xfId="0" applyFont="1" applyNumberFormat="1"/>
    <xf numFmtId="49" fontId="22" fillId="0" borderId="13" xfId="0" applyFont="1" applyBorder="1" applyNumberFormat="1">
      <alignment horizontal="left" vertical="center" wrapText="1"/>
    </xf>
    <xf numFmtId="0" fontId="22" fillId="0" borderId="0" xfId="0" applyFont="1" applyNumberFormat="1"/>
    <xf numFmtId="0" fontId="36" fillId="36" borderId="0" xfId="0" applyFont="1" applyFill="1" applyNumberFormat="1">
      <alignment horizontal="center"/>
    </xf>
    <xf numFmtId="49" fontId="22" fillId="37" borderId="13" xfId="0" applyFont="1" applyFill="1" applyBorder="1" applyNumberFormat="1">
      <alignment horizontal="left" vertical="center" wrapText="1"/>
      <protection locked="0"/>
    </xf>
    <xf numFmtId="49" fontId="39" fillId="38" borderId="14" xfId="0" applyFont="1" applyFill="1" applyBorder="1" applyNumberFormat="1">
      <alignment horizontal="left" vertical="center"/>
    </xf>
    <xf numFmtId="49" fontId="0" fillId="0" borderId="0" xfId="0" applyFont="1" applyNumberFormat="1">
      <alignment vertical="top"/>
    </xf>
    <xf numFmtId="49" fontId="0" fillId="0" borderId="16" xfId="0" applyFont="1" applyBorder="1" applyNumberFormat="1">
      <alignment horizontal="left" vertical="center" indent="1"/>
    </xf>
    <xf numFmtId="49" fontId="63" fillId="0" borderId="0" xfId="0" applyFont="1" applyNumberFormat="1">
      <alignment vertical="top"/>
    </xf>
    <xf numFmtId="49" fontId="0" fillId="0" borderId="26" xfId="0" applyFont="1" applyBorder="1" applyNumberFormat="1">
      <alignment horizontal="center" vertical="center"/>
    </xf>
    <xf numFmtId="49" fontId="0" fillId="0" borderId="26" xfId="0" applyFont="1" applyBorder="1" applyNumberFormat="1">
      <alignment horizontal="center" vertical="center"/>
    </xf>
    <xf numFmtId="49" fontId="0" fillId="39" borderId="0" xfId="0" applyFont="1" applyFill="1" applyNumberFormat="1">
      <alignment vertical="top"/>
    </xf>
    <xf numFmtId="0" fontId="36" fillId="36" borderId="0" xfId="0" applyFont="1" applyFill="1" applyNumberFormat="1">
      <alignment horizontal="center" vertical="center" wrapText="1"/>
    </xf>
    <xf numFmtId="0" fontId="45" fillId="0" borderId="0" xfId="0" applyFont="1" applyNumberFormat="1">
      <alignment horizontal="center" vertical="center" wrapText="1"/>
    </xf>
    <xf numFmtId="49" fontId="50" fillId="39" borderId="0" xfId="0" applyFont="1" applyFill="1" applyNumberFormat="1">
      <alignment vertical="top"/>
    </xf>
    <xf numFmtId="49" fontId="50" fillId="0" borderId="0" xfId="0" applyFont="1" applyNumberFormat="1">
      <alignment vertical="top"/>
    </xf>
    <xf numFmtId="49" fontId="22" fillId="36" borderId="0" xfId="0" applyFont="1" applyFill="1" applyNumberFormat="1">
      <alignment horizontal="center" vertical="center" wrapText="1"/>
    </xf>
    <xf numFmtId="0" fontId="22" fillId="36" borderId="0" xfId="0" applyFont="1" applyFill="1" applyNumberFormat="1">
      <alignment horizontal="center" vertical="top" wrapText="1"/>
    </xf>
    <xf numFmtId="49" fontId="22" fillId="41"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0" borderId="13" xfId="0" applyFont="1" applyFill="1" applyBorder="1" applyNumberFormat="1">
      <alignment horizontal="left" vertical="center" wrapText="1"/>
      <protection locked="0"/>
    </xf>
    <xf numFmtId="0" fontId="36" fillId="36" borderId="0" xfId="0" applyFont="1" applyFill="1" applyNumberFormat="1">
      <alignment vertical="top" wrapText="1"/>
    </xf>
    <xf numFmtId="0" fontId="22" fillId="36" borderId="15" xfId="0" applyFont="1" applyFill="1" applyBorder="1" applyNumberFormat="1">
      <alignment horizontal="center" vertical="center" wrapText="1"/>
    </xf>
    <xf numFmtId="0" fontId="46" fillId="36" borderId="13" xfId="0" applyFont="1" applyFill="1" applyBorder="1" applyNumberFormat="1">
      <alignment horizontal="center" vertical="center" wrapText="1"/>
    </xf>
    <xf numFmtId="14" fontId="22" fillId="41" borderId="30" xfId="0" applyFont="1" applyFill="1" applyBorder="1" applyNumberFormat="1">
      <alignment horizontal="left" vertical="center" wrapText="1"/>
    </xf>
    <xf numFmtId="49" fontId="120" fillId="40"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2" fillId="41"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36" fillId="0" borderId="0" xfId="0" applyFont="1" applyNumberFormat="1">
      <alignment horizontal="center" vertical="center" wrapText="1"/>
    </xf>
    <xf numFmtId="168" fontId="0" fillId="40" borderId="13" xfId="0" applyFont="1" applyFill="1" applyBorder="1" applyNumberFormat="1">
      <alignment horizontal="center" vertical="center" wrapText="1"/>
      <protection locked="0"/>
    </xf>
    <xf numFmtId="49" fontId="0" fillId="40" borderId="13" xfId="0" applyFont="1" applyFill="1" applyBorder="1" applyNumberFormat="1">
      <alignment horizontal="center" vertical="center" wrapText="1"/>
      <protection locked="0"/>
    </xf>
    <xf numFmtId="49" fontId="0" fillId="36" borderId="13" xfId="0" applyFont="1" applyFill="1" applyBorder="1" applyNumberFormat="1">
      <alignment horizontal="center" vertical="center" wrapText="1"/>
    </xf>
    <xf numFmtId="0" fontId="0" fillId="40" borderId="15" xfId="0" applyFont="1" applyFill="1" applyBorder="1" applyNumberFormat="1">
      <alignment horizontal="left" vertical="center" wrapText="1" indent="2"/>
      <protection locked="0"/>
    </xf>
    <xf numFmtId="0" fontId="36" fillId="0" borderId="25" xfId="0" applyFont="1" applyBorder="1" applyNumberFormat="1">
      <alignment horizontal="center" vertical="center" wrapText="1"/>
    </xf>
    <xf numFmtId="0" fontId="22" fillId="0" borderId="25" xfId="0" applyFont="1" applyBorder="1" applyNumberFormat="1">
      <alignment vertical="top" wrapText="1"/>
    </xf>
    <xf numFmtId="49" fontId="22" fillId="0" borderId="37" xfId="0" applyFont="1" applyBorder="1" applyNumberFormat="1">
      <alignment horizontal="center" vertical="top" wrapText="1"/>
    </xf>
    <xf numFmtId="0" fontId="0" fillId="35" borderId="37" xfId="0" applyFont="1" applyFill="1" applyBorder="1" applyNumberFormat="1">
      <alignment horizontal="left" vertical="top" wrapText="1" indent="1"/>
    </xf>
    <xf numFmtId="49" fontId="22" fillId="41" borderId="37" xfId="0" applyFont="1" applyFill="1" applyBorder="1" applyNumberFormat="1">
      <alignment horizontal="center" vertical="top" wrapText="1"/>
    </xf>
    <xf numFmtId="49" fontId="0" fillId="40" borderId="37" xfId="0" applyFont="1" applyFill="1" applyBorder="1" applyNumberFormat="1">
      <alignment horizontal="center" vertical="top" wrapText="1"/>
      <protection locked="0"/>
    </xf>
    <xf numFmtId="49" fontId="0" fillId="37" borderId="37" xfId="0" applyFont="1" applyFill="1" applyBorder="1" applyNumberFormat="1">
      <alignment horizontal="center" vertical="top" wrapText="1"/>
      <protection locked="0"/>
    </xf>
    <xf numFmtId="49" fontId="22" fillId="41" borderId="37" xfId="0" applyFont="1" applyFill="1" applyBorder="1" applyNumberFormat="1">
      <alignment horizontal="left" vertical="top" wrapText="1"/>
    </xf>
    <xf numFmtId="49" fontId="22" fillId="40" borderId="37" xfId="0" applyFont="1" applyFill="1" applyBorder="1" applyNumberFormat="1">
      <alignment horizontal="left" vertical="top" wrapText="1"/>
      <protection locked="0"/>
    </xf>
    <xf numFmtId="49" fontId="0" fillId="35" borderId="37" xfId="0" applyFont="1" applyFill="1" applyBorder="1" applyNumberFormat="1">
      <alignment horizontal="center" vertical="top" wrapText="1"/>
    </xf>
    <xf numFmtId="0" fontId="22" fillId="35" borderId="37" xfId="0" applyFont="1" applyFill="1" applyBorder="1" applyNumberFormat="1">
      <alignment horizontal="center" vertical="top" wrapText="1"/>
    </xf>
    <xf numFmtId="0" fontId="22" fillId="37" borderId="37" xfId="0" applyFont="1" applyFill="1" applyBorder="1" applyNumberFormat="1">
      <alignment horizontal="left" vertical="top" wrapText="1"/>
      <protection locked="0"/>
    </xf>
    <xf numFmtId="49" fontId="0" fillId="35" borderId="37" xfId="0" applyFont="1" applyFill="1" applyBorder="1" applyNumberFormat="1">
      <alignment vertical="top"/>
    </xf>
    <xf numFmtId="49" fontId="0" fillId="0" borderId="37" xfId="0" applyFont="1" applyBorder="1" applyNumberFormat="1">
      <alignment vertical="top"/>
    </xf>
    <xf numFmtId="49" fontId="22" fillId="41" borderId="18" xfId="0" applyFont="1" applyFill="1" applyBorder="1" applyNumberFormat="1">
      <alignment vertical="center" wrapText="1"/>
    </xf>
    <xf numFmtId="49" fontId="0" fillId="40" borderId="37" xfId="0" applyFont="1" applyFill="1" applyBorder="1" applyNumberFormat="1">
      <alignment vertical="top"/>
      <protection locked="0"/>
    </xf>
    <xf numFmtId="49" fontId="0" fillId="40" borderId="18" xfId="0" applyFont="1" applyFill="1" applyBorder="1" applyNumberFormat="1">
      <alignment vertical="top"/>
      <protection locked="0"/>
    </xf>
    <xf numFmtId="14" fontId="22" fillId="41" borderId="37" xfId="0" applyFont="1" applyFill="1" applyBorder="1" applyNumberFormat="1">
      <alignment horizontal="left" vertical="center" wrapText="1" indent="1"/>
    </xf>
    <xf numFmtId="14" fontId="22" fillId="41" borderId="23" xfId="0" applyFont="1" applyFill="1" applyBorder="1" applyNumberFormat="1">
      <alignment horizontal="left" vertical="center" wrapText="1" indent="1"/>
    </xf>
    <xf numFmtId="49" fontId="22" fillId="41" borderId="37" xfId="0" applyFont="1" applyFill="1" applyBorder="1" applyNumberFormat="1">
      <alignment vertical="center" wrapText="1"/>
    </xf>
    <xf numFmtId="0" fontId="44" fillId="0" borderId="13" xfId="0" applyFont="1" applyBorder="1" applyNumberFormat="1">
      <alignment horizontal="center" vertical="center"/>
    </xf>
    <xf numFmtId="49" fontId="22" fillId="41" borderId="24" xfId="0" applyFont="1" applyFill="1" applyBorder="1" applyNumberFormat="1">
      <alignment vertical="center" wrapText="1"/>
    </xf>
    <xf numFmtId="49" fontId="0" fillId="40" borderId="24" xfId="0" applyFont="1" applyFill="1" applyBorder="1" applyNumberFormat="1">
      <alignment vertical="top"/>
      <protection locked="0"/>
    </xf>
    <xf numFmtId="49" fontId="121" fillId="0" borderId="37" xfId="0" applyFont="1" applyBorder="1" applyNumberFormat="1">
      <alignment horizontal="center" vertical="top" wrapText="1"/>
    </xf>
    <xf numFmtId="0" fontId="44" fillId="0" borderId="14" xfId="0" applyFont="1" applyBorder="1" applyNumberFormat="1">
      <alignment horizontal="center" vertical="center"/>
    </xf>
    <xf numFmtId="49" fontId="0" fillId="0" borderId="0" xfId="0" applyFont="1" applyNumberFormat="1">
      <alignment vertical="top"/>
    </xf>
    <xf numFmtId="0" fontId="22" fillId="36" borderId="13" xfId="0" applyFont="1" applyFill="1" applyBorder="1" applyNumberFormat="1">
      <alignment horizontal="center" vertical="center"/>
    </xf>
    <xf numFmtId="0" fontId="22" fillId="41" borderId="13" xfId="0" applyFont="1" applyFill="1" applyBorder="1" applyNumberFormat="1">
      <alignment horizontal="left" vertical="center" wrapText="1" indent="1"/>
    </xf>
    <xf numFmtId="49" fontId="39" fillId="38" borderId="57"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49" borderId="14" xfId="0" applyFont="1" applyFill="1" applyBorder="1" applyNumberFormat="1">
      <alignment horizontal="left" vertical="center" indent="1"/>
    </xf>
    <xf numFmtId="49" fontId="22" fillId="0" borderId="0" xfId="0" applyFont="1" applyNumberFormat="1">
      <alignment vertical="top"/>
    </xf>
    <xf numFmtId="0" fontId="45" fillId="0" borderId="0" xfId="0" applyFont="1" applyNumberFormat="1">
      <alignment horizontal="center" vertical="top"/>
    </xf>
    <xf numFmtId="49" fontId="0" fillId="0" borderId="20" xfId="0" applyFont="1" applyBorder="1" applyNumberFormat="1">
      <alignment vertical="top"/>
    </xf>
    <xf numFmtId="49" fontId="36" fillId="0" borderId="18" xfId="0" applyFont="1" applyBorder="1" applyNumberFormat="1">
      <alignment horizontal="center" vertical="top" wrapText="1"/>
    </xf>
    <xf numFmtId="49" fontId="22" fillId="40"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4" fontId="0" fillId="35" borderId="13" xfId="0" applyFont="1" applyFill="1" applyBorder="1" applyNumberFormat="1">
      <alignment horizontal="right" vertical="center" wrapText="1"/>
    </xf>
    <xf numFmtId="49" fontId="22" fillId="0" borderId="37" xfId="0" applyFont="1" applyBorder="1" applyNumberFormat="1">
      <alignment horizontal="center" vertical="top" wrapText="1"/>
    </xf>
    <xf numFmtId="0" fontId="0" fillId="40" borderId="13" xfId="0" applyFont="1" applyFill="1" applyBorder="1" applyNumberFormat="1">
      <alignment horizontal="left" vertical="center" wrapText="1"/>
      <protection locked="0"/>
    </xf>
    <xf numFmtId="49" fontId="0" fillId="40"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0" borderId="13" xfId="0" applyFont="1" applyFill="1" applyBorder="1" applyNumberFormat="1">
      <alignment horizontal="left" vertical="center" wrapText="1"/>
      <protection locked="0"/>
    </xf>
    <xf numFmtId="4" fontId="0" fillId="40" borderId="13" xfId="0" applyFont="1" applyFill="1" applyBorder="1" applyNumberFormat="1">
      <alignment horizontal="right" vertical="center" wrapText="1"/>
      <protection locked="0"/>
    </xf>
    <xf numFmtId="49" fontId="0" fillId="40" borderId="13" xfId="0" applyFont="1" applyFill="1" applyBorder="1" applyNumberFormat="1">
      <alignment horizontal="center" vertical="center" wrapText="1"/>
      <protection locked="0"/>
    </xf>
    <xf numFmtId="4" fontId="45" fillId="0" borderId="13" xfId="0" applyFont="1" applyBorder="1" applyNumberFormat="1">
      <alignment horizontal="right" vertical="center" wrapText="1"/>
    </xf>
    <xf numFmtId="49" fontId="0" fillId="40" borderId="13" xfId="0" applyFont="1" applyFill="1" applyBorder="1" applyNumberFormat="1">
      <alignment horizontal="left" vertical="center" wrapText="1"/>
      <protection locked="0"/>
    </xf>
    <xf numFmtId="49" fontId="0" fillId="38" borderId="31" xfId="0" applyFont="1" applyFill="1" applyBorder="1" applyNumberFormat="1">
      <alignment horizontal="center" vertical="center"/>
    </xf>
    <xf numFmtId="49" fontId="0" fillId="38" borderId="16" xfId="0" applyFont="1" applyFill="1" applyBorder="1" applyNumberFormat="1">
      <alignment horizontal="center" vertical="center"/>
    </xf>
    <xf numFmtId="49" fontId="39" fillId="38" borderId="16" xfId="0" applyFont="1" applyFill="1" applyBorder="1" applyNumberFormat="1">
      <alignment horizontal="left" vertical="center"/>
    </xf>
    <xf numFmtId="49" fontId="39" fillId="38" borderId="14" xfId="0" applyFont="1" applyFill="1" applyBorder="1" applyNumberFormat="1">
      <alignment horizontal="left" vertical="center" indent="1"/>
    </xf>
    <xf numFmtId="49" fontId="22" fillId="0" borderId="24" xfId="0" applyFont="1" applyBorder="1" applyNumberFormat="1">
      <alignment horizontal="center" vertical="top" wrapText="1"/>
    </xf>
    <xf numFmtId="49" fontId="22" fillId="40"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13" xfId="0" applyFont="1" applyBorder="1" applyNumberFormat="1">
      <alignment horizontal="center" vertical="center"/>
    </xf>
    <xf numFmtId="0" fontId="22" fillId="41" borderId="13" xfId="0" applyFont="1" applyFill="1" applyBorder="1" applyNumberFormat="1">
      <alignment horizontal="left" vertical="top" wrapText="1"/>
    </xf>
    <xf numFmtId="49" fontId="22" fillId="37" borderId="13" xfId="0" applyFont="1" applyFill="1" applyBorder="1" applyNumberFormat="1">
      <alignment horizontal="left" vertical="center" wrapText="1"/>
      <protection locked="0"/>
    </xf>
    <xf numFmtId="0" fontId="0" fillId="41" borderId="13"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0" fillId="40" borderId="13" xfId="0" applyFont="1" applyFill="1" applyBorder="1" applyNumberFormat="1">
      <alignment horizontal="left" vertical="center" wrapText="1"/>
      <protection locked="0"/>
    </xf>
    <xf numFmtId="49" fontId="22" fillId="37"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9" fillId="38" borderId="15" xfId="0" applyFont="1" applyFill="1" applyBorder="1" applyNumberFormat="1">
      <alignment horizontal="left" vertical="center"/>
    </xf>
    <xf numFmtId="0" fontId="39" fillId="38" borderId="16" xfId="0" applyFont="1" applyFill="1" applyBorder="1" applyNumberFormat="1">
      <alignment horizontal="left" vertical="center"/>
    </xf>
    <xf numFmtId="0" fontId="39" fillId="38" borderId="14" xfId="0" applyFont="1" applyFill="1" applyBorder="1" applyNumberFormat="1">
      <alignment horizontal="left" vertical="center"/>
    </xf>
    <xf numFmtId="49" fontId="0" fillId="41" borderId="13" xfId="0" applyFont="1" applyFill="1" applyBorder="1" applyNumberFormat="1">
      <alignment horizontal="left" vertical="top"/>
    </xf>
    <xf numFmtId="49" fontId="0" fillId="37" borderId="13" xfId="0" applyFont="1" applyFill="1" applyBorder="1" applyNumberFormat="1">
      <alignment horizontal="left" vertical="top"/>
      <protection locked="0"/>
    </xf>
    <xf numFmtId="49" fontId="0" fillId="41" borderId="13" xfId="0" applyFont="1" applyFill="1" applyBorder="1" applyNumberFormat="1">
      <alignment horizontal="left" vertical="center" wrapText="1"/>
    </xf>
    <xf numFmtId="0" fontId="0" fillId="38" borderId="16" xfId="0" applyFont="1" applyFill="1" applyBorder="1" applyNumberFormat="1">
      <alignment vertical="center"/>
    </xf>
    <xf numFmtId="49" fontId="0" fillId="0" borderId="37" xfId="0" applyFont="1" applyBorder="1" applyNumberFormat="1">
      <alignment horizontal="left" vertical="top"/>
    </xf>
    <xf numFmtId="0" fontId="22" fillId="41" borderId="37" xfId="0" applyFont="1" applyFill="1" applyBorder="1" applyNumberFormat="1">
      <alignment horizontal="center" vertical="top" wrapText="1"/>
    </xf>
    <xf numFmtId="49" fontId="0" fillId="41" borderId="37" xfId="0" applyFont="1" applyFill="1" applyBorder="1" applyNumberFormat="1">
      <alignment horizontal="left" vertical="top"/>
    </xf>
    <xf numFmtId="49" fontId="0" fillId="37" borderId="37" xfId="0" applyFont="1" applyFill="1" applyBorder="1" applyNumberFormat="1">
      <alignment horizontal="left" vertical="top"/>
      <protection locked="0"/>
    </xf>
    <xf numFmtId="49" fontId="22" fillId="41" borderId="0" xfId="0" applyFont="1" applyFill="1" applyNumberFormat="1">
      <alignment horizontal="center" vertical="center" wrapText="1"/>
    </xf>
    <xf numFmtId="0" fontId="39" fillId="0" borderId="37" xfId="0" applyFont="1" applyBorder="1" applyNumberFormat="1">
      <alignment horizontal="left" vertical="center"/>
    </xf>
    <xf numFmtId="49" fontId="0" fillId="41" borderId="37" xfId="0" applyFont="1" applyFill="1" applyBorder="1" applyNumberFormat="1">
      <alignment horizontal="left" vertical="center" wrapText="1"/>
    </xf>
    <xf numFmtId="49" fontId="22" fillId="41" borderId="37" xfId="0" applyFont="1" applyFill="1" applyBorder="1" applyNumberFormat="1">
      <alignment horizontal="center" vertical="center" wrapText="1"/>
    </xf>
    <xf numFmtId="0" fontId="39" fillId="37" borderId="37" xfId="0" applyFont="1" applyFill="1" applyBorder="1" applyNumberFormat="1">
      <alignment horizontal="left" vertical="center"/>
      <protection locked="0"/>
    </xf>
    <xf numFmtId="0" fontId="39" fillId="40" borderId="37" xfId="0" applyFont="1" applyFill="1" applyBorder="1" applyNumberFormat="1">
      <alignment horizontal="left" vertical="center"/>
      <protection locked="0"/>
    </xf>
    <xf numFmtId="49" fontId="46" fillId="0" borderId="13" xfId="0" applyFont="1" applyBorder="1" applyNumberFormat="1">
      <alignment horizontal="center" vertical="center" wrapText="1"/>
    </xf>
    <xf numFmtId="49" fontId="46" fillId="0" borderId="15" xfId="0" applyFont="1" applyBorder="1" applyNumberFormat="1">
      <alignment horizontal="left" vertical="center" wrapText="1"/>
    </xf>
    <xf numFmtId="0" fontId="46" fillId="0" borderId="15" xfId="0" applyFont="1" applyBorder="1" applyNumberFormat="1">
      <alignment horizontal="left" vertical="center"/>
    </xf>
    <xf numFmtId="0" fontId="46" fillId="0" borderId="16" xfId="0" applyFont="1" applyBorder="1" applyNumberFormat="1">
      <alignment horizontal="left" vertical="center"/>
    </xf>
    <xf numFmtId="0" fontId="39" fillId="38" borderId="30" xfId="0" applyFont="1" applyFill="1" applyBorder="1" applyNumberFormat="1">
      <alignment horizontal="left" vertical="center"/>
    </xf>
    <xf numFmtId="49" fontId="0" fillId="37" borderId="37" xfId="0" applyFont="1" applyFill="1" applyBorder="1" applyNumberFormat="1">
      <alignment vertical="top"/>
      <protection locked="0"/>
    </xf>
    <xf numFmtId="0" fontId="0" fillId="0" borderId="0" xfId="0" applyFont="1" applyNumberFormat="1">
      <alignment vertical="center"/>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2" fillId="0" borderId="0" xfId="0" applyFont="1" applyNumberFormat="1">
      <alignment horizontal="center" vertical="center" wrapText="1"/>
    </xf>
    <xf numFmtId="0" fontId="0" fillId="0" borderId="28" xfId="0" applyFont="1" applyBorder="1" applyNumberFormat="1">
      <alignment vertical="center"/>
    </xf>
    <xf numFmtId="49" fontId="22" fillId="0" borderId="37" xfId="0" applyFont="1" applyBorder="1" applyNumberFormat="1">
      <alignment horizontal="center" vertical="center"/>
    </xf>
    <xf numFmtId="49" fontId="22" fillId="0" borderId="37" xfId="0" applyFont="1" applyBorder="1" applyNumberFormat="1">
      <alignment vertical="center" wrapText="1"/>
    </xf>
    <xf numFmtId="0" fontId="22" fillId="0" borderId="25" xfId="0" applyFont="1" applyBorder="1" applyNumberFormat="1">
      <alignment horizontal="center" vertical="center"/>
    </xf>
    <xf numFmtId="49" fontId="22" fillId="0" borderId="18" xfId="0" applyFont="1" applyBorder="1" applyNumberFormat="1">
      <alignment horizontal="left" vertical="center" wrapText="1"/>
    </xf>
    <xf numFmtId="49" fontId="22" fillId="0" borderId="18" xfId="0" applyFont="1" applyBorder="1" applyNumberFormat="1">
      <alignment horizontal="left" vertical="center" wrapText="1"/>
    </xf>
    <xf numFmtId="49" fontId="36" fillId="0" borderId="37" xfId="0" applyFont="1" applyBorder="1" applyNumberFormat="1">
      <alignment vertical="center" wrapText="1"/>
    </xf>
    <xf numFmtId="0" fontId="22" fillId="41" borderId="18" xfId="0" applyFont="1" applyFill="1" applyBorder="1" applyNumberFormat="1">
      <alignment horizontal="left" vertical="center" wrapText="1"/>
    </xf>
    <xf numFmtId="49" fontId="22" fillId="0" borderId="18" xfId="0" applyFont="1" applyBorder="1" applyNumberFormat="1">
      <alignment horizontal="center" vertical="center" wrapText="1"/>
    </xf>
    <xf numFmtId="49" fontId="22" fillId="41" borderId="18" xfId="0" applyFont="1" applyFill="1" applyBorder="1" applyNumberFormat="1">
      <alignment horizontal="left" vertical="center" wrapText="1"/>
    </xf>
    <xf numFmtId="0" fontId="22" fillId="0" borderId="18" xfId="0" applyFont="1" applyBorder="1" applyNumberFormat="1">
      <alignment horizontal="left" vertical="center" wrapText="1"/>
    </xf>
    <xf numFmtId="49" fontId="22" fillId="0" borderId="18" xfId="0" applyFont="1" applyBorder="1" applyNumberFormat="1">
      <alignment horizontal="center" vertical="center" wrapText="1"/>
    </xf>
    <xf numFmtId="49" fontId="22" fillId="41" borderId="18" xfId="0" applyFont="1" applyFill="1" applyBorder="1" applyNumberFormat="1">
      <alignment vertical="center" wrapText="1"/>
    </xf>
    <xf numFmtId="0" fontId="22" fillId="0" borderId="37" xfId="0" applyFont="1" applyBorder="1" applyNumberFormat="1">
      <alignment horizontal="left" vertical="center" wrapText="1"/>
    </xf>
    <xf numFmtId="49" fontId="22" fillId="0" borderId="37" xfId="0" applyFont="1" applyBorder="1" applyNumberFormat="1">
      <alignment horizontal="left" vertical="center" wrapText="1"/>
    </xf>
    <xf numFmtId="0" fontId="22" fillId="41" borderId="37" xfId="0" applyFont="1" applyFill="1" applyBorder="1" applyNumberFormat="1">
      <alignment horizontal="left" vertical="center" wrapText="1"/>
    </xf>
    <xf numFmtId="49" fontId="22" fillId="0" borderId="37" xfId="0" applyFont="1" applyBorder="1" applyNumberFormat="1">
      <alignment horizontal="center" vertical="center" wrapText="1"/>
    </xf>
    <xf numFmtId="0" fontId="22" fillId="0" borderId="24" xfId="0" applyFont="1" applyBorder="1" applyNumberFormat="1">
      <alignment horizontal="left" vertical="center" wrapText="1"/>
    </xf>
    <xf numFmtId="0" fontId="39" fillId="0" borderId="24" xfId="0" applyFont="1" applyBorder="1" applyNumberFormat="1">
      <alignment horizontal="left" vertical="center"/>
    </xf>
    <xf numFmtId="0" fontId="39" fillId="38" borderId="15" xfId="0" applyFont="1" applyFill="1" applyBorder="1" applyNumberFormat="1">
      <alignment horizontal="left" vertical="center"/>
    </xf>
    <xf numFmtId="0" fontId="39" fillId="38" borderId="16" xfId="0" applyFont="1" applyFill="1" applyBorder="1" applyNumberFormat="1">
      <alignment horizontal="left" vertical="center"/>
    </xf>
    <xf numFmtId="0" fontId="39" fillId="38" borderId="14" xfId="0" applyFont="1" applyFill="1" applyBorder="1" applyNumberFormat="1">
      <alignment horizontal="left" vertical="center"/>
    </xf>
    <xf numFmtId="49" fontId="22" fillId="0" borderId="37" xfId="0" applyFont="1" applyBorder="1" applyNumberFormat="1">
      <alignment horizontal="center" vertical="center" wrapText="1"/>
    </xf>
    <xf numFmtId="0" fontId="39" fillId="38" borderId="38" xfId="0" applyFont="1" applyFill="1" applyBorder="1" applyNumberFormat="1">
      <alignment horizontal="left" vertical="center"/>
    </xf>
    <xf numFmtId="0" fontId="39" fillId="38" borderId="20" xfId="0" applyFont="1" applyFill="1" applyBorder="1" applyNumberFormat="1">
      <alignment horizontal="left" vertical="center"/>
    </xf>
    <xf numFmtId="0" fontId="39" fillId="38" borderId="21" xfId="0" applyFont="1" applyFill="1" applyBorder="1" applyNumberFormat="1">
      <alignment horizontal="left" vertical="center"/>
    </xf>
    <xf numFmtId="49" fontId="22" fillId="40" borderId="18" xfId="0" applyFont="1" applyFill="1" applyBorder="1" applyNumberFormat="1">
      <alignment horizontal="left" vertical="center" wrapText="1"/>
      <protection locked="0"/>
    </xf>
    <xf numFmtId="49" fontId="36" fillId="0" borderId="37" xfId="0" applyFont="1" applyBorder="1" applyNumberFormat="1">
      <alignment horizontal="center" vertical="center" wrapText="1"/>
    </xf>
    <xf numFmtId="0" fontId="39" fillId="38" borderId="38" xfId="0" applyFont="1" applyFill="1" applyBorder="1" applyNumberFormat="1">
      <alignment vertical="center"/>
    </xf>
    <xf numFmtId="0" fontId="39" fillId="0" borderId="37" xfId="0" applyFont="1" applyBorder="1" applyNumberFormat="1">
      <alignment horizontal="left" vertical="center"/>
    </xf>
    <xf numFmtId="49" fontId="22" fillId="37" borderId="18" xfId="0" applyFont="1" applyFill="1" applyBorder="1" applyNumberFormat="1">
      <alignment horizontal="left" vertical="center" wrapText="1"/>
      <protection locked="0"/>
    </xf>
    <xf numFmtId="49" fontId="65" fillId="38" borderId="15" xfId="0" applyFont="1" applyFill="1" applyBorder="1" applyNumberFormat="1">
      <alignment vertical="top"/>
    </xf>
    <xf numFmtId="49" fontId="65" fillId="38" borderId="16" xfId="0" applyFont="1" applyFill="1" applyBorder="1" applyNumberFormat="1">
      <alignment vertical="top"/>
    </xf>
    <xf numFmtId="49" fontId="22" fillId="0" borderId="20" xfId="0" applyFont="1" applyBorder="1" applyNumberFormat="1">
      <alignment horizontal="left" vertical="center" wrapText="1"/>
    </xf>
    <xf numFmtId="49" fontId="22" fillId="0" borderId="20" xfId="0" applyFont="1" applyBorder="1" applyNumberFormat="1">
      <alignment horizontal="left" vertical="center" wrapText="1"/>
    </xf>
    <xf numFmtId="49" fontId="36" fillId="0" borderId="20" xfId="0" applyFont="1" applyBorder="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0" fontId="39" fillId="0" borderId="0" xfId="0" applyFont="1" applyNumberFormat="1">
      <alignment horizontal="left" vertical="center"/>
    </xf>
    <xf numFmtId="49" fontId="36" fillId="0" borderId="0" xfId="0" applyFont="1" applyNumberFormat="1">
      <alignment horizontal="center" vertical="center" wrapText="1"/>
    </xf>
    <xf numFmtId="49" fontId="93" fillId="0" borderId="13" xfId="0" applyFont="1" applyBorder="1" applyNumberFormat="1">
      <alignment vertical="top" wrapText="1"/>
    </xf>
    <xf numFmtId="49" fontId="89" fillId="0" borderId="13" xfId="0" applyFont="1" applyBorder="1" applyNumberFormat="1">
      <alignment horizontal="center" vertical="top" wrapText="1"/>
    </xf>
    <xf numFmtId="49" fontId="89" fillId="42" borderId="13" xfId="0" applyFont="1" applyFill="1" applyBorder="1" applyNumberFormat="1">
      <alignment horizontal="center" vertical="top"/>
    </xf>
    <xf numFmtId="49" fontId="89" fillId="0" borderId="13" xfId="0" applyFont="1" applyBorder="1" applyNumberFormat="1">
      <alignment vertical="top" wrapText="1"/>
    </xf>
    <xf numFmtId="0" fontId="89" fillId="0" borderId="13" xfId="0" applyFont="1" applyBorder="1" applyNumberFormat="1">
      <alignment vertical="top" wrapText="1"/>
    </xf>
    <xf numFmtId="49" fontId="89" fillId="0" borderId="13" xfId="0" applyFont="1" applyBorder="1" applyNumberFormat="1">
      <alignment vertical="top"/>
    </xf>
    <xf numFmtId="49" fontId="93" fillId="0" borderId="13" xfId="0" applyFont="1" applyBorder="1" applyNumberFormat="1">
      <alignment vertical="top"/>
    </xf>
    <xf numFmtId="0" fontId="93" fillId="0" borderId="13" xfId="0" applyFont="1" applyBorder="1" applyNumberFormat="1">
      <alignment vertical="top" wrapText="1"/>
    </xf>
    <xf numFmtId="49" fontId="93" fillId="0" borderId="0" xfId="0" applyFont="1" applyNumberFormat="1">
      <alignment vertical="top" wrapText="1"/>
    </xf>
    <xf numFmtId="49" fontId="93" fillId="0" borderId="0" xfId="0" applyFont="1" applyNumberFormat="1">
      <alignment vertical="top"/>
    </xf>
    <xf numFmtId="49" fontId="93" fillId="0" borderId="0" xfId="0" applyFont="1" applyNumberFormat="1">
      <alignment horizontal="center" vertical="top" wrapText="1"/>
    </xf>
    <xf numFmtId="49" fontId="93" fillId="0" borderId="13" xfId="0" applyFont="1" applyBorder="1" applyNumberFormat="1">
      <alignment horizontal="center" vertical="top" wrapText="1"/>
    </xf>
    <xf numFmtId="49" fontId="93" fillId="0" borderId="13" xfId="0" applyFont="1" applyBorder="1" applyNumberFormat="1">
      <alignment horizontal="center" vertical="top" wrapText="1"/>
    </xf>
    <xf numFmtId="49" fontId="93" fillId="42" borderId="13" xfId="0" applyFont="1" applyFill="1" applyBorder="1" applyNumberFormat="1">
      <alignment horizontal="center" vertical="top" wrapText="1"/>
    </xf>
    <xf numFmtId="49" fontId="89" fillId="42" borderId="13" xfId="0" applyFont="1" applyFill="1" applyBorder="1" applyNumberFormat="1">
      <alignment horizontal="center" vertical="top" wrapText="1"/>
    </xf>
    <xf numFmtId="49" fontId="93" fillId="0" borderId="13" xfId="0" applyFont="1" applyBorder="1" applyNumberFormat="1">
      <alignment horizontal="left" vertical="top" wrapText="1"/>
    </xf>
    <xf numFmtId="0" fontId="89" fillId="42" borderId="13" xfId="0" applyFont="1" applyFill="1" applyBorder="1" applyNumberFormat="1">
      <alignment horizontal="center" vertical="top" wrapText="1"/>
    </xf>
    <xf numFmtId="0" fontId="93" fillId="42" borderId="13" xfId="0" applyFont="1" applyFill="1" applyBorder="1" applyNumberFormat="1">
      <alignment horizontal="right" vertical="center" wrapText="1"/>
    </xf>
    <xf numFmtId="49" fontId="93" fillId="0" borderId="15" xfId="0" applyFont="1" applyBorder="1" applyNumberFormat="1">
      <alignment horizontal="center" vertical="top" wrapText="1"/>
    </xf>
    <xf numFmtId="49" fontId="93" fillId="0" borderId="16" xfId="0" applyFont="1" applyBorder="1" applyNumberFormat="1">
      <alignment horizontal="center" vertical="top" wrapText="1"/>
    </xf>
    <xf numFmtId="49" fontId="93" fillId="0" borderId="14" xfId="0" applyFont="1" applyBorder="1" applyNumberFormat="1">
      <alignment horizontal="center" vertical="top" wrapText="1"/>
    </xf>
    <xf numFmtId="0" fontId="93" fillId="0" borderId="13" xfId="0" applyFont="1" applyBorder="1" applyNumberFormat="1">
      <alignment horizontal="left" vertical="top" wrapText="1"/>
    </xf>
    <xf numFmtId="49" fontId="93" fillId="42" borderId="13" xfId="0" applyFont="1" applyFill="1" applyBorder="1" applyNumberFormat="1">
      <alignment horizontal="left" vertical="top" wrapText="1"/>
    </xf>
    <xf numFmtId="0" fontId="93" fillId="42" borderId="13" xfId="0" applyFont="1" applyFill="1" applyBorder="1" applyNumberFormat="1">
      <alignment horizontal="center" vertical="center" wrapText="1"/>
    </xf>
    <xf numFmtId="0" fontId="93" fillId="42" borderId="13" xfId="0" applyFont="1" applyFill="1" applyBorder="1" applyNumberFormat="1">
      <alignment horizontal="center" vertical="center" wrapText="1"/>
    </xf>
    <xf numFmtId="49" fontId="93" fillId="0" borderId="18" xfId="0" applyFont="1" applyBorder="1" applyNumberFormat="1">
      <alignment horizontal="center" vertical="top" wrapText="1"/>
    </xf>
    <xf numFmtId="49" fontId="93" fillId="0" borderId="37" xfId="0" applyFont="1" applyBorder="1" applyNumberFormat="1">
      <alignment horizontal="center" vertical="top" wrapText="1"/>
    </xf>
    <xf numFmtId="49" fontId="93" fillId="0" borderId="18" xfId="0" applyFont="1" applyBorder="1" applyNumberFormat="1">
      <alignment horizontal="center" vertical="top" wrapText="1"/>
    </xf>
    <xf numFmtId="0" fontId="93" fillId="0" borderId="18" xfId="0" applyFont="1" applyBorder="1" applyNumberFormat="1">
      <alignment horizontal="left" vertical="top" wrapText="1"/>
    </xf>
    <xf numFmtId="49" fontId="93" fillId="0" borderId="38" xfId="0" applyFont="1" applyBorder="1" applyNumberFormat="1">
      <alignment horizontal="center" vertical="top" wrapText="1"/>
    </xf>
    <xf numFmtId="49" fontId="93" fillId="0" borderId="38" xfId="0" applyFont="1" applyBorder="1" applyNumberFormat="1">
      <alignment horizontal="center" vertical="top" wrapText="1"/>
    </xf>
    <xf numFmtId="0" fontId="93" fillId="0" borderId="14" xfId="0" applyFont="1" applyBorder="1" applyNumberFormat="1">
      <alignment horizontal="left" vertical="top" wrapText="1"/>
    </xf>
    <xf numFmtId="49" fontId="93" fillId="0" borderId="24" xfId="0" applyFont="1" applyBorder="1" applyNumberFormat="1">
      <alignment horizontal="center" vertical="top" wrapText="1"/>
    </xf>
    <xf numFmtId="49" fontId="93" fillId="0" borderId="31" xfId="0" applyFont="1" applyBorder="1" applyNumberFormat="1">
      <alignment horizontal="center" vertical="top" wrapText="1"/>
    </xf>
    <xf numFmtId="49" fontId="93" fillId="0" borderId="23" xfId="0" applyFont="1" applyBorder="1" applyNumberFormat="1">
      <alignment horizontal="center" vertical="top" wrapText="1"/>
    </xf>
    <xf numFmtId="0" fontId="93" fillId="0" borderId="18" xfId="0" applyFont="1" applyBorder="1" applyNumberFormat="1">
      <alignment vertical="top" wrapText="1"/>
    </xf>
    <xf numFmtId="49" fontId="89" fillId="0" borderId="13" xfId="0" applyFont="1" applyBorder="1" applyNumberFormat="1">
      <alignment horizontal="left" vertical="top" wrapText="1"/>
    </xf>
    <xf numFmtId="0" fontId="89" fillId="0" borderId="15" xfId="0" applyFont="1" applyBorder="1" applyNumberFormat="1">
      <alignment horizontal="center" vertical="center" wrapText="1"/>
    </xf>
    <xf numFmtId="0" fontId="89" fillId="0" borderId="15" xfId="0" applyFont="1" applyBorder="1" applyNumberFormat="1">
      <alignment horizontal="center" vertical="center"/>
    </xf>
    <xf numFmtId="49" fontId="89" fillId="0" borderId="13" xfId="0" applyFont="1" applyBorder="1" applyNumberFormat="1">
      <alignment horizontal="center" vertical="center" wrapText="1"/>
    </xf>
    <xf numFmtId="0" fontId="89" fillId="0" borderId="13" xfId="0" applyFont="1" applyBorder="1" applyNumberFormat="1">
      <alignment vertical="center" wrapText="1"/>
    </xf>
    <xf numFmtId="49" fontId="93" fillId="0" borderId="15" xfId="0" applyFont="1" applyBorder="1" applyNumberFormat="1">
      <alignment horizontal="left" vertical="top" wrapText="1"/>
    </xf>
    <xf numFmtId="0" fontId="89" fillId="0" borderId="13" xfId="0" applyFont="1" applyBorder="1" applyNumberFormat="1">
      <alignment horizontal="center" vertical="center" wrapText="1"/>
    </xf>
    <xf numFmtId="0" fontId="89" fillId="0" borderId="18" xfId="0" applyFont="1" applyBorder="1" applyNumberFormat="1">
      <alignment vertical="center" wrapText="1"/>
    </xf>
    <xf numFmtId="0" fontId="89" fillId="0" borderId="24" xfId="0" applyFont="1" applyBorder="1" applyNumberFormat="1">
      <alignment vertical="center" wrapText="1"/>
    </xf>
    <xf numFmtId="49" fontId="93" fillId="0" borderId="31" xfId="0" applyFont="1" applyBorder="1" applyNumberFormat="1">
      <alignment horizontal="left" vertical="top" wrapText="1"/>
    </xf>
    <xf numFmtId="49" fontId="93" fillId="0" borderId="14" xfId="0" applyFont="1" applyBorder="1" applyNumberFormat="1">
      <alignment horizontal="left" vertical="top" wrapText="1"/>
    </xf>
    <xf numFmtId="49" fontId="89" fillId="0" borderId="18" xfId="0" applyFont="1" applyBorder="1" applyNumberFormat="1">
      <alignment horizontal="center" vertical="center" wrapText="1"/>
    </xf>
    <xf numFmtId="49" fontId="89" fillId="0" borderId="24" xfId="0" applyFont="1" applyBorder="1" applyNumberFormat="1">
      <alignment horizontal="center" vertical="center" wrapText="1"/>
    </xf>
    <xf numFmtId="0" fontId="89" fillId="0" borderId="18" xfId="0" applyFont="1" applyBorder="1" applyNumberFormat="1">
      <alignment horizontal="center" vertical="center" wrapText="1"/>
    </xf>
    <xf numFmtId="49" fontId="93" fillId="0" borderId="37" xfId="0" applyFont="1" applyBorder="1" applyNumberFormat="1">
      <alignment horizontal="left" vertical="top" wrapText="1"/>
    </xf>
    <xf numFmtId="0" fontId="93" fillId="0" borderId="37" xfId="0" applyFont="1" applyBorder="1" applyNumberFormat="1">
      <alignment horizontal="left" vertical="top" wrapText="1"/>
    </xf>
    <xf numFmtId="49" fontId="93" fillId="0" borderId="0" xfId="0" applyFont="1" applyNumberFormat="1">
      <alignment horizontal="left" vertical="top" wrapText="1"/>
    </xf>
    <xf numFmtId="49" fontId="93" fillId="42" borderId="0" xfId="0" applyFont="1" applyFill="1" applyNumberFormat="1">
      <alignment horizontal="left" vertical="top" wrapText="1"/>
    </xf>
    <xf numFmtId="0" fontId="93" fillId="0" borderId="0" xfId="0" applyFont="1" applyNumberFormat="1">
      <alignment vertical="top" wrapText="1"/>
    </xf>
    <xf numFmtId="0" fontId="30" fillId="0" borderId="20" xfId="0" applyFont="1" applyBorder="1" applyNumberFormat="1">
      <alignment horizontal="left" vertical="center" wrapText="1" indent="1"/>
    </xf>
    <xf numFmtId="0" fontId="30" fillId="0" borderId="28" xfId="0" applyFont="1" applyBorder="1" applyNumberFormat="1">
      <alignment horizontal="left" vertical="center" wrapText="1" inden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22" fillId="36" borderId="13" xfId="0" applyFont="1" applyFill="1" applyBorder="1" applyNumberFormat="1">
      <alignment horizontal="left" vertical="center" wrapText="1"/>
    </xf>
    <xf numFmtId="4" fontId="22" fillId="35"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49" fontId="99" fillId="38" borderId="15" xfId="0" applyFont="1" applyFill="1" applyBorder="1" applyNumberFormat="1">
      <alignment horizontal="left" vertical="center"/>
    </xf>
    <xf numFmtId="49" fontId="107" fillId="38" borderId="16" xfId="0" applyFont="1" applyFill="1" applyBorder="1" applyNumberFormat="1">
      <alignment horizontal="left" vertical="center" indent="3"/>
    </xf>
    <xf numFmtId="49" fontId="70" fillId="38" borderId="16" xfId="0" applyFont="1" applyFill="1" applyBorder="1" applyNumberFormat="1">
      <alignment horizontal="center" vertical="center" wrapText="1"/>
    </xf>
    <xf numFmtId="49" fontId="65" fillId="38" borderId="16" xfId="0" applyFont="1" applyFill="1" applyBorder="1" applyNumberFormat="1">
      <alignment horizontal="center" vertical="center" wrapText="1"/>
    </xf>
    <xf numFmtId="49" fontId="65" fillId="38" borderId="14" xfId="0" applyFont="1" applyFill="1" applyBorder="1" applyNumberFormat="1">
      <alignment horizontal="center" vertical="center" wrapText="1"/>
    </xf>
    <xf numFmtId="49" fontId="45" fillId="0" borderId="0" xfId="0" applyFont="1" applyNumberFormat="1">
      <alignment horizontal="left" vertical="center"/>
    </xf>
    <xf numFmtId="49" fontId="0" fillId="0" borderId="25" xfId="0" applyFont="1" applyBorder="1" applyNumberFormat="1">
      <alignment vertical="top"/>
    </xf>
    <xf numFmtId="49" fontId="107" fillId="38" borderId="16" xfId="0" applyFont="1" applyFill="1" applyBorder="1" applyNumberFormat="1">
      <alignment horizontal="left" vertical="center" indent="2"/>
    </xf>
    <xf numFmtId="49" fontId="107" fillId="38" borderId="16" xfId="0" applyFont="1" applyFill="1" applyBorder="1" applyNumberFormat="1">
      <alignment horizontal="left" vertical="center" indent="1"/>
    </xf>
    <xf numFmtId="49" fontId="45" fillId="0" borderId="0" xfId="0" applyFont="1" applyNumberFormat="1">
      <alignment horizontal="left" vertical="center"/>
    </xf>
    <xf numFmtId="49" fontId="45" fillId="0" borderId="0" xfId="0" applyFont="1" applyNumberFormat="1">
      <alignment horizontal="left" vertical="top"/>
    </xf>
    <xf numFmtId="49" fontId="65" fillId="38" borderId="15" xfId="0" applyFont="1" applyFill="1" applyBorder="1" applyNumberFormat="1">
      <alignment horizontal="left" vertical="top"/>
    </xf>
    <xf numFmtId="49" fontId="107" fillId="38" borderId="16" xfId="0" applyFont="1" applyFill="1" applyBorder="1" applyNumberFormat="1">
      <alignment horizontal="left" vertical="center"/>
    </xf>
    <xf numFmtId="49" fontId="46"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53" borderId="18" xfId="0" applyFont="1" applyFill="1" applyBorder="1" applyNumberFormat="1">
      <alignment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0" borderId="15" xfId="0" applyFont="1" applyBorder="1" applyNumberFormat="1">
      <alignment vertical="top"/>
    </xf>
    <xf numFmtId="49" fontId="0" fillId="54"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0" borderId="16" xfId="0" applyFont="1" applyBorder="1" applyNumberFormat="1">
      <alignment horizontal="center" vertical="top"/>
    </xf>
    <xf numFmtId="49" fontId="0" fillId="55"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49" fontId="22" fillId="35" borderId="11" xfId="0" applyFont="1" applyFill="1" applyBorder="1" applyNumberFormat="1">
      <alignment horizontal="center" vertical="top"/>
    </xf>
    <xf numFmtId="49" fontId="37" fillId="0" borderId="12" xfId="0" applyFont="1" applyBorder="1" applyNumberFormat="1">
      <alignment vertical="top" wrapText="1"/>
    </xf>
    <xf numFmtId="0" fontId="0" fillId="0" borderId="12" xfId="0" applyFont="1" applyBorder="1" applyNumberFormat="1">
      <alignment vertical="top" wrapText="1"/>
    </xf>
    <xf numFmtId="0" fontId="30"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48" fillId="0" borderId="12" xfId="0" applyFont="1" applyBorder="1" applyNumberFormat="1">
      <alignment vertical="center" wrapText="1"/>
    </xf>
    <xf numFmtId="0" fontId="30" fillId="0" borderId="0" xfId="0" applyFont="1" applyNumberFormat="1">
      <alignment vertical="top" wrapText="1"/>
    </xf>
    <xf numFmtId="0" fontId="22" fillId="0" borderId="12" xfId="0" applyFont="1" applyBorder="1" applyNumberFormat="1">
      <alignment vertical="center" wrapText="1"/>
    </xf>
    <xf numFmtId="0" fontId="113" fillId="0" borderId="0" xfId="0" applyFont="1" applyNumberFormat="1">
      <alignment wrapText="1"/>
    </xf>
    <xf numFmtId="49" fontId="64" fillId="0" borderId="0" xfId="0" applyFont="1" applyNumberFormat="1">
      <alignment wrapText="1"/>
    </xf>
    <xf numFmtId="49" fontId="64" fillId="0" borderId="0" xfId="0" applyFont="1" applyNumberFormat="1">
      <alignment vertical="center" wrapText="1"/>
    </xf>
    <xf numFmtId="49" fontId="114" fillId="0" borderId="0" xfId="0" applyFont="1" applyNumberFormat="1">
      <alignment wrapText="1"/>
    </xf>
    <xf numFmtId="0" fontId="100" fillId="0" borderId="0" xfId="0" applyFont="1" applyNumberFormat="1">
      <alignment vertical="center" wrapText="1"/>
    </xf>
    <xf numFmtId="0" fontId="100" fillId="0" borderId="0" xfId="0" applyFont="1" applyNumberFormat="1">
      <alignment horizontal="left" vertical="center" wrapText="1"/>
    </xf>
    <xf numFmtId="49" fontId="115" fillId="0" borderId="0" xfId="0" applyFont="1" applyNumberFormat="1">
      <alignment wrapText="1"/>
    </xf>
    <xf numFmtId="0" fontId="100" fillId="0" borderId="0" xfId="0" applyFont="1" applyNumberFormat="1">
      <alignment vertical="center"/>
    </xf>
    <xf numFmtId="0" fontId="30" fillId="0" borderId="0" xfId="0" applyFont="1" applyNumberFormat="1">
      <alignment horizontal="left" vertical="top" wrapText="1"/>
    </xf>
    <xf numFmtId="49" fontId="22" fillId="0" borderId="0" xfId="0" applyFont="1" applyNumberFormat="1">
      <alignment vertical="top" wrapText="1"/>
    </xf>
    <xf numFmtId="0" fontId="30" fillId="56" borderId="65" xfId="0" applyFont="1" applyFill="1" applyBorder="1" applyNumberFormat="1">
      <alignment horizontal="center" vertical="center" wrapText="1"/>
    </xf>
    <xf numFmtId="0" fontId="30" fillId="56" borderId="66" xfId="0" applyFont="1" applyFill="1" applyBorder="1" applyNumberFormat="1">
      <alignment horizontal="center" vertical="center" wrapText="1"/>
    </xf>
    <xf numFmtId="0" fontId="30" fillId="56" borderId="67" xfId="0" applyFont="1" applyFill="1" applyBorder="1" applyNumberFormat="1">
      <alignment horizontal="center" vertical="center" wrapText="1"/>
    </xf>
    <xf numFmtId="0" fontId="64" fillId="0" borderId="0" xfId="0" applyFont="1" applyNumberFormat="1">
      <alignment wrapText="1"/>
    </xf>
    <xf numFmtId="0" fontId="30" fillId="34" borderId="39" xfId="0" applyFont="1" applyFill="1" applyBorder="1" applyNumberFormat="1">
      <alignment horizontal="right" vertical="center" wrapText="1" indent="1"/>
    </xf>
    <xf numFmtId="0" fontId="30" fillId="34" borderId="64" xfId="0" applyFont="1" applyFill="1" applyBorder="1" applyNumberFormat="1">
      <alignment horizontal="right" vertical="center" wrapText="1" indent="1"/>
    </xf>
    <xf numFmtId="0" fontId="116" fillId="0" borderId="0" xfId="0" applyFont="1" applyNumberFormat="1">
      <alignment horizontal="left" vertical="center" wrapText="1"/>
    </xf>
    <xf numFmtId="0" fontId="117" fillId="0" borderId="0" xfId="0" applyFont="1" applyNumberFormat="1">
      <alignment vertical="center" wrapText="1"/>
    </xf>
    <xf numFmtId="0" fontId="64" fillId="0" borderId="39" xfId="0" applyFont="1" applyBorder="1" applyNumberFormat="1">
      <alignment wrapText="1"/>
    </xf>
    <xf numFmtId="0" fontId="64" fillId="0" borderId="0" xfId="0" applyFont="1" applyNumberFormat="1"/>
    <xf numFmtId="0" fontId="116" fillId="0" borderId="0" xfId="0" applyFont="1" applyNumberFormat="1"/>
    <xf numFmtId="0" fontId="118" fillId="0" borderId="0" xfId="0" applyFont="1" applyNumberFormat="1">
      <alignment wrapText="1"/>
    </xf>
    <xf numFmtId="0" fontId="0" fillId="37" borderId="10" xfId="0" applyFont="1" applyFill="1" applyBorder="1" applyNumberFormat="1">
      <alignment horizontal="center" vertical="center" wrapText="1"/>
    </xf>
    <xf numFmtId="0" fontId="118" fillId="0" borderId="39" xfId="0" applyFont="1" applyBorder="1" applyNumberFormat="1">
      <alignment vertical="center" wrapText="1"/>
    </xf>
    <xf numFmtId="0" fontId="118" fillId="0" borderId="0" xfId="0" applyFont="1" applyNumberFormat="1">
      <alignment vertical="center" wrapText="1"/>
    </xf>
    <xf numFmtId="0" fontId="0" fillId="50" borderId="10" xfId="0" applyFont="1" applyFill="1" applyBorder="1" applyNumberFormat="1">
      <alignment horizontal="center" vertical="center" wrapText="1"/>
    </xf>
    <xf numFmtId="0" fontId="118" fillId="0" borderId="39" xfId="0" applyFont="1" applyBorder="1" applyNumberFormat="1">
      <alignment horizontal="left" vertical="center" wrapText="1"/>
    </xf>
    <xf numFmtId="0" fontId="118" fillId="0" borderId="0" xfId="0" applyFont="1" applyNumberFormat="1">
      <alignment horizontal="left" vertical="center" wrapText="1"/>
    </xf>
    <xf numFmtId="0" fontId="0" fillId="35" borderId="10" xfId="0" applyFont="1" applyFill="1" applyBorder="1" applyNumberFormat="1">
      <alignment horizontal="center" vertical="center" wrapText="1"/>
    </xf>
    <xf numFmtId="0" fontId="0" fillId="40" borderId="10" xfId="0" applyFont="1" applyFill="1" applyBorder="1" applyNumberFormat="1">
      <alignment horizontal="center" vertical="center" wrapText="1"/>
    </xf>
    <xf numFmtId="0" fontId="30" fillId="34" borderId="0" xfId="0" applyFont="1" applyFill="1" applyNumberFormat="1">
      <alignment horizontal="right" vertical="center" wrapText="1" indent="1"/>
    </xf>
    <xf numFmtId="0" fontId="116" fillId="0" borderId="39" xfId="0" applyFont="1" applyBorder="1" applyNumberFormat="1">
      <alignment horizontal="left" vertical="center" wrapText="1"/>
    </xf>
    <xf numFmtId="0" fontId="116" fillId="0" borderId="61" xfId="0" applyFont="1" applyBorder="1" applyNumberFormat="1">
      <alignment horizontal="left" vertical="center" wrapText="1"/>
    </xf>
    <xf numFmtId="0" fontId="30" fillId="34" borderId="10" xfId="0" applyFont="1" applyFill="1" applyBorder="1" applyNumberFormat="1">
      <alignment horizontal="right" vertical="center" wrapText="1" indent="1"/>
    </xf>
    <xf numFmtId="0" fontId="30" fillId="34" borderId="63" xfId="0" applyFont="1" applyFill="1" applyBorder="1" applyNumberFormat="1">
      <alignment horizontal="right" vertical="center" wrapText="1" indent="1"/>
    </xf>
    <xf numFmtId="0" fontId="118" fillId="0" borderId="0" xfId="0" applyFont="1" applyNumberFormat="1"/>
    <xf numFmtId="0" fontId="118" fillId="0" borderId="39" xfId="0" applyFont="1" applyBorder="1" applyNumberFormat="1">
      <alignment wrapText="1"/>
    </xf>
    <xf numFmtId="0" fontId="118" fillId="0" borderId="0" xfId="0" applyFont="1" applyNumberFormat="1">
      <alignment vertical="top" wrapText="1"/>
    </xf>
    <xf numFmtId="0" fontId="30" fillId="34" borderId="62" xfId="0" applyFont="1" applyFill="1" applyBorder="1" applyNumberFormat="1">
      <alignment horizontal="right" vertical="center" wrapText="1" indent="1"/>
    </xf>
    <xf numFmtId="0" fontId="30" fillId="34" borderId="40" xfId="0" applyFont="1" applyFill="1" applyBorder="1" applyNumberFormat="1">
      <alignment horizontal="right" vertical="center" wrapText="1" indent="1"/>
    </xf>
    <xf numFmtId="0" fontId="64" fillId="0" borderId="62" xfId="0" applyFont="1" applyBorder="1" applyNumberFormat="1">
      <alignment wrapText="1"/>
    </xf>
    <xf numFmtId="0" fontId="64" fillId="0" borderId="40" xfId="0" applyFont="1" applyBorder="1" applyNumberFormat="1">
      <alignment wrapText="1"/>
    </xf>
    <xf numFmtId="0" fontId="64" fillId="0" borderId="40" xfId="0" applyFont="1" applyBorder="1" applyNumberFormat="1">
      <alignment vertical="center" wrapText="1"/>
    </xf>
    <xf numFmtId="0" fontId="114" fillId="0" borderId="0" xfId="0" applyFont="1" applyNumberFormat="1"/>
    <xf numFmtId="49" fontId="64" fillId="0" borderId="0" xfId="0" applyFont="1" applyNumberFormat="1">
      <alignment vertical="top" wrapText="1"/>
    </xf>
    <xf numFmtId="0" fontId="27" fillId="0" borderId="0" xfId="0" applyFont="1" applyNumberFormat="1"/>
    <xf numFmtId="0" fontId="61" fillId="0" borderId="0" xfId="0" applyFont="1" applyNumberFormat="1">
      <alignment vertical="center" wrapText="1"/>
    </xf>
    <xf numFmtId="0" fontId="89" fillId="0" borderId="0" xfId="0" applyFont="1" applyNumberFormat="1">
      <alignment horizontal="left" vertical="center" wrapText="1"/>
    </xf>
    <xf numFmtId="0" fontId="61" fillId="0" borderId="0" xfId="0" applyFont="1" applyNumberFormat="1">
      <alignment horizontal="left" vertical="center" wrapText="1"/>
    </xf>
    <xf numFmtId="0" fontId="61" fillId="0" borderId="0" xfId="0" applyFont="1" applyNumberFormat="1">
      <alignment vertical="center" wrapText="1"/>
    </xf>
    <xf numFmtId="0" fontId="31" fillId="0" borderId="0" xfId="0" applyFont="1" applyNumberFormat="1">
      <alignment horizontal="center" vertical="center" wrapText="1"/>
    </xf>
    <xf numFmtId="0" fontId="31" fillId="0" borderId="0" xfId="0" applyFont="1" applyNumberFormat="1">
      <alignment vertical="center" wrapText="1"/>
    </xf>
    <xf numFmtId="0" fontId="46" fillId="0" borderId="0" xfId="0" applyFont="1" applyNumberFormat="1">
      <alignment vertical="center" wrapText="1"/>
    </xf>
    <xf numFmtId="0" fontId="31" fillId="0" borderId="0" xfId="0" applyFont="1" applyNumberFormat="1">
      <alignment vertical="center" wrapText="1"/>
    </xf>
    <xf numFmtId="0" fontId="31" fillId="0" borderId="0" xfId="0" applyFont="1" applyNumberFormat="1">
      <alignment horizontal="left" vertical="center" wrapText="1"/>
    </xf>
    <xf numFmtId="0" fontId="22" fillId="0" borderId="0" xfId="0" applyFont="1" applyNumberFormat="1">
      <alignment horizontal="left" vertical="top" indent="1"/>
    </xf>
    <xf numFmtId="49" fontId="64" fillId="0" borderId="0" xfId="0" applyFont="1" applyNumberFormat="1">
      <alignment vertical="top"/>
    </xf>
    <xf numFmtId="49" fontId="22" fillId="0" borderId="0" xfId="0" applyFont="1" applyNumberFormat="1">
      <alignment vertical="center" wrapText="1"/>
    </xf>
    <xf numFmtId="49" fontId="45"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5"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58" fillId="0" borderId="0" xfId="0" applyFont="1" applyNumberFormat="1">
      <alignment vertical="center" wrapText="1"/>
    </xf>
    <xf numFmtId="0" fontId="89" fillId="0" borderId="0" xfId="0" applyFont="1" applyNumberFormat="1">
      <alignment horizontal="left" vertical="center" wrapText="1"/>
    </xf>
    <xf numFmtId="0" fontId="56" fillId="0" borderId="0" xfId="0" applyFont="1" applyNumberFormat="1">
      <alignment horizontal="left" vertical="center" wrapText="1"/>
    </xf>
    <xf numFmtId="0" fontId="57" fillId="0" borderId="0" xfId="0" applyFont="1" applyNumberFormat="1">
      <alignment vertical="center" wrapText="1"/>
    </xf>
    <xf numFmtId="0" fontId="58" fillId="36" borderId="0" xfId="0" applyFont="1" applyFill="1" applyNumberFormat="1">
      <alignment vertical="center" wrapText="1"/>
    </xf>
    <xf numFmtId="0" fontId="58" fillId="0" borderId="0" xfId="0" applyFont="1" applyNumberFormat="1">
      <alignment vertical="center" wrapText="1"/>
    </xf>
    <xf numFmtId="0" fontId="58"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wrapText="1"/>
    </xf>
    <xf numFmtId="0" fontId="58" fillId="0" borderId="0" xfId="0" applyFont="1" applyNumberFormat="1">
      <alignment vertical="center" wrapText="1"/>
    </xf>
    <xf numFmtId="0" fontId="33" fillId="36" borderId="0" xfId="0" applyFont="1" applyFill="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48" fillId="36" borderId="0" xfId="0" applyFont="1" applyFill="1" applyNumberFormat="1">
      <alignment vertical="center" wrapText="1"/>
    </xf>
    <xf numFmtId="0" fontId="94" fillId="0" borderId="0" xfId="0" applyFont="1" applyNumberFormat="1">
      <alignment vertical="center" wrapText="1"/>
    </xf>
    <xf numFmtId="0" fontId="58" fillId="36" borderId="0" xfId="0" applyFont="1" applyFill="1" applyNumberFormat="1">
      <alignment horizontal="right" vertical="center" wrapText="1" indent="1"/>
    </xf>
    <xf numFmtId="0" fontId="60" fillId="36" borderId="0" xfId="0" applyFont="1" applyFill="1" applyNumberFormat="1">
      <alignment horizontal="center" vertical="center" wrapText="1"/>
    </xf>
    <xf numFmtId="0" fontId="22" fillId="36" borderId="27" xfId="0" applyFont="1" applyFill="1" applyBorder="1" applyNumberFormat="1">
      <alignment horizontal="right" vertical="center" wrapText="1" indent="1"/>
    </xf>
    <xf numFmtId="0" fontId="0" fillId="35" borderId="13" xfId="0" applyFont="1" applyFill="1" applyBorder="1" applyNumberFormat="1">
      <alignment horizontal="left" vertical="center" wrapText="1" indent="1"/>
    </xf>
    <xf numFmtId="14" fontId="89" fillId="36" borderId="0" xfId="0" applyFont="1" applyFill="1" applyNumberFormat="1">
      <alignment horizontal="left" vertical="center" wrapText="1"/>
    </xf>
    <xf numFmtId="0" fontId="56" fillId="36" borderId="0" xfId="0" applyFont="1" applyFill="1" applyNumberFormat="1">
      <alignment horizontal="center" vertical="center" wrapText="1"/>
    </xf>
    <xf numFmtId="0" fontId="58" fillId="36" borderId="0" xfId="0" applyFont="1" applyFill="1" applyNumberFormat="1">
      <alignment horizontal="left" vertical="center" wrapText="1" indent="1"/>
    </xf>
    <xf numFmtId="0" fontId="22" fillId="36" borderId="0" xfId="0" applyFont="1" applyFill="1" applyNumberFormat="1">
      <alignment horizontal="center" vertical="center" wrapText="1"/>
    </xf>
    <xf numFmtId="0" fontId="86" fillId="0" borderId="0" xfId="0" applyFont="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3" fillId="36" borderId="0" xfId="0" applyFont="1" applyFill="1" applyNumberFormat="1">
      <alignment vertical="center" wrapText="1"/>
    </xf>
    <xf numFmtId="0" fontId="22" fillId="36" borderId="27" xfId="0" applyFont="1" applyFill="1" applyBorder="1" applyNumberFormat="1">
      <alignment horizontal="right" vertical="center" wrapText="1" indent="1"/>
    </xf>
    <xf numFmtId="0" fontId="22" fillId="40" borderId="13"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5" fillId="0" borderId="0" xfId="0" applyFont="1" applyNumberFormat="1">
      <alignment vertical="center" wrapText="1"/>
    </xf>
    <xf numFmtId="0" fontId="56" fillId="0" borderId="0" xfId="0" applyFont="1" applyNumberFormat="1">
      <alignment horizontal="left" vertical="center" wrapText="1"/>
    </xf>
    <xf numFmtId="0" fontId="57" fillId="0" borderId="0" xfId="0" applyFont="1" applyNumberFormat="1">
      <alignment vertical="center" wrapText="1"/>
    </xf>
    <xf numFmtId="49" fontId="22" fillId="41" borderId="13" xfId="0" applyFont="1" applyFill="1" applyBorder="1" applyNumberFormat="1">
      <alignment horizontal="left" vertical="center" wrapText="1" indent="1"/>
    </xf>
    <xf numFmtId="0" fontId="58" fillId="0" borderId="0" xfId="0" applyFont="1" applyNumberFormat="1">
      <alignment vertical="center" wrapText="1"/>
    </xf>
    <xf numFmtId="14" fontId="91" fillId="0" borderId="13" xfId="0" applyFont="1" applyBorder="1" applyNumberFormat="1">
      <alignment horizontal="center" vertical="center" wrapText="1"/>
    </xf>
    <xf numFmtId="168" fontId="0" fillId="40" borderId="13" xfId="0" applyFont="1" applyFill="1" applyBorder="1" applyNumberFormat="1">
      <alignment horizontal="left" vertical="center" wrapText="1" indent="1"/>
      <protection locked="0"/>
    </xf>
    <xf numFmtId="0" fontId="51" fillId="0" borderId="0" xfId="0" applyFont="1" applyNumberFormat="1">
      <alignment horizontal="left" vertical="center" indent="1"/>
    </xf>
    <xf numFmtId="0" fontId="22" fillId="36" borderId="0" xfId="0" applyFont="1" applyFill="1" applyNumberFormat="1">
      <alignment vertical="center" wrapText="1"/>
    </xf>
    <xf numFmtId="14" fontId="91" fillId="0" borderId="13" xfId="0" applyFont="1" applyBorder="1" applyNumberFormat="1">
      <alignment horizontal="left" vertical="center" wrapText="1"/>
    </xf>
    <xf numFmtId="49" fontId="22" fillId="36" borderId="27" xfId="0" applyFont="1" applyFill="1" applyBorder="1" applyNumberFormat="1">
      <alignment horizontal="right" vertical="center" wrapText="1" indent="1"/>
    </xf>
    <xf numFmtId="49" fontId="45" fillId="0" borderId="0" xfId="0" applyFont="1" applyNumberFormat="1">
      <alignment vertical="center" wrapText="1"/>
    </xf>
    <xf numFmtId="0" fontId="0" fillId="40" borderId="13" xfId="0" applyFont="1" applyFill="1" applyBorder="1" applyNumberFormat="1">
      <alignment horizontal="left" vertical="center" wrapText="1" indent="1"/>
      <protection locked="0"/>
    </xf>
    <xf numFmtId="49" fontId="22" fillId="40" borderId="13" xfId="0" applyFont="1" applyFill="1" applyBorder="1" applyNumberFormat="1">
      <alignment horizontal="left" vertical="center" wrapText="1" indent="1"/>
      <protection locked="0"/>
    </xf>
    <xf numFmtId="168"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94" fillId="0" borderId="0" xfId="0" applyFont="1" applyNumberFormat="1">
      <alignment horizontal="left" vertical="center" wrapText="1"/>
    </xf>
    <xf numFmtId="0" fontId="22" fillId="36"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2" fillId="0" borderId="13" xfId="0" applyFont="1" applyBorder="1" applyNumberFormat="1">
      <alignment horizontal="left" vertical="center" wrapText="1" indent="1"/>
    </xf>
    <xf numFmtId="0" fontId="32" fillId="0" borderId="0" xfId="0" applyFont="1" applyNumberFormat="1">
      <alignment horizontal="center" vertical="center" wrapText="1"/>
    </xf>
    <xf numFmtId="0" fontId="34" fillId="36" borderId="0" xfId="0" applyFont="1" applyFill="1" applyNumberFormat="1">
      <alignment horizontal="center" vertical="center" wrapText="1"/>
    </xf>
    <xf numFmtId="49" fontId="22" fillId="35" borderId="13" xfId="0" applyFont="1" applyFill="1" applyBorder="1" applyNumberFormat="1">
      <alignment horizontal="left" vertical="center" wrapText="1" indent="1"/>
    </xf>
    <xf numFmtId="14" fontId="22"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0" fontId="22" fillId="0" borderId="0" xfId="0" applyFont="1" applyNumberFormat="1">
      <alignment vertical="center"/>
    </xf>
    <xf numFmtId="14" fontId="22" fillId="36" borderId="0" xfId="0" applyFont="1" applyFill="1" applyNumberFormat="1">
      <alignment horizontal="left" vertical="center" wrapText="1"/>
    </xf>
    <xf numFmtId="0" fontId="22" fillId="40" borderId="13" xfId="0" applyFont="1" applyFill="1" applyBorder="1" applyNumberFormat="1">
      <alignment horizontal="left" vertical="center" wrapText="1" indent="1"/>
      <protection locked="0"/>
    </xf>
    <xf numFmtId="0" fontId="59" fillId="36" borderId="0" xfId="0" applyFont="1" applyFill="1" applyNumberFormat="1">
      <alignment horizontal="right" vertical="center" wrapText="1" indent="1"/>
    </xf>
    <xf numFmtId="0" fontId="59" fillId="36" borderId="0" xfId="0" applyFont="1" applyFill="1" applyNumberFormat="1">
      <alignment horizontal="left" vertical="center" wrapText="1" indent="1"/>
    </xf>
    <xf numFmtId="49" fontId="22" fillId="41" borderId="13" xfId="0" applyFont="1" applyFill="1" applyBorder="1" applyNumberFormat="1">
      <alignment horizontal="left" vertical="center" wrapText="1" indent="1"/>
    </xf>
    <xf numFmtId="0" fontId="58" fillId="36" borderId="0" xfId="0" applyFont="1" applyFill="1" applyNumberFormat="1">
      <alignment vertical="center" wrapText="1"/>
    </xf>
    <xf numFmtId="0" fontId="59" fillId="36" borderId="0" xfId="0" applyFont="1" applyFill="1" applyNumberFormat="1">
      <alignment horizontal="right" vertical="center" wrapText="1" indent="1"/>
    </xf>
    <xf numFmtId="0" fontId="31" fillId="0" borderId="0" xfId="0" applyFont="1" applyNumberFormat="1">
      <alignment horizontal="left" vertical="center" wrapText="1"/>
    </xf>
    <xf numFmtId="49" fontId="122" fillId="0" borderId="13" xfId="0" applyFont="1" applyBorder="1" applyNumberFormat="1">
      <alignment horizontal="left" vertical="center" wrapText="1" indent="1"/>
    </xf>
    <xf numFmtId="0" fontId="31" fillId="0" borderId="0" xfId="0" applyFont="1" applyNumberFormat="1">
      <alignment horizontal="left" vertical="center" wrapText="1"/>
    </xf>
    <xf numFmtId="14" fontId="90" fillId="0" borderId="0" xfId="0" applyFont="1" applyNumberFormat="1">
      <alignment horizontal="center" vertical="center" wrapText="1"/>
    </xf>
    <xf numFmtId="0" fontId="32" fillId="0" borderId="0" xfId="0" applyFont="1" applyNumberFormat="1">
      <alignment vertical="center" wrapText="1"/>
    </xf>
    <xf numFmtId="0" fontId="31" fillId="0" borderId="0" xfId="0" applyFont="1" applyNumberFormat="1">
      <alignment horizontal="center" vertical="center" wrapText="1"/>
    </xf>
    <xf numFmtId="0" fontId="22" fillId="0" borderId="0" xfId="0" applyFont="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vertical="center" wrapText="1"/>
    </xf>
    <xf numFmtId="0" fontId="81" fillId="0" borderId="0" xfId="0" applyFont="1" applyNumberFormat="1">
      <alignment vertical="center" wrapText="1"/>
    </xf>
    <xf numFmtId="0" fontId="22" fillId="0" borderId="0" xfId="0" applyFont="1" applyNumberFormat="1">
      <alignment vertical="center" wrapText="1"/>
    </xf>
    <xf numFmtId="0" fontId="22" fillId="41" borderId="13" xfId="0" applyFont="1" applyFill="1" applyBorder="1" applyNumberFormat="1">
      <alignment horizontal="left" vertical="center" wrapText="1" indent="1"/>
    </xf>
    <xf numFmtId="168" fontId="0" fillId="40" borderId="12" xfId="0" applyFont="1" applyFill="1" applyBorder="1" applyNumberFormat="1">
      <alignment horizontal="left" vertical="center" wrapText="1" indent="1"/>
      <protection locked="0"/>
    </xf>
    <xf numFmtId="0" fontId="22" fillId="41" borderId="13" xfId="0" applyFont="1" applyFill="1" applyBorder="1" applyNumberFormat="1">
      <alignment horizontal="left" vertical="center" wrapText="1" indent="1"/>
    </xf>
    <xf numFmtId="49" fontId="22" fillId="41" borderId="13" xfId="0" applyFont="1" applyFill="1" applyBorder="1" applyNumberFormat="1">
      <alignment horizontal="left" vertical="center" wrapText="1" indent="1"/>
    </xf>
    <xf numFmtId="49" fontId="31" fillId="0" borderId="0" xfId="0" applyFont="1" applyNumberFormat="1">
      <alignment horizontal="left" vertical="center" wrapText="1"/>
    </xf>
    <xf numFmtId="49" fontId="33" fillId="36" borderId="0" xfId="0" applyFont="1" applyFill="1" applyNumberFormat="1">
      <alignment horizontal="center" vertical="center" wrapText="1"/>
    </xf>
    <xf numFmtId="0" fontId="22" fillId="40" borderId="13" xfId="0" applyFont="1" applyFill="1" applyBorder="1" applyNumberFormat="1">
      <alignment horizontal="left" vertical="center" wrapTex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40"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6" borderId="0" xfId="0" applyFont="1" applyFill="1" applyNumberFormat="1">
      <alignment horizontal="right" vertical="center" wrapText="1" indent="1"/>
    </xf>
    <xf numFmtId="49" fontId="45" fillId="0" borderId="0" xfId="0" applyFont="1" applyNumberFormat="1">
      <alignment horizontal="center" vertical="center" wrapText="1"/>
    </xf>
    <xf numFmtId="49" fontId="22" fillId="0" borderId="0" xfId="0" applyFont="1" applyNumberFormat="1">
      <alignment horizontal="center" vertical="center" wrapText="1"/>
    </xf>
    <xf numFmtId="49" fontId="0" fillId="36" borderId="0" xfId="0" applyFont="1" applyFill="1" applyNumberFormat="1">
      <alignment horizontal="right" vertical="center" wrapText="1" indent="1"/>
    </xf>
    <xf numFmtId="0" fontId="48" fillId="0" borderId="0" xfId="0" applyFont="1" applyNumberFormat="1">
      <alignment vertical="top" wrapText="1"/>
    </xf>
    <xf numFmtId="0" fontId="32" fillId="0" borderId="0" xfId="0" applyFont="1" applyNumberFormat="1">
      <alignment vertical="center" wrapText="1"/>
    </xf>
    <xf numFmtId="0" fontId="89" fillId="0" borderId="0" xfId="0" applyFont="1" applyNumberFormat="1">
      <alignment horizontal="left" vertical="center" wrapText="1"/>
    </xf>
    <xf numFmtId="0" fontId="31" fillId="0" borderId="0" xfId="0" applyFont="1" applyNumberFormat="1">
      <alignment horizontal="lef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31" fillId="0" borderId="0" xfId="0" applyFont="1" applyNumberFormat="1">
      <alignment horizontal="center" vertical="center" wrapText="1"/>
    </xf>
    <xf numFmtId="0" fontId="45" fillId="0" borderId="0" xfId="0" applyFont="1" applyNumberFormat="1">
      <alignment vertical="center" wrapText="1"/>
    </xf>
    <xf numFmtId="0" fontId="46" fillId="0" borderId="0" xfId="0" applyFont="1" applyNumberFormat="1">
      <alignment vertical="center" wrapText="1"/>
    </xf>
    <xf numFmtId="0" fontId="70"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horizontal="center" vertical="center" wrapText="1"/>
    </xf>
    <xf numFmtId="0" fontId="46" fillId="0" borderId="0" xfId="0" applyFont="1" applyNumberFormat="1">
      <alignment horizontal="left" vertical="center" indent="1"/>
    </xf>
    <xf numFmtId="0" fontId="46" fillId="0" borderId="0" xfId="0" applyFont="1" applyNumberFormat="1">
      <alignment horizontal="center" vertical="center" wrapText="1"/>
    </xf>
    <xf numFmtId="0" fontId="46" fillId="0" borderId="0" xfId="0" applyFont="1" applyNumberFormat="1">
      <alignment horizontal="left" vertical="center" wrapText="1" indent="1"/>
    </xf>
    <xf numFmtId="0" fontId="46" fillId="0" borderId="0" xfId="0" applyFont="1" applyNumberFormat="1">
      <alignment horizontal="left" vertical="center" indent="1"/>
    </xf>
    <xf numFmtId="0" fontId="46" fillId="0" borderId="0" xfId="0" applyFont="1" applyNumberFormat="1">
      <alignment vertical="center" wrapText="1"/>
    </xf>
    <xf numFmtId="0" fontId="54" fillId="0" borderId="0" xfId="0" applyFont="1" applyNumberFormat="1">
      <alignment vertical="center" wrapText="1"/>
    </xf>
    <xf numFmtId="0" fontId="22" fillId="0" borderId="0" xfId="0" applyFont="1" applyNumberFormat="1">
      <alignment horizontal="left" vertical="center" wrapText="1" indent="1"/>
    </xf>
    <xf numFmtId="0" fontId="45" fillId="0" borderId="0" xfId="0" applyFont="1" applyNumberFormat="1">
      <alignment horizontal="left" vertical="center" wrapText="1" indent="1"/>
    </xf>
    <xf numFmtId="0" fontId="54" fillId="0" borderId="0" xfId="0" applyFont="1" applyNumberFormat="1">
      <alignment horizontal="left" vertical="center" wrapText="1" indent="1"/>
    </xf>
    <xf numFmtId="0" fontId="55" fillId="0" borderId="0" xfId="0" applyFont="1" applyNumberFormat="1">
      <alignment horizontal="left" vertical="center" indent="1"/>
    </xf>
    <xf numFmtId="0" fontId="54" fillId="0" borderId="0" xfId="0" applyFont="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45" fillId="0" borderId="0" xfId="0" applyFont="1" applyNumberFormat="1">
      <alignmen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6" fillId="0" borderId="0" xfId="0" applyFont="1" applyNumberFormat="1">
      <alignment vertical="center"/>
    </xf>
    <xf numFmtId="0" fontId="46" fillId="0" borderId="0" xfId="0" applyFont="1" applyNumberFormat="1">
      <alignment vertical="center"/>
    </xf>
    <xf numFmtId="0" fontId="53" fillId="0" borderId="0" xfId="0" applyFont="1" applyNumberFormat="1">
      <alignment vertical="center"/>
    </xf>
    <xf numFmtId="0" fontId="41" fillId="0" borderId="0" xfId="0" applyFont="1" applyNumberFormat="1">
      <alignment vertical="center" wrapText="1"/>
    </xf>
    <xf numFmtId="0" fontId="22" fillId="0" borderId="16"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5"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6" xfId="0" applyFont="1" applyBorder="1" applyNumberFormat="1">
      <alignment horizontal="center" vertical="center" wrapText="1"/>
    </xf>
    <xf numFmtId="4" fontId="22" fillId="0" borderId="13" xfId="0" applyFont="1" applyBorder="1" applyNumberFormat="1">
      <alignment horizontal="center" vertical="center" wrapText="1"/>
    </xf>
    <xf numFmtId="169" fontId="22" fillId="0" borderId="15" xfId="0" applyFont="1" applyBorder="1" applyNumberFormat="1">
      <alignment horizontal="center" vertical="center" wrapText="1"/>
    </xf>
    <xf numFmtId="169" fontId="22" fillId="0" borderId="13" xfId="0" applyFont="1" applyBorder="1" applyNumberFormat="1">
      <alignment horizontal="center" vertical="center" wrapText="1"/>
    </xf>
    <xf numFmtId="0" fontId="35" fillId="0" borderId="0" xfId="0" applyFont="1" applyNumberFormat="1">
      <alignment horizontal="center" vertical="center" wrapText="1"/>
    </xf>
    <xf numFmtId="49" fontId="35" fillId="0" borderId="16" xfId="0" applyFont="1" applyBorder="1" applyNumberFormat="1">
      <alignment horizontal="center" vertical="center" wrapText="1"/>
    </xf>
    <xf numFmtId="49" fontId="35" fillId="0" borderId="16" xfId="0" applyFont="1" applyBorder="1" applyNumberFormat="1">
      <alignment horizontal="center" vertical="center" wrapText="1"/>
    </xf>
    <xf numFmtId="0" fontId="45" fillId="0" borderId="0" xfId="0" applyFont="1" applyNumberFormat="1">
      <alignment vertical="center"/>
    </xf>
    <xf numFmtId="0" fontId="45" fillId="0" borderId="0" xfId="0" applyFont="1" applyNumberFormat="1">
      <alignment vertical="center"/>
    </xf>
    <xf numFmtId="0" fontId="52" fillId="0" borderId="0" xfId="0" applyFont="1" applyNumberFormat="1">
      <alignment vertical="center"/>
    </xf>
    <xf numFmtId="49" fontId="22" fillId="38" borderId="20" xfId="0" applyFont="1" applyFill="1" applyBorder="1" applyNumberFormat="1">
      <alignment horizontal="center" vertical="center" wrapText="1"/>
    </xf>
    <xf numFmtId="49" fontId="45" fillId="38" borderId="20" xfId="0" applyFont="1" applyFill="1" applyBorder="1" applyNumberFormat="1">
      <alignment horizontal="left" vertical="center" wrapText="1"/>
    </xf>
    <xf numFmtId="49" fontId="45" fillId="38" borderId="21" xfId="0" applyFont="1" applyFill="1" applyBorder="1" applyNumberFormat="1">
      <alignment horizontal="left" vertical="center" wrapText="1"/>
    </xf>
    <xf numFmtId="0" fontId="46" fillId="0" borderId="23" xfId="0" applyFont="1" applyBorder="1" applyNumberFormat="1">
      <alignment vertical="center"/>
    </xf>
    <xf numFmtId="0" fontId="22" fillId="0" borderId="0" xfId="0" applyFont="1" applyNumberFormat="1">
      <alignment horizontal="center" vertical="center" wrapText="1"/>
    </xf>
    <xf numFmtId="0" fontId="36" fillId="0" borderId="0" xfId="0" applyFont="1" applyNumberFormat="1">
      <alignment horizontal="center" vertical="center" wrapText="1"/>
    </xf>
    <xf numFmtId="0" fontId="22" fillId="0" borderId="13" xfId="0" applyFont="1" applyBorder="1" applyNumberFormat="1">
      <alignment horizontal="center" vertical="center" wrapText="1"/>
    </xf>
    <xf numFmtId="0" fontId="46" fillId="0" borderId="13" xfId="0" applyFont="1" applyBorder="1" applyNumberFormat="1">
      <alignment horizontal="center" vertical="center" wrapText="1"/>
    </xf>
    <xf numFmtId="49" fontId="22" fillId="40" borderId="13" xfId="0" applyFont="1" applyFill="1" applyBorder="1" applyNumberFormat="1">
      <alignment vertical="center" wrapText="1"/>
      <protection locked="0"/>
    </xf>
    <xf numFmtId="49" fontId="45" fillId="0" borderId="13" xfId="0" applyFont="1" applyBorder="1" applyNumberFormat="1">
      <alignment horizontal="left" vertical="center" wrapText="1"/>
    </xf>
    <xf numFmtId="0" fontId="46" fillId="0" borderId="0" xfId="0" applyFont="1" applyNumberFormat="1">
      <alignment vertical="center"/>
    </xf>
    <xf numFmtId="0" fontId="46" fillId="0" borderId="0" xfId="0" applyFont="1" applyNumberFormat="1">
      <alignment vertical="center"/>
    </xf>
    <xf numFmtId="0" fontId="41" fillId="0" borderId="0" xfId="0" applyFont="1" applyNumberFormat="1">
      <alignment vertical="center" wrapText="1"/>
    </xf>
    <xf numFmtId="49" fontId="0" fillId="0" borderId="0" xfId="0" applyFont="1" applyNumberFormat="1">
      <alignment vertical="top"/>
    </xf>
    <xf numFmtId="0" fontId="35" fillId="0" borderId="25" xfId="0" applyFont="1" applyBorder="1" applyNumberFormat="1">
      <alignment vertical="top" wrapText="1"/>
    </xf>
    <xf numFmtId="0" fontId="22" fillId="0" borderId="24" xfId="0" applyFont="1" applyBorder="1" applyNumberFormat="1">
      <alignment horizontal="center" vertical="center" wrapText="1"/>
    </xf>
    <xf numFmtId="0" fontId="46" fillId="0" borderId="24" xfId="0" applyFont="1" applyBorder="1" applyNumberFormat="1">
      <alignment horizontal="center" vertical="center" wrapText="1"/>
    </xf>
    <xf numFmtId="14" fontId="22" fillId="41" borderId="24" xfId="0" applyFont="1" applyFill="1" applyBorder="1" applyNumberFormat="1">
      <alignment horizontal="left" vertical="center" wrapText="1" indent="1"/>
    </xf>
    <xf numFmtId="49" fontId="22" fillId="35" borderId="24" xfId="0" applyFont="1" applyFill="1" applyBorder="1" applyNumberFormat="1">
      <alignment horizontal="center" vertical="center" wrapText="1"/>
    </xf>
    <xf numFmtId="0" fontId="72" fillId="0" borderId="0" xfId="0" applyFont="1" applyNumberFormat="1">
      <alignment vertical="center" wrapText="1"/>
    </xf>
    <xf numFmtId="49" fontId="45" fillId="0" borderId="0" xfId="0" applyFont="1" applyNumberFormat="1">
      <alignment vertical="top"/>
    </xf>
    <xf numFmtId="49" fontId="46" fillId="0" borderId="0" xfId="0" applyFont="1" applyNumberFormat="1">
      <alignment vertical="top"/>
    </xf>
    <xf numFmtId="49" fontId="0" fillId="0" borderId="0" xfId="0" applyFont="1" applyNumberFormat="1">
      <alignment vertical="top"/>
    </xf>
    <xf numFmtId="0" fontId="45" fillId="0" borderId="0" xfId="0" applyFont="1" applyNumberFormat="1">
      <alignment horizontal="center" vertical="center" wrapText="1"/>
    </xf>
    <xf numFmtId="0" fontId="45" fillId="0" borderId="0" xfId="0" applyFont="1" applyNumberFormat="1">
      <alignment vertical="center" wrapText="1"/>
    </xf>
    <xf numFmtId="0" fontId="22" fillId="0" borderId="13" xfId="0" applyFont="1" applyBorder="1" applyNumberFormat="1">
      <alignment horizontal="center" vertical="center" wrapText="1"/>
    </xf>
    <xf numFmtId="0" fontId="45" fillId="0" borderId="13" xfId="0" applyFont="1" applyBorder="1" applyNumberFormat="1">
      <alignment horizontal="center" vertical="center" wrapText="1"/>
    </xf>
    <xf numFmtId="14" fontId="22" fillId="41" borderId="13" xfId="0" applyFont="1" applyFill="1" applyBorder="1" applyNumberFormat="1">
      <alignment horizontal="left" vertical="center" wrapText="1" indent="1"/>
    </xf>
    <xf numFmtId="49" fontId="22" fillId="35" borderId="13" xfId="0" applyFont="1" applyFill="1" applyBorder="1" applyNumberFormat="1">
      <alignment horizontal="center" vertical="center" wrapText="1"/>
    </xf>
    <xf numFmtId="0" fontId="46" fillId="0" borderId="0" xfId="0" applyFont="1" applyNumberFormat="1">
      <alignment vertical="center" wrapText="1"/>
    </xf>
    <xf numFmtId="0" fontId="46" fillId="0" borderId="0" xfId="0" applyFont="1" applyNumberFormat="1">
      <alignment vertical="center"/>
    </xf>
    <xf numFmtId="49" fontId="46" fillId="0" borderId="0" xfId="0" applyFont="1" applyNumberFormat="1">
      <alignment vertical="top"/>
    </xf>
    <xf numFmtId="0" fontId="0" fillId="0" borderId="0" xfId="0" applyFont="1" applyNumberFormat="1">
      <alignment vertical="center" wrapText="1"/>
    </xf>
    <xf numFmtId="0" fontId="35" fillId="0" borderId="0" xfId="0" applyFont="1" applyNumberFormat="1">
      <alignment vertical="top" wrapText="1"/>
    </xf>
    <xf numFmtId="49" fontId="48" fillId="38" borderId="15" xfId="0" applyFont="1" applyFill="1" applyBorder="1" applyNumberFormat="1">
      <alignment horizontal="right" vertical="center" wrapText="1"/>
    </xf>
    <xf numFmtId="49" fontId="48" fillId="38" borderId="16" xfId="0" applyFont="1" applyFill="1" applyBorder="1" applyNumberFormat="1">
      <alignment horizontal="right" vertical="center" wrapText="1"/>
    </xf>
    <xf numFmtId="49" fontId="39" fillId="38" borderId="16" xfId="0" applyFont="1" applyFill="1" applyBorder="1" applyNumberFormat="1">
      <alignment horizontal="left" vertical="center" indent="1"/>
    </xf>
    <xf numFmtId="49" fontId="0" fillId="38" borderId="16" xfId="0" applyFont="1" applyFill="1" applyBorder="1" applyNumberFormat="1">
      <alignment horizontal="right" vertical="center" wrapText="1"/>
    </xf>
    <xf numFmtId="49" fontId="0" fillId="38" borderId="14" xfId="0" applyFont="1" applyFill="1" applyBorder="1" applyNumberFormat="1">
      <alignment horizontal="right" vertical="center" wrapText="1"/>
    </xf>
    <xf numFmtId="0" fontId="45" fillId="0" borderId="0" xfId="0" applyFont="1" applyNumberFormat="1">
      <alignment vertical="center" wrapText="1"/>
    </xf>
    <xf numFmtId="0" fontId="36" fillId="0" borderId="0" xfId="0" applyFont="1" applyNumberFormat="1">
      <alignment horizontal="center" vertical="center" wrapText="1"/>
    </xf>
    <xf numFmtId="0" fontId="22" fillId="0" borderId="13" xfId="0" applyFont="1" applyBorder="1" applyNumberFormat="1">
      <alignment horizontal="center" vertical="center" wrapText="1"/>
    </xf>
    <xf numFmtId="0" fontId="46" fillId="0" borderId="13" xfId="0" applyFont="1" applyBorder="1" applyNumberFormat="1">
      <alignment horizontal="center" vertical="center"/>
    </xf>
    <xf numFmtId="0" fontId="41" fillId="0" borderId="0" xfId="0" applyFont="1" applyNumberFormat="1">
      <alignment vertical="center" wrapText="1"/>
    </xf>
    <xf numFmtId="0" fontId="22" fillId="0" borderId="24" xfId="0" applyFont="1" applyBorder="1" applyNumberFormat="1">
      <alignment horizontal="center" vertical="center" wrapText="1"/>
    </xf>
    <xf numFmtId="0" fontId="45" fillId="0" borderId="24" xfId="0" applyFont="1" applyBorder="1" applyNumberFormat="1">
      <alignment horizontal="center" vertical="center" wrapText="1"/>
    </xf>
    <xf numFmtId="49" fontId="22" fillId="38" borderId="15" xfId="0" applyFont="1" applyFill="1" applyBorder="1" applyNumberFormat="1">
      <alignment horizontal="right" vertical="center" wrapText="1"/>
    </xf>
    <xf numFmtId="49" fontId="22" fillId="38" borderId="16" xfId="0" applyFont="1" applyFill="1" applyBorder="1" applyNumberFormat="1">
      <alignment horizontal="right" vertical="center" wrapText="1"/>
    </xf>
    <xf numFmtId="49" fontId="39" fillId="38" borderId="16" xfId="0" applyFont="1" applyFill="1" applyBorder="1" applyNumberFormat="1">
      <alignment horizontal="left" vertical="center"/>
    </xf>
    <xf numFmtId="49" fontId="22" fillId="38" borderId="14" xfId="0" applyFont="1" applyFill="1" applyBorder="1" applyNumberFormat="1">
      <alignment horizontal="right" vertical="center" wrapText="1"/>
    </xf>
    <xf numFmtId="0" fontId="36" fillId="0" borderId="0" xfId="0" applyFont="1" applyNumberFormat="1">
      <alignment horizontal="center" vertical="center" wrapText="1"/>
    </xf>
    <xf numFmtId="0" fontId="22" fillId="0" borderId="22" xfId="0" applyFont="1" applyBorder="1" applyNumberFormat="1">
      <alignment vertical="center" wrapText="1"/>
    </xf>
    <xf numFmtId="0" fontId="44" fillId="0" borderId="0" xfId="0" applyFont="1" applyNumberFormat="1">
      <alignment vertical="center" wrapText="1"/>
    </xf>
    <xf numFmtId="0" fontId="92" fillId="0" borderId="0" xfId="0" applyFont="1" applyNumberFormat="1">
      <alignment vertical="center" wrapText="1"/>
    </xf>
    <xf numFmtId="0" fontId="49" fillId="0" borderId="0" xfId="0" applyFont="1" applyNumberFormat="1">
      <alignment horizontal="center" vertical="center" wrapText="1"/>
    </xf>
    <xf numFmtId="0" fontId="44" fillId="0" borderId="0" xfId="0" applyFont="1" applyNumberFormat="1">
      <alignment vertical="center" wrapText="1"/>
    </xf>
    <xf numFmtId="49" fontId="0" fillId="0" borderId="0" xfId="0" applyFont="1" applyNumberFormat="1">
      <alignment vertical="top"/>
    </xf>
    <xf numFmtId="0" fontId="36" fillId="0" borderId="0" xfId="0" applyFont="1" applyNumberFormat="1">
      <alignment horizontal="center" vertical="center" wrapText="1"/>
    </xf>
    <xf numFmtId="0" fontId="46" fillId="0" borderId="0" xfId="0" applyFont="1" applyNumberFormat="1">
      <alignment vertical="center"/>
    </xf>
    <xf numFmtId="0" fontId="53"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1" xfId="0" applyFont="1" applyBorder="1" applyNumberFormat="1">
      <alignment horizontal="left" vertical="center" wrapText="1" indent="1"/>
    </xf>
    <xf numFmtId="0" fontId="22" fillId="0" borderId="18" xfId="0" applyFont="1" applyBorder="1" applyNumberFormat="1">
      <alignment horizontal="left" vertical="center" wrapText="1" indent="1"/>
    </xf>
    <xf numFmtId="0" fontId="22" fillId="0" borderId="38" xfId="0" applyFont="1" applyBorder="1" applyNumberFormat="1">
      <alignment horizontal="left" vertical="center" wrapText="1" indent="1"/>
    </xf>
    <xf numFmtId="0" fontId="45" fillId="0" borderId="0" xfId="0" applyFont="1" applyNumberFormat="1">
      <alignment vertical="center"/>
    </xf>
    <xf numFmtId="0" fontId="40" fillId="0" borderId="0" xfId="0" applyFont="1" applyNumberFormat="1">
      <alignment vertical="center"/>
    </xf>
    <xf numFmtId="0" fontId="22" fillId="0" borderId="30" xfId="0" applyFont="1" applyBorder="1" applyNumberFormat="1">
      <alignment horizontal="left" vertical="center" indent="1"/>
    </xf>
    <xf numFmtId="0" fontId="22" fillId="0" borderId="24" xfId="0" applyFont="1" applyBorder="1" applyNumberFormat="1">
      <alignment horizontal="left" vertical="center" indent="1"/>
    </xf>
    <xf numFmtId="0" fontId="22" fillId="0" borderId="31" xfId="0" applyFont="1" applyBorder="1" applyNumberFormat="1">
      <alignment horizontal="left" vertical="center" indent="1"/>
    </xf>
    <xf numFmtId="0" fontId="84" fillId="0" borderId="0" xfId="0" applyFont="1" applyNumberFormat="1">
      <alignment vertical="center"/>
    </xf>
    <xf numFmtId="0" fontId="47" fillId="0" borderId="0" xfId="0" applyFont="1" applyNumberFormat="1">
      <alignment vertical="center"/>
    </xf>
    <xf numFmtId="0" fontId="106" fillId="0" borderId="0" xfId="0" applyFont="1" applyNumberFormat="1">
      <alignment vertical="center"/>
    </xf>
    <xf numFmtId="0" fontId="40" fillId="0" borderId="0" xfId="0" applyFont="1" applyNumberFormat="1">
      <alignment vertical="center"/>
    </xf>
    <xf numFmtId="0" fontId="22" fillId="0" borderId="0" xfId="0" applyFont="1" applyNumberFormat="1">
      <alignment vertical="center" wrapText="1"/>
    </xf>
    <xf numFmtId="0" fontId="84" fillId="0" borderId="0" xfId="0" applyFont="1" applyNumberFormat="1">
      <alignment vertical="center"/>
    </xf>
    <xf numFmtId="0" fontId="47" fillId="0" borderId="0" xfId="0" applyFont="1" applyNumberFormat="1">
      <alignment vertical="center"/>
    </xf>
    <xf numFmtId="0" fontId="106" fillId="0" borderId="0" xfId="0" applyFont="1" applyNumberFormat="1">
      <alignment vertical="center"/>
    </xf>
    <xf numFmtId="0" fontId="40"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29" fillId="0" borderId="0" xfId="0" applyFont="1" applyNumberFormat="1">
      <alignment vertical="center"/>
    </xf>
    <xf numFmtId="0" fontId="22" fillId="43" borderId="0" xfId="0" applyFont="1" applyFill="1" applyNumberFormat="1">
      <alignment horizontal="center" vertical="center" wrapText="1"/>
    </xf>
    <xf numFmtId="0" fontId="22" fillId="0" borderId="0" xfId="0" applyFont="1" applyNumberFormat="1">
      <alignment vertical="center" wrapText="1"/>
    </xf>
    <xf numFmtId="0" fontId="22" fillId="0" borderId="13" xfId="0" applyFont="1" applyBorder="1" applyNumberFormat="1">
      <alignment horizontal="center" vertical="center" wrapText="1"/>
    </xf>
    <xf numFmtId="0" fontId="73" fillId="0" borderId="38" xfId="0" applyFont="1" applyBorder="1" applyNumberFormat="1">
      <alignment horizontal="center" vertical="center" wrapText="1"/>
    </xf>
    <xf numFmtId="0" fontId="73" fillId="0" borderId="20" xfId="0" applyFont="1" applyBorder="1" applyNumberFormat="1">
      <alignment horizontal="center" vertical="center" wrapText="1"/>
    </xf>
    <xf numFmtId="0" fontId="73" fillId="0" borderId="13" xfId="0" applyFont="1" applyBorder="1" applyNumberFormat="1">
      <alignment horizontal="center" vertical="center" wrapText="1"/>
    </xf>
    <xf numFmtId="0" fontId="22" fillId="0" borderId="0" xfId="0" applyFont="1" applyNumberFormat="1">
      <alignment horizontal="center" vertical="center" wrapText="1"/>
    </xf>
    <xf numFmtId="0" fontId="80" fillId="0" borderId="0" xfId="0" applyFont="1" applyNumberFormat="1">
      <alignment horizontal="center" vertical="center" wrapText="1"/>
    </xf>
    <xf numFmtId="0" fontId="22" fillId="0" borderId="13"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5" fillId="0" borderId="23" xfId="0" applyFont="1" applyBorder="1" applyNumberFormat="1">
      <alignment vertical="center"/>
    </xf>
    <xf numFmtId="0" fontId="0" fillId="0" borderId="0" xfId="0" applyFont="1" applyNumberFormat="1">
      <alignment vertical="center"/>
    </xf>
    <xf numFmtId="49" fontId="35" fillId="0" borderId="0" xfId="0" applyFont="1" applyNumberFormat="1">
      <alignment horizontal="center" vertical="center" wrapText="1"/>
    </xf>
    <xf numFmtId="49" fontId="35" fillId="0" borderId="13" xfId="0" applyFont="1" applyBorder="1" applyNumberFormat="1">
      <alignment horizontal="center" vertical="center" wrapText="1"/>
    </xf>
    <xf numFmtId="49" fontId="35" fillId="0" borderId="68" xfId="0" applyFont="1" applyBorder="1" applyNumberFormat="1">
      <alignment horizontal="center" vertical="center" wrapText="1"/>
    </xf>
    <xf numFmtId="49" fontId="35" fillId="0" borderId="69" xfId="0" applyFont="1" applyBorder="1" applyNumberFormat="1">
      <alignment horizontal="center" vertical="center" wrapText="1"/>
    </xf>
    <xf numFmtId="49" fontId="35" fillId="0" borderId="15" xfId="0" applyFont="1" applyBorder="1" applyNumberFormat="1">
      <alignment horizontal="center" vertical="center" wrapText="1"/>
    </xf>
    <xf numFmtId="49" fontId="35" fillId="0" borderId="14" xfId="0" applyFont="1" applyBorder="1" applyNumberFormat="1">
      <alignment horizontal="center" vertical="center" wrapText="1"/>
    </xf>
    <xf numFmtId="0" fontId="45" fillId="0" borderId="23" xfId="0" applyFont="1" applyBorder="1" applyNumberFormat="1">
      <alignment vertical="center"/>
    </xf>
    <xf numFmtId="0" fontId="46" fillId="0" borderId="0" xfId="0" applyFont="1" applyNumberFormat="1">
      <alignment vertical="center"/>
    </xf>
    <xf numFmtId="0" fontId="46" fillId="0" borderId="0" xfId="0" applyFont="1" applyNumberFormat="1">
      <alignment vertical="center"/>
    </xf>
    <xf numFmtId="0" fontId="22" fillId="0" borderId="0" xfId="0" applyFont="1" applyNumberFormat="1">
      <alignment vertical="center"/>
    </xf>
    <xf numFmtId="0" fontId="45" fillId="0" borderId="0" xfId="0" applyFont="1" applyNumberFormat="1">
      <alignment vertical="center"/>
    </xf>
    <xf numFmtId="0" fontId="0" fillId="0" borderId="0" xfId="0" applyFont="1" applyNumberFormat="1">
      <alignment vertical="center"/>
    </xf>
    <xf numFmtId="0" fontId="46" fillId="0" borderId="0" xfId="0" applyFont="1" applyNumberFormat="1">
      <alignment horizontal="center" vertical="center"/>
    </xf>
    <xf numFmtId="0" fontId="22" fillId="0" borderId="0" xfId="0" applyFont="1" applyNumberFormat="1">
      <alignment horizontal="center" vertical="center" wrapText="1"/>
    </xf>
    <xf numFmtId="0" fontId="22" fillId="38" borderId="15" xfId="0" applyFont="1" applyFill="1" applyBorder="1" applyNumberFormat="1">
      <alignment horizontal="center" vertical="center" wrapText="1"/>
    </xf>
    <xf numFmtId="49" fontId="22" fillId="38" borderId="16" xfId="0" applyFont="1" applyFill="1" applyBorder="1" applyNumberFormat="1">
      <alignment horizontal="center" vertical="center" wrapText="1"/>
    </xf>
    <xf numFmtId="49" fontId="22" fillId="38" borderId="16" xfId="0" applyFont="1" applyFill="1" applyBorder="1" applyNumberFormat="1">
      <alignment horizontal="center" vertical="center" wrapText="1"/>
    </xf>
    <xf numFmtId="49" fontId="22" fillId="38" borderId="42" xfId="0" applyFont="1" applyFill="1" applyBorder="1" applyNumberFormat="1">
      <alignment horizontal="center" vertical="center" wrapText="1"/>
    </xf>
    <xf numFmtId="49" fontId="0" fillId="38" borderId="16" xfId="0" applyFont="1" applyFill="1" applyBorder="1" applyNumberFormat="1">
      <alignment horizontal="left" vertical="center"/>
    </xf>
    <xf numFmtId="0" fontId="0" fillId="38" borderId="14" xfId="0" applyFont="1" applyFill="1" applyBorder="1" applyNumberFormat="1">
      <alignment vertical="center"/>
    </xf>
    <xf numFmtId="49" fontId="0" fillId="0" borderId="0" xfId="0" applyFont="1" applyNumberFormat="1">
      <alignment vertical="top"/>
    </xf>
    <xf numFmtId="0" fontId="36" fillId="0" borderId="0" xfId="0" applyFont="1" applyNumberFormat="1">
      <alignment horizontal="center" vertical="center" wrapText="1"/>
    </xf>
    <xf numFmtId="49" fontId="22" fillId="0" borderId="13" xfId="0" applyFont="1" applyBorder="1" applyNumberFormat="1">
      <alignment horizontal="center" vertical="center" wrapText="1"/>
    </xf>
    <xf numFmtId="0" fontId="22" fillId="41" borderId="18" xfId="0" applyFont="1" applyFill="1" applyBorder="1" applyNumberFormat="1">
      <alignment horizontal="left" vertical="center" wrapText="1" indent="2"/>
    </xf>
    <xf numFmtId="49" fontId="22" fillId="41" borderId="24" xfId="0" applyFont="1" applyFill="1" applyBorder="1" applyNumberFormat="1">
      <alignment horizontal="center" vertical="center" wrapText="1"/>
    </xf>
    <xf numFmtId="14" fontId="79"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1" borderId="18" xfId="0" applyFont="1" applyFill="1" applyBorder="1" applyNumberFormat="1">
      <alignment horizontal="left" vertical="center" wrapText="1" indent="1"/>
    </xf>
    <xf numFmtId="49" fontId="22" fillId="41" borderId="13" xfId="0" applyFont="1" applyFill="1" applyBorder="1" applyNumberFormat="1">
      <alignment horizontal="center" vertical="center" wrapText="1"/>
    </xf>
    <xf numFmtId="49" fontId="22" fillId="0" borderId="18" xfId="0" applyFont="1" applyBorder="1" applyNumberFormat="1">
      <alignment horizontal="center" vertical="center" wrapText="1"/>
    </xf>
    <xf numFmtId="49" fontId="22" fillId="0" borderId="13" xfId="0" applyFont="1" applyBorder="1" applyNumberFormat="1">
      <alignment horizontal="center" vertical="center" wrapText="1"/>
    </xf>
    <xf numFmtId="49" fontId="73" fillId="40" borderId="13" xfId="0" applyFont="1" applyFill="1" applyBorder="1" applyNumberFormat="1">
      <alignment horizontal="left" vertical="center" wrapText="1" indent="1"/>
      <protection locked="0"/>
    </xf>
    <xf numFmtId="0" fontId="45" fillId="0" borderId="23" xfId="0" applyFont="1" applyBorder="1" applyNumberFormat="1">
      <alignment vertical="center"/>
    </xf>
    <xf numFmtId="0" fontId="46" fillId="0" borderId="0" xfId="0" applyFont="1" applyNumberFormat="1">
      <alignment vertical="center"/>
    </xf>
    <xf numFmtId="0" fontId="22" fillId="0" borderId="0" xfId="0" applyFont="1" applyNumberFormat="1">
      <alignment vertical="center"/>
    </xf>
    <xf numFmtId="0" fontId="45" fillId="0" borderId="0" xfId="0" applyFont="1" applyNumberFormat="1">
      <alignment vertical="center"/>
    </xf>
    <xf numFmtId="0" fontId="0" fillId="0" borderId="0" xfId="0" applyFont="1" applyNumberFormat="1">
      <alignment vertical="center"/>
    </xf>
    <xf numFmtId="49" fontId="0" fillId="0" borderId="13" xfId="0" applyFont="1" applyBorder="1" applyNumberFormat="1">
      <alignment vertical="top"/>
    </xf>
    <xf numFmtId="0" fontId="35" fillId="0" borderId="13" xfId="0" applyFont="1" applyBorder="1" applyNumberFormat="1">
      <alignment horizontal="center" vertical="center" wrapText="1"/>
    </xf>
    <xf numFmtId="49" fontId="22" fillId="0" borderId="14" xfId="0" applyFont="1" applyBorder="1" applyNumberFormat="1">
      <alignment horizontal="center" vertical="center" wrapText="1"/>
    </xf>
    <xf numFmtId="49" fontId="73" fillId="40" borderId="13" xfId="0" applyFont="1" applyFill="1" applyBorder="1" applyNumberFormat="1">
      <alignment horizontal="left" vertical="center" wrapText="1" indent="1"/>
      <protection locked="0"/>
    </xf>
    <xf numFmtId="0" fontId="72" fillId="0" borderId="0" xfId="0" applyFont="1" applyNumberFormat="1">
      <alignment vertical="center"/>
    </xf>
    <xf numFmtId="0" fontId="22" fillId="41" borderId="37" xfId="0" applyFont="1" applyFill="1" applyBorder="1" applyNumberFormat="1">
      <alignment horizontal="left" vertical="center" wrapText="1" indent="2"/>
    </xf>
    <xf numFmtId="0" fontId="22" fillId="41" borderId="24" xfId="0" applyFont="1" applyFill="1" applyBorder="1" applyNumberFormat="1">
      <alignment horizontal="left" vertical="center" wrapText="1" indent="1"/>
    </xf>
    <xf numFmtId="49" fontId="39" fillId="38" borderId="14" xfId="0" applyFont="1" applyFill="1" applyBorder="1" applyNumberFormat="1">
      <alignment horizontal="left" vertical="center" indent="1"/>
    </xf>
    <xf numFmtId="0" fontId="35" fillId="0" borderId="13" xfId="0" applyFont="1" applyBorder="1" applyNumberFormat="1">
      <alignment horizontal="center" vertical="center" wrapText="1"/>
    </xf>
    <xf numFmtId="0" fontId="22" fillId="41" borderId="13" xfId="0" applyFont="1" applyFill="1" applyBorder="1" applyNumberFormat="1">
      <alignment horizontal="left" vertical="center" wrapText="1" indent="1"/>
    </xf>
    <xf numFmtId="0" fontId="79" fillId="0" borderId="18" xfId="0" applyFont="1" applyBorder="1" applyNumberFormat="1">
      <alignment horizontal="center" vertical="center" wrapText="1"/>
    </xf>
    <xf numFmtId="49" fontId="22" fillId="0" borderId="13" xfId="0" applyFont="1" applyBorder="1" applyNumberFormat="1">
      <alignment horizontal="center" vertical="center" wrapText="1"/>
    </xf>
    <xf numFmtId="0" fontId="22" fillId="41" borderId="24" xfId="0" applyFont="1" applyFill="1" applyBorder="1" applyNumberFormat="1">
      <alignment horizontal="left" vertical="center" wrapText="1" indent="2"/>
    </xf>
    <xf numFmtId="49" fontId="48" fillId="38" borderId="43" xfId="0" applyFont="1" applyFill="1" applyBorder="1" applyNumberFormat="1">
      <alignment horizontal="right" vertical="center" wrapText="1"/>
    </xf>
    <xf numFmtId="49" fontId="48" fillId="38" borderId="44" xfId="0" applyFont="1" applyFill="1" applyBorder="1" applyNumberFormat="1">
      <alignment horizontal="right" vertical="center" wrapText="1"/>
    </xf>
    <xf numFmtId="49" fontId="39" fillId="38" borderId="16" xfId="0" applyFont="1" applyFill="1" applyBorder="1" applyNumberFormat="1">
      <alignment horizontal="left" vertical="center" indent="1"/>
    </xf>
    <xf numFmtId="49" fontId="48" fillId="38" borderId="14" xfId="0" applyFont="1" applyFill="1" applyBorder="1" applyNumberFormat="1">
      <alignment horizontal="right" vertical="center" wrapText="1"/>
    </xf>
    <xf numFmtId="0" fontId="35" fillId="0" borderId="25" xfId="0" applyFont="1" applyBorder="1" applyNumberFormat="1">
      <alignment horizontal="center" vertical="center" wrapText="1"/>
    </xf>
    <xf numFmtId="14" fontId="79" fillId="0" borderId="18" xfId="0" applyFont="1" applyBorder="1" applyNumberFormat="1">
      <alignment horizontal="center" vertical="center" wrapText="1"/>
    </xf>
    <xf numFmtId="0" fontId="73" fillId="41" borderId="13" xfId="0" applyFont="1" applyFill="1" applyBorder="1" applyNumberFormat="1">
      <alignment horizontal="left" vertical="center" wrapText="1" indent="1"/>
      <protection locked="0"/>
    </xf>
    <xf numFmtId="0" fontId="35" fillId="0" borderId="0" xfId="0" applyFont="1" applyNumberFormat="1">
      <alignment horizontal="center" vertical="center" wrapText="1"/>
    </xf>
    <xf numFmtId="14" fontId="79" fillId="0" borderId="37" xfId="0" applyFont="1" applyBorder="1" applyNumberFormat="1">
      <alignment horizontal="center" vertical="center" wrapText="1"/>
    </xf>
    <xf numFmtId="0" fontId="73" fillId="41" borderId="13" xfId="0" applyFont="1" applyFill="1" applyBorder="1" applyNumberFormat="1">
      <alignment horizontal="left" vertical="top" indent="1"/>
      <protection locked="0"/>
    </xf>
    <xf numFmtId="0" fontId="73" fillId="0" borderId="13" xfId="0" applyFont="1" applyBorder="1" applyNumberFormat="1">
      <alignment horizontal="left" vertical="center" wrapText="1" indent="1"/>
    </xf>
    <xf numFmtId="0" fontId="73" fillId="0" borderId="13" xfId="0" applyFont="1" applyBorder="1" applyNumberFormat="1">
      <alignment horizontal="left" vertical="top" indent="1"/>
    </xf>
    <xf numFmtId="0" fontId="35" fillId="0" borderId="25" xfId="0" applyFont="1" applyBorder="1" applyNumberFormat="1">
      <alignment horizontal="center" vertical="center" wrapText="1"/>
    </xf>
    <xf numFmtId="0" fontId="73" fillId="41" borderId="13" xfId="0" applyFont="1" applyFill="1" applyBorder="1" applyNumberFormat="1">
      <alignment horizontal="left" vertical="center" wrapText="1" indent="1"/>
      <protection locked="0"/>
    </xf>
    <xf numFmtId="49" fontId="73" fillId="40" borderId="13" xfId="0" applyFont="1" applyFill="1" applyBorder="1" applyNumberFormat="1">
      <alignment horizontal="left" vertical="center" wrapText="1" indent="1"/>
      <protection locked="0"/>
    </xf>
    <xf numFmtId="0" fontId="0" fillId="0" borderId="0" xfId="0" applyFont="1" applyNumberFormat="1">
      <alignment vertical="center"/>
    </xf>
    <xf numFmtId="0" fontId="73" fillId="41" borderId="13" xfId="0" applyFont="1" applyFill="1" applyBorder="1" applyNumberFormat="1">
      <alignment horizontal="left" vertical="top" indent="1"/>
      <protection locked="0"/>
    </xf>
    <xf numFmtId="49" fontId="0" fillId="0" borderId="13" xfId="0" applyFont="1" applyBorder="1" applyNumberFormat="1">
      <alignment vertical="top"/>
    </xf>
    <xf numFmtId="49" fontId="73" fillId="0" borderId="13" xfId="0" applyFont="1" applyBorder="1" applyNumberFormat="1">
      <alignment horizontal="left" vertical="center" wrapText="1" indent="1"/>
    </xf>
    <xf numFmtId="0" fontId="73" fillId="43"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39" fillId="38" borderId="16" xfId="0" applyFont="1" applyFill="1" applyBorder="1" applyNumberFormat="1">
      <alignment horizontal="left" vertical="center" indent="2"/>
    </xf>
    <xf numFmtId="0" fontId="22" fillId="0" borderId="0" xfId="0" applyFont="1" applyNumberFormat="1">
      <alignment vertical="center"/>
    </xf>
    <xf numFmtId="0" fontId="45" fillId="0" borderId="0" xfId="0" applyFont="1" applyNumberFormat="1">
      <alignment vertical="center"/>
    </xf>
    <xf numFmtId="0" fontId="22" fillId="0" borderId="0" xfId="0" applyFont="1" applyNumberFormat="1">
      <alignment vertical="center"/>
    </xf>
    <xf numFmtId="0" fontId="46"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21" xfId="0" applyFont="1" applyBorder="1" applyNumberFormat="1">
      <alignment horizontal="left" vertical="top" wrapText="1" indent="1"/>
    </xf>
    <xf numFmtId="0" fontId="22" fillId="0" borderId="18" xfId="0" applyFont="1" applyBorder="1" applyNumberFormat="1">
      <alignment horizontal="left" vertical="top" wrapText="1" indent="1"/>
    </xf>
    <xf numFmtId="0" fontId="22" fillId="0" borderId="38" xfId="0" applyFont="1" applyBorder="1" applyNumberFormat="1">
      <alignment horizontal="left" vertical="top" wrapText="1" indent="1"/>
    </xf>
    <xf numFmtId="0" fontId="62" fillId="0" borderId="0" xfId="0" applyFont="1" applyNumberFormat="1">
      <alignment vertical="center" wrapText="1"/>
    </xf>
    <xf numFmtId="0" fontId="30" fillId="0" borderId="0" xfId="0" applyFont="1" applyNumberFormat="1">
      <alignment vertical="center" wrapText="1"/>
    </xf>
    <xf numFmtId="0" fontId="30" fillId="0" borderId="0" xfId="0" applyFont="1" applyNumberFormat="1">
      <alignment vertical="center" wrapText="1"/>
    </xf>
    <xf numFmtId="0" fontId="106" fillId="0" borderId="0" xfId="0" applyFont="1" applyNumberFormat="1">
      <alignment vertical="center"/>
    </xf>
    <xf numFmtId="0" fontId="40" fillId="0" borderId="0" xfId="0" applyFont="1" applyNumberFormat="1">
      <alignment vertical="center"/>
    </xf>
    <xf numFmtId="0" fontId="22" fillId="0" borderId="28" xfId="0" applyFont="1" applyBorder="1" applyNumberFormat="1">
      <alignment horizontal="left" vertical="center" indent="1"/>
    </xf>
    <xf numFmtId="0" fontId="65" fillId="0" borderId="0" xfId="0" applyFont="1" applyNumberFormat="1">
      <alignment vertical="center"/>
    </xf>
    <xf numFmtId="0" fontId="46" fillId="0" borderId="0" xfId="0" applyFont="1" applyNumberFormat="1">
      <alignment vertical="center"/>
    </xf>
    <xf numFmtId="0" fontId="70" fillId="0" borderId="25" xfId="0" applyFont="1" applyBorder="1" applyNumberFormat="1">
      <alignment horizontal="left" vertical="center" wrapText="1" indent="1"/>
    </xf>
    <xf numFmtId="0" fontId="70" fillId="0" borderId="37" xfId="0" applyFont="1" applyBorder="1" applyNumberFormat="1">
      <alignment horizontal="left" vertical="center" wrapText="1" indent="1"/>
    </xf>
    <xf numFmtId="0" fontId="70" fillId="0" borderId="23" xfId="0" applyFont="1" applyBorder="1" applyNumberFormat="1">
      <alignment horizontal="left" vertical="center" wrapText="1" indent="1"/>
    </xf>
    <xf numFmtId="0" fontId="22" fillId="0" borderId="0" xfId="0" applyFont="1" applyNumberFormat="1">
      <alignment vertical="center"/>
    </xf>
    <xf numFmtId="0" fontId="65" fillId="0" borderId="0" xfId="0" applyFont="1" applyNumberFormat="1">
      <alignment vertical="center"/>
    </xf>
    <xf numFmtId="0" fontId="29" fillId="0" borderId="0" xfId="0" applyFont="1" applyNumberFormat="1">
      <alignment vertical="center"/>
    </xf>
    <xf numFmtId="0" fontId="40" fillId="0" borderId="0" xfId="0" applyFont="1" applyNumberFormat="1">
      <alignment vertical="center"/>
    </xf>
    <xf numFmtId="0" fontId="0"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0" xfId="0" applyFont="1" applyNumberFormat="1">
      <alignment vertical="center"/>
    </xf>
    <xf numFmtId="49" fontId="46" fillId="36" borderId="0" xfId="0" applyFont="1" applyFill="1" applyNumberFormat="1">
      <alignment horizontal="center" vertical="center" wrapText="1"/>
    </xf>
    <xf numFmtId="49" fontId="46" fillId="36" borderId="28" xfId="0" applyFont="1" applyFill="1" applyBorder="1" applyNumberFormat="1">
      <alignment horizontal="center" vertical="center" wrapText="1"/>
    </xf>
    <xf numFmtId="0" fontId="46" fillId="0" borderId="0" xfId="0" applyFont="1" applyNumberFormat="1">
      <alignment vertical="center"/>
    </xf>
    <xf numFmtId="0" fontId="36" fillId="0" borderId="0" xfId="0" applyFont="1" applyNumberFormat="1">
      <alignment horizontal="center" vertical="center" wrapText="1"/>
    </xf>
    <xf numFmtId="0" fontId="46" fillId="0" borderId="13" xfId="0" applyFont="1" applyBorder="1" applyNumberFormat="1">
      <alignment horizontal="center" vertical="center"/>
    </xf>
    <xf numFmtId="0" fontId="22" fillId="0" borderId="13" xfId="0" applyFont="1" applyBorder="1" applyNumberFormat="1">
      <alignment horizontal="center" vertical="center" wrapText="1"/>
    </xf>
    <xf numFmtId="0" fontId="0" fillId="0" borderId="13" xfId="0" applyFont="1" applyBorder="1" applyNumberFormat="1">
      <alignment horizontal="center" vertical="center"/>
    </xf>
    <xf numFmtId="49" fontId="22" fillId="0" borderId="13" xfId="0" applyFont="1" applyBorder="1" applyNumberFormat="1">
      <alignment horizontal="center" vertical="center" wrapText="1"/>
    </xf>
    <xf numFmtId="49" fontId="22"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2" fillId="0" borderId="13" xfId="0" applyFont="1" applyBorder="1" applyNumberFormat="1">
      <alignment horizontal="center" vertical="center" wrapText="1"/>
    </xf>
    <xf numFmtId="49" fontId="22"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2" fillId="0" borderId="13" xfId="0" applyFont="1" applyBorder="1" applyNumberFormat="1">
      <alignment horizontal="left" vertical="top" wrapText="1"/>
    </xf>
    <xf numFmtId="0" fontId="22" fillId="41"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2" fillId="0" borderId="20" xfId="0" applyFont="1" applyBorder="1" applyNumberFormat="1">
      <alignment horizontal="left" vertical="center" wrapText="1"/>
    </xf>
    <xf numFmtId="49" fontId="22"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2" fillId="0" borderId="21"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1"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9" fillId="0" borderId="0" xfId="0" applyFont="1" applyNumberFormat="1">
      <alignment horizontal="left" vertical="center"/>
    </xf>
    <xf numFmtId="0" fontId="39" fillId="0" borderId="25"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3" xfId="0" applyFont="1" applyBorder="1" applyNumberFormat="1">
      <alignment horizontal="left" vertical="top"/>
    </xf>
    <xf numFmtId="0" fontId="22" fillId="41" borderId="24" xfId="0" applyFont="1" applyFill="1" applyBorder="1" applyNumberFormat="1">
      <alignment horizontal="center" vertical="top" wrapText="1"/>
    </xf>
    <xf numFmtId="0" fontId="39" fillId="0" borderId="31" xfId="0" applyFont="1" applyBorder="1" applyNumberFormat="1">
      <alignment horizontal="left" vertical="center"/>
    </xf>
    <xf numFmtId="0" fontId="39" fillId="0" borderId="28" xfId="0" applyFont="1" applyBorder="1" applyNumberFormat="1">
      <alignment horizontal="left" vertical="center"/>
    </xf>
    <xf numFmtId="0" fontId="0" fillId="0" borderId="28" xfId="0" applyFont="1" applyBorder="1" applyNumberFormat="1">
      <alignment vertical="center"/>
    </xf>
    <xf numFmtId="0" fontId="39" fillId="0" borderId="30" xfId="0" applyFont="1" applyBorder="1" applyNumberFormat="1">
      <alignment horizontal="left" vertical="center"/>
    </xf>
    <xf numFmtId="0" fontId="22" fillId="40" borderId="13"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40" borderId="13" xfId="0" applyFont="1" applyFill="1" applyBorder="1" applyNumberFormat="1">
      <alignment horizontal="left" vertical="top"/>
      <protection locked="0"/>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0" fontId="39" fillId="0" borderId="0" xfId="0" applyFont="1" applyNumberFormat="1">
      <alignment horizontal="left" vertical="center"/>
    </xf>
    <xf numFmtId="0" fontId="39" fillId="0" borderId="25" xfId="0" applyFont="1" applyBorder="1" applyNumberFormat="1">
      <alignment horizontal="left" vertical="center"/>
    </xf>
    <xf numFmtId="49" fontId="22" fillId="0" borderId="0" xfId="0" applyFont="1" applyNumberFormat="1">
      <alignment horizontal="center" vertical="center" wrapText="1"/>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0" fillId="0" borderId="0" xfId="0" applyFont="1" applyNumberFormat="1">
      <alignment vertical="center"/>
    </xf>
    <xf numFmtId="0" fontId="0" fillId="0" borderId="18" xfId="0" applyFont="1" applyBorder="1" applyNumberFormat="1">
      <alignment horizontal="center" vertical="top"/>
    </xf>
    <xf numFmtId="0" fontId="22" fillId="0" borderId="18" xfId="0" applyFont="1" applyBorder="1" applyNumberFormat="1">
      <alignment horizontal="left" vertical="top" wrapText="1"/>
    </xf>
    <xf numFmtId="0" fontId="0" fillId="0" borderId="0" xfId="0" applyFont="1" applyNumberFormat="1">
      <alignment vertical="center"/>
    </xf>
    <xf numFmtId="0" fontId="0" fillId="0" borderId="37" xfId="0" applyFont="1" applyBorder="1" applyNumberFormat="1">
      <alignment horizontal="center" vertical="top"/>
    </xf>
    <xf numFmtId="0" fontId="22" fillId="0" borderId="37" xfId="0" applyFont="1" applyBorder="1" applyNumberFormat="1">
      <alignment horizontal="left" vertical="top" wrapText="1"/>
    </xf>
    <xf numFmtId="0" fontId="0" fillId="0" borderId="24" xfId="0" applyFont="1" applyBorder="1" applyNumberFormat="1">
      <alignment horizontal="center" vertical="top"/>
    </xf>
    <xf numFmtId="0" fontId="22" fillId="0" borderId="24" xfId="0" applyFont="1" applyBorder="1" applyNumberFormat="1">
      <alignment horizontal="left" vertical="top" wrapText="1"/>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2" fillId="0" borderId="0" xfId="0" applyFont="1" applyNumberFormat="1">
      <alignment horizontal="center" vertical="center" wrapText="1"/>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39" fillId="0" borderId="0" xfId="0" applyFont="1" applyNumberFormat="1">
      <alignment horizontal="left" vertical="center"/>
    </xf>
    <xf numFmtId="0" fontId="39" fillId="0" borderId="25" xfId="0" applyFont="1" applyBorder="1" applyNumberFormat="1">
      <alignment horizontal="left" vertical="center"/>
    </xf>
    <xf numFmtId="49" fontId="22" fillId="0" borderId="0" xfId="0" applyFont="1" applyNumberFormat="1">
      <alignment horizontal="center" vertical="center" wrapText="1"/>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2" fillId="0" borderId="0" xfId="0" applyFont="1" applyNumberFormat="1">
      <alignment horizontal="center" vertical="center" wrapText="1"/>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39" fillId="0" borderId="0" xfId="0" applyFont="1" applyNumberFormat="1">
      <alignment horizontal="left" vertical="center"/>
    </xf>
    <xf numFmtId="0" fontId="39" fillId="0" borderId="25" xfId="0" applyFont="1" applyBorder="1" applyNumberFormat="1">
      <alignment horizontal="left" vertical="center"/>
    </xf>
    <xf numFmtId="49" fontId="22" fillId="0" borderId="0" xfId="0" applyFont="1" applyNumberFormat="1">
      <alignment horizontal="center" vertical="center" wrapText="1"/>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46" fillId="0" borderId="0" xfId="0" applyFont="1" applyNumberFormat="1">
      <alignment vertical="center"/>
    </xf>
    <xf numFmtId="0" fontId="0" fillId="0" borderId="0" xfId="0" applyFont="1" applyNumberFormat="1">
      <alignment vertical="center"/>
    </xf>
    <xf numFmtId="49" fontId="46" fillId="0" borderId="0" xfId="0" applyFont="1" applyNumberFormat="1">
      <alignment vertical="top"/>
    </xf>
    <xf numFmtId="49" fontId="46" fillId="0" borderId="0" xfId="0" applyFont="1" applyNumberFormat="1">
      <alignment horizontal="center" vertical="center"/>
    </xf>
    <xf numFmtId="49" fontId="46" fillId="0" borderId="0" xfId="0" applyFont="1" applyNumberFormat="1">
      <alignment horizontal="center" vertical="center"/>
    </xf>
    <xf numFmtId="49" fontId="45" fillId="0" borderId="0" xfId="0" applyFont="1" applyNumberFormat="1">
      <alignment horizontal="center" vertical="center"/>
    </xf>
    <xf numFmtId="49" fontId="65" fillId="0" borderId="0" xfId="0" applyFont="1" applyNumberFormat="1">
      <alignment vertical="top"/>
    </xf>
    <xf numFmtId="49" fontId="0" fillId="0" borderId="0" xfId="0" applyFont="1" applyNumberFormat="1">
      <alignment vertical="top"/>
    </xf>
    <xf numFmtId="49" fontId="31" fillId="0" borderId="0" xfId="0" applyFont="1" applyNumberFormat="1">
      <alignment vertical="top"/>
    </xf>
    <xf numFmtId="49" fontId="65" fillId="0" borderId="0" xfId="0" applyFont="1" applyNumberFormat="1">
      <alignment vertical="top"/>
    </xf>
    <xf numFmtId="0" fontId="31"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30" fillId="0" borderId="0" xfId="0" applyFont="1" applyNumberFormat="1">
      <alignment horizontal="left" vertical="center" wrapText="1" indent="1"/>
    </xf>
    <xf numFmtId="0" fontId="41" fillId="0" borderId="0" xfId="0" applyFont="1" applyNumberFormat="1">
      <alignment vertical="center"/>
    </xf>
    <xf numFmtId="0" fontId="111" fillId="0" borderId="0" xfId="0" applyFont="1" applyNumberFormat="1">
      <alignment vertical="center" wrapText="1"/>
    </xf>
    <xf numFmtId="0" fontId="112" fillId="0" borderId="0" xfId="0" applyFont="1" applyNumberFormat="1">
      <alignment vertical="center" wrapText="1"/>
    </xf>
    <xf numFmtId="0" fontId="31" fillId="0" borderId="0" xfId="0" applyFont="1" applyNumberFormat="1">
      <alignment vertical="center" wrapText="1"/>
    </xf>
    <xf numFmtId="0" fontId="22" fillId="0" borderId="0" xfId="0" applyFont="1" applyNumberFormat="1">
      <alignment vertical="center" wrapText="1"/>
    </xf>
    <xf numFmtId="0" fontId="22" fillId="0" borderId="28" xfId="0" applyFont="1" applyBorder="1" applyNumberFormat="1">
      <alignment horizontal="left" vertical="center" wrapText="1" indent="1"/>
    </xf>
    <xf numFmtId="0" fontId="41" fillId="0" borderId="0" xfId="0" applyFont="1" applyNumberFormat="1">
      <alignment vertical="center" wrapText="1"/>
    </xf>
    <xf numFmtId="0" fontId="22" fillId="0" borderId="38" xfId="0" applyFont="1" applyBorder="1" applyNumberFormat="1">
      <alignment horizontal="center" vertical="center" wrapText="1"/>
    </xf>
    <xf numFmtId="0" fontId="22" fillId="0" borderId="21"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38"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25"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1"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38" xfId="0" applyFont="1" applyBorder="1" applyNumberFormat="1">
      <alignment horizontal="center" vertical="center" wrapText="1"/>
    </xf>
    <xf numFmtId="49" fontId="22" fillId="0" borderId="0" xfId="0" applyFont="1" applyNumberFormat="1">
      <alignment vertical="top"/>
    </xf>
    <xf numFmtId="49" fontId="22" fillId="0" borderId="13" xfId="0" applyFont="1" applyBorder="1" applyNumberFormat="1">
      <alignment horizontal="center" vertical="center"/>
    </xf>
    <xf numFmtId="0" fontId="22" fillId="0" borderId="13" xfId="0" applyFont="1" applyBorder="1" applyNumberFormat="1">
      <alignment horizontal="left" vertical="center" wrapText="1"/>
    </xf>
    <xf numFmtId="49" fontId="22" fillId="41" borderId="18" xfId="0" applyFont="1" applyFill="1" applyBorder="1" applyNumberFormat="1">
      <alignment horizontal="center" vertical="center" wrapText="1"/>
    </xf>
    <xf numFmtId="49" fontId="22" fillId="0" borderId="38" xfId="0" applyFont="1" applyBorder="1" applyNumberFormat="1">
      <alignment vertical="center" wrapText="1"/>
    </xf>
    <xf numFmtId="0" fontId="22" fillId="0" borderId="20" xfId="0" applyFont="1" applyBorder="1" applyNumberFormat="1">
      <alignment horizontal="center" vertical="center"/>
    </xf>
    <xf numFmtId="49" fontId="22" fillId="0" borderId="20" xfId="0" applyFont="1" applyBorder="1" applyNumberFormat="1">
      <alignment horizontal="left" vertical="center" wrapText="1"/>
    </xf>
    <xf numFmtId="49" fontId="22" fillId="0" borderId="20" xfId="0" applyFont="1" applyBorder="1" applyNumberFormat="1">
      <alignment vertical="center" wrapText="1"/>
    </xf>
    <xf numFmtId="49" fontId="22" fillId="0" borderId="20" xfId="0" applyFont="1" applyBorder="1" applyNumberFormat="1">
      <alignment horizontal="left" vertical="center" wrapText="1"/>
    </xf>
    <xf numFmtId="49" fontId="36" fillId="0" borderId="20" xfId="0" applyFont="1" applyBorder="1" applyNumberFormat="1">
      <alignment vertical="center" wrapText="1"/>
    </xf>
    <xf numFmtId="49" fontId="22" fillId="0" borderId="20" xfId="0" applyFont="1" applyBorder="1" applyNumberFormat="1">
      <alignment horizontal="center" vertical="center" wrapText="1"/>
    </xf>
    <xf numFmtId="0" fontId="22" fillId="0" borderId="20" xfId="0" applyFont="1" applyBorder="1" applyNumberFormat="1">
      <alignment horizontal="left" vertical="center" wrapText="1"/>
    </xf>
    <xf numFmtId="49" fontId="22" fillId="0" borderId="20" xfId="0" applyFont="1" applyBorder="1" applyNumberFormat="1">
      <alignment horizontal="center" vertical="center" wrapText="1"/>
    </xf>
    <xf numFmtId="49" fontId="22" fillId="0" borderId="20" xfId="0" applyFont="1" applyBorder="1" applyNumberFormat="1">
      <alignment vertical="center" wrapText="1"/>
    </xf>
    <xf numFmtId="49" fontId="22" fillId="41" borderId="37" xfId="0" applyFont="1" applyFill="1" applyBorder="1" applyNumberFormat="1">
      <alignment horizontal="center" vertical="center" wrapText="1"/>
    </xf>
    <xf numFmtId="49" fontId="22" fillId="0" borderId="23"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39" fillId="0" borderId="0" xfId="0" applyFont="1" applyNumberFormat="1">
      <alignment horizontal="left" vertical="center"/>
    </xf>
    <xf numFmtId="0" fontId="39" fillId="0" borderId="0" xfId="0" applyFont="1" applyNumberFormat="1">
      <alignment horizontal="left" vertical="center"/>
    </xf>
    <xf numFmtId="0" fontId="39" fillId="0" borderId="25" xfId="0" applyFont="1" applyBorder="1" applyNumberFormat="1">
      <alignment horizontal="left" vertical="center"/>
    </xf>
    <xf numFmtId="49" fontId="22" fillId="0" borderId="0" xfId="0" applyFont="1" applyNumberFormat="1">
      <alignment horizontal="center" vertical="center" wrapText="1"/>
    </xf>
    <xf numFmtId="49" fontId="36" fillId="0" borderId="0" xfId="0" applyFont="1" applyNumberFormat="1">
      <alignment horizontal="center" vertical="center" wrapText="1"/>
    </xf>
    <xf numFmtId="0" fontId="39" fillId="0" borderId="0" xfId="0" applyFont="1" applyNumberFormat="1">
      <alignment vertical="center"/>
    </xf>
    <xf numFmtId="0" fontId="39" fillId="0" borderId="23" xfId="0" applyFont="1" applyBorder="1" applyNumberFormat="1">
      <alignment horizontal="left" vertical="center"/>
    </xf>
    <xf numFmtId="49" fontId="22" fillId="0" borderId="18" xfId="0" applyFont="1" applyBorder="1" applyNumberFormat="1">
      <alignment horizontal="center" vertical="center"/>
    </xf>
    <xf numFmtId="0" fontId="22" fillId="0" borderId="18" xfId="0" applyFont="1" applyBorder="1" applyNumberFormat="1">
      <alignment horizontal="left" vertical="center" wrapText="1"/>
    </xf>
    <xf numFmtId="0" fontId="22" fillId="0" borderId="38" xfId="0" applyFont="1" applyBorder="1" applyNumberFormat="1">
      <alignment horizontal="left" vertical="center" wrapText="1"/>
    </xf>
    <xf numFmtId="49" fontId="65" fillId="0" borderId="31" xfId="0" applyFont="1" applyBorder="1" applyNumberFormat="1">
      <alignment vertical="top"/>
    </xf>
    <xf numFmtId="49" fontId="65" fillId="0" borderId="28" xfId="0" applyFont="1" applyBorder="1" applyNumberFormat="1">
      <alignment vertical="top"/>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22" fillId="0" borderId="0" xfId="0" applyFont="1" applyNumberFormat="1">
      <alignment horizontal="left" vertical="center" wrapText="1"/>
    </xf>
    <xf numFmtId="0" fontId="22" fillId="0" borderId="15" xfId="0" applyFont="1" applyBorder="1" applyNumberFormat="1">
      <alignment horizontal="left" vertical="center" wrapText="1"/>
    </xf>
    <xf numFmtId="49" fontId="31" fillId="0" borderId="0" xfId="0" applyFont="1" applyNumberFormat="1">
      <alignment vertical="top"/>
    </xf>
    <xf numFmtId="0" fontId="22" fillId="36" borderId="0" xfId="0" applyFont="1" applyFill="1" applyNumberFormat="1"/>
    <xf numFmtId="0" fontId="0" fillId="36" borderId="0" xfId="0" applyFont="1" applyFill="1" applyNumberFormat="1"/>
    <xf numFmtId="0" fontId="59" fillId="36" borderId="0" xfId="0" applyFont="1" applyFill="1" applyNumberFormat="1"/>
    <xf numFmtId="0" fontId="46" fillId="36" borderId="0" xfId="0" applyFont="1" applyFill="1" applyNumberFormat="1"/>
    <xf numFmtId="0" fontId="59" fillId="36" borderId="0" xfId="0" applyFont="1" applyFill="1" applyNumberFormat="1">
      <alignment horizontal="center"/>
    </xf>
    <xf numFmtId="0" fontId="59" fillId="36" borderId="0" xfId="0" applyFont="1" applyFill="1" applyNumberFormat="1"/>
    <xf numFmtId="0" fontId="88" fillId="0" borderId="0" xfId="0" applyFont="1" applyNumberFormat="1">
      <alignment vertical="center"/>
    </xf>
    <xf numFmtId="0" fontId="87" fillId="0" borderId="0" xfId="0" applyFont="1" applyNumberFormat="1">
      <alignment vertical="center"/>
    </xf>
    <xf numFmtId="0" fontId="71" fillId="36" borderId="0" xfId="0" applyFont="1" applyFill="1" applyNumberFormat="1">
      <alignment horizontal="right" vertical="center"/>
    </xf>
    <xf numFmtId="0" fontId="22" fillId="36" borderId="0" xfId="0" applyFont="1" applyFill="1" applyNumberFormat="1">
      <alignment vertical="center" wrapText="1"/>
    </xf>
    <xf numFmtId="0" fontId="46" fillId="36" borderId="0" xfId="0" applyFont="1" applyFill="1" applyNumberFormat="1">
      <alignment vertical="center" wrapText="1"/>
    </xf>
    <xf numFmtId="0" fontId="22" fillId="36" borderId="0" xfId="0" applyFont="1" applyFill="1" applyNumberFormat="1">
      <alignment horizontal="center" vertical="center" wrapText="1"/>
    </xf>
    <xf numFmtId="0" fontId="91"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2"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2"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2" fillId="36" borderId="13" xfId="0" applyFont="1" applyFill="1" applyBorder="1" applyNumberFormat="1">
      <alignment horizontal="center" vertical="center" wrapText="1"/>
    </xf>
    <xf numFmtId="0" fontId="35" fillId="36" borderId="0" xfId="0" applyFont="1" applyFill="1" applyNumberFormat="1">
      <alignment horizontal="center" vertical="center"/>
    </xf>
    <xf numFmtId="49" fontId="46" fillId="0" borderId="13" xfId="0" applyFont="1" applyBorder="1" applyNumberFormat="1">
      <alignment horizontal="center" vertical="center"/>
    </xf>
    <xf numFmtId="0" fontId="46" fillId="0" borderId="13" xfId="0" applyFont="1" applyBorder="1" applyNumberFormat="1">
      <alignment vertical="center" wrapText="1"/>
    </xf>
    <xf numFmtId="0" fontId="46" fillId="0" borderId="13" xfId="0" applyFont="1" applyBorder="1" applyNumberFormat="1">
      <alignment horizontal="left" vertical="center" wrapText="1"/>
    </xf>
    <xf numFmtId="0" fontId="63"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2"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0" borderId="13" xfId="0" applyFont="1" applyFill="1" applyBorder="1" applyNumberFormat="1">
      <alignment horizontal="left" vertical="center" wrapText="1"/>
      <protection locked="0"/>
    </xf>
    <xf numFmtId="0" fontId="46" fillId="0" borderId="13" xfId="0" applyFont="1" applyBorder="1" applyNumberFormat="1">
      <alignment horizontal="left" vertical="center" wrapText="1" indent="1"/>
    </xf>
    <xf numFmtId="49" fontId="22" fillId="36" borderId="0" xfId="0" applyFont="1" applyFill="1" applyNumberFormat="1">
      <alignment horizontal="center" vertical="center" wrapText="1"/>
    </xf>
    <xf numFmtId="0" fontId="22" fillId="36" borderId="25" xfId="0" applyFont="1" applyFill="1" applyBorder="1" applyNumberFormat="1">
      <alignment horizontal="center" vertical="center" wrapText="1"/>
    </xf>
    <xf numFmtId="0" fontId="88" fillId="0" borderId="0" xfId="0" applyFont="1" applyNumberFormat="1">
      <alignment vertical="center" wrapText="1"/>
    </xf>
    <xf numFmtId="0" fontId="0" fillId="36" borderId="13" xfId="0" applyFont="1" applyFill="1" applyBorder="1" applyNumberFormat="1">
      <alignment horizontal="center" vertical="center"/>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2" fillId="36" borderId="0" xfId="0" applyFont="1" applyFill="1" applyNumberFormat="1">
      <alignment vertical="center" wrapText="1"/>
    </xf>
    <xf numFmtId="0" fontId="22" fillId="36" borderId="25" xfId="0" applyFont="1" applyFill="1" applyBorder="1" applyNumberFormat="1">
      <alignment vertical="center" wrapText="1"/>
    </xf>
    <xf numFmtId="0" fontId="22" fillId="38" borderId="15" xfId="0" applyFont="1" applyFill="1" applyBorder="1" applyNumberFormat="1">
      <alignment horizontal="center"/>
    </xf>
    <xf numFmtId="49" fontId="39" fillId="38" borderId="16" xfId="0" applyFont="1" applyFill="1" applyBorder="1" applyNumberFormat="1">
      <alignment horizontal="left" vertical="center" indent="1"/>
    </xf>
    <xf numFmtId="0" fontId="71" fillId="38" borderId="16" xfId="0" applyFont="1" applyFill="1" applyBorder="1" applyNumberFormat="1">
      <alignment horizontal="left" vertical="center"/>
    </xf>
    <xf numFmtId="0" fontId="71" fillId="38" borderId="14" xfId="0" applyFont="1" applyFill="1" applyBorder="1" applyNumberFormat="1">
      <alignment horizontal="left" vertical="center"/>
    </xf>
    <xf numFmtId="0" fontId="46" fillId="36" borderId="0" xfId="0" applyFont="1" applyFill="1" applyNumberFormat="1"/>
    <xf numFmtId="49" fontId="46" fillId="36" borderId="13" xfId="0" applyFont="1" applyFill="1" applyBorder="1" applyNumberFormat="1">
      <alignment horizontal="center" vertical="center"/>
    </xf>
    <xf numFmtId="0" fontId="46" fillId="36" borderId="13" xfId="0" applyFont="1" applyFill="1" applyBorder="1" applyNumberFormat="1">
      <alignment vertical="center" wrapText="1"/>
    </xf>
    <xf numFmtId="0" fontId="46" fillId="0" borderId="13" xfId="0" applyFont="1" applyBorder="1" applyNumberFormat="1">
      <alignment horizontal="center" vertical="center" wrapText="1"/>
    </xf>
    <xf numFmtId="0" fontId="46" fillId="36" borderId="13" xfId="0" applyFont="1" applyFill="1" applyBorder="1" applyNumberFormat="1">
      <alignment horizontal="left" vertical="center" wrapText="1" indent="1"/>
    </xf>
    <xf numFmtId="0" fontId="46" fillId="36" borderId="13" xfId="0" applyFont="1" applyFill="1" applyBorder="1" applyNumberFormat="1">
      <alignment horizontal="left" vertical="center" wrapText="1" indent="2"/>
    </xf>
    <xf numFmtId="49" fontId="46" fillId="0" borderId="13" xfId="0" applyFont="1" applyBorder="1" applyNumberFormat="1">
      <alignment horizontal="left" vertical="center" wrapText="1"/>
    </xf>
    <xf numFmtId="49" fontId="46"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7"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2"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2" fillId="36" borderId="37" xfId="0" applyFont="1" applyFill="1" applyBorder="1" applyNumberFormat="1">
      <alignment horizontal="left" vertical="top" wrapText="1"/>
    </xf>
    <xf numFmtId="0" fontId="36" fillId="36" borderId="0" xfId="0" applyFont="1" applyFill="1" applyNumberFormat="1">
      <alignment horizontal="center" vertical="center" wrapText="1"/>
    </xf>
    <xf numFmtId="49" fontId="0" fillId="40" borderId="13" xfId="0" applyFont="1" applyFill="1" applyBorder="1" applyNumberFormat="1">
      <alignment horizontal="left" vertical="center" wrapText="1" indent="1"/>
      <protection locked="0"/>
    </xf>
    <xf numFmtId="49" fontId="22" fillId="40" borderId="15" xfId="0" applyFont="1" applyFill="1" applyBorder="1" applyNumberFormat="1">
      <alignment horizontal="left" vertical="center" wrapText="1"/>
      <protection locked="0"/>
    </xf>
    <xf numFmtId="0" fontId="22" fillId="36" borderId="24" xfId="0" applyFont="1" applyFill="1" applyBorder="1" applyNumberFormat="1">
      <alignment horizontal="left" vertical="top" wrapText="1"/>
    </xf>
    <xf numFmtId="0" fontId="50" fillId="36" borderId="0" xfId="0" applyFont="1" applyFill="1" applyNumberFormat="1"/>
    <xf numFmtId="49" fontId="22" fillId="40" borderId="13" xfId="0" applyFont="1" applyFill="1" applyBorder="1" applyNumberFormat="1" quotePrefix="1">
      <alignment horizontal="left" vertical="center" wrapText="1"/>
      <protection locked="0"/>
    </xf>
    <xf numFmtId="49" fontId="22" fillId="37" borderId="13" xfId="0" applyFont="1" applyFill="1" applyBorder="1" applyNumberFormat="1">
      <alignment horizontal="left" vertical="center" wrapText="1"/>
      <protection locked="0"/>
    </xf>
    <xf numFmtId="49" fontId="22" fillId="41" borderId="13" xfId="0" applyFont="1" applyFill="1" applyBorder="1" applyNumberFormat="1">
      <alignment horizontal="left" vertical="center" wrapText="1"/>
    </xf>
    <xf numFmtId="49" fontId="22" fillId="41"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2" fillId="41" borderId="15" xfId="0" applyFont="1" applyFill="1" applyBorder="1" applyNumberFormat="1">
      <alignment horizontal="left" vertical="center" wrapText="1"/>
    </xf>
    <xf numFmtId="0" fontId="0" fillId="36" borderId="13" xfId="0" applyFont="1" applyFill="1" applyBorder="1" applyNumberFormat="1">
      <alignment vertical="top" wrapText="1"/>
    </xf>
    <xf numFmtId="49" fontId="22"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74" fillId="36" borderId="0" xfId="0" applyFont="1" applyFill="1" applyNumberFormat="1"/>
    <xf numFmtId="0" fontId="22" fillId="0" borderId="0" xfId="0" applyFont="1" applyNumberFormat="1">
      <alignment vertical="top" wrapText="1"/>
    </xf>
    <xf numFmtId="0" fontId="46" fillId="0" borderId="0" xfId="0" applyFont="1" applyNumberFormat="1">
      <alignment vertical="center" wrapText="1"/>
    </xf>
    <xf numFmtId="0" fontId="44" fillId="0" borderId="0" xfId="0" applyFont="1" applyNumberFormat="1">
      <alignment horizontal="right" vertical="top" wrapText="1"/>
    </xf>
    <xf numFmtId="0" fontId="44" fillId="0" borderId="0" xfId="0" applyFont="1" applyNumberFormat="1">
      <alignment horizontal="left" vertical="top" wrapText="1" indent="1"/>
    </xf>
    <xf numFmtId="0" fontId="44" fillId="0" borderId="0" xfId="0" applyFont="1" applyNumberFormat="1">
      <alignment vertical="center" wrapText="1"/>
    </xf>
    <xf numFmtId="0" fontId="74" fillId="36" borderId="0" xfId="0" applyFont="1" applyFill="1" applyNumberFormat="1"/>
    <xf numFmtId="0" fontId="73" fillId="36" borderId="0" xfId="0" applyFont="1" applyFill="1" applyNumberFormat="1">
      <alignment horizontal="center"/>
    </xf>
    <xf numFmtId="0" fontId="73" fillId="36" borderId="0" xfId="0" applyFont="1" applyFill="1" applyNumberFormat="1"/>
    <xf numFmtId="0" fontId="75" fillId="36" borderId="0" xfId="0" applyFont="1" applyFill="1" applyNumberFormat="1">
      <alignment horizontal="right" vertical="center"/>
    </xf>
    <xf numFmtId="0" fontId="76" fillId="36" borderId="0" xfId="0" applyFont="1" applyFill="1" applyNumberFormat="1">
      <alignment vertical="center"/>
    </xf>
    <xf numFmtId="0" fontId="75" fillId="36" borderId="0" xfId="0" applyFont="1" applyFill="1" applyNumberFormat="1">
      <alignment horizontal="right" vertical="top"/>
    </xf>
    <xf numFmtId="0" fontId="76" fillId="36" borderId="0" xfId="0" applyFont="1" applyFill="1" applyNumberFormat="1">
      <alignment vertical="center" wrapText="1"/>
    </xf>
    <xf numFmtId="0" fontId="0" fillId="36" borderId="0" xfId="0" applyFont="1" applyFill="1" applyNumberFormat="1">
      <alignment horizontal="center"/>
    </xf>
    <xf numFmtId="0" fontId="22"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22" fillId="0" borderId="0" xfId="0" applyFont="1" applyNumberFormat="1">
      <alignment vertical="center" wrapText="1"/>
    </xf>
    <xf numFmtId="0" fontId="86" fillId="0" borderId="0" xfId="0" applyFont="1" applyNumberFormat="1">
      <alignment vertical="center" wrapText="1"/>
    </xf>
    <xf numFmtId="0" fontId="86" fillId="36" borderId="0" xfId="0" applyFont="1" applyFill="1" applyNumberFormat="1">
      <alignment horizontal="center" vertical="center" wrapText="1"/>
    </xf>
    <xf numFmtId="0" fontId="86" fillId="36" borderId="0" xfId="0" applyFont="1" applyFill="1" applyNumberFormat="1">
      <alignment horizontal="right" vertical="center" wrapText="1"/>
    </xf>
    <xf numFmtId="0" fontId="86" fillId="0" borderId="0" xfId="0" applyFont="1" applyNumberFormat="1">
      <alignment vertical="center" wrapText="1"/>
    </xf>
    <xf numFmtId="0" fontId="36" fillId="36" borderId="0" xfId="0" applyFont="1" applyFill="1" applyNumberFormat="1">
      <alignment horizontal="center" vertical="center" wrapText="1"/>
    </xf>
    <xf numFmtId="0" fontId="30" fillId="0" borderId="0" xfId="0" applyFont="1" applyNumberFormat="1">
      <alignment horizontal="left" vertical="center" wrapText="1" indent="3"/>
    </xf>
    <xf numFmtId="0" fontId="62" fillId="0" borderId="0" xfId="0" applyFont="1" applyNumberFormat="1">
      <alignment horizontal="center" vertical="center" wrapText="1"/>
    </xf>
    <xf numFmtId="0" fontId="62" fillId="0" borderId="0" xfId="0" applyFont="1" applyNumberFormat="1">
      <alignment vertical="center" wrapText="1"/>
    </xf>
    <xf numFmtId="0" fontId="31" fillId="0" borderId="0" xfId="0" applyFont="1" applyNumberFormat="1">
      <alignment vertical="center" wrapText="1"/>
    </xf>
    <xf numFmtId="0" fontId="36" fillId="36" borderId="0" xfId="0" applyFont="1" applyFill="1" applyNumberFormat="1">
      <alignment horizontal="center" vertical="center" wrapText="1"/>
    </xf>
    <xf numFmtId="0" fontId="22" fillId="0" borderId="30" xfId="0" applyFont="1" applyBorder="1" applyNumberFormat="1">
      <alignment horizontal="left" vertical="center" wrapText="1" indent="1"/>
    </xf>
    <xf numFmtId="0" fontId="22" fillId="0" borderId="24" xfId="0" applyFont="1" applyBorder="1" applyNumberFormat="1">
      <alignment horizontal="left" vertical="center" wrapText="1" indent="1"/>
    </xf>
    <xf numFmtId="0" fontId="22" fillId="0" borderId="31" xfId="0" applyFont="1" applyBorder="1" applyNumberFormat="1">
      <alignment horizontal="left" vertical="center" wrapText="1" indent="1"/>
    </xf>
    <xf numFmtId="0" fontId="56" fillId="0" borderId="0" xfId="0" applyFont="1" applyNumberFormat="1">
      <alignment vertical="center" wrapText="1"/>
    </xf>
    <xf numFmtId="0" fontId="77" fillId="36" borderId="0" xfId="0" applyFont="1" applyFill="1" applyNumberFormat="1">
      <alignment horizontal="center" vertical="center" wrapText="1"/>
    </xf>
    <xf numFmtId="0" fontId="58" fillId="0" borderId="0" xfId="0" applyFont="1" applyNumberFormat="1">
      <alignment horizontal="left" vertical="center" wrapText="1" indent="1"/>
    </xf>
    <xf numFmtId="0" fontId="22" fillId="0" borderId="0" xfId="0" applyFont="1" applyNumberFormat="1">
      <alignment horizontal="right" vertical="center"/>
    </xf>
    <xf numFmtId="0" fontId="46" fillId="0" borderId="0" xfId="0" applyFont="1" applyNumberFormat="1">
      <alignment vertical="center" wrapText="1"/>
    </xf>
    <xf numFmtId="0" fontId="58"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35" fillId="36" borderId="0" xfId="0" applyFont="1" applyFill="1" applyNumberFormat="1">
      <alignment horizontal="center" vertical="center" wrapText="1"/>
    </xf>
    <xf numFmtId="49" fontId="35" fillId="36" borderId="0" xfId="0" applyFont="1" applyFill="1" applyNumberFormat="1">
      <alignment horizontal="center" vertical="center" wrapText="1"/>
    </xf>
    <xf numFmtId="0" fontId="70" fillId="0" borderId="0" xfId="0" applyFont="1" applyNumberFormat="1">
      <alignment vertical="center" wrapText="1"/>
    </xf>
    <xf numFmtId="0" fontId="78" fillId="36" borderId="0" xfId="0" applyFont="1" applyFill="1" applyNumberFormat="1">
      <alignment horizontal="center" vertical="center" wrapText="1"/>
    </xf>
    <xf numFmtId="49" fontId="70" fillId="0" borderId="18" xfId="0" applyFont="1" applyBorder="1" applyNumberFormat="1">
      <alignment horizontal="left" vertical="center" wrapText="1"/>
    </xf>
    <xf numFmtId="49" fontId="70"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7" borderId="13" xfId="0" applyFont="1" applyFill="1" applyBorder="1" applyNumberFormat="1">
      <alignment horizontal="left" vertical="center" wrapText="1"/>
      <protection locked="0"/>
    </xf>
    <xf numFmtId="0" fontId="22" fillId="41" borderId="15" xfId="0" applyFont="1" applyFill="1" applyBorder="1" applyNumberFormat="1">
      <alignment horizontal="left" vertical="center" wrapText="1"/>
    </xf>
    <xf numFmtId="49" fontId="35" fillId="36" borderId="13" xfId="0" applyFont="1" applyFill="1" applyBorder="1" applyNumberFormat="1">
      <alignment horizontal="center" vertical="center" wrapText="1"/>
    </xf>
    <xf numFmtId="4" fontId="0" fillId="40" borderId="13" xfId="0" applyFont="1" applyFill="1" applyBorder="1" applyNumberFormat="1">
      <alignment horizontal="right" vertical="center" wrapText="1"/>
      <protection locked="0"/>
    </xf>
    <xf numFmtId="3" fontId="0" fillId="40" borderId="13" xfId="0" applyFont="1" applyFill="1" applyBorder="1" applyNumberFormat="1">
      <alignment horizontal="right" vertical="center" wrapText="1"/>
      <protection locked="0"/>
    </xf>
    <xf numFmtId="4" fontId="0" fillId="40" borderId="14" xfId="0" applyFont="1" applyFill="1" applyBorder="1" applyNumberFormat="1">
      <alignment horizontal="right" vertical="center" wrapText="1"/>
      <protection locked="0"/>
    </xf>
    <xf numFmtId="0" fontId="0" fillId="37"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48" fillId="38" borderId="15" xfId="0" applyFont="1" applyFill="1" applyBorder="1" applyNumberFormat="1">
      <alignment horizontal="center" vertical="center"/>
    </xf>
    <xf numFmtId="0" fontId="39" fillId="38" borderId="16" xfId="0" applyFont="1" applyFill="1" applyBorder="1" applyNumberFormat="1">
      <alignment vertical="center"/>
    </xf>
    <xf numFmtId="49" fontId="39" fillId="38" borderId="16" xfId="0" applyFont="1" applyFill="1" applyBorder="1" applyNumberFormat="1">
      <alignment vertical="center"/>
    </xf>
    <xf numFmtId="49" fontId="71" fillId="38" borderId="16" xfId="0" applyFont="1" applyFill="1" applyBorder="1" applyNumberFormat="1">
      <alignment vertical="center"/>
    </xf>
    <xf numFmtId="49" fontId="71" fillId="38" borderId="14" xfId="0" applyFont="1" applyFill="1" applyBorder="1" applyNumberFormat="1">
      <alignment vertical="center"/>
    </xf>
    <xf numFmtId="0" fontId="0" fillId="0" borderId="24" xfId="0" applyFont="1" applyBorder="1" applyNumberFormat="1">
      <alignment horizontal="left" vertical="top" wrapText="1"/>
    </xf>
    <xf numFmtId="0" fontId="31" fillId="0" borderId="0" xfId="0" applyFont="1" applyNumberFormat="1">
      <alignmen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3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2" fillId="41" borderId="20" xfId="0" applyFont="1" applyFill="1" applyBorder="1" applyNumberFormat="1">
      <alignment horizontal="left" vertical="center" wrapText="1"/>
    </xf>
    <xf numFmtId="0" fontId="36" fillId="36" borderId="13"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protection locked="0"/>
    </xf>
    <xf numFmtId="3" fontId="22" fillId="40" borderId="13" xfId="0" applyFont="1" applyFill="1" applyBorder="1" applyNumberFormat="1">
      <alignment horizontal="right" vertical="center" wrapText="1"/>
      <protection locked="0"/>
    </xf>
    <xf numFmtId="0" fontId="46" fillId="0" borderId="0" xfId="0" applyFont="1" applyNumberFormat="1">
      <alignment vertical="center" wrapText="1"/>
    </xf>
    <xf numFmtId="0" fontId="22" fillId="0" borderId="0" xfId="0" applyFont="1" applyNumberFormat="1">
      <alignment vertical="center" wrapText="1"/>
    </xf>
    <xf numFmtId="49" fontId="0" fillId="0" borderId="31" xfId="0" applyFont="1" applyBorder="1" applyNumberFormat="1">
      <alignment horizontal="center" vertical="center" wrapText="1"/>
    </xf>
    <xf numFmtId="0" fontId="22" fillId="41" borderId="28" xfId="0" applyFont="1" applyFill="1" applyBorder="1" applyNumberFormat="1">
      <alignment horizontal="left" vertical="center" wrapText="1"/>
    </xf>
    <xf numFmtId="0" fontId="46" fillId="0" borderId="0" xfId="0" applyFont="1" applyNumberFormat="1">
      <alignment vertical="center" wrapText="1"/>
    </xf>
    <xf numFmtId="0" fontId="86" fillId="0" borderId="0" xfId="0" applyFont="1" applyNumberFormat="1">
      <alignment vertical="center" wrapText="1"/>
    </xf>
    <xf numFmtId="0" fontId="36" fillId="36" borderId="0" xfId="0" applyFont="1" applyFill="1" applyNumberFormat="1">
      <alignment horizontal="center" vertical="center" wrapText="1"/>
    </xf>
    <xf numFmtId="0" fontId="22" fillId="0" borderId="20" xfId="0" applyFont="1" applyBorder="1" applyNumberFormat="1">
      <alignment horizontal="left" vertical="top" wrapText="1" indent="1"/>
    </xf>
    <xf numFmtId="0" fontId="62" fillId="0" borderId="0" xfId="0" applyFont="1" applyNumberFormat="1">
      <alignment vertical="center" wrapText="1"/>
    </xf>
    <xf numFmtId="0" fontId="56" fillId="0" borderId="0" xfId="0" applyFont="1" applyNumberFormat="1">
      <alignment vertical="center" wrapText="1"/>
    </xf>
    <xf numFmtId="0" fontId="58" fillId="0" borderId="0" xfId="0" applyFont="1" applyNumberFormat="1">
      <alignment vertical="center" wrapText="1"/>
    </xf>
    <xf numFmtId="0" fontId="22" fillId="0" borderId="24" xfId="0" applyFont="1" applyBorder="1" applyNumberFormat="1">
      <alignment horizontal="center" vertical="center" wrapText="1"/>
    </xf>
    <xf numFmtId="0" fontId="36" fillId="36" borderId="13" xfId="0" applyFont="1" applyFill="1" applyBorder="1" applyNumberFormat="1">
      <alignment horizontal="center" vertical="center" wrapText="1"/>
    </xf>
    <xf numFmtId="49" fontId="22" fillId="0" borderId="13" xfId="0" applyFont="1" applyBorder="1" applyNumberFormat="1">
      <alignment horizontal="center" vertical="center" wrapText="1"/>
    </xf>
    <xf numFmtId="0" fontId="31" fillId="0" borderId="0" xfId="0" applyFont="1" applyNumberFormat="1">
      <alignment vertical="center" wrapText="1"/>
    </xf>
    <xf numFmtId="0" fontId="58" fillId="36" borderId="0" xfId="0" applyFont="1" applyFill="1" applyNumberFormat="1">
      <alignment vertical="center" wrapText="1"/>
    </xf>
    <xf numFmtId="0" fontId="58" fillId="36" borderId="0" xfId="0" applyFont="1" applyFill="1" applyNumberFormat="1">
      <alignment horizontal="right" vertical="center"/>
    </xf>
    <xf numFmtId="0" fontId="58" fillId="36" borderId="0" xfId="0" applyFont="1" applyFill="1" applyNumberFormat="1">
      <alignment horizontal="right" vertical="center" wrapText="1"/>
    </xf>
    <xf numFmtId="0" fontId="30" fillId="0" borderId="0" xfId="0" applyFont="1" applyNumberFormat="1">
      <alignment horizontal="center" vertical="center" wrapText="1"/>
    </xf>
    <xf numFmtId="4" fontId="58" fillId="0" borderId="0" xfId="0" applyFont="1" applyNumberFormat="1">
      <alignment horizontal="right" vertical="center" wrapText="1"/>
    </xf>
    <xf numFmtId="0" fontId="22" fillId="36" borderId="13" xfId="0" applyFont="1" applyFill="1" applyBorder="1" applyNumberFormat="1">
      <alignment horizontal="center" vertical="center" wrapText="1"/>
    </xf>
    <xf numFmtId="0" fontId="22" fillId="36" borderId="13"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5" fillId="36" borderId="16" xfId="0" applyFont="1" applyFill="1" applyBorder="1" applyNumberFormat="1">
      <alignment horizontal="center" vertical="center" wrapText="1"/>
    </xf>
    <xf numFmtId="49" fontId="35" fillId="36" borderId="16" xfId="0" applyFont="1" applyFill="1" applyBorder="1" applyNumberFormat="1">
      <alignment horizontal="center" vertical="center" wrapText="1"/>
    </xf>
    <xf numFmtId="0" fontId="36" fillId="36" borderId="0" xfId="0" applyFont="1" applyFill="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9" fontId="22" fillId="0" borderId="13" xfId="0" applyFont="1" applyBorder="1" applyNumberFormat="1">
      <alignment horizontal="left" vertical="center" wrapText="1"/>
    </xf>
    <xf numFmtId="49" fontId="22" fillId="0" borderId="0" xfId="0" applyFont="1" applyNumberFormat="1">
      <alignment vertical="top"/>
    </xf>
    <xf numFmtId="0" fontId="36" fillId="36" borderId="25" xfId="0" applyFont="1" applyFill="1" applyBorder="1" applyNumberFormat="1">
      <alignment vertical="top" wrapText="1"/>
    </xf>
    <xf numFmtId="14" fontId="22" fillId="38" borderId="16" xfId="0" applyFont="1" applyFill="1" applyBorder="1" applyNumberFormat="1">
      <alignment horizontal="center" vertical="center" wrapText="1"/>
    </xf>
    <xf numFmtId="49" fontId="22" fillId="38" borderId="16" xfId="0" applyFont="1" applyFill="1" applyBorder="1" applyNumberFormat="1">
      <alignment horizontal="center" vertical="center" wrapText="1"/>
    </xf>
    <xf numFmtId="14" fontId="79" fillId="38" borderId="16" xfId="0" applyFont="1" applyFill="1" applyBorder="1" applyNumberFormat="1">
      <alignment horizontal="center" vertical="center" wrapText="1"/>
    </xf>
    <xf numFmtId="49" fontId="51" fillId="38"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46" fillId="0" borderId="0" xfId="0" applyFont="1" applyNumberFormat="1">
      <alignment horizontal="left" vertical="center" wrapText="1"/>
    </xf>
    <xf numFmtId="49" fontId="46" fillId="0" borderId="0" xfId="0" applyFont="1" applyNumberFormat="1">
      <alignment horizontal="left" vertical="center" wrapText="1"/>
    </xf>
    <xf numFmtId="0" fontId="36" fillId="36" borderId="0" xfId="0" applyFont="1" applyFill="1" applyNumberFormat="1">
      <alignment vertical="top" wrapText="1"/>
    </xf>
    <xf numFmtId="0" fontId="46" fillId="36" borderId="24" xfId="0" applyFont="1" applyFill="1" applyBorder="1" applyNumberFormat="1">
      <alignment horizontal="center" vertical="center" wrapText="1"/>
    </xf>
    <xf numFmtId="14" fontId="22" fillId="41" borderId="24" xfId="0" applyFont="1" applyFill="1" applyBorder="1" applyNumberFormat="1">
      <alignment horizontal="left" vertical="center" wrapText="1"/>
    </xf>
    <xf numFmtId="14" fontId="22" fillId="41" borderId="13" xfId="0" applyFont="1" applyFill="1" applyBorder="1" applyNumberFormat="1">
      <alignment horizontal="center" vertical="center" wrapText="1"/>
    </xf>
    <xf numFmtId="49" fontId="51" fillId="40" borderId="13" xfId="0" applyFont="1" applyFill="1" applyBorder="1" applyNumberFormat="1">
      <alignment horizontal="left" vertical="center" wrapText="1"/>
      <protection locked="0"/>
    </xf>
    <xf numFmtId="49" fontId="48" fillId="38" borderId="16" xfId="0" applyFont="1" applyFill="1" applyBorder="1" applyNumberFormat="1">
      <alignment horizontal="center" vertical="center"/>
    </xf>
    <xf numFmtId="49" fontId="71" fillId="38" borderId="16" xfId="0" applyFont="1" applyFill="1" applyBorder="1" applyNumberFormat="1">
      <alignment horizontal="left" vertical="center" indent="1"/>
    </xf>
    <xf numFmtId="49" fontId="71" fillId="38" borderId="14" xfId="0" applyFont="1" applyFill="1" applyBorder="1" applyNumberFormat="1">
      <alignment horizontal="left" vertical="center" indent="1"/>
    </xf>
    <xf numFmtId="0" fontId="77" fillId="0" borderId="0" xfId="0" applyFont="1" applyNumberFormat="1">
      <alignment horizontal="center" vertical="center" wrapText="1"/>
    </xf>
    <xf numFmtId="0" fontId="44" fillId="0" borderId="0" xfId="0" applyFont="1" applyNumberFormat="1">
      <alignment vertical="top" wrapText="1"/>
    </xf>
    <xf numFmtId="0" fontId="22" fillId="0" borderId="0" xfId="0" applyFont="1" applyNumberFormat="1">
      <alignment horizontal="right" vertical="top" wrapText="1"/>
    </xf>
    <xf numFmtId="0" fontId="44" fillId="0" borderId="0" xfId="0" applyFont="1" applyNumberFormat="1">
      <alignment vertical="top"/>
    </xf>
    <xf numFmtId="0" fontId="22" fillId="0" borderId="0" xfId="0" applyFont="1" applyNumberFormat="1">
      <alignment vertical="center" wrapText="1"/>
    </xf>
    <xf numFmtId="0" fontId="45" fillId="0" borderId="0" xfId="0" applyFont="1" applyNumberFormat="1">
      <alignment horizontal="left" vertical="center" indent="1"/>
    </xf>
    <xf numFmtId="0" fontId="45" fillId="0" borderId="13" xfId="0" applyFont="1" applyBorder="1" applyNumberFormat="1">
      <alignment horizontal="center" vertical="center"/>
    </xf>
    <xf numFmtId="0" fontId="45" fillId="0" borderId="0" xfId="0" applyFont="1" applyNumberFormat="1">
      <alignment horizontal="center" vertical="center"/>
    </xf>
    <xf numFmtId="0" fontId="45"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5" xfId="0" applyFont="1" applyBorder="1" applyNumberFormat="1">
      <alignment vertical="top"/>
    </xf>
    <xf numFmtId="0" fontId="22" fillId="36" borderId="13" xfId="0" applyFont="1" applyFill="1" applyBorder="1" applyNumberFormat="1">
      <alignment horizontal="left" vertical="center" wrapText="1"/>
    </xf>
    <xf numFmtId="0" fontId="22" fillId="0" borderId="13" xfId="0" applyFont="1" applyBorder="1" applyNumberFormat="1">
      <alignment vertical="center" wrapText="1"/>
    </xf>
    <xf numFmtId="0" fontId="22" fillId="0" borderId="13" xfId="0" applyFont="1" applyBorder="1" applyNumberFormat="1">
      <alignment horizontal="left" vertical="center" wrapText="1" indent="6"/>
    </xf>
    <xf numFmtId="0" fontId="22" fillId="35" borderId="15" xfId="0" applyFont="1" applyFill="1" applyBorder="1" applyNumberFormat="1">
      <alignment horizontal="left" vertical="center" wrapText="1"/>
    </xf>
    <xf numFmtId="0" fontId="22" fillId="35" borderId="16" xfId="0" applyFont="1" applyFill="1" applyBorder="1" applyNumberFormat="1">
      <alignment horizontal="left" vertical="center" wrapText="1"/>
    </xf>
    <xf numFmtId="0" fontId="22" fillId="35" borderId="14" xfId="0" applyFont="1" applyFill="1" applyBorder="1" applyNumberFormat="1">
      <alignment horizontal="left" vertical="center" wrapText="1"/>
    </xf>
    <xf numFmtId="0" fontId="44" fillId="0" borderId="13" xfId="0" applyFont="1" applyBorder="1" applyNumberFormat="1">
      <alignment vertical="top" wrapText="1"/>
    </xf>
    <xf numFmtId="0" fontId="45" fillId="0" borderId="15" xfId="0" applyFont="1" applyBorder="1" applyNumberFormat="1">
      <alignment horizontal="center" vertical="center"/>
    </xf>
    <xf numFmtId="0" fontId="22" fillId="0" borderId="0" xfId="0" applyFont="1" applyNumberFormat="1">
      <alignment horizontal="center" vertical="center" wrapText="1"/>
    </xf>
    <xf numFmtId="0" fontId="41" fillId="36" borderId="0" xfId="0" applyFont="1" applyFill="1" applyNumberFormat="1">
      <alignment horizontal="center" vertical="center" wrapText="1"/>
    </xf>
    <xf numFmtId="0" fontId="22" fillId="0" borderId="25" xfId="0" applyFont="1" applyBorder="1" applyNumberFormat="1">
      <alignment vertical="center" wrapText="1"/>
    </xf>
    <xf numFmtId="0" fontId="22" fillId="36" borderId="13" xfId="0" applyFont="1" applyFill="1" applyBorder="1" applyNumberFormat="1">
      <alignment horizontal="left" vertical="center" wrapText="1" indent="1"/>
    </xf>
    <xf numFmtId="0" fontId="36" fillId="0" borderId="0" xfId="0" applyFont="1" applyNumberFormat="1">
      <alignment vertical="center" wrapText="1"/>
    </xf>
    <xf numFmtId="0" fontId="22" fillId="36" borderId="13" xfId="0" applyFont="1" applyFill="1" applyBorder="1" applyNumberFormat="1">
      <alignment horizontal="left" vertical="center" wrapText="1" indent="2"/>
    </xf>
    <xf numFmtId="0" fontId="22" fillId="36" borderId="13" xfId="0" applyFont="1" applyFill="1" applyBorder="1" applyNumberFormat="1">
      <alignment horizontal="left" vertical="center" wrapText="1" indent="3"/>
    </xf>
    <xf numFmtId="0" fontId="45" fillId="0" borderId="13" xfId="0" applyFont="1" applyBorder="1" applyNumberFormat="1">
      <alignment horizontal="center" vertical="center" wrapText="1"/>
    </xf>
    <xf numFmtId="0" fontId="45" fillId="0" borderId="0" xfId="0" applyFont="1" applyNumberFormat="1">
      <alignment vertical="center" wrapText="1"/>
    </xf>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46" fillId="0" borderId="25" xfId="0" applyFont="1" applyBorder="1" applyNumberFormat="1">
      <alignment horizontal="center" vertical="center" wrapText="1"/>
    </xf>
    <xf numFmtId="0" fontId="22" fillId="36" borderId="13" xfId="0" applyFont="1" applyFill="1" applyBorder="1" applyNumberFormat="1">
      <alignment horizontal="left" vertical="center" wrapText="1" indent="4"/>
    </xf>
    <xf numFmtId="0" fontId="22" fillId="41" borderId="15" xfId="0" applyFont="1" applyFill="1" applyBorder="1" applyNumberFormat="1">
      <alignment horizontal="left" vertical="center" wrapText="1"/>
    </xf>
    <xf numFmtId="0" fontId="22" fillId="41" borderId="16" xfId="0" applyFont="1" applyFill="1" applyBorder="1" applyNumberFormat="1">
      <alignment horizontal="left" vertical="center" wrapText="1"/>
    </xf>
    <xf numFmtId="0" fontId="22" fillId="41" borderId="14" xfId="0" applyFont="1" applyFill="1" applyBorder="1" applyNumberFormat="1">
      <alignment horizontal="left" vertical="center" wrapText="1"/>
    </xf>
    <xf numFmtId="0" fontId="45" fillId="0" borderId="15" xfId="0" applyFont="1" applyBorder="1" applyNumberFormat="1">
      <alignment horizontal="center" vertical="center" wrapText="1"/>
    </xf>
    <xf numFmtId="0" fontId="46" fillId="0" borderId="25" xfId="0" applyFont="1" applyBorder="1" applyNumberFormat="1">
      <alignment vertical="center" wrapText="1"/>
    </xf>
    <xf numFmtId="0" fontId="22" fillId="36" borderId="13" xfId="0" applyFont="1" applyFill="1" applyBorder="1" applyNumberFormat="1">
      <alignment horizontal="left" vertical="center" wrapText="1" indent="5"/>
    </xf>
    <xf numFmtId="0" fontId="22" fillId="41" borderId="13" xfId="0" applyFont="1" applyFill="1" applyBorder="1" applyNumberFormat="1">
      <alignment horizontal="left" vertical="center" wrapText="1" indent="6"/>
    </xf>
    <xf numFmtId="4" fontId="22" fillId="37" borderId="13" xfId="0" applyFont="1" applyFill="1" applyBorder="1" applyNumberFormat="1">
      <alignment horizontal="right" vertical="center" wrapText="1"/>
      <protection locked="0"/>
    </xf>
    <xf numFmtId="4" fontId="22" fillId="0" borderId="13" xfId="0" applyFont="1" applyBorder="1" applyNumberFormat="1">
      <alignment horizontal="right" vertical="center" wrapText="1"/>
    </xf>
    <xf numFmtId="166" fontId="22" fillId="37" borderId="13" xfId="0" applyFont="1" applyFill="1" applyBorder="1" applyNumberFormat="1">
      <alignment horizontal="right" vertical="center" wrapText="1"/>
      <protection locked="0"/>
    </xf>
    <xf numFmtId="168" fontId="0" fillId="40" borderId="13" xfId="0" applyFont="1" applyFill="1" applyBorder="1" applyNumberFormat="1">
      <alignment horizontal="center" vertical="center" wrapText="1"/>
      <protection locked="0"/>
    </xf>
    <xf numFmtId="0" fontId="44" fillId="0" borderId="18" xfId="0" applyFont="1" applyBorder="1" applyNumberFormat="1">
      <alignment horizontal="left" vertical="top" wrapText="1"/>
    </xf>
    <xf numFmtId="49" fontId="22" fillId="0" borderId="13" xfId="0" applyFont="1" applyBorder="1" applyNumberFormat="1">
      <alignment horizontal="left" vertical="center" wrapText="1"/>
    </xf>
    <xf numFmtId="4" fontId="46" fillId="0" borderId="13" xfId="0" applyFont="1" applyBorder="1" applyNumberFormat="1">
      <alignment horizontal="center" vertical="center" wrapText="1"/>
    </xf>
    <xf numFmtId="49" fontId="0" fillId="40" borderId="13" xfId="0" applyFont="1" applyFill="1" applyBorder="1" applyNumberFormat="1">
      <alignment horizontal="center" vertical="center" wrapText="1"/>
      <protection locked="0"/>
    </xf>
    <xf numFmtId="0" fontId="44" fillId="0" borderId="37" xfId="0" applyFont="1" applyBorder="1" applyNumberFormat="1">
      <alignment horizontal="left" vertical="top" wrapText="1"/>
    </xf>
    <xf numFmtId="49" fontId="71" fillId="38" borderId="15" xfId="0" applyFont="1" applyFill="1" applyBorder="1" applyNumberFormat="1">
      <alignment horizontal="left" vertical="center"/>
    </xf>
    <xf numFmtId="49" fontId="39" fillId="38" borderId="16" xfId="0" applyFont="1" applyFill="1" applyBorder="1" applyNumberFormat="1">
      <alignment horizontal="left" vertical="center" indent="6"/>
    </xf>
    <xf numFmtId="49" fontId="22" fillId="38" borderId="14" xfId="0" applyFont="1" applyFill="1" applyBorder="1" applyNumberFormat="1">
      <alignment horizontal="center" vertical="center" wrapText="1"/>
    </xf>
    <xf numFmtId="0" fontId="44" fillId="0" borderId="24" xfId="0" applyFont="1" applyBorder="1" applyNumberFormat="1">
      <alignment horizontal="left" vertical="top" wrapText="1"/>
    </xf>
    <xf numFmtId="49" fontId="39" fillId="38" borderId="16" xfId="0" applyFont="1" applyFill="1" applyBorder="1" applyNumberFormat="1">
      <alignment horizontal="left" vertical="center" indent="5"/>
    </xf>
    <xf numFmtId="49" fontId="0" fillId="38" borderId="16" xfId="0" applyFont="1" applyFill="1" applyBorder="1" applyNumberFormat="1">
      <alignment horizontal="center" vertical="center" wrapText="1"/>
    </xf>
    <xf numFmtId="49" fontId="0" fillId="38" borderId="14" xfId="0" applyFont="1" applyFill="1" applyBorder="1" applyNumberFormat="1">
      <alignment horizontal="center" vertical="center" wrapText="1"/>
    </xf>
    <xf numFmtId="49" fontId="38" fillId="0" borderId="0" xfId="0" applyFont="1" applyNumberFormat="1">
      <alignment vertical="top"/>
    </xf>
    <xf numFmtId="49" fontId="39" fillId="38" borderId="16" xfId="0" applyFont="1" applyFill="1" applyBorder="1" applyNumberFormat="1">
      <alignment horizontal="left" vertical="center" indent="4"/>
    </xf>
    <xf numFmtId="0" fontId="46" fillId="0" borderId="0" xfId="0" applyFont="1" applyNumberFormat="1">
      <alignment horizontal="left" vertical="center" indent="1"/>
    </xf>
    <xf numFmtId="0" fontId="46" fillId="0" borderId="0" xfId="0" applyFont="1" applyNumberFormat="1">
      <alignment horizontal="center" vertical="center"/>
    </xf>
    <xf numFmtId="0" fontId="46" fillId="0" borderId="0" xfId="0" applyFont="1" applyNumberFormat="1">
      <alignment horizontal="left" vertical="center" wrapText="1"/>
    </xf>
    <xf numFmtId="49" fontId="46" fillId="0" borderId="0" xfId="0" applyFont="1" applyNumberFormat="1">
      <alignment vertical="top"/>
    </xf>
    <xf numFmtId="49" fontId="105" fillId="0" borderId="0" xfId="0" applyFont="1" applyNumberFormat="1">
      <alignment vertical="top"/>
    </xf>
    <xf numFmtId="49" fontId="95" fillId="0" borderId="20" xfId="0" applyFont="1" applyBorder="1" applyNumberFormat="1">
      <alignment horizontal="left" vertical="center"/>
    </xf>
    <xf numFmtId="49" fontId="46" fillId="0" borderId="20" xfId="0" applyFont="1" applyBorder="1" applyNumberFormat="1">
      <alignment horizontal="left" vertical="center" indent="3"/>
    </xf>
    <xf numFmtId="49" fontId="46" fillId="0" borderId="20" xfId="0" applyFont="1" applyBorder="1" applyNumberFormat="1">
      <alignment horizontal="center" vertical="center" wrapText="1"/>
    </xf>
    <xf numFmtId="0" fontId="46" fillId="0" borderId="0" xfId="0" applyFont="1" applyNumberFormat="1">
      <alignment vertical="center" wrapText="1"/>
    </xf>
    <xf numFmtId="49" fontId="46" fillId="0" borderId="0" xfId="0" applyFont="1" applyNumberFormat="1">
      <alignment horizontal="left" vertical="center"/>
    </xf>
    <xf numFmtId="49" fontId="95" fillId="0" borderId="0" xfId="0" applyFont="1" applyNumberFormat="1">
      <alignment horizontal="left" vertical="center"/>
    </xf>
    <xf numFmtId="49" fontId="46" fillId="0" borderId="0" xfId="0" applyFont="1" applyNumberFormat="1">
      <alignment horizontal="left" vertical="center" indent="2"/>
    </xf>
    <xf numFmtId="49" fontId="46" fillId="0" borderId="0" xfId="0" applyFont="1" applyNumberFormat="1">
      <alignment horizontal="center" vertical="center" wrapText="1"/>
    </xf>
    <xf numFmtId="49" fontId="46" fillId="0" borderId="0" xfId="0" applyFont="1" applyNumberFormat="1">
      <alignment horizontal="left" vertical="center" indent="1"/>
    </xf>
    <xf numFmtId="49" fontId="22" fillId="0" borderId="0" xfId="0" applyFont="1" applyNumberFormat="1">
      <alignment vertical="center" wrapText="1"/>
    </xf>
    <xf numFmtId="4" fontId="45" fillId="0" borderId="13" xfId="0" applyFont="1" applyBorder="1" applyNumberFormat="1">
      <alignment horizontal="right" vertical="center" wrapText="1"/>
    </xf>
    <xf numFmtId="166" fontId="45" fillId="0" borderId="13" xfId="0" applyFont="1" applyBorder="1" applyNumberFormat="1">
      <alignment horizontal="right" vertical="center" wrapText="1"/>
    </xf>
    <xf numFmtId="168" fontId="45" fillId="0" borderId="13" xfId="0" applyFont="1" applyBorder="1" applyNumberFormat="1">
      <alignment horizontal="center" vertical="center" wrapText="1"/>
    </xf>
    <xf numFmtId="49" fontId="45"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vertical="center" wrapText="1"/>
    </xf>
    <xf numFmtId="49" fontId="45" fillId="0" borderId="13" xfId="0" applyFont="1" applyBorder="1" applyNumberFormat="1">
      <alignment vertical="center" wrapText="1"/>
    </xf>
    <xf numFmtId="0" fontId="67" fillId="0" borderId="0" xfId="0" applyFont="1" applyNumberFormat="1">
      <alignment vertical="center" wrapText="1"/>
    </xf>
    <xf numFmtId="0" fontId="45" fillId="0" borderId="0" xfId="0" applyFont="1" applyNumberFormat="1">
      <alignment horizontal="left" vertical="center" wrapText="1"/>
    </xf>
    <xf numFmtId="0" fontId="38" fillId="36" borderId="0" xfId="0" applyFont="1" applyFill="1" applyNumberFormat="1">
      <alignment vertical="center" wrapText="1"/>
    </xf>
    <xf numFmtId="0" fontId="22" fillId="36" borderId="0" xfId="0" applyFont="1" applyFill="1" applyNumberFormat="1">
      <alignment horizontal="left" vertical="center" wrapText="1"/>
    </xf>
    <xf numFmtId="0" fontId="22" fillId="36" borderId="0" xfId="0" applyFont="1" applyFill="1" applyNumberFormat="1">
      <alignment vertical="center" wrapText="1"/>
    </xf>
    <xf numFmtId="0" fontId="30" fillId="0" borderId="0" xfId="0" applyFont="1" applyNumberFormat="1">
      <alignment vertical="center" wrapText="1"/>
    </xf>
    <xf numFmtId="0" fontId="48" fillId="36" borderId="0" xfId="0" applyFont="1" applyFill="1" applyNumberFormat="1">
      <alignment horizontal="center" vertical="center" wrapText="1"/>
    </xf>
    <xf numFmtId="0" fontId="45" fillId="0" borderId="0" xfId="0" applyFont="1" applyNumberFormat="1">
      <alignment vertical="center"/>
    </xf>
    <xf numFmtId="0" fontId="4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2" fillId="35" borderId="13" xfId="0" applyFont="1" applyFill="1" applyBorder="1" applyNumberFormat="1">
      <alignment horizontal="left" vertical="center" wrapText="1" indent="1"/>
    </xf>
    <xf numFmtId="0" fontId="22" fillId="0" borderId="0" xfId="0" applyFont="1" applyNumberFormat="1">
      <alignment vertical="center" wrapText="1"/>
    </xf>
    <xf numFmtId="0" fontId="66" fillId="0" borderId="0" xfId="0" applyFont="1" applyNumberFormat="1">
      <alignment vertical="center"/>
    </xf>
    <xf numFmtId="0" fontId="46" fillId="0" borderId="0" xfId="0" applyFont="1" applyNumberFormat="1">
      <alignment vertical="center"/>
    </xf>
    <xf numFmtId="0" fontId="0" fillId="0" borderId="0" xfId="0" applyFont="1" applyNumberFormat="1">
      <alignment vertical="center"/>
    </xf>
    <xf numFmtId="168" fontId="22" fillId="35" borderId="13"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6" fillId="0" borderId="0" xfId="0" applyFont="1" applyNumberFormat="1">
      <alignment vertical="center" wrapText="1"/>
    </xf>
    <xf numFmtId="0" fontId="22" fillId="36" borderId="28" xfId="0" applyFont="1" applyFill="1" applyBorder="1" applyNumberFormat="1">
      <alignment vertical="center" wrapText="1"/>
    </xf>
    <xf numFmtId="0" fontId="36" fillId="0" borderId="28" xfId="0" applyFont="1" applyBorder="1" applyNumberFormat="1">
      <alignment horizontal="center" vertical="center" wrapText="1"/>
    </xf>
    <xf numFmtId="0" fontId="22" fillId="36" borderId="13" xfId="0" applyFont="1" applyFill="1" applyBorder="1" applyNumberFormat="1">
      <alignment horizontal="left" vertical="center" wrapText="1"/>
    </xf>
    <xf numFmtId="0" fontId="22"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2" fillId="36" borderId="18" xfId="0" applyFont="1" applyFill="1" applyBorder="1" applyNumberFormat="1">
      <alignment horizontal="center" vertical="center" wrapText="1"/>
    </xf>
    <xf numFmtId="49" fontId="39" fillId="38" borderId="18" xfId="0" applyFont="1" applyFill="1" applyBorder="1" applyNumberFormat="1">
      <alignment horizontal="center" vertical="center" textRotation="90" wrapText="1"/>
    </xf>
    <xf numFmtId="0" fontId="22" fillId="0" borderId="37" xfId="0" applyFont="1" applyBorder="1" applyNumberFormat="1">
      <alignment vertical="center" wrapText="1"/>
    </xf>
    <xf numFmtId="0" fontId="45" fillId="0" borderId="18" xfId="0" applyFont="1" applyBorder="1" applyNumberFormat="1">
      <alignment horizontal="center" vertical="center" wrapText="1"/>
    </xf>
    <xf numFmtId="0" fontId="22" fillId="36" borderId="37" xfId="0" applyFont="1" applyFill="1" applyBorder="1" applyNumberFormat="1">
      <alignment horizontal="center" vertical="center" wrapText="1"/>
    </xf>
    <xf numFmtId="49" fontId="39" fillId="38" borderId="37" xfId="0" applyFont="1" applyFill="1" applyBorder="1" applyNumberFormat="1">
      <alignment horizontal="center" vertical="center" textRotation="90" wrapText="1"/>
    </xf>
    <xf numFmtId="0" fontId="45" fillId="0" borderId="0" xfId="0" applyFont="1" applyNumberFormat="1">
      <alignment vertical="center"/>
    </xf>
    <xf numFmtId="0" fontId="22" fillId="0" borderId="24" xfId="0" applyFont="1" applyBorder="1" applyNumberFormat="1">
      <alignment vertical="center" wrapText="1"/>
    </xf>
    <xf numFmtId="0" fontId="4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2"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39" fillId="38" borderId="24" xfId="0" applyFont="1" applyFill="1" applyBorder="1" applyNumberFormat="1">
      <alignment horizontal="center" vertical="center" textRotation="90" wrapText="1"/>
    </xf>
    <xf numFmtId="49" fontId="70" fillId="0" borderId="0" xfId="0" applyFont="1" applyNumberFormat="1">
      <alignment vertical="center" wrapText="1"/>
    </xf>
    <xf numFmtId="0" fontId="104" fillId="36" borderId="0" xfId="0" applyFont="1" applyFill="1" applyNumberFormat="1">
      <alignment vertical="center" wrapText="1"/>
    </xf>
    <xf numFmtId="0" fontId="105" fillId="36" borderId="0" xfId="0" applyFont="1" applyFill="1" applyNumberFormat="1">
      <alignment vertical="center" wrapText="1"/>
    </xf>
    <xf numFmtId="49" fontId="78" fillId="36" borderId="20" xfId="0" applyFont="1" applyFill="1" applyBorder="1" applyNumberFormat="1">
      <alignment horizontal="left" vertical="center" wrapText="1"/>
    </xf>
    <xf numFmtId="49" fontId="78" fillId="36" borderId="20" xfId="0" applyFont="1" applyFill="1" applyBorder="1" applyNumberFormat="1">
      <alignment horizontal="center" vertical="center" wrapText="1"/>
    </xf>
    <xf numFmtId="0" fontId="46" fillId="36" borderId="20" xfId="0" applyFont="1" applyFill="1" applyBorder="1" applyNumberFormat="1">
      <alignment horizontal="center" vertical="center" wrapText="1"/>
    </xf>
    <xf numFmtId="0" fontId="78" fillId="36" borderId="20" xfId="0" applyFont="1" applyFill="1" applyBorder="1" applyNumberFormat="1">
      <alignment horizontal="center" vertical="center" wrapText="1"/>
    </xf>
    <xf numFmtId="0" fontId="78" fillId="36" borderId="20" xfId="0" applyFont="1" applyFill="1" applyBorder="1" applyNumberFormat="1">
      <alignment horizontal="center" vertical="center" wrapText="1"/>
    </xf>
    <xf numFmtId="0" fontId="78" fillId="36" borderId="20" xfId="0" applyFont="1" applyFill="1" applyBorder="1" applyNumberFormat="1">
      <alignment horizontal="center"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168" fontId="0" fillId="40" borderId="18" xfId="0" applyFont="1" applyFill="1" applyBorder="1" applyNumberFormat="1">
      <alignment horizontal="center" vertical="center" wrapText="1"/>
      <protection locked="0"/>
    </xf>
    <xf numFmtId="4" fontId="22" fillId="0" borderId="18" xfId="0" applyFont="1" applyBorder="1" applyNumberFormat="1">
      <alignment horizontal="right" vertical="center" wrapText="1"/>
    </xf>
    <xf numFmtId="49" fontId="22" fillId="0" borderId="13" xfId="0" applyFont="1" applyBorder="1" applyNumberFormat="1">
      <alignment horizontal="left" vertical="center" wrapText="1"/>
    </xf>
    <xf numFmtId="49" fontId="0" fillId="40" borderId="24" xfId="0" applyFont="1" applyFill="1" applyBorder="1" applyNumberFormat="1">
      <alignment horizontal="center" vertical="center" wrapText="1"/>
      <protection locked="0"/>
    </xf>
    <xf numFmtId="4" fontId="22" fillId="0" borderId="24" xfId="0" applyFont="1" applyBorder="1" applyNumberFormat="1">
      <alignment horizontal="right" vertical="center" wrapText="1"/>
    </xf>
    <xf numFmtId="0" fontId="46" fillId="0" borderId="0" xfId="0" applyFont="1" applyNumberFormat="1">
      <alignment horizontal="left" vertical="center" indent="1"/>
    </xf>
    <xf numFmtId="0" fontId="46" fillId="0" borderId="0" xfId="0" applyFont="1" applyNumberFormat="1">
      <alignment horizontal="center" vertical="center"/>
    </xf>
    <xf numFmtId="49" fontId="46" fillId="0" borderId="0" xfId="0" applyFont="1" applyNumberFormat="1">
      <alignment vertical="top"/>
    </xf>
    <xf numFmtId="49" fontId="105"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8" fillId="0" borderId="0" xfId="0" applyFont="1" applyNumberFormat="1">
      <alignment vertical="center" wrapText="1"/>
    </xf>
    <xf numFmtId="0" fontId="22" fillId="0" borderId="0" xfId="0" applyFont="1" applyNumberFormat="1">
      <alignment horizontal="left" vertical="center" wrapText="1"/>
    </xf>
    <xf numFmtId="0" fontId="45" fillId="0" borderId="0" xfId="0" applyFont="1" applyNumberFormat="1">
      <alignment horizontal="center" vertical="center" wrapText="1"/>
    </xf>
    <xf numFmtId="49" fontId="45" fillId="0" borderId="0" xfId="0" applyFont="1" applyNumberFormat="1">
      <alignment vertical="center" wrapText="1"/>
    </xf>
    <xf numFmtId="49" fontId="22" fillId="0" borderId="0" xfId="0" applyFont="1" applyNumberFormat="1">
      <alignment vertical="center" wrapText="1"/>
    </xf>
    <xf numFmtId="0" fontId="38" fillId="0" borderId="0" xfId="0" applyFont="1" applyNumberFormat="1">
      <alignment vertical="center" wrapText="1"/>
    </xf>
    <xf numFmtId="0" fontId="22" fillId="0" borderId="0" xfId="0" applyFont="1" applyNumberFormat="1">
      <alignment horizontal="left"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0" fontId="22" fillId="0" borderId="0" xfId="0" applyFont="1" applyNumberFormat="1">
      <alignment horizontal="right"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22" fillId="0" borderId="13" xfId="0" applyFont="1" applyBorder="1" applyNumberFormat="1">
      <alignment horizontal="center" vertical="center"/>
    </xf>
    <xf numFmtId="0" fontId="22" fillId="0" borderId="0" xfId="0" applyFont="1" applyNumberFormat="1">
      <alignment horizontal="center" vertical="center"/>
    </xf>
    <xf numFmtId="0" fontId="22" fillId="36" borderId="13" xfId="0" applyFont="1" applyFill="1" applyBorder="1" applyNumberFormat="1">
      <alignment horizontal="left" vertical="center" wrapText="1"/>
    </xf>
    <xf numFmtId="0" fontId="22" fillId="0" borderId="13" xfId="0" applyFont="1" applyBorder="1" applyNumberFormat="1">
      <alignment vertical="center" wrapText="1"/>
    </xf>
    <xf numFmtId="0" fontId="22" fillId="0" borderId="15" xfId="0" applyFont="1" applyBorder="1" applyNumberFormat="1">
      <alignment horizontal="center" vertical="center"/>
    </xf>
    <xf numFmtId="0" fontId="22" fillId="0" borderId="0" xfId="0" applyFont="1" applyNumberFormat="1">
      <alignment horizontal="center" vertical="center" wrapText="1"/>
    </xf>
    <xf numFmtId="0" fontId="22" fillId="36" borderId="13" xfId="0" applyFont="1" applyFill="1" applyBorder="1" applyNumberFormat="1">
      <alignment horizontal="left" vertical="center" wrapText="1" indent="1"/>
    </xf>
    <xf numFmtId="0" fontId="22" fillId="0" borderId="0" xfId="0" applyFont="1" applyNumberFormat="1">
      <alignment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0" fontId="70" fillId="0" borderId="0" xfId="0" applyFont="1" applyNumberFormat="1">
      <alignment horizontal="left" vertical="center" indent="1"/>
    </xf>
    <xf numFmtId="0" fontId="70" fillId="0" borderId="0" xfId="0" applyFont="1" applyNumberFormat="1">
      <alignment horizontal="center" vertical="center"/>
    </xf>
    <xf numFmtId="0" fontId="70" fillId="0" borderId="0" xfId="0" applyFont="1" applyNumberFormat="1">
      <alignment horizontal="left" vertical="center" wrapText="1"/>
    </xf>
    <xf numFmtId="0" fontId="70" fillId="0" borderId="0" xfId="0" applyFont="1" applyNumberFormat="1">
      <alignment vertical="center" wrapText="1"/>
    </xf>
    <xf numFmtId="0" fontId="46" fillId="0" borderId="0" xfId="0" applyFont="1" applyNumberFormat="1">
      <alignment vertical="center"/>
    </xf>
    <xf numFmtId="0" fontId="46" fillId="0" borderId="0" xfId="0" applyFont="1" applyNumberFormat="1">
      <alignment vertical="center" wrapText="1"/>
    </xf>
    <xf numFmtId="49" fontId="70"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3"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8" xfId="0" applyFont="1" applyBorder="1" applyNumberFormat="1">
      <alignment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70" fillId="0" borderId="0" xfId="0" applyFont="1" applyNumberFormat="1">
      <alignment vertical="center" wrapText="1"/>
    </xf>
    <xf numFmtId="0" fontId="70" fillId="0" borderId="0" xfId="0" applyFont="1" applyNumberFormat="1">
      <alignment horizontal="left" vertical="center" indent="1"/>
    </xf>
    <xf numFmtId="0" fontId="70"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66" fontId="22"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46" fillId="0" borderId="18" xfId="0" applyFont="1" applyBorder="1" applyNumberFormat="1">
      <alignment horizontal="center" vertical="center" wrapText="1"/>
    </xf>
    <xf numFmtId="0" fontId="46" fillId="0" borderId="13" xfId="0" applyFont="1" applyBorder="1" applyNumberFormat="1">
      <alignment vertical="center" wrapText="1"/>
    </xf>
    <xf numFmtId="0" fontId="46" fillId="0" borderId="24" xfId="0" applyFont="1" applyBorder="1" applyNumberFormat="1">
      <alignment horizontal="center" vertical="center" wrapText="1"/>
    </xf>
    <xf numFmtId="0" fontId="4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22" fillId="0" borderId="0" xfId="0" applyFont="1" applyNumberFormat="1">
      <alignment vertical="center"/>
    </xf>
    <xf numFmtId="0" fontId="78" fillId="36" borderId="0" xfId="0" applyFont="1" applyFill="1" applyNumberFormat="1">
      <alignment horizontal="center" vertical="center" wrapText="1"/>
    </xf>
    <xf numFmtId="0" fontId="46" fillId="0" borderId="13" xfId="0" applyFont="1" applyBorder="1" applyNumberFormat="1">
      <alignment horizontal="left" vertical="center" wrapText="1"/>
    </xf>
    <xf numFmtId="0" fontId="46" fillId="0" borderId="13" xfId="0" applyFont="1" applyBorder="1" applyNumberFormat="1">
      <alignment horizontal="left" vertical="center" wrapText="1" indent="4"/>
    </xf>
    <xf numFmtId="0" fontId="46" fillId="0" borderId="13" xfId="0" applyFont="1" applyBorder="1" applyNumberFormat="1">
      <alignment horizontal="left" vertical="center" wrapText="1" indent="6"/>
    </xf>
    <xf numFmtId="0" fontId="46" fillId="0" borderId="15" xfId="0" applyFont="1" applyBorder="1" applyNumberFormat="1">
      <alignment horizontal="left" vertical="center" wrapText="1"/>
    </xf>
    <xf numFmtId="0" fontId="46" fillId="0" borderId="16" xfId="0" applyFont="1" applyBorder="1" applyNumberFormat="1">
      <alignment horizontal="left" vertical="center" wrapText="1"/>
    </xf>
    <xf numFmtId="0" fontId="46" fillId="0" borderId="14" xfId="0" applyFont="1" applyBorder="1" applyNumberFormat="1">
      <alignment horizontal="left" vertical="center" wrapText="1"/>
    </xf>
    <xf numFmtId="0" fontId="46" fillId="0" borderId="13" xfId="0" applyFont="1" applyBorder="1" applyNumberFormat="1">
      <alignment vertical="top" wrapText="1"/>
    </xf>
    <xf numFmtId="49" fontId="95" fillId="0" borderId="15" xfId="0" applyFont="1" applyBorder="1" applyNumberFormat="1">
      <alignment horizontal="left" vertical="center"/>
    </xf>
    <xf numFmtId="49" fontId="46" fillId="0" borderId="16" xfId="0" applyFont="1" applyBorder="1" applyNumberFormat="1">
      <alignment horizontal="left" vertical="center" indent="4"/>
    </xf>
    <xf numFmtId="49" fontId="46" fillId="0" borderId="16" xfId="0" applyFont="1" applyBorder="1" applyNumberFormat="1">
      <alignment horizontal="center" vertical="center" wrapText="1"/>
    </xf>
    <xf numFmtId="49" fontId="46" fillId="0" borderId="14" xfId="0" applyFont="1" applyBorder="1" applyNumberFormat="1">
      <alignment horizontal="center" vertical="center" wrapText="1"/>
    </xf>
    <xf numFmtId="49" fontId="46" fillId="0" borderId="0" xfId="0" applyFont="1" applyNumberFormat="1">
      <alignment vertical="center" wrapText="1"/>
    </xf>
    <xf numFmtId="0" fontId="45" fillId="0" borderId="0" xfId="0" applyFont="1" applyNumberFormat="1">
      <alignment vertical="top" wrapText="1"/>
    </xf>
    <xf numFmtId="0" fontId="22" fillId="36" borderId="18" xfId="0" applyFont="1" applyFill="1" applyBorder="1" applyNumberFormat="1">
      <alignment horizontal="left" vertical="center" wrapText="1"/>
    </xf>
    <xf numFmtId="0" fontId="22" fillId="36" borderId="18" xfId="0" applyFont="1" applyFill="1" applyBorder="1" applyNumberFormat="1">
      <alignment horizontal="left" vertical="center" wrapText="1" indent="2"/>
    </xf>
    <xf numFmtId="0" fontId="22" fillId="0" borderId="18" xfId="0" applyFont="1" applyBorder="1" applyNumberFormat="1">
      <alignment horizontal="left" vertical="center" wrapText="1" indent="6"/>
    </xf>
    <xf numFmtId="0" fontId="22" fillId="35" borderId="38" xfId="0" applyFont="1" applyFill="1" applyBorder="1" applyNumberFormat="1">
      <alignment horizontal="left" vertical="center" wrapText="1"/>
    </xf>
    <xf numFmtId="0" fontId="22" fillId="35" borderId="20" xfId="0" applyFont="1" applyFill="1" applyBorder="1" applyNumberFormat="1">
      <alignment horizontal="left" vertical="center" wrapText="1"/>
    </xf>
    <xf numFmtId="0" fontId="22" fillId="35" borderId="21" xfId="0" applyFont="1" applyFill="1" applyBorder="1" applyNumberFormat="1">
      <alignment horizontal="left" vertical="center" wrapText="1"/>
    </xf>
    <xf numFmtId="0" fontId="22" fillId="36" borderId="13" xfId="0" applyFont="1" applyFill="1" applyBorder="1" applyNumberFormat="1">
      <alignment horizontal="left" vertical="center" wrapText="1"/>
    </xf>
    <xf numFmtId="0" fontId="22" fillId="35" borderId="13" xfId="0" applyFont="1" applyFill="1" applyBorder="1" applyNumberFormat="1">
      <alignment horizontal="left" vertical="center" wrapText="1"/>
    </xf>
    <xf numFmtId="0" fontId="44" fillId="0" borderId="14" xfId="0" applyFont="1" applyBorder="1" applyNumberFormat="1">
      <alignment vertical="top" wrapText="1"/>
    </xf>
    <xf numFmtId="0" fontId="46" fillId="0" borderId="0" xfId="0" applyFont="1" applyNumberFormat="1">
      <alignment horizontal="center" vertical="center" wrapText="1"/>
    </xf>
    <xf numFmtId="0" fontId="46" fillId="0" borderId="13" xfId="0" applyFont="1" applyBorder="1" applyNumberFormat="1">
      <alignment horizontal="left" vertical="center" wrapText="1"/>
    </xf>
    <xf numFmtId="0" fontId="46" fillId="0" borderId="14" xfId="0" applyFont="1" applyBorder="1" applyNumberFormat="1">
      <alignment vertical="top" wrapText="1"/>
    </xf>
    <xf numFmtId="0" fontId="22" fillId="41" borderId="13" xfId="0" applyFont="1" applyFill="1" applyBorder="1" applyNumberFormat="1">
      <alignment horizontal="left" vertical="center" wrapText="1"/>
    </xf>
    <xf numFmtId="0" fontId="22" fillId="36" borderId="24" xfId="0" applyFont="1" applyFill="1" applyBorder="1" applyNumberFormat="1">
      <alignment horizontal="left" vertical="center" wrapText="1"/>
    </xf>
    <xf numFmtId="0" fontId="22" fillId="41" borderId="24" xfId="0" applyFont="1" applyFill="1" applyBorder="1" applyNumberFormat="1">
      <alignment horizontal="left" vertical="center" wrapText="1" indent="6"/>
    </xf>
    <xf numFmtId="0" fontId="22" fillId="0" borderId="24" xfId="0" applyFont="1" applyBorder="1" applyNumberFormat="1">
      <alignment horizontal="left" vertical="center" wrapText="1" indent="6"/>
    </xf>
    <xf numFmtId="4" fontId="22" fillId="37" borderId="24" xfId="0" applyFont="1" applyFill="1" applyBorder="1" applyNumberFormat="1">
      <alignment horizontal="right" vertical="center" wrapText="1"/>
      <protection locked="0"/>
    </xf>
    <xf numFmtId="166" fontId="22" fillId="37" borderId="24" xfId="0" applyFont="1" applyFill="1" applyBorder="1" applyNumberFormat="1">
      <alignment horizontal="right" vertical="center" wrapText="1"/>
      <protection locked="0"/>
    </xf>
    <xf numFmtId="168" fontId="0" fillId="40" borderId="24" xfId="0" applyFont="1" applyFill="1" applyBorder="1" applyNumberFormat="1">
      <alignment horizontal="center" vertical="center" wrapText="1"/>
      <protection locked="0"/>
    </xf>
    <xf numFmtId="0" fontId="22" fillId="0" borderId="0" xfId="0" applyFont="1" applyNumberFormat="1">
      <alignment horizontal="left" vertical="center" wrapText="1"/>
    </xf>
    <xf numFmtId="0" fontId="22" fillId="41" borderId="21" xfId="0" applyFont="1" applyFill="1" applyBorder="1" applyNumberFormat="1">
      <alignment horizontal="left" vertical="center" wrapText="1"/>
    </xf>
    <xf numFmtId="0" fontId="22" fillId="0" borderId="0" xfId="0" applyFont="1" applyNumberFormat="1">
      <alignment horizontal="center" vertical="center" wrapText="1"/>
    </xf>
    <xf numFmtId="166" fontId="22" fillId="37" borderId="15" xfId="0" applyFont="1" applyFill="1" applyBorder="1" applyNumberFormat="1">
      <alignment horizontal="right" vertical="center" wrapText="1"/>
      <protection locked="0"/>
    </xf>
    <xf numFmtId="4" fontId="22" fillId="37" borderId="14" xfId="0" applyFont="1" applyFill="1" applyBorder="1" applyNumberFormat="1">
      <alignment horizontal="right" vertical="center" wrapText="1"/>
      <protection locked="0"/>
    </xf>
    <xf numFmtId="0" fontId="44" fillId="0" borderId="18" xfId="0" applyFont="1" applyBorder="1" applyNumberFormat="1">
      <alignment vertical="top" wrapText="1"/>
    </xf>
    <xf numFmtId="0" fontId="22" fillId="37" borderId="13" xfId="0" applyFont="1" applyFill="1" applyBorder="1" applyNumberFormat="1">
      <alignment horizontal="left" vertical="center" wrapText="1" indent="7"/>
      <protection locked="0"/>
    </xf>
    <xf numFmtId="4" fontId="46" fillId="0" borderId="15" xfId="0" applyFont="1" applyBorder="1" applyNumberFormat="1">
      <alignment horizontal="center" vertical="center" wrapText="1"/>
    </xf>
    <xf numFmtId="4" fontId="22" fillId="0" borderId="14" xfId="0" applyFont="1" applyBorder="1" applyNumberFormat="1">
      <alignment horizontal="right" vertical="center" wrapText="1"/>
    </xf>
    <xf numFmtId="0" fontId="22" fillId="38" borderId="16" xfId="0" applyFont="1" applyFill="1" applyBorder="1" applyNumberFormat="1">
      <alignment horizontal="left" vertical="center" wrapText="1" indent="6"/>
    </xf>
    <xf numFmtId="4" fontId="22" fillId="38" borderId="16" xfId="0" applyFont="1" applyFill="1" applyBorder="1" applyNumberFormat="1">
      <alignment horizontal="right" vertical="center" wrapText="1"/>
    </xf>
    <xf numFmtId="4" fontId="46" fillId="38" borderId="16" xfId="0" applyFont="1" applyFill="1" applyBorder="1" applyNumberFormat="1">
      <alignment horizontal="center" vertical="center" wrapText="1"/>
    </xf>
    <xf numFmtId="4" fontId="22" fillId="38" borderId="14" xfId="0" applyFont="1" applyFill="1" applyBorder="1" applyNumberFormat="1">
      <alignment horizontal="right" vertical="center" wrapText="1"/>
    </xf>
    <xf numFmtId="49" fontId="22" fillId="38" borderId="28"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20" xfId="0" applyFont="1" applyBorder="1" applyNumberFormat="1">
      <alignment horizontal="center" vertical="center" wrapText="1"/>
    </xf>
    <xf numFmtId="0" fontId="22" fillId="0" borderId="28" xfId="0" applyFont="1" applyBorder="1" applyNumberFormat="1">
      <alignment horizontal="center" vertical="center" wrapText="1"/>
    </xf>
    <xf numFmtId="0" fontId="0" fillId="0" borderId="37" xfId="0" applyFont="1" applyBorder="1" applyNumberFormat="1">
      <alignment horizontal="center" vertical="center" wrapText="1"/>
    </xf>
    <xf numFmtId="49" fontId="45" fillId="0" borderId="0" xfId="0" applyFont="1" applyNumberFormat="1">
      <alignment vertical="center" wrapText="1"/>
    </xf>
    <xf numFmtId="0" fontId="45" fillId="0" borderId="0" xfId="0" applyFont="1" applyNumberFormat="1">
      <alignment horizontal="center" vertical="center" wrapText="1"/>
    </xf>
    <xf numFmtId="0" fontId="54" fillId="36" borderId="0" xfId="0" applyFont="1" applyFill="1" applyNumberFormat="1">
      <alignment horizontal="center" vertical="center" wrapText="1"/>
    </xf>
    <xf numFmtId="0" fontId="54" fillId="0" borderId="0" xfId="0" applyFont="1" applyNumberFormat="1">
      <alignment vertical="center" wrapText="1"/>
    </xf>
    <xf numFmtId="0" fontId="46" fillId="0" borderId="13" xfId="0" applyFont="1" applyBorder="1" applyNumberFormat="1">
      <alignment horizontal="left" vertical="center" wrapText="1" indent="5"/>
    </xf>
    <xf numFmtId="0" fontId="46" fillId="0" borderId="25" xfId="0" applyFont="1" applyBorder="1" applyNumberFormat="1">
      <alignment horizontal="center" vertical="top" wrapText="1"/>
    </xf>
    <xf numFmtId="0" fontId="22" fillId="36" borderId="18" xfId="0" applyFont="1" applyFill="1" applyBorder="1" applyNumberFormat="1">
      <alignment horizontal="left" vertical="center" wrapText="1"/>
    </xf>
    <xf numFmtId="49" fontId="22" fillId="40" borderId="18" xfId="0" applyFont="1" applyFill="1" applyBorder="1" applyNumberFormat="1">
      <alignment horizontal="left" vertical="center" wrapText="1" indent="6"/>
      <protection locked="0"/>
    </xf>
    <xf numFmtId="0" fontId="36" fillId="0" borderId="13" xfId="0" applyFont="1" applyBorder="1" applyNumberFormat="1">
      <alignment horizontal="center" vertical="center" wrapText="1"/>
    </xf>
    <xf numFmtId="49" fontId="22" fillId="41" borderId="13" xfId="0" applyFont="1" applyFill="1" applyBorder="1" applyNumberFormat="1">
      <alignment horizontal="left" vertical="center" wrapText="1" indent="1"/>
    </xf>
    <xf numFmtId="0" fontId="22" fillId="0" borderId="13" xfId="0" applyFont="1" applyBorder="1" applyNumberFormat="1">
      <alignment horizontal="left" vertical="center" wrapText="1" indent="4"/>
    </xf>
    <xf numFmtId="49" fontId="22" fillId="36" borderId="13" xfId="0" applyFont="1" applyFill="1" applyBorder="1" applyNumberFormat="1">
      <alignment horizontal="center" vertical="center" wrapText="1"/>
    </xf>
    <xf numFmtId="0" fontId="22" fillId="41" borderId="13" xfId="0" applyFont="1" applyFill="1" applyBorder="1" applyNumberFormat="1">
      <alignment horizontal="left" vertical="center" wrapText="1" indent="1"/>
    </xf>
    <xf numFmtId="168" fontId="0" fillId="40" borderId="13" xfId="0" applyFont="1" applyFill="1" applyBorder="1" applyNumberFormat="1">
      <alignment horizontal="center" vertical="center" wrapText="1"/>
      <protection locked="0"/>
    </xf>
    <xf numFmtId="49" fontId="22" fillId="41" borderId="13" xfId="0" applyFont="1" applyFill="1" applyBorder="1" applyNumberFormat="1">
      <alignment horizontal="center" vertical="center" wrapText="1"/>
    </xf>
    <xf numFmtId="0" fontId="22" fillId="36" borderId="37" xfId="0" applyFont="1" applyFill="1" applyBorder="1" applyNumberFormat="1">
      <alignment horizontal="left" vertical="center" wrapText="1"/>
    </xf>
    <xf numFmtId="49" fontId="22" fillId="40" borderId="37" xfId="0" applyFont="1" applyFill="1" applyBorder="1" applyNumberFormat="1">
      <alignment horizontal="left" vertical="center" wrapText="1" indent="6"/>
      <protection locked="0"/>
    </xf>
    <xf numFmtId="166" fontId="22" fillId="38" borderId="14" xfId="0" applyFont="1" applyFill="1" applyBorder="1" applyNumberFormat="1">
      <alignment horizontal="right" vertical="center" wrapText="1"/>
    </xf>
    <xf numFmtId="49" fontId="39" fillId="38" borderId="15" xfId="0" applyFont="1" applyFill="1" applyBorder="1" applyNumberFormat="1">
      <alignment horizontal="left" vertical="center"/>
    </xf>
    <xf numFmtId="166" fontId="22" fillId="38" borderId="16" xfId="0" applyFont="1" applyFill="1" applyBorder="1" applyNumberFormat="1">
      <alignment horizontal="right" vertical="center" wrapText="1"/>
    </xf>
    <xf numFmtId="4" fontId="22" fillId="0" borderId="37" xfId="0" applyFont="1" applyBorder="1" applyNumberFormat="1">
      <alignment horizontal="right" vertical="center" wrapText="1"/>
    </xf>
    <xf numFmtId="49" fontId="39" fillId="38" borderId="15" xfId="0" applyFont="1" applyFill="1" applyBorder="1" applyNumberFormat="1">
      <alignment horizontal="left" vertical="center" indent="1"/>
    </xf>
    <xf numFmtId="0" fontId="22" fillId="36" borderId="24" xfId="0" applyFont="1" applyFill="1" applyBorder="1" applyNumberFormat="1">
      <alignment horizontal="left" vertical="center" wrapText="1"/>
    </xf>
    <xf numFmtId="49" fontId="22" fillId="40" borderId="24" xfId="0" applyFont="1" applyFill="1" applyBorder="1" applyNumberFormat="1">
      <alignment horizontal="left" vertical="center" wrapText="1" indent="6"/>
      <protection locked="0"/>
    </xf>
    <xf numFmtId="4" fontId="46" fillId="38" borderId="14" xfId="0" applyFont="1" applyFill="1" applyBorder="1" applyNumberFormat="1">
      <alignment horizontal="center" vertical="center" wrapText="1"/>
    </xf>
    <xf numFmtId="49" fontId="39" fillId="38" borderId="15" xfId="0" applyFont="1" applyFill="1" applyBorder="1" applyNumberFormat="1">
      <alignment vertical="center" wrapText="1"/>
    </xf>
    <xf numFmtId="49" fontId="39" fillId="38" borderId="16" xfId="0" applyFont="1" applyFill="1" applyBorder="1" applyNumberFormat="1">
      <alignment vertical="center" wrapText="1"/>
    </xf>
    <xf numFmtId="49" fontId="46" fillId="0" borderId="25" xfId="0" applyFont="1" applyBorder="1" applyNumberFormat="1">
      <alignment vertical="top"/>
    </xf>
    <xf numFmtId="0" fontId="109" fillId="0" borderId="0" xfId="0" applyFont="1" applyNumberFormat="1">
      <alignment horizontal="center" vertical="center" wrapText="1"/>
    </xf>
    <xf numFmtId="49" fontId="46" fillId="0" borderId="0" xfId="0" applyFont="1" applyNumberFormat="1">
      <alignment horizontal="center" vertical="center" wrapText="1"/>
    </xf>
    <xf numFmtId="49" fontId="46" fillId="0" borderId="0" xfId="0" applyFont="1" applyNumberFormat="1">
      <alignment horizontal="left" vertical="center" wrapText="1" indent="1"/>
    </xf>
    <xf numFmtId="0" fontId="46" fillId="0" borderId="0" xfId="0" applyFont="1" applyNumberFormat="1">
      <alignment horizontal="left" vertical="center" wrapText="1" indent="4"/>
    </xf>
    <xf numFmtId="0" fontId="46" fillId="0" borderId="25" xfId="0" applyFont="1" applyBorder="1" applyNumberFormat="1">
      <alignment horizontal="left" vertical="center" wrapText="1" indent="1"/>
    </xf>
    <xf numFmtId="4" fontId="46" fillId="0" borderId="13" xfId="0" applyFont="1" applyBorder="1" applyNumberFormat="1">
      <alignment horizontal="right" vertical="center" wrapText="1"/>
    </xf>
    <xf numFmtId="166" fontId="46" fillId="0" borderId="13" xfId="0" applyFont="1" applyBorder="1" applyNumberFormat="1">
      <alignment horizontal="right" vertical="center" wrapText="1"/>
    </xf>
    <xf numFmtId="168" fontId="46" fillId="0" borderId="13" xfId="0" applyFont="1" applyBorder="1" applyNumberFormat="1">
      <alignment horizontal="center" vertical="center" wrapText="1"/>
    </xf>
    <xf numFmtId="49" fontId="46" fillId="0" borderId="13" xfId="0" applyFont="1" applyBorder="1" applyNumberFormat="1">
      <alignment horizontal="center" vertical="center" wrapText="1"/>
    </xf>
    <xf numFmtId="0" fontId="45" fillId="0" borderId="0" xfId="0" applyFont="1" applyNumberFormat="1">
      <alignment horizontal="left" vertical="center"/>
    </xf>
    <xf numFmtId="49" fontId="45" fillId="0" borderId="0" xfId="0" applyFont="1" applyNumberFormat="1">
      <alignment horizontal="left" vertical="center"/>
    </xf>
    <xf numFmtId="0" fontId="45" fillId="0" borderId="0" xfId="0" applyFont="1" applyNumberFormat="1">
      <alignment horizontal="left" vertical="center"/>
    </xf>
    <xf numFmtId="0" fontId="67" fillId="0" borderId="0" xfId="0" applyFont="1" applyNumberFormat="1">
      <alignment horizontal="left" vertical="center"/>
    </xf>
    <xf numFmtId="0" fontId="45" fillId="0" borderId="0" xfId="0" applyFont="1" applyNumberFormat="1">
      <alignment horizontal="left" vertical="center"/>
    </xf>
    <xf numFmtId="0" fontId="46" fillId="0" borderId="0" xfId="0" applyFont="1" applyNumberFormat="1">
      <alignment horizontal="left" vertical="center"/>
    </xf>
    <xf numFmtId="0" fontId="67" fillId="36" borderId="0" xfId="0" applyFont="1" applyFill="1" applyNumberFormat="1">
      <alignment vertical="center" wrapText="1"/>
    </xf>
    <xf numFmtId="0" fontId="22" fillId="36" borderId="3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22" fillId="36" borderId="23"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0" borderId="13" xfId="0" applyFont="1" applyFill="1" applyBorder="1" applyNumberFormat="1">
      <alignment horizontal="center" vertical="center" wrapText="1"/>
      <protection locked="0"/>
    </xf>
    <xf numFmtId="0" fontId="22" fillId="36" borderId="13" xfId="0" applyFont="1" applyFill="1" applyBorder="1" applyNumberFormat="1">
      <alignment horizontal="center" vertical="center" wrapText="1"/>
    </xf>
    <xf numFmtId="0" fontId="22" fillId="36" borderId="31"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30" xfId="0" applyFont="1" applyFill="1" applyBorder="1" applyNumberFormat="1">
      <alignment horizontal="center" vertical="center" wrapText="1"/>
    </xf>
    <xf numFmtId="0" fontId="22" fillId="36" borderId="24" xfId="0" applyFont="1" applyFill="1" applyBorder="1" applyNumberFormat="1">
      <alignment horizontal="center" vertical="center" wrapText="1"/>
    </xf>
    <xf numFmtId="49" fontId="22" fillId="0" borderId="13" xfId="0" applyFont="1" applyBorder="1" applyNumberFormat="1">
      <alignment horizontal="left" vertical="center" wrapText="1" indent="1"/>
    </xf>
    <xf numFmtId="0" fontId="22" fillId="0" borderId="13" xfId="0" applyFont="1" applyBorder="1" applyNumberFormat="1">
      <alignment horizontal="left" vertical="center" wrapText="1" indent="1"/>
    </xf>
    <xf numFmtId="49" fontId="22" fillId="38" borderId="15" xfId="0" applyFont="1" applyFill="1" applyBorder="1" applyNumberFormat="1">
      <alignment horizontal="center" vertical="center" wrapText="1"/>
    </xf>
    <xf numFmtId="49" fontId="70" fillId="0" borderId="25" xfId="0" applyFont="1" applyBorder="1" applyNumberFormat="1">
      <alignment vertical="top"/>
    </xf>
    <xf numFmtId="0" fontId="22" fillId="0" borderId="0" xfId="0" applyFont="1" applyNumberFormat="1">
      <alignment horizontal="left" vertical="top" wrapText="1"/>
    </xf>
    <xf numFmtId="0" fontId="67" fillId="0" borderId="0" xfId="0" applyFont="1" applyNumberFormat="1">
      <alignment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0" fontId="22" fillId="37" borderId="15" xfId="0" applyFont="1" applyFill="1" applyBorder="1" applyNumberFormat="1">
      <alignment horizontal="left" vertical="center" wrapText="1"/>
      <protection locked="0"/>
    </xf>
    <xf numFmtId="0" fontId="22" fillId="37" borderId="16" xfId="0" applyFont="1" applyFill="1" applyBorder="1" applyNumberFormat="1">
      <alignment horizontal="left" vertical="center" wrapText="1"/>
      <protection locked="0"/>
    </xf>
    <xf numFmtId="0" fontId="22" fillId="37" borderId="14" xfId="0" applyFont="1" applyFill="1" applyBorder="1" applyNumberFormat="1">
      <alignment horizontal="left" vertical="center" wrapText="1"/>
      <protection locked="0"/>
    </xf>
    <xf numFmtId="49" fontId="22" fillId="37" borderId="15" xfId="0" applyFont="1" applyFill="1" applyBorder="1" applyNumberFormat="1">
      <alignment horizontal="left" vertical="center" wrapText="1"/>
      <protection locked="0"/>
    </xf>
    <xf numFmtId="49" fontId="22" fillId="37" borderId="16" xfId="0" applyFont="1" applyFill="1" applyBorder="1" applyNumberFormat="1">
      <alignment horizontal="left" vertical="center" wrapText="1"/>
      <protection locked="0"/>
    </xf>
    <xf numFmtId="49" fontId="22" fillId="37" borderId="14" xfId="0" applyFont="1" applyFill="1" applyBorder="1" applyNumberFormat="1">
      <alignment horizontal="left" vertical="center" wrapText="1"/>
      <protection locked="0"/>
    </xf>
    <xf numFmtId="49" fontId="22" fillId="37" borderId="13" xfId="0" applyFont="1" applyFill="1" applyBorder="1" applyNumberFormat="1">
      <alignment horizontal="left" vertical="center" wrapText="1" indent="6"/>
      <protection locked="0"/>
    </xf>
    <xf numFmtId="4" fontId="22" fillId="0" borderId="38" xfId="0" applyFont="1" applyBorder="1" applyNumberFormat="1">
      <alignment horizontal="right" vertical="center" wrapText="1"/>
    </xf>
    <xf numFmtId="0" fontId="44" fillId="0" borderId="13" xfId="0" applyFont="1" applyBorder="1" applyNumberFormat="1">
      <alignment horizontal="left" vertical="top" wrapText="1"/>
    </xf>
    <xf numFmtId="49" fontId="22" fillId="0" borderId="13" xfId="0" applyFont="1" applyBorder="1" applyNumberFormat="1">
      <alignment horizontal="left" vertical="center" wrapText="1"/>
    </xf>
    <xf numFmtId="4" fontId="22" fillId="0" borderId="31" xfId="0" applyFont="1" applyBorder="1" applyNumberFormat="1">
      <alignment horizontal="right" vertical="center" wrapText="1"/>
    </xf>
    <xf numFmtId="49" fontId="0" fillId="38" borderId="30" xfId="0" applyFont="1" applyFill="1" applyBorder="1" applyNumberFormat="1">
      <alignment horizontal="center" vertical="center" wrapText="1"/>
    </xf>
    <xf numFmtId="49" fontId="39" fillId="38" borderId="16" xfId="0" applyFont="1" applyFill="1" applyBorder="1" applyNumberFormat="1">
      <alignment horizontal="left" vertical="center" indent="3"/>
    </xf>
    <xf numFmtId="0" fontId="46" fillId="0" borderId="0" xfId="0" applyFont="1" applyNumberFormat="1">
      <alignment horizontal="center" vertical="center"/>
    </xf>
    <xf numFmtId="0" fontId="45" fillId="0" borderId="0" xfId="0" applyFont="1" applyNumberFormat="1">
      <alignment horizontal="center" vertical="center" wrapText="1"/>
    </xf>
    <xf numFmtId="0" fontId="108" fillId="0" borderId="0" xfId="0" applyFont="1" applyNumberFormat="1">
      <alignment vertical="center" wrapText="1"/>
    </xf>
    <xf numFmtId="0" fontId="22" fillId="0" borderId="0" xfId="0" applyFont="1" applyNumberFormat="1">
      <alignment horizontal="right" vertical="center" wrapText="1"/>
    </xf>
    <xf numFmtId="0" fontId="22"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49" fontId="22" fillId="0" borderId="0" xfId="0" applyFont="1" applyNumberFormat="1">
      <alignment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0" fontId="46" fillId="0" borderId="0" xfId="0" applyFont="1" applyNumberFormat="1">
      <alignment horizontal="center" vertical="center"/>
    </xf>
    <xf numFmtId="0" fontId="45" fillId="0" borderId="0" xfId="0" applyFont="1" applyNumberFormat="1">
      <alignment horizontal="center" vertical="center" wrapText="1"/>
    </xf>
    <xf numFmtId="0" fontId="22" fillId="0" borderId="0" xfId="0" applyFont="1" applyNumberFormat="1">
      <alignment horizontal="right" vertical="center" wrapText="1"/>
    </xf>
    <xf numFmtId="0" fontId="22"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49" fontId="22" fillId="0" borderId="0" xfId="0" applyFont="1" applyNumberFormat="1">
      <alignment vertical="center" wrapText="1"/>
    </xf>
    <xf numFmtId="0" fontId="22" fillId="35" borderId="16" xfId="0" applyFont="1" applyFill="1" applyBorder="1" applyNumberFormat="1">
      <alignment horizontal="left" vertical="center" wrapText="1"/>
    </xf>
    <xf numFmtId="0" fontId="45" fillId="0" borderId="0" xfId="0" applyFont="1" applyNumberFormat="1">
      <alignment horizontal="center" vertical="center" wrapText="1"/>
    </xf>
    <xf numFmtId="0" fontId="46" fillId="0" borderId="16" xfId="0" applyFont="1" applyBorder="1" applyNumberFormat="1">
      <alignment horizontal="left" vertical="center" wrapText="1"/>
    </xf>
    <xf numFmtId="0" fontId="22" fillId="0" borderId="13" xfId="0" applyFont="1" applyBorder="1" applyNumberFormat="1">
      <alignment horizontal="center" vertical="center" wrapText="1"/>
    </xf>
    <xf numFmtId="0" fontId="46" fillId="0" borderId="25" xfId="0" applyFont="1" applyBorder="1" applyNumberFormat="1">
      <alignment horizontal="center" vertical="top" wrapText="1"/>
    </xf>
    <xf numFmtId="0" fontId="22" fillId="36" borderId="18" xfId="0" applyFont="1" applyFill="1" applyBorder="1" applyNumberFormat="1">
      <alignment horizontal="left" vertical="center" wrapText="1"/>
    </xf>
    <xf numFmtId="49" fontId="22" fillId="40" borderId="18" xfId="0" applyFont="1" applyFill="1" applyBorder="1" applyNumberFormat="1">
      <alignment horizontal="left" vertical="center" wrapText="1" indent="6"/>
      <protection locked="0"/>
    </xf>
    <xf numFmtId="168" fontId="0" fillId="40" borderId="13" xfId="0" applyFont="1" applyFill="1" applyBorder="1" applyNumberFormat="1">
      <alignment horizontal="center" vertical="center" wrapText="1"/>
      <protection locked="0"/>
    </xf>
    <xf numFmtId="49" fontId="22" fillId="41" borderId="13" xfId="0" applyFont="1" applyFill="1" applyBorder="1" applyNumberFormat="1">
      <alignment horizontal="center" vertical="center" wrapText="1"/>
    </xf>
    <xf numFmtId="49" fontId="22" fillId="37" borderId="18" xfId="0" applyFont="1" applyFill="1" applyBorder="1" applyNumberFormat="1">
      <alignment horizontal="left" vertical="center" wrapText="1" indent="6"/>
      <protection locked="0"/>
    </xf>
    <xf numFmtId="4" fontId="22" fillId="40" borderId="13" xfId="0" applyFont="1" applyFill="1" applyBorder="1" applyNumberFormat="1">
      <alignment horizontal="left" vertical="center" wrapText="1" indent="1"/>
      <protection locked="0"/>
    </xf>
    <xf numFmtId="168" fontId="0" fillId="40" borderId="13" xfId="0" applyFont="1" applyFill="1" applyBorder="1" applyNumberFormat="1">
      <alignment horizontal="center" vertical="center" wrapText="1"/>
      <protection locked="0"/>
    </xf>
    <xf numFmtId="49" fontId="22" fillId="41" borderId="13" xfId="0" applyFont="1" applyFill="1" applyBorder="1" applyNumberFormat="1">
      <alignment horizontal="center" vertical="center" wrapText="1"/>
    </xf>
    <xf numFmtId="49" fontId="46" fillId="0" borderId="13"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6" fillId="0" borderId="28" xfId="0" applyFont="1" applyBorder="1" applyNumberFormat="1">
      <alignment horizontal="center" vertical="center" wrapText="1"/>
    </xf>
    <xf numFmtId="0" fontId="22" fillId="40" borderId="14" xfId="0" applyFont="1" applyFill="1" applyBorder="1" applyNumberFormat="1">
      <alignment horizontal="center" vertical="center" wrapText="1"/>
      <protection locked="0"/>
    </xf>
    <xf numFmtId="0" fontId="22" fillId="36" borderId="13" xfId="0" applyFont="1" applyFill="1" applyBorder="1" applyNumberFormat="1">
      <alignment horizontal="center" vertical="center" wrapText="1"/>
    </xf>
    <xf numFmtId="0" fontId="22" fillId="36" borderId="30" xfId="0" applyFont="1" applyFill="1" applyBorder="1" applyNumberFormat="1">
      <alignment horizontal="center" vertical="center" wrapText="1"/>
    </xf>
    <xf numFmtId="0" fontId="22" fillId="36" borderId="24"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36" borderId="18" xfId="0" applyFont="1" applyFill="1" applyBorder="1" applyNumberFormat="1">
      <alignment horizontal="left" vertical="center" wrapText="1"/>
    </xf>
    <xf numFmtId="49" fontId="22" fillId="40" borderId="18" xfId="0" applyFont="1" applyFill="1" applyBorder="1" applyNumberFormat="1">
      <alignment horizontal="left" vertical="center" wrapText="1" indent="6"/>
      <protection locked="0"/>
    </xf>
    <xf numFmtId="49" fontId="22" fillId="37" borderId="18" xfId="0" applyFont="1" applyFill="1" applyBorder="1" applyNumberFormat="1">
      <alignment horizontal="left" vertical="center" wrapText="1" indent="6"/>
      <protection locked="0"/>
    </xf>
    <xf numFmtId="4" fontId="22" fillId="40" borderId="13"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6" borderId="13" xfId="0" applyFont="1" applyFill="1" applyBorder="1" applyNumberFormat="1">
      <alignment horizontal="left" vertical="center" wrapText="1"/>
    </xf>
    <xf numFmtId="0" fontId="109" fillId="0" borderId="0" xfId="0" applyFont="1" applyNumberFormat="1">
      <alignment vertical="center" wrapText="1"/>
    </xf>
    <xf numFmtId="0" fontId="109" fillId="36" borderId="0" xfId="0" applyFont="1" applyFill="1" applyNumberFormat="1">
      <alignment horizontal="center" vertical="center" wrapText="1"/>
    </xf>
    <xf numFmtId="0" fontId="46" fillId="36" borderId="13" xfId="0" applyFont="1" applyFill="1" applyBorder="1" applyNumberFormat="1">
      <alignment horizontal="left" vertical="center" wrapText="1" indent="3"/>
    </xf>
    <xf numFmtId="0" fontId="46" fillId="0" borderId="0" xfId="0" applyFont="1" applyNumberFormat="1">
      <alignment horizontal="center" vertical="center" wrapText="1"/>
    </xf>
    <xf numFmtId="49" fontId="22" fillId="37" borderId="18" xfId="0" applyFont="1" applyFill="1" applyBorder="1" applyNumberFormat="1">
      <alignment horizontal="left" vertical="center" wrapText="1" indent="6"/>
      <protection locked="0"/>
    </xf>
    <xf numFmtId="4" fontId="22" fillId="40" borderId="13" xfId="0" applyFont="1" applyFill="1" applyBorder="1" applyNumberFormat="1">
      <alignment horizontal="left" vertical="center" wrapText="1" indent="1"/>
      <protection locked="0"/>
    </xf>
    <xf numFmtId="4" fontId="22" fillId="40" borderId="13" xfId="0" applyFont="1" applyFill="1" applyBorder="1" applyNumberFormat="1">
      <alignment horizontal="center" vertical="center" wrapText="1"/>
      <protection locked="0"/>
    </xf>
    <xf numFmtId="49" fontId="22" fillId="41" borderId="21" xfId="0" applyFont="1" applyFill="1" applyBorder="1" applyNumberFormat="1">
      <alignment horizontal="center" vertical="center" wrapText="1"/>
    </xf>
    <xf numFmtId="49" fontId="22" fillId="36" borderId="13" xfId="0" applyFont="1" applyFill="1" applyBorder="1" applyNumberFormat="1">
      <alignment horizontal="center" vertical="center" wrapText="1"/>
    </xf>
    <xf numFmtId="49" fontId="22" fillId="40" borderId="13" xfId="0" applyFont="1" applyFill="1" applyBorder="1" applyNumberFormat="1">
      <alignment horizontal="left" vertical="center" wrapText="1" indent="1"/>
      <protection locked="0"/>
    </xf>
    <xf numFmtId="49" fontId="22" fillId="37" borderId="37" xfId="0" applyFont="1" applyFill="1" applyBorder="1" applyNumberFormat="1">
      <alignment horizontal="left" vertical="center" wrapText="1" indent="6"/>
      <protection locked="0"/>
    </xf>
    <xf numFmtId="49" fontId="22" fillId="41" borderId="30" xfId="0" applyFont="1" applyFill="1" applyBorder="1" applyNumberFormat="1">
      <alignment horizontal="center" vertical="center" wrapText="1"/>
    </xf>
    <xf numFmtId="49" fontId="39" fillId="38" borderId="28" xfId="0" applyFont="1" applyFill="1" applyBorder="1" applyNumberFormat="1">
      <alignment horizontal="left" vertical="center"/>
    </xf>
    <xf numFmtId="49" fontId="22" fillId="37" borderId="24" xfId="0" applyFont="1" applyFill="1" applyBorder="1" applyNumberFormat="1">
      <alignment horizontal="left" vertical="center" wrapText="1" indent="6"/>
      <protection locked="0"/>
    </xf>
    <xf numFmtId="0" fontId="46" fillId="0" borderId="0" xfId="0" applyFont="1" applyNumberFormat="1">
      <alignment horizontal="center" vertical="center"/>
    </xf>
    <xf numFmtId="0" fontId="46" fillId="0" borderId="0" xfId="0" applyFont="1" applyNumberFormat="1">
      <alignment horizontal="left" vertical="center" wrapText="1" indent="1"/>
    </xf>
    <xf numFmtId="0" fontId="22" fillId="36" borderId="13" xfId="0" applyFont="1" applyFill="1" applyBorder="1" applyNumberFormat="1">
      <alignment horizontal="center" vertical="center" wrapText="1"/>
    </xf>
    <xf numFmtId="0" fontId="46" fillId="0" borderId="20" xfId="0" applyFont="1" applyBorder="1" applyNumberFormat="1">
      <alignment horizontal="left" vertical="center" wrapText="1"/>
    </xf>
    <xf numFmtId="0" fontId="22" fillId="0" borderId="0" xfId="0" applyFont="1" applyNumberFormat="1">
      <alignment horizontal="left" vertical="top" wrapText="1"/>
    </xf>
    <xf numFmtId="0" fontId="45" fillId="0" borderId="0" xfId="0" applyFont="1" applyNumberFormat="1">
      <alignment horizontal="center"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0" fontId="46" fillId="0" borderId="0" xfId="0" applyFont="1" applyNumberFormat="1">
      <alignment horizontal="center" vertical="center"/>
    </xf>
    <xf numFmtId="0" fontId="45" fillId="0" borderId="0" xfId="0" applyFont="1" applyNumberFormat="1">
      <alignment horizontal="center" vertical="center" wrapText="1"/>
    </xf>
    <xf numFmtId="0" fontId="22" fillId="0" borderId="0" xfId="0" applyFont="1" applyNumberFormat="1">
      <alignment horizontal="right" vertical="center" wrapText="1"/>
    </xf>
    <xf numFmtId="0" fontId="22"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49" fontId="22" fillId="0" borderId="0" xfId="0" applyFont="1" applyNumberFormat="1">
      <alignment vertical="center" wrapText="1"/>
    </xf>
    <xf numFmtId="49" fontId="22" fillId="41" borderId="13" xfId="0" applyFont="1" applyFill="1" applyBorder="1" applyNumberFormat="1">
      <alignment horizontal="center" vertical="center" wrapText="1"/>
    </xf>
    <xf numFmtId="49" fontId="22" fillId="36" borderId="13" xfId="0" applyFont="1" applyFill="1" applyBorder="1" applyNumberFormat="1">
      <alignment horizontal="center" vertical="center" wrapText="1"/>
    </xf>
    <xf numFmtId="49" fontId="22" fillId="40" borderId="13" xfId="0" applyFont="1" applyFill="1" applyBorder="1" applyNumberFormat="1">
      <alignment horizontal="left" vertical="center" wrapText="1" indent="1"/>
      <protection locked="0"/>
    </xf>
    <xf numFmtId="49" fontId="46" fillId="0" borderId="13" xfId="0" applyFont="1" applyBorder="1" applyNumberFormat="1">
      <alignment horizontal="center" vertical="center" wrapText="1"/>
    </xf>
    <xf numFmtId="0" fontId="22" fillId="36" borderId="13" xfId="0" applyFont="1" applyFill="1" applyBorder="1" applyNumberFormat="1">
      <alignment horizontal="center" vertical="center" wrapText="1"/>
    </xf>
    <xf numFmtId="0" fontId="22" fillId="0" borderId="0" xfId="0" applyFont="1" applyNumberFormat="1">
      <alignment horizontal="left" vertical="top" wrapText="1"/>
    </xf>
    <xf numFmtId="49" fontId="22" fillId="36" borderId="13" xfId="0" applyFont="1" applyFill="1" applyBorder="1" applyNumberFormat="1">
      <alignment horizontal="center" vertical="center" wrapText="1"/>
    </xf>
    <xf numFmtId="0" fontId="45" fillId="0" borderId="0" xfId="0" applyFont="1" applyNumberFormat="1">
      <alignment horizontal="center" vertical="center" wrapText="1"/>
    </xf>
    <xf numFmtId="49" fontId="22" fillId="36" borderId="13" xfId="0" applyFont="1" applyFill="1" applyBorder="1" applyNumberFormat="1">
      <alignment horizontal="center" vertical="center" wrapText="1"/>
    </xf>
    <xf numFmtId="0" fontId="45" fillId="0" borderId="0" xfId="0" applyFont="1" applyNumberFormat="1">
      <alignment horizontal="center" vertical="center" wrapText="1"/>
    </xf>
    <xf numFmtId="49" fontId="22" fillId="0" borderId="0" xfId="0" applyFont="1" applyNumberFormat="1">
      <alignment vertical="center" wrapText="1"/>
    </xf>
    <xf numFmtId="0" fontId="78" fillId="36" borderId="20" xfId="0" applyFont="1" applyFill="1" applyBorder="1" applyNumberFormat="1">
      <alignment horizontal="center" vertical="center" wrapText="1"/>
    </xf>
    <xf numFmtId="0" fontId="22" fillId="0" borderId="0" xfId="0" applyFont="1" applyNumberFormat="1">
      <alignment vertical="center" wrapText="1"/>
    </xf>
    <xf numFmtId="49" fontId="46"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9" xfId="0" applyFont="1" applyBorder="1" applyNumberFormat="1">
      <alignment horizontal="center" vertical="center" wrapText="1"/>
    </xf>
    <xf numFmtId="0" fontId="22" fillId="40" borderId="13" xfId="0" applyFont="1" applyFill="1" applyBorder="1" applyNumberFormat="1">
      <alignment horizontal="left" vertical="center" wrapText="1" indent="2"/>
      <protection locked="0"/>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vertical="center" wrapText="1"/>
    </xf>
    <xf numFmtId="0" fontId="82" fillId="0" borderId="0" xfId="0" applyFont="1" applyNumberFormat="1">
      <alignment vertical="center" wrapText="1"/>
    </xf>
    <xf numFmtId="0" fontId="46" fillId="0" borderId="29" xfId="0" applyFont="1" applyBorder="1" applyNumberFormat="1">
      <alignment horizontal="center" vertical="center" wrapText="1"/>
    </xf>
    <xf numFmtId="0" fontId="46" fillId="0" borderId="13" xfId="0" applyFont="1" applyBorder="1" applyNumberFormat="1">
      <alignment horizontal="left" vertical="center" wrapText="1" indent="2"/>
    </xf>
    <xf numFmtId="0" fontId="46" fillId="0" borderId="13" xfId="0" applyFont="1" applyBorder="1" applyNumberFormat="1">
      <alignment horizontal="center" vertical="center" wrapText="1"/>
    </xf>
    <xf numFmtId="0" fontId="46" fillId="0" borderId="13" xfId="0" applyFont="1" applyBorder="1" applyNumberFormat="1">
      <alignment horizontal="center" vertical="center" wrapText="1"/>
    </xf>
    <xf numFmtId="0" fontId="46" fillId="0" borderId="13" xfId="0" applyFont="1" applyBorder="1" applyNumberFormat="1">
      <alignment vertical="center" wrapText="1"/>
    </xf>
    <xf numFmtId="0" fontId="22" fillId="0" borderId="13" xfId="0" applyFont="1" applyBorder="1" applyNumberFormat="1">
      <alignment horizontal="left" vertical="center" wrapText="1" indent="3"/>
    </xf>
    <xf numFmtId="49" fontId="22" fillId="40" borderId="13" xfId="0" applyFont="1" applyFill="1" applyBorder="1" applyNumberFormat="1">
      <alignment horizontal="center" vertical="center" wrapText="1"/>
      <protection locked="0"/>
    </xf>
    <xf numFmtId="4" fontId="22" fillId="37" borderId="13" xfId="0" applyFont="1" applyFill="1" applyBorder="1" applyNumberFormat="1">
      <alignment horizontal="right" vertical="center" wrapText="1"/>
      <protection locked="0"/>
    </xf>
    <xf numFmtId="4" fontId="22" fillId="37" borderId="13" xfId="0" applyFont="1" applyFill="1" applyBorder="1" applyNumberFormat="1">
      <alignment horizontal="right" vertical="center" wrapText="1"/>
      <protection locked="0"/>
    </xf>
    <xf numFmtId="0" fontId="22" fillId="37" borderId="13" xfId="0" applyFont="1" applyFill="1" applyBorder="1" applyNumberFormat="1">
      <alignment horizontal="left" vertical="center" wrapText="1"/>
      <protection locked="0"/>
    </xf>
    <xf numFmtId="0" fontId="22" fillId="37" borderId="13" xfId="0" applyFont="1" applyFill="1" applyBorder="1" applyNumberFormat="1">
      <alignment horizontal="left" vertical="center" wrapText="1"/>
      <protection locked="0"/>
    </xf>
    <xf numFmtId="49" fontId="89" fillId="0" borderId="0" xfId="0" applyFont="1" applyNumberFormat="1">
      <alignment horizontal="center" vertical="center" wrapText="1"/>
    </xf>
    <xf numFmtId="0" fontId="45" fillId="0" borderId="0" xfId="0" applyFont="1" applyNumberFormat="1">
      <alignment vertical="center" wrapText="1"/>
    </xf>
    <xf numFmtId="49" fontId="22" fillId="0" borderId="0" xfId="0" applyFont="1" applyNumberFormat="1">
      <alignment horizontal="center" vertical="top" wrapText="1"/>
    </xf>
    <xf numFmtId="0" fontId="22" fillId="0" borderId="13" xfId="0" applyFont="1" applyBorder="1" applyNumberFormat="1">
      <alignment horizontal="center" vertical="center" wrapText="1"/>
    </xf>
    <xf numFmtId="0" fontId="22" fillId="0" borderId="14" xfId="0" applyFont="1" applyBorder="1" applyNumberFormat="1">
      <alignment vertical="top" wrapText="1"/>
    </xf>
    <xf numFmtId="0" fontId="52" fillId="0" borderId="0" xfId="0" applyFont="1" applyNumberFormat="1">
      <alignment vertical="center" wrapText="1"/>
    </xf>
    <xf numFmtId="0" fontId="22" fillId="0" borderId="14" xfId="0" applyFont="1" applyBorder="1" applyNumberFormat="1">
      <alignment horizontal="center" vertical="center" wrapText="1"/>
    </xf>
    <xf numFmtId="167" fontId="22" fillId="37" borderId="13" xfId="0" applyFont="1" applyFill="1" applyBorder="1" applyNumberFormat="1">
      <alignment horizontal="right" vertical="center" wrapText="1"/>
      <protection locked="0"/>
    </xf>
    <xf numFmtId="167" fontId="22" fillId="37" borderId="13" xfId="0" applyFont="1" applyFill="1" applyBorder="1" applyNumberFormat="1">
      <alignment horizontal="right" vertical="center" wrapText="1"/>
      <protection locked="0"/>
    </xf>
    <xf numFmtId="0" fontId="22" fillId="0" borderId="21" xfId="0" applyFont="1" applyBorder="1" applyNumberFormat="1">
      <alignment vertical="center" wrapText="1"/>
    </xf>
    <xf numFmtId="0" fontId="31" fillId="0" borderId="0" xfId="0" applyFont="1" applyNumberFormat="1">
      <alignment vertical="center" wrapText="1"/>
    </xf>
    <xf numFmtId="0" fontId="31" fillId="0" borderId="0" xfId="0" applyFont="1" applyNumberFormat="1">
      <alignment vertical="center" wrapText="1"/>
    </xf>
    <xf numFmtId="0" fontId="22" fillId="0" borderId="20" xfId="0" applyFont="1" applyBorder="1" applyNumberFormat="1">
      <alignment horizontal="left" vertical="top" wrapText="1" indent="1"/>
    </xf>
    <xf numFmtId="0" fontId="22" fillId="0" borderId="20" xfId="0" applyFont="1" applyBorder="1" applyNumberFormat="1">
      <alignment horizontal="left" vertical="top" wrapText="1" indent="1"/>
    </xf>
    <xf numFmtId="0" fontId="30" fillId="0" borderId="0" xfId="0" applyFont="1" applyNumberFormat="1">
      <alignment vertical="center" wrapText="1"/>
    </xf>
    <xf numFmtId="0" fontId="22" fillId="0" borderId="28"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5" fillId="36" borderId="0" xfId="0" applyFont="1" applyFill="1" applyNumberFormat="1">
      <alignment horizontal="right" vertical="center"/>
    </xf>
    <xf numFmtId="0" fontId="95" fillId="36" borderId="0" xfId="0" applyFont="1" applyFill="1" applyNumberFormat="1">
      <alignment horizontal="right" vertical="center"/>
    </xf>
    <xf numFmtId="0" fontId="22" fillId="0" borderId="15" xfId="0" applyFont="1" applyBorder="1" applyNumberFormat="1">
      <alignment vertical="center" wrapText="1"/>
    </xf>
    <xf numFmtId="0" fontId="22" fillId="0" borderId="16" xfId="0" applyFont="1" applyBorder="1" applyNumberFormat="1">
      <alignment horizontal="right" vertical="center" wrapText="1" indent="1"/>
    </xf>
    <xf numFmtId="0" fontId="22" fillId="0" borderId="14" xfId="0" applyFont="1" applyBorder="1" applyNumberFormat="1">
      <alignment horizontal="right" vertical="center" wrapText="1" indent="1"/>
    </xf>
    <xf numFmtId="0" fontId="22" fillId="35" borderId="15" xfId="0" applyFont="1" applyFill="1" applyBorder="1" applyNumberFormat="1">
      <alignment horizontal="left" vertical="top" wrapText="1"/>
    </xf>
    <xf numFmtId="0" fontId="22" fillId="35" borderId="15" xfId="0" applyFont="1" applyFill="1" applyBorder="1" applyNumberFormat="1">
      <alignment horizontal="left" vertical="top" wrapText="1"/>
    </xf>
    <xf numFmtId="0" fontId="22" fillId="35" borderId="15" xfId="0" applyFont="1" applyFill="1" applyBorder="1" applyNumberFormat="1">
      <alignment horizontal="left" vertical="top" wrapText="1"/>
    </xf>
    <xf numFmtId="0" fontId="22" fillId="0" borderId="15" xfId="0" applyFont="1" applyBorder="1" applyNumberFormat="1">
      <alignment horizontal="right" vertical="center" wrapText="1"/>
    </xf>
    <xf numFmtId="0" fontId="22" fillId="0" borderId="16" xfId="0" applyFont="1" applyBorder="1" applyNumberFormat="1">
      <alignment horizontal="right" vertical="center" wrapText="1"/>
    </xf>
    <xf numFmtId="0" fontId="22" fillId="0" borderId="16" xfId="0" applyFont="1" applyBorder="1" applyNumberFormat="1">
      <alignment horizontal="right" vertical="center" wrapText="1" indent="1"/>
    </xf>
    <xf numFmtId="0" fontId="22" fillId="0" borderId="16" xfId="0" applyFont="1" applyBorder="1" applyNumberFormat="1">
      <alignment horizontal="right" vertical="center" wrapText="1" indent="1"/>
    </xf>
    <xf numFmtId="0" fontId="22" fillId="0" borderId="16"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4" fontId="22" fillId="40" borderId="13" xfId="0" applyFont="1" applyFill="1" applyBorder="1" applyNumberFormat="1">
      <alignment horizontal="right" vertical="center" wrapText="1"/>
      <protection locked="0"/>
    </xf>
    <xf numFmtId="4" fontId="22" fillId="40" borderId="13" xfId="0" applyFont="1" applyFill="1" applyBorder="1" applyNumberFormat="1">
      <alignment horizontal="right" vertical="center" wrapText="1"/>
      <protection locked="0"/>
    </xf>
    <xf numFmtId="4" fontId="22" fillId="35" borderId="13" xfId="0" applyFont="1" applyFill="1" applyBorder="1" applyNumberFormat="1">
      <alignment horizontal="right" vertical="center" wrapText="1"/>
    </xf>
    <xf numFmtId="4" fontId="22" fillId="35" borderId="13" xfId="0" applyFont="1" applyFill="1" applyBorder="1" applyNumberFormat="1">
      <alignment horizontal="right" vertical="center" wrapText="1"/>
    </xf>
    <xf numFmtId="0" fontId="22" fillId="0" borderId="13" xfId="0" applyFont="1" applyBorder="1" applyNumberFormat="1">
      <alignment horizontal="left" vertical="center" wrapText="1" indent="1"/>
    </xf>
    <xf numFmtId="49" fontId="89" fillId="34" borderId="0" xfId="0" applyFont="1" applyFill="1" applyNumberFormat="1">
      <alignment horizontal="center" vertical="center" textRotation="90" wrapText="1"/>
    </xf>
    <xf numFmtId="0" fontId="70" fillId="0" borderId="0" xfId="0" applyFont="1" applyNumberFormat="1">
      <alignment horizontal="center" vertical="center" wrapText="1"/>
    </xf>
    <xf numFmtId="49" fontId="70" fillId="0" borderId="0" xfId="0" applyFont="1" applyNumberFormat="1">
      <alignment horizontal="center" vertical="center" wrapText="1"/>
    </xf>
    <xf numFmtId="49" fontId="70" fillId="0" borderId="29" xfId="0" applyFont="1" applyBorder="1" applyNumberFormat="1">
      <alignment horizontal="center" vertical="center" wrapText="1"/>
    </xf>
    <xf numFmtId="0" fontId="70" fillId="0" borderId="13" xfId="0" applyFont="1" applyBorder="1" applyNumberFormat="1">
      <alignment horizontal="left" vertical="center" wrapText="1" indent="2"/>
    </xf>
    <xf numFmtId="0" fontId="70" fillId="0" borderId="13" xfId="0" applyFont="1" applyBorder="1" applyNumberFormat="1">
      <alignment horizontal="center" vertical="center" wrapText="1"/>
    </xf>
    <xf numFmtId="49" fontId="70" fillId="0" borderId="13" xfId="0" applyFont="1" applyBorder="1" applyNumberFormat="1">
      <alignment horizontal="left" vertical="center" wrapText="1"/>
    </xf>
    <xf numFmtId="0" fontId="70" fillId="0" borderId="13" xfId="0" applyFont="1" applyBorder="1" applyNumberFormat="1">
      <alignment vertical="center" wrapText="1"/>
    </xf>
    <xf numFmtId="0" fontId="83" fillId="0" borderId="0" xfId="0" applyFont="1" applyNumberFormat="1">
      <alignment vertical="center" wrapText="1"/>
    </xf>
    <xf numFmtId="0" fontId="61" fillId="0" borderId="0" xfId="0" applyFont="1" applyNumberFormat="1">
      <alignment vertical="center" wrapText="1"/>
    </xf>
    <xf numFmtId="0" fontId="70" fillId="0" borderId="29" xfId="0" applyFont="1" applyBorder="1" applyNumberFormat="1">
      <alignment horizontal="center" vertical="center" wrapText="1"/>
    </xf>
    <xf numFmtId="0" fontId="70" fillId="0" borderId="13" xfId="0" applyFont="1" applyBorder="1" applyNumberFormat="1">
      <alignment horizontal="left" vertical="center" wrapText="1" indent="3"/>
    </xf>
    <xf numFmtId="4" fontId="70" fillId="0" borderId="13" xfId="0" applyFont="1" applyBorder="1" applyNumberFormat="1">
      <alignment horizontal="right" vertical="center" wrapText="1"/>
    </xf>
    <xf numFmtId="4" fontId="70" fillId="0" borderId="13" xfId="0" applyFont="1" applyBorder="1" applyNumberFormat="1">
      <alignment horizontal="right"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0" fontId="82" fillId="0" borderId="0" xfId="0" applyFont="1" applyNumberFormat="1">
      <alignment vertical="center" wrapText="1"/>
    </xf>
    <xf numFmtId="0" fontId="52" fillId="0" borderId="0" xfId="0" applyFont="1" applyNumberFormat="1">
      <alignment vertical="center" wrapText="1"/>
    </xf>
    <xf numFmtId="0" fontId="46" fillId="0" borderId="0" xfId="0" applyFont="1" applyNumberFormat="1">
      <alignment vertical="center" wrapText="1"/>
    </xf>
    <xf numFmtId="49" fontId="22" fillId="0" borderId="0" xfId="0" applyFont="1" applyNumberFormat="1">
      <alignment horizontal="center" vertical="center" wrapText="1"/>
    </xf>
    <xf numFmtId="0" fontId="36" fillId="0" borderId="0" xfId="0" applyFont="1" applyNumberFormat="1">
      <alignment horizontal="center" vertical="center" wrapText="1"/>
    </xf>
    <xf numFmtId="49" fontId="22" fillId="38" borderId="15" xfId="0" applyFont="1" applyFill="1" applyBorder="1" applyNumberFormat="1">
      <alignment vertical="center" wrapText="1"/>
    </xf>
    <xf numFmtId="0" fontId="22" fillId="38" borderId="16"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0" borderId="13" xfId="0" applyFont="1" applyBorder="1" applyNumberFormat="1">
      <alignment horizontal="left" vertical="center" wrapText="1" indent="2"/>
    </xf>
    <xf numFmtId="14" fontId="22" fillId="0" borderId="0" xfId="0" applyFont="1" applyNumberFormat="1">
      <alignment horizontal="center" vertical="center" wrapText="1"/>
    </xf>
    <xf numFmtId="49" fontId="89" fillId="34" borderId="0" xfId="0" applyFont="1" applyFill="1" applyNumberFormat="1">
      <alignment horizontal="center" vertical="center" wrapText="1"/>
    </xf>
    <xf numFmtId="49" fontId="48" fillId="0" borderId="0" xfId="0" applyFont="1" applyNumberFormat="1">
      <alignment horizontal="center" vertical="center"/>
    </xf>
    <xf numFmtId="167" fontId="22" fillId="40" borderId="13" xfId="0" applyFont="1" applyFill="1" applyBorder="1" applyNumberFormat="1">
      <alignment horizontal="right" vertical="center" wrapText="1"/>
      <protection locked="0"/>
    </xf>
    <xf numFmtId="167" fontId="22" fillId="40" borderId="13" xfId="0" applyFont="1" applyFill="1" applyBorder="1" applyNumberFormat="1">
      <alignment horizontal="right" vertical="center" wrapText="1"/>
      <protection locked="0"/>
    </xf>
    <xf numFmtId="0" fontId="45" fillId="0" borderId="0" xfId="0" applyFont="1" applyNumberFormat="1">
      <alignment horizontal="left" vertical="center" wrapText="1"/>
    </xf>
    <xf numFmtId="49" fontId="89" fillId="0" borderId="0" xfId="0" applyFont="1" applyNumberFormat="1">
      <alignment horizontal="left" vertical="center" wrapText="1"/>
    </xf>
    <xf numFmtId="0" fontId="46" fillId="0" borderId="0" xfId="0" applyFont="1" applyNumberFormat="1">
      <alignment horizontal="left" vertical="center" wrapText="1"/>
    </xf>
    <xf numFmtId="49" fontId="22" fillId="0" borderId="0" xfId="0" applyFont="1" applyNumberFormat="1">
      <alignment horizontal="left" vertical="center" wrapText="1"/>
    </xf>
    <xf numFmtId="0" fontId="52" fillId="0" borderId="0" xfId="0" applyFont="1" applyNumberFormat="1">
      <alignment horizontal="left" vertical="center" wrapText="1"/>
    </xf>
    <xf numFmtId="0" fontId="31" fillId="0" borderId="0" xfId="0" applyFont="1" applyNumberFormat="1">
      <alignment horizontal="left" vertical="center" wrapText="1"/>
    </xf>
    <xf numFmtId="49" fontId="22" fillId="41" borderId="13" xfId="0" applyFont="1" applyFill="1" applyBorder="1" applyNumberFormat="1">
      <alignment horizontal="left" vertical="center" wrapText="1"/>
    </xf>
    <xf numFmtId="49" fontId="22" fillId="41" borderId="13" xfId="0" applyFont="1" applyFill="1" applyBorder="1" applyNumberFormat="1">
      <alignment horizontal="left" vertical="center" wrapText="1"/>
    </xf>
    <xf numFmtId="49" fontId="22" fillId="41" borderId="13" xfId="0" applyFont="1" applyFill="1" applyBorder="1" applyNumberFormat="1">
      <alignment horizontal="left" vertical="center" wrapText="1"/>
    </xf>
    <xf numFmtId="0" fontId="22" fillId="0" borderId="18" xfId="0" applyFont="1" applyBorder="1" applyNumberFormat="1">
      <alignment horizontal="center" vertical="center" wrapText="1"/>
    </xf>
    <xf numFmtId="4" fontId="22" fillId="35" borderId="18" xfId="0" applyFont="1" applyFill="1" applyBorder="1" applyNumberFormat="1">
      <alignment horizontal="right" vertical="center" wrapText="1"/>
    </xf>
    <xf numFmtId="4" fontId="22" fillId="35" borderId="18" xfId="0" applyFont="1" applyFill="1" applyBorder="1" applyNumberFormat="1">
      <alignment horizontal="right" vertical="center" wrapText="1"/>
    </xf>
    <xf numFmtId="0" fontId="46" fillId="0" borderId="13" xfId="0" applyFont="1" applyBorder="1" applyNumberFormat="1">
      <alignment horizontal="left" vertical="center" wrapText="1" indent="3"/>
    </xf>
    <xf numFmtId="49" fontId="46" fillId="0" borderId="13" xfId="0" applyFont="1" applyBorder="1" applyNumberFormat="1">
      <alignment vertical="center" wrapText="1"/>
    </xf>
    <xf numFmtId="49" fontId="46" fillId="0" borderId="13" xfId="0" applyFont="1" applyBorder="1" applyNumberFormat="1">
      <alignment vertical="center" wrapText="1"/>
    </xf>
    <xf numFmtId="0" fontId="46" fillId="0" borderId="18" xfId="0" applyFont="1" applyBorder="1" applyNumberFormat="1">
      <alignment vertical="top"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0" borderId="18" xfId="0" applyFont="1" applyBorder="1" applyNumberFormat="1">
      <alignment horizontal="center" vertical="center" wrapText="1"/>
    </xf>
    <xf numFmtId="0" fontId="22" fillId="0" borderId="15"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40" borderId="14" xfId="0" applyFont="1" applyFill="1" applyBorder="1" applyNumberFormat="1">
      <alignment horizontal="right" vertical="center" wrapText="1"/>
      <protection locked="0"/>
    </xf>
    <xf numFmtId="4" fontId="22" fillId="40" borderId="14" xfId="0" applyFont="1" applyFill="1" applyBorder="1" applyNumberFormat="1">
      <alignment horizontal="right" vertical="center" wrapText="1"/>
      <protection locked="0"/>
    </xf>
    <xf numFmtId="0" fontId="22" fillId="0" borderId="15" xfId="0" applyFont="1" applyBorder="1" applyNumberFormat="1">
      <alignment horizontal="left" vertical="center" wrapText="1" indent="1"/>
    </xf>
    <xf numFmtId="0" fontId="22" fillId="0" borderId="15" xfId="0" applyFont="1" applyBorder="1" applyNumberFormat="1">
      <alignment horizontal="left" vertical="center" wrapText="1"/>
    </xf>
    <xf numFmtId="0" fontId="22" fillId="0" borderId="24" xfId="0" applyFont="1" applyBorder="1" applyNumberFormat="1">
      <alignment horizontal="center" vertical="center" wrapText="1"/>
    </xf>
    <xf numFmtId="49" fontId="51" fillId="37" borderId="14" xfId="0" applyFont="1" applyFill="1" applyBorder="1" applyNumberFormat="1">
      <alignment horizontal="left" vertical="center" wrapText="1"/>
      <protection locked="0"/>
    </xf>
    <xf numFmtId="49" fontId="51" fillId="37" borderId="13" xfId="0" applyFont="1" applyFill="1" applyBorder="1" applyNumberFormat="1">
      <alignment horizontal="left" vertical="center" wrapText="1"/>
      <protection locked="0"/>
    </xf>
    <xf numFmtId="49" fontId="51" fillId="37" borderId="14" xfId="0" applyFont="1" applyFill="1" applyBorder="1" applyNumberFormat="1">
      <alignment horizontal="left" vertical="center" wrapText="1"/>
      <protection locked="0"/>
    </xf>
    <xf numFmtId="0" fontId="46" fillId="0" borderId="0" xfId="0" applyFont="1" applyNumberFormat="1">
      <alignment vertical="center" wrapText="1"/>
    </xf>
    <xf numFmtId="49" fontId="22" fillId="0" borderId="0" xfId="0" applyFont="1" applyNumberFormat="1">
      <alignment horizontal="center" vertical="center" wrapText="1"/>
    </xf>
    <xf numFmtId="0" fontId="22" fillId="0" borderId="13" xfId="0" applyFont="1" applyBorder="1" applyNumberFormat="1">
      <alignment horizontal="center" vertical="center" wrapText="1"/>
    </xf>
    <xf numFmtId="167" fontId="22" fillId="40" borderId="14" xfId="0" applyFont="1" applyFill="1" applyBorder="1" applyNumberFormat="1">
      <alignment horizontal="right" vertical="center" wrapText="1"/>
      <protection locked="0"/>
    </xf>
    <xf numFmtId="167" fontId="22" fillId="40" borderId="14" xfId="0" applyFont="1" applyFill="1" applyBorder="1" applyNumberFormat="1">
      <alignment horizontal="right" vertical="center" wrapText="1"/>
      <protection locked="0"/>
    </xf>
    <xf numFmtId="0" fontId="31" fillId="0" borderId="0" xfId="0" applyFont="1" applyNumberFormat="1">
      <alignment vertical="center" wrapText="1"/>
    </xf>
    <xf numFmtId="0" fontId="45" fillId="0" borderId="0" xfId="0" applyFont="1" applyNumberFormat="1">
      <alignment vertical="center" wrapText="1"/>
    </xf>
    <xf numFmtId="49" fontId="48" fillId="0" borderId="0" xfId="0" applyFont="1" applyNumberFormat="1">
      <alignment horizontal="center" vertical="center"/>
    </xf>
    <xf numFmtId="0" fontId="22" fillId="0" borderId="0" xfId="0" applyFont="1" applyNumberFormat="1">
      <alignment vertical="center" wrapText="1"/>
    </xf>
    <xf numFmtId="167" fontId="22" fillId="35" borderId="14" xfId="0" applyFont="1" applyFill="1" applyBorder="1" applyNumberFormat="1">
      <alignment horizontal="right" vertical="center" wrapText="1"/>
    </xf>
    <xf numFmtId="167" fontId="22" fillId="35" borderId="13" xfId="0" applyFont="1" applyFill="1" applyBorder="1" applyNumberFormat="1">
      <alignment horizontal="right" vertical="center" wrapText="1"/>
    </xf>
    <xf numFmtId="167" fontId="22" fillId="35" borderId="14" xfId="0" applyFont="1" applyFill="1" applyBorder="1" applyNumberFormat="1">
      <alignment horizontal="right" vertical="center" wrapText="1"/>
    </xf>
    <xf numFmtId="0" fontId="22" fillId="40" borderId="13" xfId="0" applyFont="1" applyFill="1" applyBorder="1" applyNumberFormat="1">
      <alignment horizontal="center" vertical="center" wrapText="1"/>
      <protection locked="0"/>
    </xf>
    <xf numFmtId="4" fontId="22" fillId="40" borderId="30" xfId="0" applyFont="1" applyFill="1" applyBorder="1" applyNumberFormat="1">
      <alignment horizontal="right" vertical="center" wrapText="1"/>
      <protection locked="0"/>
    </xf>
    <xf numFmtId="4" fontId="22" fillId="40" borderId="24" xfId="0" applyFont="1" applyFill="1" applyBorder="1" applyNumberFormat="1">
      <alignment horizontal="right" vertical="center" wrapText="1"/>
      <protection locked="0"/>
    </xf>
    <xf numFmtId="4" fontId="22" fillId="40" borderId="30" xfId="0" applyFont="1" applyFill="1" applyBorder="1" applyNumberFormat="1">
      <alignment horizontal="right" vertical="center" wrapText="1"/>
      <protection locked="0"/>
    </xf>
    <xf numFmtId="0" fontId="46" fillId="0" borderId="37" xfId="0" applyFont="1" applyBorder="1" applyNumberFormat="1">
      <alignment horizontal="left" vertical="center" wrapText="1" indent="1"/>
    </xf>
    <xf numFmtId="0" fontId="46" fillId="0" borderId="37" xfId="0" applyFont="1" applyBorder="1" applyNumberFormat="1">
      <alignment horizontal="center" vertical="center" wrapText="1"/>
    </xf>
    <xf numFmtId="0" fontId="46" fillId="0" borderId="18" xfId="0" applyFont="1" applyBorder="1" applyNumberFormat="1">
      <alignment vertical="center" wrapText="1"/>
    </xf>
    <xf numFmtId="49" fontId="22" fillId="38" borderId="38" xfId="0" applyFont="1" applyFill="1" applyBorder="1" applyNumberFormat="1">
      <alignment vertical="center" wrapText="1"/>
    </xf>
    <xf numFmtId="49" fontId="39" fillId="38" borderId="20" xfId="0" applyFont="1" applyFill="1" applyBorder="1" applyNumberFormat="1">
      <alignment horizontal="left" vertical="center" inden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4" fontId="22" fillId="37" borderId="14" xfId="0" applyFont="1" applyFill="1" applyBorder="1" applyNumberFormat="1">
      <alignment horizontal="right" vertical="center" wrapText="1"/>
      <protection locked="0"/>
    </xf>
    <xf numFmtId="0" fontId="22" fillId="0" borderId="14" xfId="0" applyFont="1" applyBorder="1" applyNumberFormat="1">
      <alignment horizontal="center" vertical="center" wrapText="1"/>
    </xf>
    <xf numFmtId="0" fontId="22" fillId="0" borderId="21" xfId="0" applyFont="1" applyBorder="1" applyNumberFormat="1">
      <alignment horizontal="center" vertical="center" wrapText="1"/>
    </xf>
    <xf numFmtId="167" fontId="22" fillId="40" borderId="18" xfId="0" applyFont="1" applyFill="1" applyBorder="1" applyNumberFormat="1">
      <alignment horizontal="right" vertical="center" wrapText="1"/>
      <protection locked="0"/>
    </xf>
    <xf numFmtId="167" fontId="22" fillId="40" borderId="18" xfId="0" applyFont="1" applyFill="1" applyBorder="1" applyNumberFormat="1">
      <alignment horizontal="right" vertical="center" wrapText="1"/>
      <protection locked="0"/>
    </xf>
    <xf numFmtId="0" fontId="46" fillId="0" borderId="24" xfId="0" applyFont="1" applyBorder="1" applyNumberFormat="1">
      <alignment horizontal="left" vertical="center" wrapText="1" indent="1"/>
    </xf>
    <xf numFmtId="0" fontId="46" fillId="0" borderId="18" xfId="0" applyFont="1" applyBorder="1" applyNumberFormat="1">
      <alignment horizontal="center" vertical="center" wrapText="1"/>
    </xf>
    <xf numFmtId="0" fontId="36" fillId="0" borderId="0" xfId="0" applyFont="1" applyNumberFormat="1">
      <alignment horizontal="center" vertical="center" wrapText="1"/>
    </xf>
    <xf numFmtId="49" fontId="22" fillId="38" borderId="38" xfId="0" applyFont="1" applyFill="1" applyBorder="1" applyNumberFormat="1">
      <alignment vertical="center" wrapText="1"/>
    </xf>
    <xf numFmtId="49" fontId="39" fillId="38" borderId="20" xfId="0" applyFont="1" applyFill="1" applyBorder="1" applyNumberFormat="1">
      <alignment horizontal="left" vertical="center" indent="1"/>
    </xf>
    <xf numFmtId="0" fontId="22" fillId="38" borderId="16"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0" borderId="24" xfId="0" applyFont="1" applyBorder="1" applyNumberFormat="1">
      <alignment vertical="top"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6" fillId="0" borderId="18" xfId="0" applyFont="1" applyBorder="1" applyNumberFormat="1">
      <alignment horizontal="left" vertical="center" wrapText="1" inden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49" fontId="51" fillId="37" borderId="13" xfId="0" applyFont="1" applyFill="1" applyBorder="1" applyNumberFormat="1">
      <alignment horizontal="left" vertical="center" wrapText="1"/>
      <protection locked="0"/>
    </xf>
    <xf numFmtId="49" fontId="51" fillId="37" borderId="13"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2" fillId="0" borderId="0" xfId="0" applyFont="1" applyNumberFormat="1">
      <alignment vertical="center"/>
    </xf>
    <xf numFmtId="0" fontId="70" fillId="0" borderId="0" xfId="0" applyFont="1" applyNumberFormat="1">
      <alignment vertical="center" wrapText="1"/>
    </xf>
    <xf numFmtId="0" fontId="61" fillId="0" borderId="0" xfId="0" applyFont="1" applyNumberFormat="1">
      <alignment vertical="center" wrapText="1"/>
    </xf>
    <xf numFmtId="0" fontId="61" fillId="0" borderId="0" xfId="0" applyFont="1" applyNumberFormat="1">
      <alignment vertical="center" wrapText="1"/>
    </xf>
    <xf numFmtId="0" fontId="89" fillId="0" borderId="0" xfId="0" applyFont="1" applyNumberFormat="1">
      <alignment vertical="center" wrapText="1"/>
    </xf>
    <xf numFmtId="49" fontId="89" fillId="0" borderId="0" xfId="0" applyFont="1" applyNumberFormat="1">
      <alignment horizontal="center" vertical="center" wrapText="1"/>
    </xf>
    <xf numFmtId="0" fontId="52" fillId="0" borderId="0" xfId="0" applyFont="1" applyNumberFormat="1">
      <alignment vertical="center" wrapText="1"/>
    </xf>
    <xf numFmtId="0" fontId="22" fillId="0" borderId="20" xfId="0" applyFont="1" applyBorder="1" applyNumberFormat="1">
      <alignment vertical="center" wrapText="1"/>
    </xf>
    <xf numFmtId="0" fontId="22" fillId="0" borderId="0" xfId="0" applyFont="1" applyNumberFormat="1">
      <alignment horizontal="center" vertical="center" wrapText="1"/>
    </xf>
    <xf numFmtId="49" fontId="31" fillId="0" borderId="0" xfId="0" applyFont="1" applyNumberFormat="1">
      <alignment horizontal="center" vertical="center" wrapText="1"/>
    </xf>
    <xf numFmtId="0" fontId="22" fillId="0" borderId="28" xfId="0" applyFont="1" applyBorder="1" applyNumberFormat="1">
      <alignment vertical="center" wrapText="1"/>
    </xf>
    <xf numFmtId="0" fontId="46" fillId="0" borderId="0" xfId="0" applyFont="1" applyNumberFormat="1">
      <alignment vertical="center" wrapText="1"/>
    </xf>
    <xf numFmtId="0" fontId="31" fillId="0" borderId="0" xfId="0" applyFont="1" applyNumberFormat="1">
      <alignment vertical="center" wrapText="1"/>
    </xf>
    <xf numFmtId="0" fontId="48" fillId="0" borderId="0" xfId="0" applyFont="1" applyNumberFormat="1">
      <alignment horizontal="center" vertical="center" wrapText="1"/>
    </xf>
    <xf numFmtId="49" fontId="61" fillId="0" borderId="0" xfId="0" applyFont="1" applyNumberFormat="1">
      <alignment horizontal="center" vertical="center" wrapText="1"/>
    </xf>
    <xf numFmtId="0" fontId="70" fillId="0" borderId="0" xfId="0" applyFont="1" applyNumberFormat="1">
      <alignment horizontal="center" vertical="center" wrapText="1"/>
    </xf>
    <xf numFmtId="0" fontId="98" fillId="0" borderId="0" xfId="0" applyFont="1" applyNumberFormat="1">
      <alignment horizontal="center" vertical="center" wrapText="1"/>
    </xf>
    <xf numFmtId="0" fontId="99" fillId="36" borderId="0" xfId="0" applyFont="1" applyFill="1" applyNumberFormat="1">
      <alignment horizontal="right" vertical="center"/>
    </xf>
    <xf numFmtId="0" fontId="69" fillId="0" borderId="0" xfId="0" applyFont="1" applyNumberFormat="1">
      <alignment vertical="center" wrapText="1"/>
    </xf>
    <xf numFmtId="0" fontId="22" fillId="0" borderId="13" xfId="0" applyFont="1" applyBorder="1" applyNumberFormat="1">
      <alignment horizontal="center" vertical="center" wrapText="1"/>
    </xf>
    <xf numFmtId="49" fontId="46" fillId="0" borderId="0" xfId="0" applyFont="1" applyNumberFormat="1">
      <alignment horizontal="center" vertical="center" wrapText="1"/>
    </xf>
    <xf numFmtId="49" fontId="46" fillId="0" borderId="0" xfId="0" applyFont="1" applyNumberFormat="1">
      <alignment horizontal="center" vertical="center" wrapText="1"/>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48" fillId="0" borderId="0" xfId="0" applyFont="1" applyNumberFormat="1">
      <alignment horizontal="center" vertical="center" wrapText="1"/>
    </xf>
    <xf numFmtId="0" fontId="69" fillId="0" borderId="0" xfId="0" applyFont="1" applyNumberFormat="1">
      <alignment vertical="center" wrapText="1"/>
    </xf>
    <xf numFmtId="0" fontId="46" fillId="0" borderId="0" xfId="0" applyFont="1" applyNumberFormat="1">
      <alignment vertical="center" wrapText="1"/>
    </xf>
    <xf numFmtId="0" fontId="3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6"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5" borderId="13" xfId="0" applyFont="1" applyFill="1" applyBorder="1" applyNumberFormat="1">
      <alignment horizontal="left" vertical="center" wrapText="1" indent="1"/>
    </xf>
    <xf numFmtId="0" fontId="22" fillId="0" borderId="14" xfId="0" applyFont="1" applyBorder="1" applyNumberFormat="1">
      <alignment horizontal="left" vertical="center" wrapText="1" indent="1"/>
    </xf>
    <xf numFmtId="49" fontId="46" fillId="0" borderId="23" xfId="0" applyFont="1" applyBorder="1" applyNumberFormat="1">
      <alignment vertical="top"/>
    </xf>
    <xf numFmtId="49" fontId="46"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0" fontId="45" fillId="0" borderId="0" xfId="0" applyFont="1" applyNumberFormat="1">
      <alignment horizontal="center" vertical="top"/>
    </xf>
    <xf numFmtId="49" fontId="45" fillId="0" borderId="0" xfId="0" applyFont="1" applyNumberFormat="1">
      <alignment vertical="top"/>
    </xf>
    <xf numFmtId="0" fontId="45" fillId="0" borderId="0" xfId="0" applyFont="1" applyNumberFormat="1">
      <alignment vertical="top"/>
    </xf>
    <xf numFmtId="0" fontId="72" fillId="0" borderId="0" xfId="0" applyFont="1" applyNumberFormat="1">
      <alignment vertical="top"/>
    </xf>
    <xf numFmtId="0" fontId="85" fillId="0" borderId="0" xfId="0" applyFont="1" applyNumberFormat="1">
      <alignment vertical="top"/>
    </xf>
    <xf numFmtId="49" fontId="46" fillId="0" borderId="37" xfId="0" applyFont="1" applyBorder="1" applyNumberFormat="1">
      <alignment horizontal="center" vertical="center" wrapText="1"/>
    </xf>
    <xf numFmtId="0" fontId="45" fillId="0" borderId="0" xfId="0" applyFont="1" applyNumberFormat="1">
      <alignment horizontal="center" vertical="center" wrapText="1"/>
    </xf>
    <xf numFmtId="0" fontId="22" fillId="0" borderId="24" xfId="0" applyFont="1" applyBorder="1" applyNumberFormat="1">
      <alignment horizontal="left" vertical="center" wrapText="1"/>
    </xf>
    <xf numFmtId="2" fontId="22" fillId="0" borderId="24" xfId="0" applyFont="1" applyBorder="1" applyNumberFormat="1">
      <alignment horizontal="center" vertical="center" wrapText="1"/>
    </xf>
    <xf numFmtId="0" fontId="22" fillId="0" borderId="13" xfId="0" applyFont="1" applyBorder="1" applyNumberFormat="1">
      <alignment horizontal="left" vertical="center" wrapText="1"/>
    </xf>
    <xf numFmtId="49" fontId="46" fillId="0" borderId="23" xfId="0" applyFont="1" applyBorder="1" applyNumberFormat="1">
      <alignment vertical="top"/>
    </xf>
    <xf numFmtId="0" fontId="46" fillId="0" borderId="0" xfId="0" applyFont="1" applyNumberFormat="1">
      <alignment horizontal="center" vertical="center" wrapText="1"/>
    </xf>
    <xf numFmtId="0" fontId="46" fillId="0" borderId="13" xfId="0" applyFont="1" applyBorder="1" applyNumberFormat="1">
      <alignment horizontal="left" vertical="center" wrapText="1"/>
    </xf>
    <xf numFmtId="0" fontId="46" fillId="0" borderId="13" xfId="0" applyFont="1" applyBorder="1" applyNumberFormat="1">
      <alignment vertical="center" wrapText="1"/>
    </xf>
    <xf numFmtId="0" fontId="46" fillId="0" borderId="23" xfId="0" applyFont="1" applyBorder="1" applyNumberFormat="1">
      <alignment vertical="center" wrapText="1"/>
    </xf>
    <xf numFmtId="49" fontId="39" fillId="38" borderId="15" xfId="0" applyFont="1" applyFill="1" applyBorder="1" applyNumberFormat="1">
      <alignment horizontal="left" vertical="center"/>
    </xf>
    <xf numFmtId="49" fontId="39" fillId="38" borderId="16" xfId="0" applyFont="1" applyFill="1" applyBorder="1" applyNumberFormat="1">
      <alignment horizontal="left" vertical="center" indent="1"/>
    </xf>
    <xf numFmtId="49" fontId="39" fillId="38" borderId="16" xfId="0" applyFont="1" applyFill="1" applyBorder="1" applyNumberFormat="1">
      <alignment horizontal="left" vertical="center"/>
    </xf>
    <xf numFmtId="49" fontId="39" fillId="38" borderId="14" xfId="0" applyFont="1" applyFill="1" applyBorder="1" applyNumberFormat="1">
      <alignment horizontal="left" vertical="center" indent="1"/>
    </xf>
    <xf numFmtId="0" fontId="22" fillId="0" borderId="24" xfId="0" applyFont="1" applyBorder="1" applyNumberFormat="1">
      <alignment horizontal="left" vertical="center" wrapText="1"/>
    </xf>
    <xf numFmtId="0" fontId="22" fillId="0" borderId="13" xfId="0" applyFont="1" applyBorder="1" applyNumberFormat="1">
      <alignment horizontal="left" vertical="center" wrapText="1"/>
    </xf>
    <xf numFmtId="0" fontId="45" fillId="0" borderId="0" xfId="0" applyFont="1" applyNumberFormat="1">
      <alignment horizontal="center" vertical="top"/>
    </xf>
    <xf numFmtId="0" fontId="46" fillId="0" borderId="0" xfId="0" applyFont="1" applyNumberFormat="1">
      <alignment horizontal="center" vertical="center" wrapText="1"/>
    </xf>
    <xf numFmtId="49" fontId="46" fillId="0" borderId="24" xfId="0" applyFont="1" applyBorder="1" applyNumberFormat="1">
      <alignment horizontal="center" vertical="center" wrapText="1"/>
    </xf>
    <xf numFmtId="49" fontId="22" fillId="0" borderId="18" xfId="0" applyFont="1" applyBorder="1" applyNumberFormat="1">
      <alignment horizontal="center" vertical="center" wrapText="1"/>
    </xf>
    <xf numFmtId="49" fontId="0" fillId="0" borderId="0" xfId="0" applyFont="1" applyNumberFormat="1">
      <alignment vertical="top"/>
    </xf>
    <xf numFmtId="49" fontId="22" fillId="0" borderId="37" xfId="0" applyFont="1" applyBorder="1" applyNumberFormat="1">
      <alignment horizontal="center" vertical="center" wrapText="1"/>
    </xf>
    <xf numFmtId="0" fontId="45" fillId="0" borderId="0" xfId="0" applyFont="1" applyNumberFormat="1">
      <alignment horizontal="center" vertical="center" wrapText="1"/>
    </xf>
    <xf numFmtId="0" fontId="22" fillId="0" borderId="13" xfId="0" applyFont="1" applyBorder="1" applyNumberFormat="1">
      <alignment horizontal="left" vertical="center" wrapText="1"/>
    </xf>
    <xf numFmtId="0" fontId="46" fillId="0" borderId="0" xfId="0" applyFont="1" applyNumberFormat="1">
      <alignment horizontal="center" vertical="center" wrapText="1"/>
    </xf>
    <xf numFmtId="0" fontId="39" fillId="0" borderId="13" xfId="0" applyFont="1" applyBorder="1" applyNumberFormat="1">
      <alignment horizontal="left" vertical="center" indent="1"/>
    </xf>
    <xf numFmtId="0" fontId="46" fillId="0" borderId="24" xfId="0" applyFont="1" applyBorder="1" applyNumberFormat="1">
      <alignment vertical="center" wrapText="1"/>
    </xf>
    <xf numFmtId="4" fontId="46" fillId="0" borderId="13" xfId="0" applyFont="1" applyBorder="1" applyNumberFormat="1">
      <alignment horizontal="right" vertical="center" wrapText="1"/>
    </xf>
    <xf numFmtId="2" fontId="46" fillId="0" borderId="24" xfId="0" applyFont="1" applyBorder="1" applyNumberFormat="1">
      <alignment horizontal="center" vertical="center" wrapText="1"/>
    </xf>
    <xf numFmtId="0" fontId="46" fillId="0" borderId="0" xfId="0" applyFont="1" applyNumberFormat="1">
      <alignment horizontal="center" vertical="top"/>
    </xf>
    <xf numFmtId="49" fontId="46" fillId="0" borderId="0" xfId="0" applyFont="1" applyNumberFormat="1">
      <alignment vertical="top"/>
    </xf>
    <xf numFmtId="49" fontId="22" fillId="0" borderId="24" xfId="0" applyFont="1" applyBorder="1" applyNumberFormat="1">
      <alignment horizontal="center" vertical="center" wrapText="1"/>
    </xf>
    <xf numFmtId="49" fontId="46" fillId="0" borderId="15" xfId="0" applyFont="1" applyBorder="1" applyNumberFormat="1">
      <alignment horizontal="left" vertical="center"/>
    </xf>
    <xf numFmtId="49" fontId="46" fillId="0" borderId="16" xfId="0" applyFont="1" applyBorder="1" applyNumberFormat="1">
      <alignment horizontal="left" vertical="center" indent="1"/>
    </xf>
    <xf numFmtId="49" fontId="46" fillId="0" borderId="16" xfId="0" applyFont="1" applyBorder="1" applyNumberFormat="1">
      <alignment horizontal="left" vertical="center"/>
    </xf>
    <xf numFmtId="49" fontId="46" fillId="0" borderId="14" xfId="0" applyFont="1" applyBorder="1" applyNumberFormat="1">
      <alignment horizontal="left" vertical="center" indent="1"/>
    </xf>
    <xf numFmtId="0" fontId="46" fillId="0" borderId="13" xfId="0" applyFont="1" applyBorder="1" applyNumberFormat="1">
      <alignment horizontal="left" vertical="center" indent="1"/>
    </xf>
    <xf numFmtId="49" fontId="0" fillId="0" borderId="0" xfId="0" applyFont="1" applyNumberFormat="1">
      <alignment vertical="top"/>
    </xf>
    <xf numFmtId="49" fontId="46" fillId="0" borderId="0" xfId="0" applyFont="1" applyNumberFormat="1">
      <alignment vertical="top"/>
    </xf>
    <xf numFmtId="49" fontId="39" fillId="0" borderId="20"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4" fillId="0" borderId="0" xfId="0" applyFont="1" applyNumberFormat="1">
      <alignment horizontal="right" vertical="top" wrapText="1"/>
    </xf>
    <xf numFmtId="0" fontId="44" fillId="0" borderId="0" xfId="0" applyFont="1" applyNumberFormat="1">
      <alignment horizontal="left" vertical="top" wrapText="1"/>
    </xf>
    <xf numFmtId="49" fontId="31" fillId="0" borderId="0" xfId="0" applyFont="1" applyNumberFormat="1">
      <alignment horizontal="center" vertical="center" wrapText="1"/>
    </xf>
    <xf numFmtId="0" fontId="45" fillId="52" borderId="13" xfId="0" applyFont="1" applyFill="1" applyBorder="1" applyNumberFormat="1">
      <alignment horizontal="left" vertical="center" wrapText="1"/>
    </xf>
    <xf numFmtId="0" fontId="22" fillId="51" borderId="13" xfId="0" applyFont="1" applyFill="1" applyBorder="1" applyNumberFormat="1">
      <alignment vertical="center"/>
    </xf>
    <xf numFmtId="49" fontId="0" fillId="7" borderId="13" xfId="0" applyFont="1" applyFill="1" applyBorder="1" applyNumberFormat="1">
      <alignment horizontal="center" vertical="center" wrapText="1"/>
    </xf>
    <xf numFmtId="49" fontId="0" fillId="7" borderId="13" xfId="0" applyFont="1" applyFill="1" applyBorder="1" applyNumberFormat="1">
      <alignment horizontal="center" vertical="center" wrapText="1"/>
    </xf>
    <xf numFmtId="49" fontId="35" fillId="0" borderId="0" xfId="0" applyFont="1" applyNumberFormat="1">
      <alignment horizontal="center" vertical="center" wrapText="1"/>
    </xf>
    <xf numFmtId="49"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49" fontId="124" fillId="0" borderId="18"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20" xfId="0" applyFont="1" applyBorder="1" applyNumberFormat="1">
      <alignment horizontal="left" vertical="center" wrapText="1" indent="1"/>
    </xf>
    <xf numFmtId="49" fontId="124" fillId="0" borderId="13" xfId="0" applyFont="1" applyBorder="1" applyNumberFormat="1">
      <alignment horizontal="center" vertical="center" wrapText="1"/>
    </xf>
    <xf numFmtId="0" fontId="22" fillId="35" borderId="15" xfId="0" applyFont="1" applyFill="1" applyBorder="1" applyNumberFormat="1">
      <alignment horizontal="left" vertical="top" wrapText="1"/>
    </xf>
    <xf numFmtId="0" fontId="46" fillId="0" borderId="15" xfId="0" applyFont="1" applyBorder="1" applyNumberFormat="1">
      <alignment vertical="center" wrapText="1"/>
    </xf>
    <xf numFmtId="0" fontId="22" fillId="0" borderId="16" xfId="0" applyFont="1" applyBorder="1" applyNumberFormat="1">
      <alignment horizontal="right" vertical="center" wrapText="1" indent="1"/>
    </xf>
    <xf numFmtId="0" fontId="22" fillId="0" borderId="20"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89"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9" xfId="0" applyFont="1" applyBorder="1" applyNumberFormat="1">
      <alignment horizontal="center" vertical="center" wrapText="1"/>
    </xf>
    <xf numFmtId="0" fontId="22" fillId="0" borderId="13" xfId="0" applyFont="1" applyBorder="1" applyNumberFormat="1">
      <alignment horizontal="left" vertical="center" wrapText="1"/>
    </xf>
    <xf numFmtId="49" fontId="51" fillId="37" borderId="15" xfId="0" applyFont="1" applyFill="1" applyBorder="1" applyNumberFormat="1">
      <alignment horizontal="left" vertical="center" wrapText="1"/>
      <protection locked="0"/>
    </xf>
    <xf numFmtId="49" fontId="51" fillId="37" borderId="15" xfId="0" applyFont="1" applyFill="1" applyBorder="1" applyNumberFormat="1">
      <alignment horizontal="left" vertical="center" wrapText="1"/>
      <protection locked="0"/>
    </xf>
    <xf numFmtId="49" fontId="22" fillId="0" borderId="58" xfId="0" applyFont="1" applyBorder="1" applyNumberFormat="1">
      <alignment horizontal="center" vertical="center" wrapText="1"/>
    </xf>
    <xf numFmtId="0" fontId="22" fillId="0" borderId="18" xfId="0" applyFont="1" applyBorder="1" applyNumberFormat="1">
      <alignment horizontal="left" vertical="center" wrapText="1"/>
    </xf>
    <xf numFmtId="0" fontId="22" fillId="0" borderId="18" xfId="0" applyFont="1" applyBorder="1" applyNumberFormat="1">
      <alignment horizontal="center" vertical="center" wrapText="1"/>
    </xf>
    <xf numFmtId="4" fontId="22" fillId="40" borderId="38" xfId="0" applyFont="1" applyFill="1" applyBorder="1" applyNumberFormat="1">
      <alignment horizontal="right" vertical="center" wrapText="1"/>
      <protection locked="0"/>
    </xf>
    <xf numFmtId="4" fontId="22" fillId="40" borderId="18" xfId="0" applyFont="1" applyFill="1" applyBorder="1" applyNumberFormat="1">
      <alignment horizontal="right" vertical="center" wrapText="1"/>
      <protection locked="0"/>
    </xf>
    <xf numFmtId="4" fontId="22" fillId="40" borderId="38" xfId="0" applyFont="1" applyFill="1" applyBorder="1" applyNumberFormat="1">
      <alignment horizontal="right" vertical="center" wrapText="1"/>
      <protection locked="0"/>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49" fontId="22" fillId="0" borderId="59" xfId="0" applyFont="1" applyBorder="1" applyNumberFormat="1">
      <alignment horizontal="center" vertical="center" wrapText="1"/>
    </xf>
    <xf numFmtId="0" fontId="22" fillId="0" borderId="16" xfId="0" applyFont="1" applyBorder="1" applyNumberFormat="1">
      <alignment horizontal="center" vertical="center" wrapText="1"/>
    </xf>
    <xf numFmtId="4" fontId="22" fillId="40" borderId="15" xfId="0" applyFont="1" applyFill="1" applyBorder="1" applyNumberFormat="1">
      <alignment horizontal="right" vertical="center" wrapText="1"/>
      <protection locked="0"/>
    </xf>
    <xf numFmtId="4" fontId="22" fillId="40" borderId="15" xfId="0" applyFont="1" applyFill="1" applyBorder="1" applyNumberFormat="1">
      <alignment horizontal="right" vertical="center" wrapText="1"/>
      <protection locked="0"/>
    </xf>
    <xf numFmtId="49" fontId="22" fillId="0" borderId="60" xfId="0" applyFont="1" applyBorder="1" applyNumberFormat="1">
      <alignment horizontal="center" vertical="center" wrapText="1"/>
    </xf>
    <xf numFmtId="3" fontId="22" fillId="40" borderId="15" xfId="0" applyFont="1" applyFill="1" applyBorder="1" applyNumberFormat="1">
      <alignment horizontal="right" vertical="center" wrapText="1"/>
      <protection locked="0"/>
    </xf>
    <xf numFmtId="3" fontId="22" fillId="40" borderId="15" xfId="0" applyFont="1" applyFill="1" applyBorder="1" applyNumberFormat="1">
      <alignment horizontal="right" vertical="center" wrapText="1"/>
      <protection locked="0"/>
    </xf>
    <xf numFmtId="0" fontId="22" fillId="0" borderId="18" xfId="0" applyFont="1" applyBorder="1" applyNumberFormat="1">
      <alignment horizontal="left" vertical="center" wrapText="1"/>
    </xf>
    <xf numFmtId="0" fontId="22" fillId="0" borderId="38"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49" fontId="51" fillId="40" borderId="15" xfId="0" applyFont="1" applyFill="1" applyBorder="1" applyNumberFormat="1">
      <alignment horizontal="left" vertical="center" wrapText="1"/>
      <protection locked="0"/>
    </xf>
    <xf numFmtId="49" fontId="51" fillId="40" borderId="15"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19" fillId="0" borderId="0" xfId="0" applyFont="1" applyNumberFormat="1">
      <alignment horizontal="center" vertical="center" wrapText="1"/>
    </xf>
    <xf numFmtId="49" fontId="0" fillId="36" borderId="13" xfId="0" applyFont="1" applyFill="1" applyBorder="1" applyNumberFormat="1">
      <alignment horizontal="center" vertical="center" wrapText="1"/>
    </xf>
    <xf numFmtId="49" fontId="0" fillId="40" borderId="13" xfId="0" applyFont="1" applyFill="1" applyBorder="1" applyNumberFormat="1">
      <alignment horizontal="left" vertical="center" wrapText="1" indent="1"/>
      <protection locked="0"/>
    </xf>
    <xf numFmtId="0" fontId="22" fillId="0" borderId="13" xfId="0" applyFont="1" applyBorder="1" applyNumberFormat="1">
      <alignment vertical="top" wrapText="1"/>
    </xf>
    <xf numFmtId="0" fontId="22" fillId="36" borderId="0" xfId="0" applyFont="1" applyFill="1" applyNumberFormat="1">
      <alignment horizontal="right" vertical="center" wrapText="1"/>
    </xf>
    <xf numFmtId="0" fontId="62" fillId="0" borderId="0" xfId="0" applyFont="1" applyNumberFormat="1">
      <alignment vertical="center" wrapText="1"/>
    </xf>
    <xf numFmtId="0" fontId="22" fillId="36" borderId="0" xfId="0" applyFont="1" applyFill="1" applyNumberFormat="1">
      <alignment horizontal="right" vertical="center"/>
    </xf>
    <xf numFmtId="0" fontId="22" fillId="36" borderId="15" xfId="0" applyFont="1" applyFill="1" applyBorder="1" applyNumberFormat="1">
      <alignment horizontal="center" vertical="center" wrapText="1"/>
    </xf>
    <xf numFmtId="0" fontId="22" fillId="36" borderId="16" xfId="0" applyFont="1" applyFill="1" applyBorder="1" applyNumberFormat="1">
      <alignment horizontal="center" vertical="center" wrapText="1"/>
    </xf>
    <xf numFmtId="0" fontId="22" fillId="36" borderId="21" xfId="0" applyFont="1" applyFill="1" applyBorder="1" applyNumberFormat="1">
      <alignment horizontal="center" vertical="center" wrapText="1"/>
    </xf>
    <xf numFmtId="0" fontId="22" fillId="36" borderId="13" xfId="0" applyFont="1" applyFill="1" applyBorder="1" applyNumberFormat="1">
      <alignment horizontal="center" vertical="center"/>
    </xf>
    <xf numFmtId="0" fontId="22"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left" vertical="top" wrapText="1"/>
    </xf>
    <xf numFmtId="0" fontId="0" fillId="0" borderId="13" xfId="0" applyFont="1" applyBorder="1" applyNumberFormat="1">
      <alignment horizontal="left" vertical="center" wrapText="1"/>
    </xf>
    <xf numFmtId="49" fontId="22" fillId="0" borderId="0" xfId="0" applyFont="1" applyNumberFormat="1">
      <alignment vertical="top"/>
    </xf>
    <xf numFmtId="0" fontId="22" fillId="38" borderId="15" xfId="0" applyFont="1" applyFill="1" applyBorder="1" applyNumberFormat="1">
      <alignment vertical="center" wrapText="1"/>
    </xf>
    <xf numFmtId="49" fontId="43" fillId="38" borderId="14" xfId="0" applyFont="1" applyFill="1" applyBorder="1" applyNumberFormat="1">
      <alignment horizontal="center" vertical="top"/>
    </xf>
    <xf numFmtId="49" fontId="39" fillId="0" borderId="20" xfId="0" applyFont="1" applyBorder="1" applyNumberFormat="1">
      <alignment horizontal="left" vertical="center"/>
    </xf>
    <xf numFmtId="49" fontId="39" fillId="0" borderId="20" xfId="0" applyFont="1" applyBorder="1" applyNumberFormat="1">
      <alignment horizontal="left" vertical="center" indent="2"/>
    </xf>
    <xf numFmtId="49" fontId="43" fillId="0" borderId="20"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5" borderId="15" xfId="0" applyFont="1" applyFill="1" applyBorder="1" applyNumberFormat="1">
      <alignment horizontal="left" vertical="top" wrapText="1"/>
    </xf>
    <xf numFmtId="0" fontId="46" fillId="0" borderId="16" xfId="0" applyFont="1" applyBorder="1" applyNumberFormat="1">
      <alignment horizontal="right" vertical="center" wrapText="1" indent="1"/>
    </xf>
    <xf numFmtId="0" fontId="46" fillId="0" borderId="14" xfId="0" applyFont="1" applyBorder="1" applyNumberFormat="1">
      <alignment horizontal="right" vertical="center" wrapText="1" indent="1"/>
    </xf>
    <xf numFmtId="0" fontId="46" fillId="0" borderId="15" xfId="0" applyFont="1" applyBorder="1" applyNumberFormat="1">
      <alignment horizontal="left" vertical="top" wrapText="1"/>
    </xf>
    <xf numFmtId="0" fontId="46" fillId="0" borderId="15" xfId="0" applyFont="1" applyBorder="1" applyNumberFormat="1">
      <alignment horizontal="left" vertical="top" wrapText="1"/>
    </xf>
    <xf numFmtId="0" fontId="22" fillId="0" borderId="16"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0" fontId="22" fillId="0" borderId="13"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4" fontId="22" fillId="40" borderId="18" xfId="0" applyFont="1" applyFill="1" applyBorder="1" applyNumberFormat="1">
      <alignment horizontal="right" vertical="center" wrapText="1"/>
      <protection locked="0"/>
    </xf>
    <xf numFmtId="0" fontId="22" fillId="0" borderId="18" xfId="0" applyFont="1" applyBorder="1" applyNumberFormat="1">
      <alignment horizontal="center" vertical="center" wrapText="1"/>
    </xf>
    <xf numFmtId="49" fontId="39" fillId="38" borderId="20" xfId="0" applyFont="1" applyFill="1" applyBorder="1" applyNumberFormat="1">
      <alignment horizontal="left" vertical="center" indent="2"/>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4" fontId="22" fillId="36" borderId="18" xfId="0" applyFont="1" applyFill="1" applyBorder="1" applyNumberFormat="1">
      <alignment horizontal="right" vertical="center" wrapText="1"/>
      <protection locked="0"/>
    </xf>
    <xf numFmtId="4" fontId="22" fillId="36" borderId="18" xfId="0" applyFont="1" applyFill="1" applyBorder="1" applyNumberFormat="1">
      <alignment horizontal="right" vertical="center" wrapText="1"/>
      <protection locked="0"/>
    </xf>
    <xf numFmtId="49" fontId="0" fillId="0" borderId="0" xfId="0" applyFont="1" applyNumberFormat="1">
      <alignment vertical="top"/>
    </xf>
    <xf numFmtId="49" fontId="89" fillId="0" borderId="0" xfId="0" applyFont="1" applyNumberFormat="1">
      <alignment horizontal="center" vertical="center" wrapText="1"/>
    </xf>
    <xf numFmtId="0" fontId="45" fillId="0" borderId="0" xfId="0" applyFont="1" applyNumberFormat="1">
      <alignment vertical="center" wrapText="1"/>
    </xf>
    <xf numFmtId="0" fontId="46" fillId="0" borderId="0" xfId="0" applyFont="1" applyNumberFormat="1">
      <alignment vertical="center" wrapText="1"/>
    </xf>
    <xf numFmtId="49" fontId="22" fillId="0" borderId="0" xfId="0" applyFont="1" applyNumberFormat="1">
      <alignment horizontal="center" vertical="center" wrapText="1"/>
    </xf>
    <xf numFmtId="49" fontId="22" fillId="0" borderId="60" xfId="0" applyFont="1" applyBorder="1" applyNumberFormat="1">
      <alignment horizontal="center" vertical="center" wrapText="1"/>
    </xf>
    <xf numFmtId="0" fontId="22" fillId="0" borderId="13" xfId="0" applyFont="1" applyBorder="1" applyNumberFormat="1">
      <alignment horizontal="left" vertical="center" wrapText="1" indent="2"/>
    </xf>
    <xf numFmtId="0" fontId="22" fillId="0" borderId="14" xfId="0" applyFont="1" applyBorder="1" applyNumberFormat="1">
      <alignment horizontal="center" vertical="center" wrapText="1"/>
    </xf>
    <xf numFmtId="4" fontId="22" fillId="37" borderId="18" xfId="0" applyFont="1" applyFill="1" applyBorder="1" applyNumberFormat="1">
      <alignment horizontal="right" vertical="center" wrapText="1"/>
      <protection locked="0"/>
    </xf>
    <xf numFmtId="0" fontId="22" fillId="0" borderId="13" xfId="0" applyFont="1" applyBorder="1" applyNumberFormat="1">
      <alignment vertical="center" wrapText="1"/>
    </xf>
    <xf numFmtId="0" fontId="82" fillId="0" borderId="0" xfId="0" applyFont="1" applyNumberFormat="1">
      <alignment vertical="center" wrapText="1"/>
    </xf>
    <xf numFmtId="0" fontId="52" fillId="0" borderId="0" xfId="0" applyFont="1" applyNumberFormat="1">
      <alignment vertical="center" wrapText="1"/>
    </xf>
    <xf numFmtId="0" fontId="31"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5" borderId="15" xfId="0" applyFont="1" applyFill="1" applyBorder="1" applyNumberFormat="1">
      <alignment horizontal="left" vertical="top" wrapText="1"/>
    </xf>
    <xf numFmtId="0" fontId="22" fillId="0" borderId="16"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0" fontId="22" fillId="0" borderId="18" xfId="0" applyFont="1" applyBorder="1" applyNumberFormat="1">
      <alignment horizontal="left" vertical="center" wrapText="1" indent="1"/>
    </xf>
    <xf numFmtId="0" fontId="22" fillId="0" borderId="18" xfId="0" applyFont="1" applyBorder="1" applyNumberFormat="1">
      <alignment horizontal="center"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49" fontId="0" fillId="0" borderId="0" xfId="0" applyFont="1" applyNumberFormat="1">
      <alignment vertical="top"/>
    </xf>
    <xf numFmtId="49" fontId="22" fillId="0" borderId="59" xfId="0" applyFont="1" applyBorder="1" applyNumberFormat="1">
      <alignment horizontal="center" vertical="center" wrapText="1"/>
    </xf>
    <xf numFmtId="49" fontId="0" fillId="0" borderId="13" xfId="0" applyFont="1" applyBorder="1" applyNumberFormat="1">
      <alignment horizontal="left" vertical="center" wrapText="1" indent="1"/>
    </xf>
    <xf numFmtId="4" fontId="22" fillId="40" borderId="13" xfId="0" applyFont="1" applyFill="1" applyBorder="1" applyNumberFormat="1">
      <alignment horizontal="right" vertical="center" wrapText="1"/>
      <protection locked="0"/>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167" fontId="22" fillId="36" borderId="13" xfId="0" applyFont="1" applyFill="1" applyBorder="1" applyNumberFormat="1">
      <alignment horizontal="right" vertical="center" wrapText="1"/>
      <protection locked="0"/>
    </xf>
    <xf numFmtId="167" fontId="22" fillId="36" borderId="13" xfId="0" applyFont="1" applyFill="1" applyBorder="1" applyNumberFormat="1">
      <alignment horizontal="right" vertical="center" wrapText="1"/>
      <protection locked="0"/>
    </xf>
    <xf numFmtId="49" fontId="0" fillId="0" borderId="0" xfId="0" applyFont="1" applyNumberFormat="1">
      <alignment vertical="top"/>
    </xf>
    <xf numFmtId="167" fontId="22" fillId="37"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5" fillId="0" borderId="0" xfId="0" applyFont="1" applyNumberFormat="1">
      <alignment horizontal="center" vertical="center" wrapText="1"/>
    </xf>
    <xf numFmtId="49" fontId="45" fillId="0" borderId="0" xfId="0" applyFont="1" applyNumberFormat="1">
      <alignment horizontal="center" vertical="center" wrapText="1"/>
    </xf>
    <xf numFmtId="0" fontId="71" fillId="36" borderId="0" xfId="0" applyFont="1" applyFill="1" applyNumberFormat="1">
      <alignment horizontal="right" vertical="center"/>
    </xf>
    <xf numFmtId="0" fontId="46" fillId="0" borderId="28" xfId="0" applyFont="1" applyBorder="1" applyNumberFormat="1">
      <alignment vertical="center" wrapText="1"/>
    </xf>
    <xf numFmtId="0" fontId="46" fillId="0" borderId="28" xfId="0" applyFont="1" applyBorder="1" applyNumberFormat="1">
      <alignment vertical="center" wrapText="1"/>
    </xf>
    <xf numFmtId="0" fontId="22" fillId="35" borderId="15" xfId="0" applyFont="1" applyFill="1" applyBorder="1" applyNumberFormat="1">
      <alignment horizontal="left" vertical="top" wrapText="1"/>
    </xf>
    <xf numFmtId="0" fontId="22" fillId="35" borderId="14" xfId="0" applyFont="1" applyFill="1" applyBorder="1" applyNumberFormat="1">
      <alignment horizontal="left" vertical="top" wrapText="1"/>
    </xf>
    <xf numFmtId="0" fontId="22" fillId="35" borderId="14" xfId="0" applyFont="1" applyFill="1" applyBorder="1" applyNumberFormat="1">
      <alignment horizontal="left" vertical="top" wrapText="1"/>
    </xf>
    <xf numFmtId="49" fontId="45" fillId="0" borderId="0" xfId="0" applyFont="1" applyNumberFormat="1">
      <alignment horizontal="center" vertical="center" wrapText="1"/>
    </xf>
    <xf numFmtId="49" fontId="45" fillId="0" borderId="0" xfId="0" applyFont="1" applyNumberFormat="1">
      <alignment horizontal="center" vertical="center" wrapText="1"/>
    </xf>
    <xf numFmtId="0" fontId="22" fillId="0" borderId="16" xfId="0" applyFont="1" applyBorder="1" applyNumberFormat="1">
      <alignment horizontal="center" vertical="center" wrapText="1"/>
    </xf>
    <xf numFmtId="0" fontId="22" fillId="0" borderId="16" xfId="0" applyFont="1" applyBorder="1" applyNumberFormat="1">
      <alignment horizontal="center" vertical="center" wrapText="1"/>
    </xf>
    <xf numFmtId="0" fontId="22" fillId="0" borderId="0" xfId="0" applyFont="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horizontal="left" vertical="top" wrapText="1"/>
    </xf>
    <xf numFmtId="49" fontId="46" fillId="0" borderId="0" xfId="0" applyFont="1" applyNumberFormat="1">
      <alignment horizontal="center" vertical="center" wrapText="1"/>
    </xf>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46"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4" fontId="22" fillId="0" borderId="13" xfId="0" applyFont="1" applyBorder="1" applyNumberFormat="1">
      <alignment horizontal="center" vertical="center" wrapText="1"/>
    </xf>
    <xf numFmtId="49" fontId="51" fillId="37" borderId="15" xfId="0" applyFont="1" applyFill="1" applyBorder="1" applyNumberFormat="1">
      <alignment horizontal="left" vertical="center" wrapText="1"/>
      <protection locked="0"/>
    </xf>
    <xf numFmtId="0" fontId="69" fillId="0" borderId="23" xfId="0" applyFont="1" applyBorder="1" applyNumberFormat="1">
      <alignment vertical="center" wrapText="1"/>
    </xf>
    <xf numFmtId="49"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9" fontId="22" fillId="37" borderId="13" xfId="0" applyFont="1" applyFill="1" applyBorder="1" applyNumberFormat="1">
      <alignment horizontal="left" vertical="center" wrapText="1"/>
      <protection locked="0"/>
    </xf>
    <xf numFmtId="49" fontId="22" fillId="37" borderId="13" xfId="0" applyFont="1" applyFill="1" applyBorder="1" applyNumberFormat="1">
      <alignment horizontal="left" vertical="center" wrapText="1"/>
      <protection locked="0"/>
    </xf>
    <xf numFmtId="49" fontId="22" fillId="37" borderId="13" xfId="0" applyFont="1" applyFill="1" applyBorder="1" applyNumberFormat="1">
      <alignment horizontal="left" vertical="center" wrapText="1"/>
      <protection locked="0"/>
    </xf>
    <xf numFmtId="3" fontId="22" fillId="37" borderId="15" xfId="0" applyFont="1" applyFill="1" applyBorder="1" applyNumberFormat="1">
      <alignment horizontal="right" vertical="center" wrapText="1"/>
      <protection locked="0"/>
    </xf>
    <xf numFmtId="3" fontId="22" fillId="37" borderId="15" xfId="0" applyFont="1" applyFill="1" applyBorder="1" applyNumberFormat="1">
      <alignment horizontal="right" vertical="center" wrapText="1"/>
      <protection locked="0"/>
    </xf>
    <xf numFmtId="4" fontId="22" fillId="37" borderId="15" xfId="0" applyFont="1" applyFill="1" applyBorder="1" applyNumberFormat="1">
      <alignment horizontal="right" vertical="center" wrapText="1"/>
      <protection locked="0"/>
    </xf>
    <xf numFmtId="4" fontId="22" fillId="37" borderId="15" xfId="0" applyFont="1" applyFill="1" applyBorder="1" applyNumberFormat="1">
      <alignment horizontal="right" vertical="center" wrapText="1"/>
      <protection locked="0"/>
    </xf>
    <xf numFmtId="49" fontId="22" fillId="40" borderId="13"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protection locked="0"/>
    </xf>
    <xf numFmtId="0" fontId="36" fillId="0" borderId="0" xfId="0" applyFont="1" applyNumberFormat="1">
      <alignment horizontal="center" vertical="center" wrapText="1"/>
    </xf>
    <xf numFmtId="0" fontId="22" fillId="0" borderId="18"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5" xfId="0" applyFont="1" applyBorder="1" applyNumberFormat="1">
      <alignment horizontal="center" vertical="center" wrapText="1"/>
    </xf>
    <xf numFmtId="0" fontId="81" fillId="0" borderId="0" xfId="0" applyFont="1" applyNumberFormat="1">
      <alignment vertical="center" wrapText="1"/>
    </xf>
    <xf numFmtId="0" fontId="22" fillId="0" borderId="13" xfId="0" applyFont="1" applyBorder="1" applyNumberFormat="1">
      <alignment horizontal="left" vertical="center" wrapText="1" indent="2"/>
    </xf>
    <xf numFmtId="49" fontId="22" fillId="37" borderId="15" xfId="0" applyFont="1" applyFill="1" applyBorder="1" applyNumberFormat="1">
      <alignment horizontal="left" vertical="center" wrapText="1"/>
      <protection locked="0"/>
    </xf>
    <xf numFmtId="49" fontId="22" fillId="37" borderId="15" xfId="0" applyFont="1" applyFill="1" applyBorder="1" applyNumberFormat="1">
      <alignment horizontal="left" vertical="center" wrapText="1"/>
      <protection locked="0"/>
    </xf>
    <xf numFmtId="49" fontId="22" fillId="37" borderId="15" xfId="0" applyFont="1" applyFill="1" applyBorder="1" applyNumberFormat="1">
      <alignment horizontal="left" vertical="center" wrapText="1"/>
      <protection locked="0"/>
    </xf>
    <xf numFmtId="0" fontId="44" fillId="0" borderId="0" xfId="0" applyFont="1" applyNumberFormat="1">
      <alignment vertical="center" wrapText="1"/>
    </xf>
    <xf numFmtId="0" fontId="44"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1" fillId="0" borderId="13" xfId="0" applyFont="1" applyBorder="1" applyNumberFormat="1">
      <alignment horizontal="left" vertical="center" wrapText="1"/>
    </xf>
    <xf numFmtId="49" fontId="51" fillId="0" borderId="13" xfId="0" applyFont="1" applyBorder="1" applyNumberFormat="1">
      <alignment horizontal="left" vertical="center" wrapText="1"/>
    </xf>
    <xf numFmtId="49" fontId="22" fillId="0" borderId="33" xfId="0" applyFont="1" applyBorder="1" applyNumberFormat="1">
      <alignment horizontal="center" vertical="center" wrapText="1"/>
    </xf>
    <xf numFmtId="0" fontId="22" fillId="0" borderId="33" xfId="0" applyFont="1" applyBorder="1" applyNumberFormat="1">
      <alignment horizontal="left" vertical="center" wrapText="1"/>
    </xf>
    <xf numFmtId="4" fontId="22" fillId="0" borderId="41" xfId="0" applyFont="1" applyBorder="1" applyNumberFormat="1">
      <alignment horizontal="center" vertical="center" wrapText="1"/>
    </xf>
    <xf numFmtId="49" fontId="51" fillId="0" borderId="31" xfId="0" applyFont="1" applyBorder="1" applyNumberFormat="1">
      <alignment horizontal="left" vertical="center" wrapText="1"/>
    </xf>
    <xf numFmtId="4" fontId="22" fillId="0" borderId="41" xfId="0" applyFont="1" applyBorder="1" applyNumberFormat="1">
      <alignment horizontal="center" vertical="center" wrapText="1"/>
    </xf>
    <xf numFmtId="49" fontId="51" fillId="0" borderId="31"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4" xfId="0" applyFont="1" applyBorder="1" applyNumberFormat="1">
      <alignment horizontal="left" vertical="center" wrapText="1" indent="1"/>
    </xf>
    <xf numFmtId="4" fontId="22" fillId="40" borderId="32" xfId="0" applyFont="1" applyFill="1" applyBorder="1" applyNumberFormat="1">
      <alignment horizontal="right" vertical="center" wrapText="1"/>
      <protection locked="0"/>
    </xf>
    <xf numFmtId="49" fontId="51" fillId="0" borderId="15" xfId="0" applyFont="1" applyBorder="1" applyNumberFormat="1">
      <alignment horizontal="left" vertical="center" wrapText="1"/>
    </xf>
    <xf numFmtId="4" fontId="22" fillId="40" borderId="32" xfId="0" applyFont="1" applyFill="1" applyBorder="1" applyNumberFormat="1">
      <alignment horizontal="right" vertical="center" wrapText="1"/>
      <protection locked="0"/>
    </xf>
    <xf numFmtId="4" fontId="22" fillId="40" borderId="32" xfId="0" applyFont="1" applyFill="1" applyBorder="1" applyNumberFormat="1">
      <alignment horizontal="right" vertical="center" wrapText="1"/>
      <protection locked="0"/>
    </xf>
    <xf numFmtId="49" fontId="51" fillId="0" borderId="15" xfId="0" applyFont="1" applyBorder="1" applyNumberFormat="1">
      <alignment horizontal="left" vertical="center" wrapText="1"/>
    </xf>
    <xf numFmtId="4" fontId="22" fillId="0" borderId="18" xfId="0" applyFont="1" applyBorder="1" applyNumberFormat="1">
      <alignment horizontal="center" vertical="center" wrapText="1"/>
    </xf>
    <xf numFmtId="4" fontId="22" fillId="40" borderId="36" xfId="0" applyFont="1" applyFill="1" applyBorder="1" applyNumberFormat="1">
      <alignment horizontal="right" vertical="center" wrapText="1"/>
      <protection locked="0"/>
    </xf>
    <xf numFmtId="4" fontId="22" fillId="40" borderId="36" xfId="0" applyFont="1" applyFill="1" applyBorder="1" applyNumberFormat="1">
      <alignment horizontal="right" vertical="center" wrapText="1"/>
      <protection locked="0"/>
    </xf>
    <xf numFmtId="0" fontId="22" fillId="0" borderId="34" xfId="0" applyFont="1" applyBorder="1" applyNumberFormat="1">
      <alignment horizontal="left" vertical="center" wrapText="1"/>
    </xf>
    <xf numFmtId="49" fontId="51" fillId="0" borderId="16" xfId="0" applyFont="1" applyBorder="1" applyNumberFormat="1">
      <alignment horizontal="left" vertical="center" wrapText="1"/>
    </xf>
    <xf numFmtId="4" fontId="22" fillId="0" borderId="13" xfId="0" applyFont="1" applyBorder="1" applyNumberFormat="1">
      <alignment horizontal="center" vertical="center" wrapText="1"/>
    </xf>
    <xf numFmtId="4" fontId="22" fillId="0" borderId="13" xfId="0" applyFont="1" applyBorder="1" applyNumberFormat="1">
      <alignment horizontal="center" vertical="center" wrapText="1"/>
    </xf>
    <xf numFmtId="49" fontId="51" fillId="0" borderId="16" xfId="0" applyFont="1" applyBorder="1" applyNumberFormat="1">
      <alignment horizontal="left" vertical="center" wrapText="1"/>
    </xf>
    <xf numFmtId="0" fontId="22" fillId="0" borderId="32" xfId="0" applyFont="1" applyBorder="1" applyNumberFormat="1">
      <alignment horizontal="left" vertical="center" wrapText="1" indent="1"/>
    </xf>
    <xf numFmtId="4" fontId="22" fillId="0" borderId="33" xfId="0" applyFont="1" applyBorder="1" applyNumberFormat="1">
      <alignment horizontal="center" vertical="center" wrapText="1"/>
    </xf>
    <xf numFmtId="4" fontId="22" fillId="40" borderId="24" xfId="0" applyFont="1" applyFill="1" applyBorder="1" applyNumberFormat="1">
      <alignment horizontal="right" vertical="center" wrapText="1"/>
      <protection locked="0"/>
    </xf>
    <xf numFmtId="0" fontId="22" fillId="0" borderId="32" xfId="0" applyFont="1" applyBorder="1" applyNumberFormat="1">
      <alignment horizontal="left" vertical="center" wrapText="1"/>
    </xf>
    <xf numFmtId="0" fontId="22" fillId="0" borderId="32" xfId="0" applyFont="1" applyBorder="1" applyNumberFormat="1">
      <alignment horizontal="left" vertical="center" wrapText="1" indent="2"/>
    </xf>
    <xf numFmtId="4" fontId="22" fillId="0" borderId="32" xfId="0" applyFont="1" applyBorder="1" applyNumberFormat="1">
      <alignment horizontal="center" vertical="center" wrapText="1"/>
    </xf>
    <xf numFmtId="49" fontId="22" fillId="0" borderId="35" xfId="0" applyFont="1" applyBorder="1" applyNumberFormat="1">
      <alignment horizontal="center" vertical="center" wrapText="1"/>
    </xf>
    <xf numFmtId="49" fontId="51" fillId="40" borderId="13" xfId="0" applyFont="1" applyFill="1" applyBorder="1" applyNumberFormat="1">
      <alignment horizontal="left" vertical="center" wrapText="1"/>
      <protection locked="0"/>
    </xf>
    <xf numFmtId="49" fontId="51" fillId="40" borderId="13" xfId="0" applyFont="1" applyFill="1" applyBorder="1" applyNumberFormat="1">
      <alignment horizontal="left" vertical="center" wrapText="1"/>
      <protection locked="0"/>
    </xf>
    <xf numFmtId="0" fontId="22" fillId="0" borderId="36" xfId="0" applyFont="1" applyBorder="1" applyNumberFormat="1">
      <alignment horizontal="left" vertical="center" wrapText="1"/>
    </xf>
    <xf numFmtId="4" fontId="22" fillId="0" borderId="36" xfId="0" applyFont="1" applyBorder="1" applyNumberFormat="1">
      <alignment horizontal="center" vertical="center" wrapText="1"/>
    </xf>
    <xf numFmtId="49" fontId="51" fillId="0" borderId="38" xfId="0" applyFont="1" applyBorder="1" applyNumberFormat="1">
      <alignment horizontal="left" vertical="center" wrapText="1"/>
    </xf>
    <xf numFmtId="49" fontId="51" fillId="0" borderId="38" xfId="0" applyFont="1" applyBorder="1" applyNumberFormat="1">
      <alignment horizontal="left" vertical="center" wrapText="1"/>
    </xf>
    <xf numFmtId="49" fontId="22" fillId="0" borderId="34" xfId="0" applyFont="1" applyBorder="1" applyNumberFormat="1">
      <alignment horizontal="center" vertical="center" wrapText="1"/>
    </xf>
    <xf numFmtId="4" fontId="22" fillId="40" borderId="34" xfId="0" applyFont="1" applyFill="1" applyBorder="1" applyNumberFormat="1">
      <alignment horizontal="right" vertical="center" wrapText="1"/>
      <protection locked="0"/>
    </xf>
    <xf numFmtId="4" fontId="22" fillId="40" borderId="34" xfId="0" applyFont="1" applyFill="1" applyBorder="1" applyNumberFormat="1">
      <alignment horizontal="right" vertical="center" wrapText="1"/>
      <protection locked="0"/>
    </xf>
    <xf numFmtId="4" fontId="22" fillId="0" borderId="34" xfId="0" applyFont="1" applyBorder="1" applyNumberFormat="1">
      <alignment horizontal="center" vertical="center" wrapText="1"/>
    </xf>
    <xf numFmtId="4" fontId="22" fillId="40" borderId="35" xfId="0" applyFont="1" applyFill="1" applyBorder="1" applyNumberFormat="1">
      <alignment horizontal="right" vertical="center" wrapText="1"/>
      <protection locked="0"/>
    </xf>
    <xf numFmtId="4" fontId="22" fillId="40" borderId="35" xfId="0" applyFont="1" applyFill="1" applyBorder="1" applyNumberFormat="1">
      <alignment horizontal="right" vertical="center" wrapText="1"/>
      <protection locked="0"/>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22" fillId="0" borderId="0" xfId="0" applyFont="1" applyNumberFormat="1">
      <alignment vertical="center" wrapText="1"/>
    </xf>
    <xf numFmtId="0" fontId="0" fillId="0" borderId="15" xfId="0" applyFont="1" applyBorder="1" applyNumberFormat="1">
      <alignment horizontal="center" vertical="center"/>
    </xf>
    <xf numFmtId="0" fontId="22" fillId="0" borderId="14" xfId="0" applyFont="1" applyBorder="1" applyNumberFormat="1">
      <alignment horizontal="center" vertical="center" wrapText="1"/>
    </xf>
    <xf numFmtId="168" fontId="0" fillId="37" borderId="13" xfId="0" applyFont="1" applyFill="1" applyBorder="1" applyNumberFormat="1">
      <alignment horizontal="left" vertical="center" wrapText="1" indent="1"/>
      <protection locked="0"/>
    </xf>
    <xf numFmtId="168" fontId="0" fillId="37" borderId="13" xfId="0" applyFont="1" applyFill="1" applyBorder="1" applyNumberFormat="1">
      <alignment horizontal="left" vertical="center" wrapText="1" indent="1"/>
      <protection locked="0"/>
    </xf>
    <xf numFmtId="49" fontId="22" fillId="40" borderId="15" xfId="0" applyFont="1" applyFill="1" applyBorder="1" applyNumberFormat="1">
      <alignment horizontal="left" vertical="center" wrapText="1"/>
      <protection locked="0"/>
    </xf>
    <xf numFmtId="49" fontId="22" fillId="40" borderId="15" xfId="0" applyFont="1" applyFill="1" applyBorder="1" applyNumberFormat="1">
      <alignment horizontal="left" vertical="center" wrapText="1"/>
      <protection locked="0"/>
    </xf>
    <xf numFmtId="168" fontId="0" fillId="40" borderId="13"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5" borderId="15" xfId="0" applyFont="1" applyFill="1" applyBorder="1" applyNumberFormat="1">
      <alignment horizontal="left" vertical="top" wrapText="1" indent="1"/>
    </xf>
    <xf numFmtId="0" fontId="22" fillId="35" borderId="14" xfId="0" applyFont="1" applyFill="1" applyBorder="1" applyNumberFormat="1">
      <alignment horizontal="left" vertical="top" wrapText="1" indent="1"/>
    </xf>
    <xf numFmtId="0" fontId="22" fillId="35" borderId="15" xfId="0" applyFont="1" applyFill="1" applyBorder="1" applyNumberFormat="1">
      <alignment horizontal="left" vertical="top" wrapText="1" indent="1"/>
    </xf>
    <xf numFmtId="0" fontId="22" fillId="35" borderId="14" xfId="0" applyFont="1" applyFill="1" applyBorder="1" applyNumberFormat="1">
      <alignment horizontal="left" vertical="top" wrapText="1" indent="1"/>
    </xf>
    <xf numFmtId="0" fontId="22" fillId="0" borderId="16" xfId="0" applyFont="1" applyBorder="1" applyNumberFormat="1">
      <alignment horizontal="right" vertical="center" wrapText="1" indent="1"/>
    </xf>
    <xf numFmtId="0" fontId="22" fillId="0" borderId="14"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35" fillId="0" borderId="0" xfId="0" applyFont="1" applyNumberFormat="1">
      <alignment horizontal="center" vertical="center" wrapText="1"/>
    </xf>
    <xf numFmtId="0" fontId="35"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0" borderId="14" xfId="0" applyFont="1" applyBorder="1" applyNumberFormat="1">
      <alignment horizontal="center"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0" borderId="16" xfId="0" applyFont="1" applyBorder="1" applyNumberFormat="1">
      <alignment horizontal="center" vertical="center" wrapText="1"/>
    </xf>
    <xf numFmtId="49" fontId="22" fillId="41" borderId="13" xfId="0" applyFont="1" applyFill="1" applyBorder="1" applyNumberFormat="1">
      <alignment horizontal="center" vertical="center" wrapText="1"/>
    </xf>
    <xf numFmtId="49" fontId="22" fillId="41" borderId="13" xfId="0" applyFont="1" applyFill="1" applyBorder="1" applyNumberFormat="1">
      <alignment horizontal="center" vertical="center" wrapText="1"/>
    </xf>
    <xf numFmtId="49" fontId="22" fillId="41" borderId="13" xfId="0" applyFont="1" applyFill="1" applyBorder="1" applyNumberFormat="1">
      <alignment horizontal="center" vertical="center" wrapText="1"/>
    </xf>
    <xf numFmtId="49" fontId="22" fillId="41" borderId="13" xfId="0" applyFont="1" applyFill="1" applyBorder="1" applyNumberFormat="1">
      <alignment horizontal="center"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35" fillId="0" borderId="0" xfId="0" applyFont="1" applyNumberFormat="1">
      <alignment horizontal="center" vertical="center" wrapText="1"/>
    </xf>
    <xf numFmtId="0" fontId="81" fillId="0" borderId="0" xfId="0" applyFont="1" applyNumberFormat="1">
      <alignment vertical="center" wrapText="1"/>
    </xf>
    <xf numFmtId="49" fontId="45" fillId="0" borderId="0" xfId="0" applyFont="1" applyNumberFormat="1">
      <alignment horizontal="center" vertical="center" wrapText="1"/>
    </xf>
    <xf numFmtId="0" fontId="22" fillId="0" borderId="0" xfId="0" applyFont="1" applyNumberFormat="1">
      <alignment vertical="center" wrapText="1"/>
    </xf>
    <xf numFmtId="49" fontId="45" fillId="0" borderId="0" xfId="0" applyFont="1" applyNumberFormat="1">
      <alignment horizontal="center" vertical="center" wrapText="1"/>
    </xf>
    <xf numFmtId="0" fontId="22" fillId="0" borderId="0" xfId="0" applyFont="1" applyNumberFormat="1">
      <alignment vertical="center" wrapText="1"/>
    </xf>
    <xf numFmtId="49" fontId="45" fillId="0" borderId="0" xfId="0" applyFont="1" applyNumberFormat="1">
      <alignment horizontal="center" vertical="center" wrapText="1"/>
    </xf>
    <xf numFmtId="49" fontId="96" fillId="0" borderId="0" xfId="0" applyFont="1" applyNumberFormat="1">
      <alignment horizontal="center" vertical="center" wrapText="1"/>
    </xf>
    <xf numFmtId="0" fontId="0" fillId="36" borderId="18" xfId="0" applyFont="1" applyFill="1" applyBorder="1" applyNumberFormat="1">
      <alignment horizontal="center" vertical="center" wrapText="1"/>
    </xf>
    <xf numFmtId="0" fontId="22"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46" fillId="0" borderId="0" xfId="0" applyFont="1" applyNumberFormat="1">
      <alignment horizontal="center" vertical="center" wrapText="1"/>
    </xf>
    <xf numFmtId="49" fontId="4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2" fillId="0" borderId="13" xfId="0" applyFont="1" applyBorder="1" applyNumberFormat="1">
      <alignment horizontal="left" vertical="center" wrapText="1"/>
    </xf>
    <xf numFmtId="49" fontId="46" fillId="0" borderId="0" xfId="0" applyFont="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top" wrapText="1"/>
    </xf>
    <xf numFmtId="0" fontId="0" fillId="35" borderId="13" xfId="0" applyFont="1" applyFill="1" applyBorder="1" applyNumberFormat="1">
      <alignment horizontal="left" vertical="top" wrapText="1" indent="1"/>
    </xf>
    <xf numFmtId="49" fontId="22" fillId="41" borderId="18" xfId="0" applyFont="1" applyFill="1" applyBorder="1" applyNumberFormat="1">
      <alignment horizontal="center" vertical="top" wrapText="1"/>
    </xf>
    <xf numFmtId="168" fontId="0" fillId="40" borderId="13" xfId="0" applyFont="1" applyFill="1" applyBorder="1" applyNumberFormat="1">
      <alignment horizontal="center" vertical="top" wrapText="1"/>
      <protection locked="0"/>
    </xf>
    <xf numFmtId="168" fontId="0" fillId="37" borderId="13" xfId="0" applyFont="1" applyFill="1" applyBorder="1" applyNumberFormat="1">
      <alignment horizontal="center" vertical="top" wrapText="1"/>
      <protection locked="0"/>
    </xf>
    <xf numFmtId="49" fontId="22" fillId="41" borderId="13" xfId="0" applyFont="1" applyFill="1" applyBorder="1" applyNumberFormat="1">
      <alignment horizontal="left" vertical="top" wrapText="1"/>
    </xf>
    <xf numFmtId="49" fontId="22" fillId="40" borderId="13" xfId="0" applyFont="1" applyFill="1" applyBorder="1" applyNumberFormat="1">
      <alignment horizontal="left" vertical="top" wrapText="1"/>
      <protection locked="0"/>
    </xf>
    <xf numFmtId="49" fontId="0" fillId="35" borderId="13" xfId="0" applyFont="1" applyFill="1" applyBorder="1" applyNumberFormat="1">
      <alignment horizontal="center" vertical="top" wrapText="1"/>
    </xf>
    <xf numFmtId="0" fontId="22" fillId="35" borderId="13" xfId="0" applyFont="1" applyFill="1" applyBorder="1" applyNumberFormat="1">
      <alignment horizontal="center" vertical="top" wrapText="1"/>
    </xf>
    <xf numFmtId="0" fontId="22" fillId="37" borderId="13" xfId="0" applyFont="1" applyFill="1" applyBorder="1" applyNumberFormat="1">
      <alignment horizontal="left" vertical="top" wrapText="1"/>
      <protection locked="0"/>
    </xf>
    <xf numFmtId="49" fontId="22" fillId="41" borderId="13" xfId="0" applyFont="1" applyFill="1" applyBorder="1" applyNumberFormat="1">
      <alignment horizontal="center" vertical="top" wrapText="1"/>
    </xf>
    <xf numFmtId="0" fontId="22" fillId="0" borderId="37" xfId="0" applyFont="1" applyBorder="1" applyNumberFormat="1">
      <alignment horizontal="center" vertical="center" wrapText="1"/>
    </xf>
    <xf numFmtId="0" fontId="22" fillId="0" borderId="13" xfId="0" applyFont="1" applyBorder="1" applyNumberFormat="1">
      <alignment horizontal="center" vertical="center" wrapText="1"/>
    </xf>
    <xf numFmtId="49" fontId="22" fillId="40" borderId="18" xfId="0" applyFont="1" applyFill="1" applyBorder="1" applyNumberFormat="1">
      <alignment horizontal="left" vertical="center" wrapText="1" indent="1"/>
      <protection locked="0"/>
    </xf>
    <xf numFmtId="0" fontId="22" fillId="0" borderId="25" xfId="0" applyFont="1" applyBorder="1" applyNumberFormat="1">
      <alignment vertical="top" wrapText="1"/>
    </xf>
    <xf numFmtId="49" fontId="22" fillId="41" borderId="24" xfId="0" applyFont="1" applyFill="1" applyBorder="1" applyNumberFormat="1">
      <alignment horizontal="center" vertical="top" wrapText="1"/>
    </xf>
    <xf numFmtId="49" fontId="0" fillId="40" borderId="13" xfId="0" applyFont="1" applyFill="1" applyBorder="1" applyNumberFormat="1">
      <alignment horizontal="center" vertical="top" wrapText="1"/>
      <protection locked="0"/>
    </xf>
    <xf numFmtId="49" fontId="0" fillId="37" borderId="13" xfId="0" applyFont="1" applyFill="1" applyBorder="1" applyNumberFormat="1">
      <alignment horizontal="center" vertical="top" wrapText="1"/>
      <protection locked="0"/>
    </xf>
    <xf numFmtId="49" fontId="22" fillId="41" borderId="15" xfId="0" applyFont="1" applyFill="1" applyBorder="1" applyNumberFormat="1">
      <alignment horizontal="center" vertical="top" wrapText="1"/>
    </xf>
    <xf numFmtId="49" fontId="39" fillId="38" borderId="15" xfId="0" applyFont="1" applyFill="1" applyBorder="1" applyNumberFormat="1">
      <alignment horizontal="left" vertical="center" indent="1"/>
    </xf>
    <xf numFmtId="0" fontId="22" fillId="38" borderId="30" xfId="0" applyFont="1" applyFill="1" applyBorder="1" applyNumberFormat="1">
      <alignment vertical="center" wrapText="1"/>
    </xf>
    <xf numFmtId="0" fontId="45" fillId="0" borderId="0" xfId="0" applyFont="1" applyNumberFormat="1">
      <alignment vertical="center" wrapText="1"/>
    </xf>
    <xf numFmtId="0" fontId="45" fillId="0" borderId="0" xfId="0" applyFont="1" applyNumberFormat="1">
      <alignment vertical="center" wrapText="1"/>
    </xf>
    <xf numFmtId="0" fontId="45" fillId="0" borderId="0" xfId="0" applyFont="1" applyNumberFormat="1">
      <alignment vertical="center" wrapText="1"/>
    </xf>
    <xf numFmtId="0" fontId="31" fillId="0" borderId="0" xfId="0" applyFont="1" applyNumberFormat="1">
      <alignment vertical="center" wrapText="1"/>
    </xf>
    <xf numFmtId="0" fontId="31" fillId="0" borderId="0" xfId="0" applyFont="1" applyNumberFormat="1">
      <alignment vertical="center" wrapText="1"/>
    </xf>
    <xf numFmtId="0" fontId="31" fillId="0" borderId="0" xfId="0" applyFont="1" applyNumberFormat="1">
      <alignment vertical="center" wrapText="1"/>
    </xf>
    <xf numFmtId="0" fontId="22" fillId="36" borderId="0" xfId="0" applyFont="1" applyFill="1" applyNumberFormat="1">
      <alignment vertical="center" wrapText="1"/>
    </xf>
    <xf numFmtId="0" fontId="22" fillId="36" borderId="40" xfId="0" applyFont="1" applyFill="1" applyBorder="1" applyNumberFormat="1">
      <alignment vertical="center" wrapText="1"/>
    </xf>
    <xf numFmtId="0" fontId="22" fillId="36" borderId="40" xfId="0" applyFont="1" applyFill="1" applyBorder="1" applyNumberFormat="1">
      <alignment vertical="center" wrapText="1"/>
    </xf>
    <xf numFmtId="49" fontId="71" fillId="0" borderId="40" xfId="0" applyFont="1" applyBorder="1" applyNumberFormat="1">
      <alignment vertical="top"/>
    </xf>
    <xf numFmtId="49" fontId="71" fillId="0" borderId="40" xfId="0" applyFont="1" applyBorder="1" applyNumberFormat="1">
      <alignment vertical="top"/>
    </xf>
    <xf numFmtId="0" fontId="48" fillId="36" borderId="40" xfId="0" applyFont="1" applyFill="1" applyBorder="1" applyNumberFormat="1">
      <alignment horizontal="center" wrapText="1"/>
    </xf>
    <xf numFmtId="0" fontId="48" fillId="36" borderId="40" xfId="0" applyFont="1" applyFill="1" applyBorder="1" applyNumberFormat="1">
      <alignment horizontal="center" wrapText="1"/>
    </xf>
    <xf numFmtId="0" fontId="22" fillId="36" borderId="40" xfId="0" applyFont="1" applyFill="1" applyBorder="1" applyNumberFormat="1">
      <alignment vertical="center" wrapText="1"/>
    </xf>
    <xf numFmtId="0" fontId="22" fillId="36" borderId="40" xfId="0" applyFont="1" applyFill="1" applyBorder="1" applyNumberFormat="1">
      <alignment vertical="center" wrapText="1"/>
    </xf>
    <xf numFmtId="49" fontId="22" fillId="0" borderId="0" xfId="0" applyFont="1" applyNumberFormat="1">
      <alignment vertical="top"/>
    </xf>
    <xf numFmtId="0" fontId="22" fillId="0" borderId="1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9" xfId="0" applyFont="1" applyBorder="1" applyNumberFormat="1">
      <alignment vertical="center" wrapText="1"/>
    </xf>
    <xf numFmtId="0" fontId="22" fillId="0" borderId="0" xfId="0" applyFont="1" applyNumberFormat="1">
      <alignment vertical="center" wrapText="1"/>
    </xf>
    <xf numFmtId="0" fontId="22" fillId="36" borderId="0" xfId="0" applyFont="1" applyFill="1" applyNumberFormat="1">
      <alignment vertical="center" wrapText="1"/>
    </xf>
    <xf numFmtId="49" fontId="22" fillId="0" borderId="0" xfId="0" applyFont="1" applyNumberFormat="1">
      <alignment vertical="top"/>
    </xf>
    <xf numFmtId="49" fontId="96" fillId="0" borderId="0" xfId="0" applyFont="1" applyNumberFormat="1">
      <alignment horizontal="center" vertical="center" wrapText="1"/>
    </xf>
    <xf numFmtId="0" fontId="22" fillId="36"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22" fillId="36" borderId="30"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6"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6" borderId="0" xfId="0" applyFont="1" applyFill="1" applyNumberFormat="1">
      <alignment vertical="center" wrapText="1"/>
    </xf>
    <xf numFmtId="0" fontId="101" fillId="0" borderId="49" xfId="0" applyFont="1" applyBorder="1" applyNumberFormat="1">
      <alignment horizontal="left" vertical="center" indent="1"/>
    </xf>
    <xf numFmtId="0" fontId="101"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2" fillId="0" borderId="50" xfId="0" applyFont="1" applyBorder="1" applyNumberFormat="1">
      <alignment vertical="center" wrapText="1"/>
    </xf>
    <xf numFmtId="0" fontId="22" fillId="0" borderId="54" xfId="0" applyFont="1" applyBorder="1" applyNumberFormat="1">
      <alignment vertical="center" wrapText="1"/>
    </xf>
    <xf numFmtId="0" fontId="22" fillId="0" borderId="55" xfId="0" applyFont="1" applyBorder="1" applyNumberFormat="1">
      <alignment vertical="center" wrapText="1"/>
    </xf>
    <xf numFmtId="0" fontId="22" fillId="0" borderId="23" xfId="0" applyFont="1" applyBorder="1" applyNumberFormat="1">
      <alignment vertical="center" wrapText="1"/>
    </xf>
    <xf numFmtId="49" fontId="22" fillId="0" borderId="0" xfId="0" applyFont="1" applyNumberFormat="1">
      <alignment vertical="top"/>
    </xf>
    <xf numFmtId="49" fontId="22" fillId="35" borderId="13"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45" fillId="0" borderId="14" xfId="0" applyFont="1" applyBorder="1" applyNumberFormat="1">
      <alignment horizontal="center" vertical="center" wrapText="1"/>
    </xf>
    <xf numFmtId="49" fontId="45" fillId="0" borderId="14" xfId="0" applyFont="1" applyBorder="1" applyNumberFormat="1">
      <alignment horizontal="left" vertical="center" wrapText="1"/>
    </xf>
    <xf numFmtId="49" fontId="45" fillId="0" borderId="13" xfId="0" applyFont="1" applyBorder="1" applyNumberFormat="1">
      <alignment horizontal="left" vertical="center" wrapText="1"/>
    </xf>
    <xf numFmtId="49" fontId="45" fillId="0" borderId="15" xfId="0" applyFont="1" applyBorder="1" applyNumberFormat="1">
      <alignment horizontal="center" vertical="center" wrapText="1"/>
    </xf>
    <xf numFmtId="49" fontId="92" fillId="0" borderId="44" xfId="0" applyFont="1" applyBorder="1" applyNumberFormat="1">
      <alignment horizontal="left" vertical="center" indent="1"/>
    </xf>
    <xf numFmtId="49" fontId="92" fillId="0" borderId="44" xfId="0" applyFont="1" applyBorder="1" applyNumberFormat="1">
      <alignment horizontal="center" vertical="center"/>
    </xf>
    <xf numFmtId="3" fontId="45" fillId="0" borderId="13" xfId="0" applyFont="1" applyBorder="1" applyNumberFormat="1">
      <alignment horizontal="center" vertical="center" wrapText="1"/>
    </xf>
    <xf numFmtId="49" fontId="123" fillId="0" borderId="14" xfId="0" applyFont="1" applyBorder="1" applyNumberFormat="1">
      <alignment horizontal="center" vertical="center" wrapText="1"/>
    </xf>
    <xf numFmtId="0" fontId="92" fillId="0" borderId="13" xfId="0" applyFont="1" applyBorder="1" applyNumberFormat="1">
      <alignment horizontal="center" vertical="center"/>
    </xf>
    <xf numFmtId="49" fontId="45" fillId="0" borderId="18" xfId="0" applyFont="1" applyBorder="1" applyNumberFormat="1">
      <alignment horizontal="left" vertical="center" wrapText="1" indent="1"/>
    </xf>
    <xf numFmtId="49" fontId="92" fillId="0" borderId="15" xfId="0" applyFont="1" applyBorder="1" applyNumberFormat="1">
      <alignment horizontal="left" vertical="center" indent="1"/>
    </xf>
    <xf numFmtId="49" fontId="92" fillId="0" borderId="16" xfId="0" applyFont="1" applyBorder="1" applyNumberFormat="1">
      <alignment horizontal="left" vertical="center" indent="1"/>
    </xf>
    <xf numFmtId="49" fontId="92" fillId="0" borderId="16" xfId="0" applyFont="1" applyBorder="1" applyNumberFormat="1">
      <alignment vertical="top" wrapText="1"/>
    </xf>
    <xf numFmtId="49" fontId="92" fillId="0" borderId="14" xfId="0" applyFont="1" applyBorder="1" applyNumberFormat="1">
      <alignment vertical="top" wrapText="1"/>
    </xf>
    <xf numFmtId="49" fontId="45" fillId="0" borderId="37" xfId="0" applyFont="1" applyBorder="1" applyNumberFormat="1">
      <alignment horizontal="left" vertical="center" wrapText="1" indent="1"/>
    </xf>
    <xf numFmtId="49" fontId="123" fillId="0" borderId="0" xfId="0" applyFont="1" applyNumberFormat="1">
      <alignment horizontal="center" vertical="top" wrapText="1"/>
    </xf>
    <xf numFmtId="0" fontId="92" fillId="0" borderId="13" xfId="0" applyFont="1" applyBorder="1" applyNumberFormat="1">
      <alignment horizontal="center" vertical="center"/>
    </xf>
    <xf numFmtId="0" fontId="92" fillId="0" borderId="13" xfId="0" applyFont="1" applyBorder="1" applyNumberFormat="1">
      <alignment horizontal="left" vertical="center" wrapText="1" indent="1"/>
    </xf>
    <xf numFmtId="4" fontId="45" fillId="0" borderId="32" xfId="0" applyFont="1" applyBorder="1" applyNumberFormat="1">
      <alignment horizontal="right" vertical="center" wrapText="1"/>
    </xf>
    <xf numFmtId="49" fontId="45" fillId="0" borderId="24" xfId="0" applyFont="1" applyBorder="1" applyNumberFormat="1">
      <alignment horizontal="left" vertical="center" wrapText="1" indent="1"/>
    </xf>
    <xf numFmtId="49" fontId="45" fillId="0" borderId="16" xfId="0" applyFont="1" applyBorder="1" applyNumberFormat="1">
      <alignment horizontal="left" vertical="center" indent="1"/>
    </xf>
    <xf numFmtId="49" fontId="92" fillId="0" borderId="53" xfId="0" applyFont="1" applyBorder="1" applyNumberFormat="1">
      <alignment vertical="top" wrapText="1"/>
    </xf>
    <xf numFmtId="49" fontId="92" fillId="0" borderId="53" xfId="0" applyFont="1" applyBorder="1" applyNumberFormat="1">
      <alignment horizontal="left" vertical="center" indent="1"/>
    </xf>
    <xf numFmtId="49" fontId="22" fillId="35" borderId="73" xfId="0" applyFont="1" applyFill="1" applyBorder="1" applyNumberFormat="1">
      <alignment horizontal="center" vertical="center" wrapText="1"/>
    </xf>
    <xf numFmtId="0" fontId="0" fillId="38" borderId="51" xfId="0" applyFont="1" applyFill="1" applyBorder="1" applyNumberFormat="1">
      <alignment horizontal="left" vertical="center"/>
    </xf>
    <xf numFmtId="49" fontId="39" fillId="38" borderId="52" xfId="0" applyFont="1" applyFill="1" applyBorder="1" applyNumberFormat="1">
      <alignment horizontal="left" vertical="center" indent="1"/>
    </xf>
    <xf numFmtId="0" fontId="22" fillId="38" borderId="51" xfId="0" applyFont="1" applyFill="1" applyBorder="1" applyNumberFormat="1">
      <alignment vertical="center" wrapText="1"/>
    </xf>
    <xf numFmtId="0" fontId="22" fillId="38" borderId="52" xfId="0" applyFont="1" applyFill="1" applyBorder="1" applyNumberFormat="1">
      <alignment vertical="center" wrapText="1"/>
    </xf>
    <xf numFmtId="49" fontId="22" fillId="35" borderId="18" xfId="0" applyFont="1" applyFill="1" applyBorder="1" applyNumberFormat="1">
      <alignment horizontal="center" vertical="center" wrapText="1"/>
    </xf>
    <xf numFmtId="49" fontId="22" fillId="41" borderId="14" xfId="0" applyFont="1" applyFill="1" applyBorder="1" applyNumberFormat="1">
      <alignment horizontal="left" vertical="center" wrapText="1"/>
    </xf>
    <xf numFmtId="49" fontId="22" fillId="41" borderId="13" xfId="0" applyFont="1" applyFill="1" applyBorder="1" applyNumberFormat="1">
      <alignment horizontal="left" vertical="center" wrapText="1"/>
    </xf>
    <xf numFmtId="49" fontId="22" fillId="40" borderId="13" xfId="0" applyFont="1" applyFill="1" applyBorder="1" applyNumberFormat="1">
      <alignment horizontal="left" vertical="center" wrapText="1"/>
      <protection locked="0"/>
    </xf>
    <xf numFmtId="49" fontId="22" fillId="41" borderId="15" xfId="0" applyFont="1" applyFill="1" applyBorder="1" applyNumberFormat="1">
      <alignment horizontal="center" vertical="center" wrapText="1"/>
    </xf>
    <xf numFmtId="49" fontId="103" fillId="38" borderId="44" xfId="0" applyFont="1" applyFill="1" applyBorder="1" applyNumberFormat="1">
      <alignment horizontal="left" vertical="center" indent="1"/>
    </xf>
    <xf numFmtId="49" fontId="92" fillId="38" borderId="44" xfId="0" applyFont="1" applyFill="1" applyBorder="1" applyNumberFormat="1">
      <alignment horizontal="center" vertical="center"/>
    </xf>
    <xf numFmtId="3" fontId="22" fillId="40" borderId="13" xfId="0" applyFont="1" applyFill="1" applyBorder="1" applyNumberFormat="1">
      <alignment horizontal="center" vertical="center" wrapText="1"/>
      <protection locked="0"/>
    </xf>
    <xf numFmtId="49" fontId="0" fillId="0" borderId="37" xfId="0" applyFont="1" applyBorder="1" applyNumberFormat="1">
      <alignment vertical="top"/>
    </xf>
    <xf numFmtId="49" fontId="121" fillId="0" borderId="14" xfId="0" applyFont="1" applyBorder="1" applyNumberFormat="1">
      <alignment horizontal="center" vertical="center" wrapText="1"/>
    </xf>
    <xf numFmtId="0" fontId="44" fillId="0" borderId="13" xfId="0" applyFont="1" applyBorder="1" applyNumberFormat="1">
      <alignment horizontal="center" vertical="center"/>
    </xf>
    <xf numFmtId="49" fontId="22" fillId="41" borderId="18" xfId="0" applyFont="1" applyFill="1" applyBorder="1" applyNumberFormat="1">
      <alignment horizontal="left" vertical="center" wrapText="1" indent="1"/>
    </xf>
    <xf numFmtId="49" fontId="103" fillId="38" borderId="15" xfId="0" applyFont="1" applyFill="1" applyBorder="1" applyNumberFormat="1">
      <alignment horizontal="left" vertical="center" indent="1"/>
    </xf>
    <xf numFmtId="49" fontId="103" fillId="38" borderId="16" xfId="0" applyFont="1" applyFill="1" applyBorder="1" applyNumberFormat="1">
      <alignment horizontal="left" vertical="center" indent="1"/>
    </xf>
    <xf numFmtId="49" fontId="44" fillId="38" borderId="16" xfId="0" applyFont="1" applyFill="1" applyBorder="1" applyNumberFormat="1">
      <alignment vertical="top" wrapText="1"/>
    </xf>
    <xf numFmtId="49" fontId="44" fillId="38" borderId="14" xfId="0" applyFont="1" applyFill="1" applyBorder="1" applyNumberFormat="1">
      <alignment vertical="top" wrapText="1"/>
    </xf>
    <xf numFmtId="49" fontId="22" fillId="41" borderId="37" xfId="0" applyFont="1" applyFill="1" applyBorder="1" applyNumberFormat="1">
      <alignment horizontal="left" vertical="center" wrapText="1" indent="1"/>
    </xf>
    <xf numFmtId="49" fontId="22" fillId="35" borderId="13" xfId="0" applyFont="1" applyFill="1" applyBorder="1" applyNumberFormat="1">
      <alignment horizontal="left" vertical="center" wrapText="1"/>
    </xf>
    <xf numFmtId="49" fontId="121" fillId="0" borderId="0" xfId="0" applyFont="1" applyNumberFormat="1">
      <alignment horizontal="center" vertical="top" wrapText="1"/>
    </xf>
    <xf numFmtId="0" fontId="44" fillId="0" borderId="13" xfId="0" applyFont="1" applyBorder="1" applyNumberFormat="1">
      <alignment horizontal="center" vertical="center"/>
    </xf>
    <xf numFmtId="0" fontId="44" fillId="41" borderId="13" xfId="0" applyFont="1" applyFill="1" applyBorder="1" applyNumberFormat="1">
      <alignment horizontal="left" vertical="center" wrapText="1" indent="1"/>
    </xf>
    <xf numFmtId="0" fontId="44" fillId="0" borderId="14" xfId="0" applyFont="1" applyBorder="1" applyNumberFormat="1">
      <alignment horizontal="center" vertical="center"/>
    </xf>
    <xf numFmtId="49" fontId="0" fillId="40" borderId="37" xfId="0" applyFont="1" applyFill="1" applyBorder="1" applyNumberFormat="1">
      <alignment vertical="top"/>
      <protection locked="0"/>
    </xf>
    <xf numFmtId="14" fontId="22" fillId="41" borderId="37" xfId="0" applyFont="1" applyFill="1" applyBorder="1" applyNumberFormat="1">
      <alignment horizontal="left" vertical="center" wrapText="1" indent="1"/>
    </xf>
    <xf numFmtId="14" fontId="22" fillId="41" borderId="23" xfId="0" applyFont="1" applyFill="1" applyBorder="1" applyNumberFormat="1">
      <alignment horizontal="left" vertical="center" wrapText="1" indent="1"/>
    </xf>
    <xf numFmtId="49" fontId="22" fillId="41" borderId="24" xfId="0" applyFont="1" applyFill="1" applyBorder="1" applyNumberFormat="1">
      <alignment horizontal="left" vertical="center" wrapText="1" indent="1"/>
    </xf>
    <xf numFmtId="49" fontId="39" fillId="38" borderId="16" xfId="0" applyFont="1" applyFill="1" applyBorder="1" applyNumberFormat="1">
      <alignment horizontal="left" vertical="center" indent="1"/>
    </xf>
    <xf numFmtId="49" fontId="44" fillId="38" borderId="53" xfId="0" applyFont="1" applyFill="1" applyBorder="1" applyNumberFormat="1">
      <alignment vertical="top" wrapText="1"/>
    </xf>
    <xf numFmtId="49" fontId="103" fillId="38" borderId="53" xfId="0" applyFont="1" applyFill="1" applyBorder="1" applyNumberFormat="1">
      <alignment horizontal="left" vertical="center" indent="1"/>
    </xf>
    <xf numFmtId="49" fontId="103" fillId="38" borderId="43" xfId="0" applyFont="1" applyFill="1" applyBorder="1" applyNumberFormat="1">
      <alignment horizontal="left" vertical="center" indent="1"/>
    </xf>
    <xf numFmtId="49" fontId="121" fillId="0" borderId="13" xfId="0" applyFont="1" applyBorder="1" applyNumberFormat="1">
      <alignment horizontal="center" vertical="center" wrapText="1"/>
    </xf>
    <xf numFmtId="0" fontId="44" fillId="0" borderId="14" xfId="0" applyFont="1" applyBorder="1" applyNumberFormat="1">
      <alignment horizontal="center" vertical="center"/>
    </xf>
    <xf numFmtId="49" fontId="22" fillId="36" borderId="13" xfId="0" applyFont="1" applyFill="1" applyBorder="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6" borderId="20" xfId="0" applyFont="1" applyFill="1" applyBorder="1" applyNumberFormat="1">
      <alignment vertical="center" wrapText="1"/>
    </xf>
    <xf numFmtId="49" fontId="22" fillId="0" borderId="0" xfId="0" applyFont="1" applyNumberFormat="1">
      <alignment vertical="top"/>
    </xf>
    <xf numFmtId="49" fontId="46" fillId="0" borderId="0" xfId="0" applyFont="1" applyNumberFormat="1">
      <alignment vertical="top"/>
    </xf>
    <xf numFmtId="0" fontId="46" fillId="0" borderId="40" xfId="0" applyFont="1" applyBorder="1" applyNumberFormat="1">
      <alignment vertical="center" wrapText="1"/>
    </xf>
    <xf numFmtId="0" fontId="22" fillId="0" borderId="74" xfId="0" applyFont="1" applyBorder="1" applyNumberFormat="1">
      <alignment horizontal="center" vertical="center"/>
    </xf>
    <xf numFmtId="0" fontId="22" fillId="0" borderId="44" xfId="0" applyFont="1" applyBorder="1" applyNumberFormat="1">
      <alignment horizontal="center" vertical="center"/>
    </xf>
    <xf numFmtId="0" fontId="22" fillId="0" borderId="44" xfId="0" applyFont="1" applyBorder="1" applyNumberFormat="1">
      <alignment horizontal="center" vertical="center"/>
    </xf>
    <xf numFmtId="0" fontId="22"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22" fillId="0" borderId="23" xfId="0" applyFont="1" applyBorder="1" applyNumberFormat="1">
      <alignment vertical="top"/>
    </xf>
    <xf numFmtId="49" fontId="0" fillId="0" borderId="37" xfId="0" applyFont="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5" borderId="13" xfId="0" applyFont="1" applyFill="1" applyBorder="1" applyNumberFormat="1">
      <alignment horizontal="center" vertical="center"/>
    </xf>
    <xf numFmtId="49" fontId="0" fillId="0" borderId="13" xfId="0" applyFont="1" applyBorder="1" applyNumberFormat="1">
      <alignment horizontal="center" vertical="center"/>
    </xf>
    <xf numFmtId="0" fontId="22"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5" borderId="13" xfId="0" applyFont="1" applyFill="1" applyBorder="1" applyNumberFormat="1">
      <alignment horizontal="righ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indent="2"/>
    </xf>
    <xf numFmtId="4" fontId="0" fillId="37"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44" fillId="0" borderId="0" xfId="0" applyFont="1" applyNumberFormat="1">
      <alignment vertical="center"/>
    </xf>
    <xf numFmtId="49" fontId="97"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97"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vertical="center" wrapText="1"/>
    </xf>
    <xf numFmtId="49" fontId="22" fillId="0" borderId="0" xfId="0" applyFont="1" applyNumberFormat="1">
      <alignment horizontal="center" vertical="top" wrapText="1"/>
    </xf>
    <xf numFmtId="49" fontId="31" fillId="0" borderId="0" xfId="0" applyFont="1" applyNumberFormat="1">
      <alignment horizontal="center" vertical="top" wrapText="1"/>
    </xf>
    <xf numFmtId="49" fontId="22" fillId="36" borderId="0" xfId="0" applyFont="1" applyFill="1" applyNumberFormat="1">
      <alignment horizontal="center" vertical="top" wrapText="1"/>
    </xf>
    <xf numFmtId="0" fontId="22" fillId="0" borderId="21"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1" fillId="0" borderId="0" xfId="0" applyFont="1" applyNumberFormat="1">
      <alignment horizontal="center" vertical="center" wrapText="1"/>
    </xf>
    <xf numFmtId="49" fontId="22" fillId="36" borderId="0" xfId="0" applyFont="1" applyFill="1" applyNumberFormat="1">
      <alignment horizontal="center" vertical="center" wrapText="1"/>
    </xf>
    <xf numFmtId="49" fontId="22" fillId="0" borderId="0" xfId="0" applyFont="1" applyNumberFormat="1">
      <alignment horizontal="center" vertical="center" wrapText="1"/>
    </xf>
    <xf numFmtId="49" fontId="44" fillId="0" borderId="0" xfId="0" applyFont="1" applyNumberFormat="1">
      <alignment horizontal="center" vertical="center" wrapText="1"/>
    </xf>
    <xf numFmtId="49" fontId="97" fillId="0" borderId="0" xfId="0" applyFont="1" applyNumberFormat="1">
      <alignment horizontal="center" vertical="center" wrapText="1"/>
    </xf>
    <xf numFmtId="0" fontId="44" fillId="0" borderId="0" xfId="0" applyFont="1" applyNumberFormat="1">
      <alignment horizontal="center" vertical="center" wrapText="1"/>
    </xf>
    <xf numFmtId="49" fontId="44" fillId="0" borderId="0" xfId="0" applyFont="1" applyNumberFormat="1">
      <alignment horizontal="center" vertical="center" wrapText="1"/>
    </xf>
    <xf numFmtId="49" fontId="97"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6" borderId="15" xfId="0" applyFont="1" applyFill="1" applyBorder="1" applyNumberFormat="1">
      <alignment horizontal="center" vertical="center" wrapText="1"/>
    </xf>
    <xf numFmtId="0" fontId="22" fillId="46" borderId="16" xfId="0" applyFont="1" applyFill="1" applyBorder="1" applyNumberFormat="1">
      <alignment horizontal="center" vertical="center" wrapText="1"/>
    </xf>
    <xf numFmtId="0" fontId="22" fillId="46" borderId="14" xfId="0" applyFont="1" applyFill="1" applyBorder="1" applyNumberFormat="1">
      <alignment horizontal="center" vertical="center" wrapText="1"/>
    </xf>
    <xf numFmtId="49" fontId="45" fillId="44" borderId="15" xfId="0" applyFont="1" applyFill="1" applyBorder="1" applyNumberFormat="1">
      <alignment horizontal="center" vertical="center" wrapText="1"/>
    </xf>
    <xf numFmtId="49" fontId="45" fillId="44" borderId="16" xfId="0" applyFont="1" applyFill="1" applyBorder="1" applyNumberFormat="1">
      <alignment horizontal="center" vertical="center" wrapText="1"/>
    </xf>
    <xf numFmtId="49" fontId="45" fillId="44" borderId="14" xfId="0" applyFont="1" applyFill="1" applyBorder="1" applyNumberFormat="1">
      <alignment horizontal="center" vertical="center" wrapText="1"/>
    </xf>
    <xf numFmtId="49" fontId="45" fillId="47" borderId="15" xfId="0" applyFont="1" applyFill="1" applyBorder="1" applyNumberFormat="1">
      <alignment horizontal="center" vertical="center" wrapText="1"/>
    </xf>
    <xf numFmtId="49" fontId="45" fillId="47" borderId="16" xfId="0" applyFont="1" applyFill="1" applyBorder="1" applyNumberFormat="1">
      <alignment horizontal="center" vertical="center" wrapText="1"/>
    </xf>
    <xf numFmtId="49" fontId="45" fillId="47" borderId="14" xfId="0" applyFont="1" applyFill="1" applyBorder="1" applyNumberFormat="1">
      <alignment horizontal="center" vertical="center" wrapText="1"/>
    </xf>
    <xf numFmtId="49" fontId="22" fillId="48" borderId="15" xfId="0" applyFont="1" applyFill="1" applyBorder="1" applyNumberFormat="1">
      <alignment horizontal="center" vertical="center" wrapText="1"/>
    </xf>
    <xf numFmtId="49" fontId="22" fillId="48" borderId="16" xfId="0" applyFont="1" applyFill="1" applyBorder="1" applyNumberFormat="1">
      <alignment horizontal="center" vertical="center" wrapText="1"/>
    </xf>
    <xf numFmtId="49" fontId="22" fillId="42" borderId="20" xfId="0" applyFont="1" applyFill="1" applyBorder="1" applyNumberFormat="1">
      <alignment horizontal="center" vertical="center" wrapText="1"/>
    </xf>
    <xf numFmtId="49" fontId="44" fillId="0" borderId="0" xfId="0" applyFont="1" applyNumberFormat="1">
      <alignment horizontal="center" vertical="center" wrapText="1"/>
    </xf>
    <xf numFmtId="49" fontId="22" fillId="42" borderId="0" xfId="0" applyFont="1" applyFill="1" applyNumberFormat="1">
      <alignment horizontal="center" vertical="center" wrapText="1"/>
    </xf>
    <xf numFmtId="49" fontId="22" fillId="0" borderId="16" xfId="0" applyFont="1" applyBorder="1" applyNumberFormat="1">
      <alignment horizontal="center" vertical="center" wrapText="1"/>
    </xf>
    <xf numFmtId="49" fontId="44" fillId="36" borderId="0" xfId="0" applyFont="1" applyFill="1" applyNumberFormat="1">
      <alignment vertical="center" wrapText="1"/>
    </xf>
    <xf numFmtId="49" fontId="22" fillId="42" borderId="13" xfId="0" applyFont="1" applyFill="1" applyBorder="1" applyNumberFormat="1">
      <alignment horizontal="center" vertical="center" wrapText="1"/>
    </xf>
    <xf numFmtId="0" fontId="22" fillId="42" borderId="13" xfId="0" applyFont="1" applyFill="1" applyBorder="1" applyNumberFormat="1">
      <alignment horizontal="center" vertical="center" wrapText="1"/>
    </xf>
    <xf numFmtId="0" fontId="22" fillId="42" borderId="15" xfId="0" applyFont="1" applyFill="1" applyBorder="1" applyNumberFormat="1">
      <alignment horizontal="center" vertical="center" wrapText="1"/>
    </xf>
    <xf numFmtId="0" fontId="22" fillId="36" borderId="14" xfId="0" applyFont="1" applyFill="1" applyBorder="1" applyNumberFormat="1">
      <alignment horizontal="center" vertical="center" wrapText="1"/>
    </xf>
    <xf numFmtId="0" fontId="22" fillId="42" borderId="14" xfId="0" applyFont="1" applyFill="1" applyBorder="1" applyNumberFormat="1">
      <alignment horizontal="center" vertical="center" wrapText="1"/>
    </xf>
    <xf numFmtId="49" fontId="22" fillId="0" borderId="0" xfId="0" applyFont="1" applyNumberFormat="1">
      <alignment vertical="center" wrapText="1"/>
    </xf>
    <xf numFmtId="49" fontId="44" fillId="0" borderId="0" xfId="0" applyFont="1" applyNumberFormat="1">
      <alignment vertical="top"/>
    </xf>
    <xf numFmtId="0" fontId="22" fillId="36" borderId="13" xfId="0" applyFont="1" applyFill="1" applyBorder="1" applyNumberFormat="1">
      <alignment horizontal="center" vertical="center" wrapText="1"/>
    </xf>
    <xf numFmtId="49" fontId="22" fillId="42" borderId="28" xfId="0" applyFont="1" applyFill="1" applyBorder="1" applyNumberFormat="1">
      <alignment horizontal="center" vertical="center" wrapText="1"/>
    </xf>
    <xf numFmtId="49" fontId="44" fillId="36" borderId="0" xfId="0" applyFont="1" applyFill="1" applyNumberFormat="1">
      <alignment vertical="center"/>
    </xf>
    <xf numFmtId="49" fontId="35" fillId="0" borderId="13" xfId="0" applyFont="1" applyBorder="1" applyNumberFormat="1">
      <alignment horizontal="center" vertical="center"/>
    </xf>
    <xf numFmtId="49" fontId="35" fillId="42" borderId="13" xfId="0" applyFont="1" applyFill="1" applyBorder="1" applyNumberFormat="1">
      <alignment horizontal="center" vertical="center"/>
    </xf>
    <xf numFmtId="0" fontId="35" fillId="0" borderId="13" xfId="0" applyFont="1" applyBorder="1" applyNumberFormat="1">
      <alignment horizontal="center" vertical="center"/>
    </xf>
    <xf numFmtId="49" fontId="35" fillId="0" borderId="24" xfId="0" applyFont="1" applyBorder="1" applyNumberFormat="1">
      <alignment horizontal="center" vertical="center"/>
    </xf>
    <xf numFmtId="49" fontId="22" fillId="0" borderId="0" xfId="0" applyFont="1" applyNumberFormat="1">
      <alignment vertical="center"/>
    </xf>
    <xf numFmtId="49" fontId="97" fillId="0" borderId="0" xfId="0" applyFont="1" applyNumberFormat="1">
      <alignment vertical="center"/>
    </xf>
    <xf numFmtId="49" fontId="45" fillId="0" borderId="18" xfId="0" applyFont="1" applyBorder="1" applyNumberFormat="1">
      <alignment horizontal="center" vertical="center"/>
    </xf>
    <xf numFmtId="49" fontId="22" fillId="0" borderId="18" xfId="0" applyFont="1" applyBorder="1" applyNumberFormat="1">
      <alignment horizontal="center" vertical="center"/>
    </xf>
    <xf numFmtId="0" fontId="22" fillId="0" borderId="18" xfId="0" applyFont="1" applyBorder="1" applyNumberFormat="1">
      <alignment horizontal="right" vertical="center"/>
    </xf>
    <xf numFmtId="0" fontId="22" fillId="0" borderId="18" xfId="0" applyFont="1" applyBorder="1" applyNumberFormat="1">
      <alignment horizontal="center" vertical="center"/>
    </xf>
    <xf numFmtId="0" fontId="22" fillId="0" borderId="13" xfId="0" applyFont="1" applyBorder="1" applyNumberFormat="1">
      <alignment horizontal="right" vertical="center"/>
    </xf>
    <xf numFmtId="49" fontId="22" fillId="0" borderId="0" xfId="0" applyFont="1" applyNumberFormat="1">
      <alignment vertical="center"/>
    </xf>
    <xf numFmtId="0" fontId="101" fillId="0" borderId="48" xfId="0" applyFont="1" applyBorder="1" applyNumberFormat="1">
      <alignment horizontal="left" vertical="center" indent="1"/>
    </xf>
    <xf numFmtId="49" fontId="22" fillId="0" borderId="56" xfId="0" applyFont="1" applyBorder="1" applyNumberFormat="1">
      <alignment horizontal="center" vertical="center"/>
    </xf>
    <xf numFmtId="0" fontId="22" fillId="0" borderId="56" xfId="0" applyFont="1" applyBorder="1" applyNumberFormat="1">
      <alignment horizontal="right" vertical="center"/>
    </xf>
    <xf numFmtId="0" fontId="22" fillId="0" borderId="56" xfId="0" applyFont="1" applyBorder="1" applyNumberFormat="1">
      <alignment horizontal="center" vertical="center"/>
    </xf>
    <xf numFmtId="0" fontId="22" fillId="0" borderId="16" xfId="0" applyFont="1" applyBorder="1" applyNumberFormat="1">
      <alignment horizontal="right" vertical="center"/>
    </xf>
    <xf numFmtId="0" fontId="22" fillId="0" borderId="14" xfId="0" applyFont="1" applyBorder="1" applyNumberFormat="1">
      <alignment horizontal="right" vertical="center"/>
    </xf>
    <xf numFmtId="49" fontId="44" fillId="0" borderId="0" xfId="0" applyFont="1" applyNumberFormat="1">
      <alignment vertical="center"/>
    </xf>
    <xf numFmtId="0" fontId="22" fillId="36" borderId="13" xfId="0" applyFont="1" applyFill="1" applyBorder="1" applyNumberFormat="1">
      <alignment horizontal="center" vertical="center"/>
    </xf>
    <xf numFmtId="0" fontId="22" fillId="41" borderId="13" xfId="0" applyFont="1" applyFill="1" applyBorder="1" applyNumberFormat="1">
      <alignment horizontal="left" vertical="center" wrapText="1" indent="1"/>
    </xf>
    <xf numFmtId="49" fontId="22" fillId="37" borderId="13" xfId="0" applyFont="1" applyFill="1" applyBorder="1" applyNumberFormat="1">
      <alignment horizontal="left" vertical="center" indent="1"/>
      <protection locked="0"/>
    </xf>
    <xf numFmtId="0" fontId="22" fillId="42" borderId="13" xfId="0" applyFont="1" applyFill="1" applyBorder="1" applyNumberFormat="1">
      <alignment horizontal="right" vertical="center"/>
    </xf>
    <xf numFmtId="4" fontId="22" fillId="37" borderId="13" xfId="0" applyFont="1" applyFill="1" applyBorder="1" applyNumberFormat="1">
      <alignment horizontal="right" vertical="center"/>
      <protection locked="0"/>
    </xf>
    <xf numFmtId="49" fontId="39" fillId="38" borderId="57"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49" borderId="14" xfId="0" applyFont="1" applyFill="1" applyBorder="1" applyNumberFormat="1">
      <alignment horizontal="left" vertical="center" indent="1"/>
    </xf>
    <xf numFmtId="49" fontId="44" fillId="0" borderId="0" xfId="0" applyFont="1" applyNumberFormat="1">
      <alignment vertical="top"/>
    </xf>
    <xf numFmtId="49" fontId="44" fillId="0" borderId="0" xfId="0" applyFont="1" applyNumberFormat="1">
      <alignment vertical="top"/>
    </xf>
    <xf numFmtId="4" fontId="44" fillId="36" borderId="0" xfId="0" applyFont="1" applyFill="1" applyNumberFormat="1">
      <alignment vertical="center"/>
    </xf>
    <xf numFmtId="49" fontId="44" fillId="0" borderId="0" xfId="0" applyFont="1" applyNumberFormat="1">
      <alignment vertical="center" wrapText="1"/>
    </xf>
    <xf numFmtId="49" fontId="92" fillId="0" borderId="0" xfId="0" applyFont="1" applyNumberFormat="1">
      <alignment vertical="center" wrapText="1"/>
    </xf>
    <xf numFmtId="49" fontId="44" fillId="0" borderId="0" xfId="0" applyFont="1" applyNumberFormat="1">
      <alignment vertical="center" wrapText="1"/>
    </xf>
    <xf numFmtId="49" fontId="97" fillId="0" borderId="0" xfId="0" applyFont="1" applyNumberFormat="1">
      <alignment vertical="center" wrapText="1"/>
    </xf>
    <xf numFmtId="49" fontId="97" fillId="0" borderId="0" xfId="0" applyFont="1" applyNumberFormat="1">
      <alignment vertical="center" wrapText="1"/>
    </xf>
    <xf numFmtId="0" fontId="35" fillId="0" borderId="0" xfId="0" applyFont="1" applyNumberFormat="1">
      <alignment horizontal="center" vertical="center" wrapText="1"/>
    </xf>
    <xf numFmtId="0" fontId="22" fillId="0" borderId="13"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5" borderId="15" xfId="0" applyFont="1" applyFill="1" applyBorder="1" applyNumberFormat="1">
      <alignment horizontal="left" vertical="top" wrapText="1" indent="1"/>
    </xf>
    <xf numFmtId="0" fontId="22" fillId="35" borderId="15" xfId="0" applyFont="1" applyFill="1" applyBorder="1" applyNumberFormat="1">
      <alignment horizontal="left" vertical="top" wrapText="1" indent="1"/>
    </xf>
    <xf numFmtId="0" fontId="22" fillId="0" borderId="15" xfId="0" applyFont="1" applyBorder="1" applyNumberFormat="1">
      <alignment horizontal="center" vertical="center" wrapText="1"/>
    </xf>
    <xf numFmtId="0" fontId="22" fillId="0" borderId="13" xfId="0" applyFont="1" applyBorder="1" applyNumberFormat="1">
      <alignment horizontal="left" vertical="top" wrapText="1"/>
    </xf>
    <xf numFmtId="3" fontId="22" fillId="40" borderId="15" xfId="0" applyFont="1" applyFill="1" applyBorder="1" applyNumberFormat="1">
      <alignment vertical="center" wrapText="1"/>
      <protection locked="0"/>
    </xf>
    <xf numFmtId="3" fontId="22" fillId="40" borderId="15"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3" xfId="0" applyFont="1" applyBorder="1" applyNumberFormat="1">
      <alignment horizontal="left" vertical="top" wrapText="1"/>
    </xf>
    <xf numFmtId="4" fontId="22" fillId="35" borderId="15" xfId="0" applyFont="1" applyFill="1" applyBorder="1" applyNumberFormat="1">
      <alignment horizontal="right" vertical="center" wrapText="1"/>
    </xf>
    <xf numFmtId="4" fontId="22" fillId="35" borderId="15" xfId="0" applyFont="1" applyFill="1" applyBorder="1" applyNumberFormat="1">
      <alignment horizontal="right" vertical="center" wrapText="1"/>
    </xf>
    <xf numFmtId="0" fontId="45" fillId="0" borderId="13" xfId="0" applyFont="1" applyBorder="1" applyNumberFormat="1">
      <alignment vertical="top" wrapText="1"/>
    </xf>
    <xf numFmtId="49" fontId="22" fillId="40" borderId="13" xfId="0" applyFont="1" applyFill="1" applyBorder="1" applyNumberFormat="1">
      <alignment horizontal="left" vertical="center" wrapText="1" indent="1"/>
      <protection locked="0"/>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38" fillId="36" borderId="0" xfId="0" applyFont="1" applyFill="1" applyNumberFormat="1">
      <alignment vertical="center" wrapText="1"/>
    </xf>
    <xf numFmtId="0" fontId="22" fillId="36" borderId="0" xfId="0" applyFont="1" applyFill="1" applyNumberFormat="1">
      <alignment vertical="center" wrapText="1"/>
    </xf>
    <xf numFmtId="49" fontId="22" fillId="0" borderId="0" xfId="0" applyFont="1" applyNumberFormat="1">
      <alignment vertical="center" wrapText="1"/>
    </xf>
    <xf numFmtId="0" fontId="22" fillId="36" borderId="0" xfId="0" applyFont="1" applyFill="1" applyNumberFormat="1">
      <alignment horizontal="center" vertical="center" wrapText="1"/>
    </xf>
    <xf numFmtId="49" fontId="22" fillId="0" borderId="0" xfId="0" applyFont="1" applyNumberFormat="1">
      <alignment vertical="center" wrapText="1"/>
    </xf>
    <xf numFmtId="0" fontId="22" fillId="36" borderId="0" xfId="0" applyFont="1" applyFill="1" applyNumberFormat="1">
      <alignment horizontal="center" vertical="center" wrapText="1"/>
    </xf>
    <xf numFmtId="0" fontId="22"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35" fillId="36" borderId="0" xfId="0" applyFont="1" applyFill="1" applyNumberFormat="1">
      <alignment horizontal="center" vertical="center" wrapText="1"/>
    </xf>
    <xf numFmtId="49" fontId="22"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2"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0" borderId="13" xfId="0" applyFont="1" applyFill="1" applyBorder="1" applyNumberFormat="1">
      <alignment horizontal="left" vertical="center" wrapText="1" indent="2"/>
      <protection locked="0"/>
    </xf>
    <xf numFmtId="49" fontId="51" fillId="40" borderId="13" xfId="0" applyFont="1" applyFill="1" applyBorder="1" applyNumberFormat="1">
      <alignment horizontal="left" vertical="center" wrapText="1"/>
      <protection locked="0"/>
    </xf>
    <xf numFmtId="0" fontId="22" fillId="38" borderId="15" xfId="0" applyFont="1" applyFill="1" applyBorder="1" applyNumberFormat="1">
      <alignment vertical="center" wrapText="1"/>
    </xf>
    <xf numFmtId="49" fontId="39" fillId="38" borderId="16" xfId="0" applyFont="1" applyFill="1" applyBorder="1" applyNumberFormat="1">
      <alignment horizontal="left" vertical="center" indent="2"/>
    </xf>
    <xf numFmtId="49" fontId="43" fillId="38" borderId="14" xfId="0" applyFont="1" applyFill="1" applyBorder="1" applyNumberFormat="1">
      <alignment horizontal="center" vertical="top"/>
    </xf>
    <xf numFmtId="0" fontId="45" fillId="0" borderId="0" xfId="0" applyFont="1" applyNumberFormat="1">
      <alignment vertical="center" wrapText="1"/>
    </xf>
    <xf numFmtId="0" fontId="38" fillId="36" borderId="0" xfId="0" applyFont="1" applyFill="1" applyNumberFormat="1">
      <alignment vertical="center" wrapText="1"/>
    </xf>
    <xf numFmtId="49" fontId="43" fillId="38" borderId="16" xfId="0" applyFont="1" applyFill="1" applyBorder="1" applyNumberFormat="1">
      <alignment horizontal="center" vertical="top"/>
    </xf>
    <xf numFmtId="0" fontId="46" fillId="0" borderId="0" xfId="0" applyFont="1" applyNumberFormat="1">
      <alignment vertical="center"/>
    </xf>
    <xf numFmtId="0" fontId="22" fillId="0" borderId="0" xfId="0" applyFont="1" applyNumberFormat="1">
      <alignment vertical="center"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65" fillId="0" borderId="13" xfId="0" applyFont="1" applyBorder="1" applyNumberFormat="1">
      <alignment horizontal="center" vertical="center" wrapText="1"/>
    </xf>
    <xf numFmtId="0" fontId="65" fillId="0" borderId="13" xfId="0" applyFont="1" applyBorder="1" applyNumberFormat="1">
      <alignment horizontal="left" vertical="center" wrapText="1" indent="2"/>
    </xf>
    <xf numFmtId="49" fontId="68" fillId="0" borderId="15" xfId="0" applyFont="1" applyBorder="1" applyNumberFormat="1">
      <alignment horizontal="left" vertical="center" wrapText="1"/>
    </xf>
    <xf numFmtId="0" fontId="22" fillId="0" borderId="18" xfId="0" applyFont="1" applyBorder="1" applyNumberFormat="1">
      <alignment vertical="top" wrapText="1"/>
    </xf>
    <xf numFmtId="49" fontId="39" fillId="38" borderId="16" xfId="0" applyFont="1" applyFill="1" applyBorder="1" applyNumberFormat="1">
      <alignment horizontal="left" vertical="center" indent="1"/>
    </xf>
    <xf numFmtId="0" fontId="22"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left" vertical="center" wrapText="1" indent="2"/>
      <protection locked="0"/>
    </xf>
    <xf numFmtId="49" fontId="51" fillId="37" borderId="15" xfId="0" applyFont="1" applyFill="1" applyBorder="1" applyNumberFormat="1">
      <alignment horizontal="left" vertical="center" wrapText="1"/>
      <protection locked="0"/>
    </xf>
    <xf numFmtId="49" fontId="22" fillId="0" borderId="0" xfId="0" applyFont="1" applyNumberFormat="1">
      <alignment vertical="top"/>
    </xf>
    <xf numFmtId="0" fontId="3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46" fillId="0" borderId="0" xfId="0" applyFont="1" applyNumberFormat="1">
      <alignment vertical="center"/>
    </xf>
    <xf numFmtId="0" fontId="0" fillId="0" borderId="13" xfId="0" applyFont="1" applyBorder="1" applyNumberFormat="1">
      <alignment horizontal="left" vertical="center" wrapText="1" indent="1"/>
    </xf>
    <xf numFmtId="0" fontId="22" fillId="0" borderId="18" xfId="0" applyFont="1" applyBorder="1" applyNumberFormat="1">
      <alignment vertical="center" wrapText="1"/>
    </xf>
    <xf numFmtId="0" fontId="0" fillId="40" borderId="13" xfId="0" applyFont="1" applyFill="1" applyBorder="1" applyNumberFormat="1">
      <alignment horizontal="left" vertical="center" wrapText="1" indent="2"/>
      <protection locked="0"/>
    </xf>
    <xf numFmtId="49" fontId="51" fillId="40" borderId="15" xfId="0" applyFont="1" applyFill="1" applyBorder="1" applyNumberFormat="1">
      <alignment horizontal="left" vertical="center" wrapText="1"/>
      <protection locked="0"/>
    </xf>
    <xf numFmtId="0" fontId="22" fillId="0" borderId="18" xfId="0" applyFont="1" applyBorder="1" applyNumberFormat="1">
      <alignment horizontal="left" vertical="top" wrapText="1"/>
    </xf>
    <xf numFmtId="0" fontId="22" fillId="38" borderId="15" xfId="0" applyFont="1" applyFill="1" applyBorder="1" applyNumberFormat="1">
      <alignment vertical="center" wrapText="1"/>
    </xf>
    <xf numFmtId="49" fontId="39" fillId="38" borderId="16" xfId="0" applyFont="1" applyFill="1" applyBorder="1" applyNumberFormat="1">
      <alignment horizontal="left" vertical="center" indent="2"/>
    </xf>
    <xf numFmtId="49" fontId="43" fillId="38" borderId="16" xfId="0" applyFont="1" applyFill="1" applyBorder="1" applyNumberFormat="1">
      <alignment horizontal="center" vertical="top"/>
    </xf>
    <xf numFmtId="0" fontId="22" fillId="0" borderId="24"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8" fillId="0" borderId="0" xfId="0" applyFont="1" applyNumberFormat="1">
      <alignment vertical="center" wrapText="1"/>
    </xf>
    <xf numFmtId="49" fontId="45" fillId="0" borderId="0" xfId="0" applyFont="1" applyNumberFormat="1">
      <alignment vertical="top"/>
    </xf>
    <xf numFmtId="0" fontId="0" fillId="40" borderId="13" xfId="0" applyFont="1" applyFill="1" applyBorder="1" applyNumberFormat="1">
      <alignment horizontal="left" vertical="center" wrapText="1" indent="1"/>
      <protection locked="0"/>
    </xf>
    <xf numFmtId="49" fontId="51" fillId="40"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0"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2" fillId="41"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8" fontId="0" fillId="40" borderId="13" xfId="0" applyFont="1" applyFill="1" applyBorder="1" applyNumberFormat="1">
      <alignment horizontal="left" vertical="center" wrapText="1"/>
      <protection locked="0"/>
    </xf>
    <xf numFmtId="0" fontId="22"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2" fillId="0" borderId="13" xfId="0" applyFont="1" applyBorder="1" applyNumberFormat="1">
      <alignment horizontal="left" vertical="center" wrapText="1"/>
    </xf>
    <xf numFmtId="0" fontId="22" fillId="0" borderId="13" xfId="0" applyFont="1" applyBorder="1" applyNumberFormat="1">
      <alignment vertical="top" wrapText="1"/>
    </xf>
    <xf numFmtId="49" fontId="39" fillId="38" borderId="16" xfId="0" applyFont="1" applyFill="1" applyBorder="1" applyNumberFormat="1">
      <alignment horizontal="left" vertical="center" indent="2"/>
    </xf>
    <xf numFmtId="49" fontId="39" fillId="38" borderId="16" xfId="0" applyFont="1" applyFill="1" applyBorder="1" applyNumberFormat="1">
      <alignment horizontal="left" vertical="center" indent="3"/>
    </xf>
    <xf numFmtId="49" fontId="22" fillId="41" borderId="13" xfId="0" applyFont="1" applyFill="1" applyBorder="1" applyNumberFormat="1">
      <alignment horizontal="left" vertical="center" wrapText="1"/>
    </xf>
    <xf numFmtId="49" fontId="22" fillId="0" borderId="0" xfId="0" applyFont="1" applyNumberFormat="1">
      <alignment vertical="top"/>
    </xf>
    <xf numFmtId="49" fontId="46"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4" xfId="0" applyFont="1" applyBorder="1" applyNumberFormat="1">
      <alignment horizontal="center" vertical="center" wrapText="1"/>
    </xf>
    <xf numFmtId="168" fontId="0" fillId="40" borderId="14" xfId="0" applyFont="1" applyFill="1" applyBorder="1" applyNumberFormat="1">
      <alignment horizontal="left" vertical="center" wrapText="1"/>
      <protection locked="0"/>
    </xf>
    <xf numFmtId="168" fontId="0" fillId="40" borderId="15" xfId="0" applyFont="1" applyFill="1" applyBorder="1" applyNumberFormat="1">
      <alignment horizontal="left" vertical="center" wrapText="1"/>
      <protection locked="0"/>
    </xf>
    <xf numFmtId="0" fontId="22" fillId="41"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0" fillId="0" borderId="14"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3" xfId="0" applyFont="1" applyBorder="1" applyNumberFormat="1">
      <alignment horizontal="center" vertical="center" wrapText="1"/>
    </xf>
    <xf numFmtId="0" fontId="22" fillId="0" borderId="16" xfId="0" applyFont="1" applyBorder="1" applyNumberFormat="1">
      <alignment horizontal="left" vertical="top" wrapText="1" indent="1"/>
    </xf>
    <xf numFmtId="0" fontId="30" fillId="0" borderId="0" xfId="0" applyFont="1" applyNumberFormat="1">
      <alignment vertical="center" wrapText="1"/>
    </xf>
    <xf numFmtId="0" fontId="0" fillId="36" borderId="15" xfId="0" applyFont="1" applyFill="1" applyBorder="1" applyNumberFormat="1">
      <alignment horizontal="right" vertical="center" wrapText="1" indent="1"/>
    </xf>
    <xf numFmtId="0" fontId="69" fillId="0" borderId="0" xfId="0" applyFont="1" applyNumberFormat="1">
      <alignment vertical="center" wrapText="1"/>
    </xf>
    <xf numFmtId="49" fontId="35" fillId="36" borderId="0" xfId="0" applyFont="1" applyFill="1" applyNumberFormat="1">
      <alignment horizontal="center" vertical="center" wrapText="1"/>
    </xf>
    <xf numFmtId="49" fontId="35" fillId="36" borderId="20"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22" fillId="0" borderId="13" xfId="0" applyFont="1" applyBorder="1" applyNumberFormat="1">
      <alignment horizontal="left" vertical="center" wrapText="1"/>
    </xf>
    <xf numFmtId="0" fontId="38" fillId="36" borderId="0" xfId="0" applyFont="1" applyFill="1" applyNumberFormat="1">
      <alignment horizontal="center" vertical="top" wrapText="1"/>
    </xf>
    <xf numFmtId="0" fontId="0" fillId="35"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39" fillId="38" borderId="28" xfId="0" applyFont="1" applyFill="1" applyBorder="1" applyNumberFormat="1">
      <alignment horizontal="left" vertical="center" indent="2"/>
    </xf>
    <xf numFmtId="49" fontId="39" fillId="38" borderId="16" xfId="0" applyFont="1" applyFill="1" applyBorder="1" applyNumberFormat="1">
      <alignment horizontal="left" vertical="center"/>
    </xf>
    <xf numFmtId="0" fontId="38" fillId="36" borderId="25" xfId="0" applyFont="1" applyFill="1" applyBorder="1" applyNumberFormat="1">
      <alignment horizontal="center" vertical="top" wrapText="1"/>
    </xf>
    <xf numFmtId="49" fontId="0" fillId="36" borderId="24" xfId="0" applyFont="1" applyFill="1" applyBorder="1" applyNumberFormat="1">
      <alignment horizontal="center" vertical="center" wrapText="1"/>
    </xf>
    <xf numFmtId="0" fontId="0" fillId="35" borderId="24" xfId="0" applyFont="1" applyFill="1" applyBorder="1" applyNumberFormat="1">
      <alignment horizontal="left" vertical="center" wrapText="1" indent="1"/>
    </xf>
    <xf numFmtId="0" fontId="0" fillId="0" borderId="14" xfId="0" applyFont="1" applyBorder="1" applyNumberFormat="1">
      <alignment horizontal="center" vertical="center" wrapText="1"/>
    </xf>
    <xf numFmtId="49" fontId="0" fillId="36" borderId="15" xfId="0" applyFont="1" applyFill="1" applyBorder="1" applyNumberFormat="1">
      <alignment horizontal="center" vertical="center" wrapText="1"/>
    </xf>
    <xf numFmtId="0" fontId="22" fillId="0" borderId="37" xfId="0" applyFont="1" applyBorder="1" applyNumberFormat="1">
      <alignment horizontal="left" vertical="top" wrapText="1"/>
    </xf>
    <xf numFmtId="49" fontId="22" fillId="0" borderId="0" xfId="0" applyFont="1" applyNumberFormat="1">
      <alignment vertical="top"/>
    </xf>
    <xf numFmtId="49" fontId="22" fillId="0" borderId="20" xfId="0" applyFont="1" applyBorder="1" applyNumberFormat="1">
      <alignment vertical="top"/>
    </xf>
    <xf numFmtId="0" fontId="30"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0" fontId="22" fillId="36" borderId="13" xfId="0" applyFont="1" applyFill="1" applyBorder="1" applyNumberFormat="1">
      <alignment horizontal="center" vertical="center" wrapText="1"/>
    </xf>
    <xf numFmtId="0" fontId="36" fillId="36" borderId="0" xfId="0" applyFont="1" applyFill="1" applyNumberFormat="1">
      <alignment horizontal="center" vertical="center" wrapText="1"/>
    </xf>
    <xf numFmtId="0" fontId="0" fillId="0" borderId="13" xfId="0" applyFont="1" applyBorder="1" applyNumberFormat="1">
      <alignment horizontal="left" vertical="center" wrapText="1"/>
    </xf>
    <xf numFmtId="0" fontId="22" fillId="0" borderId="20" xfId="0" applyFont="1" applyBorder="1" applyNumberFormat="1">
      <alignment vertical="center" wrapText="1"/>
    </xf>
    <xf numFmtId="0" fontId="22" fillId="0" borderId="20"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1" fillId="0" borderId="0" xfId="0" applyFont="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3" fontId="22" fillId="0" borderId="15" xfId="0" applyFont="1" applyBorder="1" applyNumberFormat="1">
      <alignment vertical="center" wrapText="1"/>
    </xf>
    <xf numFmtId="3" fontId="22" fillId="0" borderId="15" xfId="0" applyFont="1" applyBorder="1" applyNumberFormat="1">
      <alignment vertical="center" wrapText="1"/>
    </xf>
    <xf numFmtId="0" fontId="22" fillId="0" borderId="13"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3" xfId="0" applyFont="1" applyBorder="1" applyNumberFormat="1">
      <alignment horizontal="left" vertical="center" wrapText="1" indent="1"/>
    </xf>
    <xf numFmtId="49" fontId="22" fillId="0" borderId="13" xfId="0" applyFont="1" applyBorder="1" applyNumberFormat="1">
      <alignment horizontal="center" vertical="center" wrapText="1"/>
    </xf>
    <xf numFmtId="4" fontId="22" fillId="0" borderId="15" xfId="0" applyFont="1" applyBorder="1" applyNumberFormat="1">
      <alignment horizontal="right" vertical="center" wrapText="1"/>
    </xf>
    <xf numFmtId="4" fontId="22" fillId="0" borderId="31" xfId="0" applyFont="1" applyBorder="1" applyNumberFormat="1">
      <alignment horizontal="right" vertical="center" wrapText="1"/>
    </xf>
    <xf numFmtId="4" fontId="22" fillId="0" borderId="15" xfId="0" applyFont="1" applyBorder="1" applyNumberFormat="1">
      <alignment horizontal="right" vertical="center" wrapText="1"/>
    </xf>
    <xf numFmtId="4" fontId="22" fillId="0" borderId="31" xfId="0" applyFont="1" applyBorder="1" applyNumberFormat="1">
      <alignment horizontal="right" vertical="center" wrapText="1"/>
    </xf>
    <xf numFmtId="0" fontId="51" fillId="0" borderId="0" xfId="0" applyFont="1" applyNumberFormat="1">
      <alignment vertical="center" wrapText="1"/>
    </xf>
    <xf numFmtId="49" fontId="22" fillId="0" borderId="0" xfId="0" applyFont="1" applyNumberFormat="1">
      <alignment horizontal="center" vertical="top"/>
    </xf>
    <xf numFmtId="49" fontId="31" fillId="44" borderId="0" xfId="0" applyFont="1" applyFill="1" applyNumberFormat="1">
      <alignment horizontal="center" vertical="center"/>
    </xf>
    <xf numFmtId="49" fontId="22" fillId="0" borderId="13" xfId="0" applyFont="1" applyBorder="1" applyNumberFormat="1">
      <alignment horizontal="center" vertical="top"/>
    </xf>
    <xf numFmtId="49" fontId="45" fillId="44" borderId="0" xfId="0" applyFont="1" applyFill="1" applyNumberFormat="1">
      <alignment horizontal="center" vertical="center" wrapText="1"/>
    </xf>
    <xf numFmtId="0" fontId="0" fillId="46" borderId="13" xfId="0" applyFont="1" applyFill="1" applyBorder="1" applyNumberFormat="1">
      <alignment horizontal="center" vertical="center"/>
    </xf>
    <xf numFmtId="49" fontId="0" fillId="0" borderId="0" xfId="0" applyFont="1" applyNumberFormat="1">
      <alignment vertical="center"/>
    </xf>
    <xf numFmtId="49" fontId="45" fillId="44" borderId="13" xfId="0" applyFont="1" applyFill="1" applyBorder="1" applyNumberFormat="1">
      <alignment horizontal="center" vertical="center"/>
    </xf>
    <xf numFmtId="49" fontId="45" fillId="47" borderId="13" xfId="0" applyFont="1" applyFill="1" applyBorder="1" applyNumberFormat="1">
      <alignment horizontal="center" vertical="center"/>
    </xf>
    <xf numFmtId="49" fontId="0" fillId="48" borderId="13" xfId="0" applyFont="1" applyFill="1" applyBorder="1" applyNumberFormat="1">
      <alignment horizontal="center" vertical="center"/>
    </xf>
    <xf numFmtId="49" fontId="22" fillId="0" borderId="0" xfId="0" applyFont="1" applyNumberFormat="1">
      <alignment vertical="top"/>
    </xf>
    <xf numFmtId="0" fontId="22"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2" fillId="0" borderId="15" xfId="0" applyFont="1" applyBorder="1" applyNumberFormat="1">
      <alignment horizontal="left" vertical="center"/>
    </xf>
    <xf numFmtId="49" fontId="22" fillId="0" borderId="45" xfId="0" applyFont="1" applyBorder="1" applyNumberFormat="1">
      <alignment vertical="center"/>
    </xf>
    <xf numFmtId="49" fontId="22" fillId="0" borderId="46" xfId="0" applyFont="1" applyBorder="1" applyNumberFormat="1">
      <alignment vertical="top"/>
    </xf>
    <xf numFmtId="49" fontId="22"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2" fillId="0" borderId="14" xfId="0" applyFont="1" applyBorder="1" applyNumberFormat="1">
      <alignment vertical="center"/>
    </xf>
    <xf numFmtId="49" fontId="22" fillId="0" borderId="13" xfId="0" applyFont="1" applyBorder="1" applyNumberFormat="1">
      <alignment vertical="center"/>
    </xf>
    <xf numFmtId="0" fontId="0" fillId="0" borderId="0" xfId="0" applyFont="1" applyNumberFormat="1">
      <alignment vertical="top"/>
    </xf>
    <xf numFmtId="0" fontId="22" fillId="0" borderId="13" xfId="0" applyFont="1" applyBorder="1" applyNumberFormat="1">
      <alignment vertical="top"/>
    </xf>
    <xf numFmtId="0" fontId="0" fillId="45" borderId="0" xfId="0" applyFont="1" applyFill="1" applyNumberFormat="1">
      <alignment horizontal="right" vertical="center"/>
    </xf>
    <xf numFmtId="49" fontId="31" fillId="0" borderId="0" xfId="0" applyFont="1" applyNumberFormat="1">
      <alignment horizontal="center" vertical="center"/>
    </xf>
    <xf numFmtId="49" fontId="0" fillId="0" borderId="0" xfId="0" applyFont="1" applyNumberFormat="1">
      <alignment vertical="top"/>
    </xf>
    <xf numFmtId="49" fontId="31" fillId="44" borderId="0" xfId="0" applyFont="1" applyFill="1" applyNumberFormat="1">
      <alignment horizontal="center" vertical="center"/>
    </xf>
    <xf numFmtId="0" fontId="22" fillId="0" borderId="0" xfId="0" applyFont="1" applyNumberFormat="1">
      <alignment vertical="center"/>
    </xf>
    <xf numFmtId="0" fontId="0" fillId="45" borderId="0" xfId="0" applyFont="1" applyFill="1" applyNumberFormat="1">
      <alignment horizontal="right" vertical="center"/>
    </xf>
    <xf numFmtId="0" fontId="0" fillId="45"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5" xfId="0" applyFont="1" applyBorder="1" applyNumberFormat="1">
      <alignment vertical="top"/>
    </xf>
    <xf numFmtId="0" fontId="0" fillId="45" borderId="0" xfId="0" applyFont="1" applyFill="1" applyNumberFormat="1">
      <alignment horizontal="right" vertical="center"/>
    </xf>
    <xf numFmtId="0" fontId="0" fillId="0" borderId="0" xfId="0" applyFont="1" applyNumberFormat="1">
      <alignment horizontal="left" vertical="center"/>
    </xf>
    <xf numFmtId="0" fontId="0" fillId="45" borderId="0" xfId="0" applyFont="1" applyFill="1" applyNumberFormat="1">
      <alignment horizontal="right" vertical="center"/>
    </xf>
    <xf numFmtId="0" fontId="0" fillId="45" borderId="0" xfId="0" applyFont="1" applyFill="1" applyNumberFormat="1">
      <alignment horizontal="left" vertical="center"/>
    </xf>
    <xf numFmtId="0" fontId="52" fillId="45"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2" fillId="0" borderId="0" xfId="0" applyFont="1" applyNumberFormat="1">
      <alignment horizontal="left" vertical="center"/>
    </xf>
    <xf numFmtId="49" fontId="0" fillId="0" borderId="15" xfId="0" applyFont="1" applyBorder="1" applyNumberFormat="1">
      <alignment vertical="top"/>
    </xf>
    <xf numFmtId="49" fontId="22" fillId="0" borderId="13" xfId="0" applyFont="1" applyBorder="1" applyNumberFormat="1">
      <alignment horizontal="right" vertical="top"/>
    </xf>
    <xf numFmtId="0" fontId="0" fillId="0" borderId="15" xfId="0" applyFont="1" applyBorder="1" applyNumberFormat="1">
      <alignment horizontal="left" vertical="center"/>
    </xf>
    <xf numFmtId="0" fontId="52" fillId="45" borderId="0" xfId="0" applyFont="1" applyFill="1" applyNumberFormat="1">
      <alignment horizontal="left" vertical="center"/>
    </xf>
    <xf numFmtId="49" fontId="22" fillId="0" borderId="18" xfId="0" applyFont="1" applyBorder="1" applyNumberFormat="1">
      <alignment horizontal="right" vertical="top"/>
    </xf>
    <xf numFmtId="0" fontId="0" fillId="0" borderId="18" xfId="0" applyFont="1" applyBorder="1" applyNumberFormat="1">
      <alignment vertical="top"/>
    </xf>
    <xf numFmtId="0" fontId="22" fillId="0" borderId="18" xfId="0" applyFont="1" applyBorder="1" applyNumberFormat="1">
      <alignment vertical="center"/>
    </xf>
    <xf numFmtId="49" fontId="22" fillId="0" borderId="32" xfId="0" applyFont="1" applyBorder="1" applyNumberFormat="1">
      <alignment horizontal="center" vertical="center"/>
    </xf>
    <xf numFmtId="49" fontId="22" fillId="0" borderId="13" xfId="0" applyFont="1" applyBorder="1" applyNumberFormat="1">
      <alignment horizontal="right" vertical="center"/>
    </xf>
    <xf numFmtId="49" fontId="22" fillId="0" borderId="13" xfId="0" applyFont="1" applyBorder="1" applyNumberFormat="1">
      <alignment vertical="top"/>
    </xf>
    <xf numFmtId="49" fontId="0" fillId="0" borderId="0" xfId="0" applyFont="1" applyNumberFormat="1">
      <alignment vertical="center"/>
    </xf>
    <xf numFmtId="0" fontId="22" fillId="45" borderId="0" xfId="0" applyFont="1" applyFill="1" applyNumberFormat="1">
      <alignment horizontal="left" vertical="center"/>
    </xf>
    <xf numFmtId="0" fontId="0" fillId="45" borderId="11" xfId="0" applyFont="1" applyFill="1" applyBorder="1" applyNumberFormat="1">
      <alignment horizontal="center"/>
    </xf>
    <xf numFmtId="49" fontId="102" fillId="0" borderId="17" xfId="0" applyFont="1" applyBorder="1" applyNumberFormat="1">
      <alignment vertical="top"/>
    </xf>
    <xf numFmtId="49" fontId="0" fillId="0" borderId="0" xfId="0" applyFont="1" applyNumberFormat="1">
      <alignment vertical="center"/>
    </xf>
    <xf numFmtId="49" fontId="44" fillId="51" borderId="0" xfId="0" applyFont="1" applyFill="1" applyNumberFormat="1">
      <alignment vertical="center" wrapText="1"/>
    </xf>
    <xf numFmtId="0" fontId="0" fillId="0" borderId="11" xfId="0" applyFont="1" applyBorder="1" applyNumberFormat="1">
      <alignment horizontal="center"/>
    </xf>
    <xf numFmtId="49" fontId="31" fillId="44" borderId="0" xfId="0" applyFont="1" applyFill="1" applyNumberFormat="1">
      <alignment horizontal="center" vertical="center" wrapText="1"/>
    </xf>
    <xf numFmtId="49" fontId="22" fillId="45" borderId="0" xfId="0" applyFont="1" applyFill="1" applyNumberFormat="1">
      <alignment horizontal="center" vertical="center"/>
    </xf>
    <xf numFmtId="49" fontId="22" fillId="0" borderId="0" xfId="0" applyFont="1" applyNumberFormat="1">
      <alignment vertical="top"/>
    </xf>
    <xf numFmtId="49" fontId="0" fillId="37"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5"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0" fillId="0" borderId="47" xfId="0" applyFont="1" applyBorder="1" applyNumberFormat="1">
      <alignment horizontal="center" vertical="center"/>
    </xf>
    <xf numFmtId="0" fontId="0" fillId="0" borderId="47" xfId="0" applyFont="1" applyBorder="1" applyNumberFormat="1">
      <alignment horizontal="center" vertical="center"/>
    </xf>
    <xf numFmtId="49" fontId="31" fillId="44" borderId="13" xfId="0" applyFont="1" applyFill="1" applyBorder="1" applyNumberFormat="1">
      <alignment horizontal="right" vertical="center"/>
    </xf>
    <xf numFmtId="49" fontId="22" fillId="37" borderId="38" xfId="0" applyFont="1" applyFill="1" applyBorder="1" applyNumberFormat="1">
      <alignment vertical="top"/>
      <protection locked="0"/>
    </xf>
    <xf numFmtId="0" fontId="22" fillId="0" borderId="13" xfId="0" applyFont="1" applyBorder="1" applyNumberFormat="1">
      <alignment vertical="top"/>
    </xf>
    <xf numFmtId="0" fontId="0" fillId="42" borderId="13" xfId="0" applyFont="1" applyFill="1" applyBorder="1" applyNumberFormat="1">
      <alignment horizontal="right" vertical="center"/>
    </xf>
    <xf numFmtId="49" fontId="22" fillId="42" borderId="24" xfId="0" applyFont="1" applyFill="1" applyBorder="1" applyNumberFormat="1">
      <alignment vertical="top"/>
    </xf>
    <xf numFmtId="49" fontId="22" fillId="42" borderId="13" xfId="0" applyFont="1" applyFill="1" applyBorder="1" applyNumberFormat="1">
      <alignment vertical="top"/>
    </xf>
    <xf numFmtId="49" fontId="22" fillId="0" borderId="15" xfId="0" applyFont="1" applyBorder="1" applyNumberFormat="1">
      <alignment horizontal="center" vertical="top"/>
    </xf>
    <xf numFmtId="49" fontId="22" fillId="0" borderId="14" xfId="0" applyFont="1" applyBorder="1" applyNumberFormat="1">
      <alignment horizontal="center" vertical="top"/>
    </xf>
    <xf numFmtId="0" fontId="22" fillId="35" borderId="31" xfId="0" applyFont="1" applyFill="1" applyBorder="1" applyNumberFormat="1">
      <alignment horizontal="center" vertical="top"/>
    </xf>
    <xf numFmtId="0" fontId="22" fillId="35"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2" fillId="0" borderId="13" xfId="0" applyFont="1" applyBorder="1" applyNumberFormat="1">
      <alignment horizontal="left" vertical="top"/>
    </xf>
    <xf numFmtId="49" fontId="22" fillId="0" borderId="0" xfId="0" applyFont="1" applyNumberFormat="1">
      <alignment horizontal="left" vertical="top"/>
    </xf>
    <xf numFmtId="0" fontId="0" fillId="0" borderId="34" xfId="0" applyFont="1" applyBorder="1" applyNumberFormat="1">
      <alignment horizontal="center" vertical="center"/>
    </xf>
    <xf numFmtId="49" fontId="31" fillId="44" borderId="15" xfId="0" applyFont="1" applyFill="1" applyBorder="1" applyNumberFormat="1">
      <alignment horizontal="right" vertical="center"/>
    </xf>
    <xf numFmtId="49" fontId="22"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5"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6" borderId="13" xfId="0" applyFont="1" applyFill="1" applyBorder="1" applyNumberFormat="1">
      <alignment horizontal="center" vertical="center"/>
    </xf>
    <xf numFmtId="49" fontId="22" fillId="40" borderId="13" xfId="0" applyFont="1" applyFill="1" applyBorder="1" applyNumberFormat="1">
      <alignment horizontal="left" vertical="center" wrapText="1"/>
      <protection locked="0"/>
    </xf>
    <xf numFmtId="0" fontId="22" fillId="40" borderId="13" xfId="0" applyFont="1" applyFill="1" applyBorder="1" applyNumberFormat="1">
      <alignment horizontal="center" vertical="center" wrapText="1"/>
      <protection locked="0"/>
    </xf>
    <xf numFmtId="0" fontId="45" fillId="36" borderId="0" xfId="0" applyFont="1" applyFill="1" applyNumberFormat="1"/>
    <xf numFmtId="49" fontId="22"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2" fillId="35" borderId="13" xfId="0" applyFont="1" applyFill="1" applyBorder="1" applyNumberFormat="1">
      <alignment horizontal="left" vertical="center" wrapText="1"/>
    </xf>
    <xf numFmtId="0" fontId="66" fillId="36" borderId="0" xfId="0" applyFont="1" applyFill="1" applyNumberFormat="1"/>
    <xf numFmtId="0" fontId="22" fillId="36" borderId="13" xfId="0" applyFont="1" applyFill="1" applyBorder="1" applyNumberFormat="1">
      <alignment horizontal="left" vertical="center" wrapText="1"/>
    </xf>
    <xf numFmtId="0" fontId="22" fillId="0" borderId="13" xfId="0" applyFont="1" applyBorder="1" applyNumberFormat="1">
      <alignment horizontal="center" vertical="center" wrapText="1"/>
    </xf>
    <xf numFmtId="49" fontId="22" fillId="0" borderId="13" xfId="0" applyFont="1" applyBorder="1" applyNumberFormat="1">
      <alignment horizontal="center" vertical="center"/>
    </xf>
    <xf numFmtId="49" fontId="22" fillId="37"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0" fontId="22"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65" fillId="36" borderId="0" xfId="0" applyFont="1" applyFill="1" applyNumberFormat="1"/>
    <xf numFmtId="0" fontId="70" fillId="36" borderId="0" xfId="0" applyFont="1" applyFill="1" applyNumberFormat="1">
      <alignment vertical="center" wrapText="1"/>
    </xf>
    <xf numFmtId="0" fontId="4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65" fillId="36" borderId="0" xfId="0" applyFont="1" applyFill="1" applyNumberFormat="1"/>
    <xf numFmtId="0" fontId="0" fillId="36" borderId="24" xfId="0" applyFont="1" applyFill="1" applyBorder="1" applyNumberFormat="1">
      <alignment horizontal="left" vertical="top" wrapText="1"/>
    </xf>
    <xf numFmtId="0" fontId="82" fillId="36" borderId="0" xfId="0" applyFont="1" applyFill="1" applyNumberFormat="1"/>
    <xf numFmtId="0" fontId="22" fillId="36" borderId="13" xfId="0" applyFont="1" applyFill="1" applyBorder="1" applyNumberFormat="1">
      <alignment horizontal="left" vertical="top" wrapText="1"/>
    </xf>
    <xf numFmtId="49" fontId="51" fillId="37" borderId="24" xfId="0" applyFont="1" applyFill="1" applyBorder="1" applyNumberFormat="1">
      <alignment horizontal="left" vertical="center" wrapText="1"/>
      <protection locked="0"/>
    </xf>
    <xf numFmtId="0" fontId="22" fillId="36" borderId="13" xfId="0" applyFont="1" applyFill="1" applyBorder="1" applyNumberFormat="1">
      <alignment vertical="top" wrapText="1"/>
    </xf>
    <xf numFmtId="0" fontId="22" fillId="0" borderId="13" xfId="0" applyFont="1" applyBorder="1" applyNumberFormat="1">
      <alignment horizontal="center" vertical="center" wrapText="1"/>
    </xf>
    <xf numFmtId="49" fontId="22" fillId="41" borderId="13" xfId="0" applyFont="1" applyFill="1" applyBorder="1" applyNumberFormat="1">
      <alignment horizontal="left" vertical="center" wrapText="1"/>
    </xf>
    <xf numFmtId="14" fontId="22" fillId="40" borderId="15" xfId="0" applyFont="1" applyFill="1" applyBorder="1" applyNumberFormat="1">
      <alignment horizontal="left" vertical="center" wrapText="1" indent="1"/>
      <protection locked="0"/>
    </xf>
    <xf numFmtId="0" fontId="45" fillId="0" borderId="37" xfId="0" applyFont="1" applyBorder="1" applyNumberFormat="1">
      <alignment horizontal="left" vertical="center" wrapText="1" indent="1"/>
    </xf>
    <xf numFmtId="0" fontId="110" fillId="0" borderId="0" xfId="0" applyFont="1" applyNumberFormat="1">
      <alignment vertical="center"/>
    </xf>
    <xf numFmtId="0" fontId="36" fillId="0" borderId="0" xfId="0" applyFont="1" applyNumberFormat="1">
      <alignment horizontal="center" vertical="center" wrapText="1"/>
    </xf>
    <xf numFmtId="4" fontId="22" fillId="0" borderId="18" xfId="0" applyFont="1" applyBorder="1" applyNumberFormat="1">
      <alignment horizontal="center" vertical="center" wrapText="1"/>
    </xf>
    <xf numFmtId="169" fontId="22" fillId="0" borderId="38" xfId="0" applyFont="1" applyBorder="1" applyNumberFormat="1">
      <alignment horizontal="center" vertical="center" wrapText="1"/>
    </xf>
    <xf numFmtId="169" fontId="22" fillId="0" borderId="18" xfId="0" applyFont="1" applyBorder="1" applyNumberFormat="1">
      <alignment horizontal="center" vertical="center" wrapText="1"/>
    </xf>
    <xf numFmtId="4" fontId="22" fillId="0" borderId="24" xfId="0" applyFont="1" applyBorder="1" applyNumberFormat="1">
      <alignment horizontal="center" vertical="center" wrapText="1"/>
    </xf>
    <xf numFmtId="14" fontId="22" fillId="41" borderId="13" xfId="0" applyFont="1" applyFill="1" applyBorder="1" applyNumberFormat="1">
      <alignment horizontal="left" vertical="center" wrapText="1"/>
    </xf>
    <xf numFmtId="14" fontId="22" fillId="40" borderId="13" xfId="0" applyFont="1" applyFill="1" applyBorder="1" applyNumberFormat="1">
      <alignment horizontal="left" vertical="center" wrapText="1" indent="1"/>
      <protection locked="0"/>
    </xf>
    <xf numFmtId="49" fontId="48" fillId="38" borderId="31" xfId="0" applyFont="1" applyFill="1" applyBorder="1" applyNumberFormat="1">
      <alignment horizontal="right" vertical="center" wrapText="1"/>
    </xf>
    <xf numFmtId="49" fontId="0" fillId="38" borderId="28" xfId="0" applyFont="1" applyFill="1" applyBorder="1" applyNumberFormat="1">
      <alignment horizontal="right" vertical="center" wrapText="1"/>
    </xf>
    <xf numFmtId="49" fontId="0" fillId="38" borderId="30" xfId="0" applyFont="1" applyFill="1" applyBorder="1" applyNumberFormat="1">
      <alignment horizontal="right" vertical="center" wrapText="1"/>
    </xf>
    <xf numFmtId="0" fontId="110" fillId="0" borderId="0" xfId="0" applyFont="1" applyNumberFormat="1">
      <alignment vertical="center" wrapText="1"/>
    </xf>
    <xf numFmtId="49" fontId="0" fillId="0" borderId="0" xfId="0" applyFont="1" applyNumberFormat="1">
      <alignment vertical="top"/>
    </xf>
    <xf numFmtId="0" fontId="22" fillId="0" borderId="15" xfId="0" applyFont="1" applyBorder="1" applyNumberFormat="1">
      <alignment horizontal="center" vertical="center" wrapText="1"/>
    </xf>
    <xf numFmtId="0" fontId="22" fillId="35" borderId="13" xfId="0" applyFont="1" applyFill="1" applyBorder="1" applyNumberFormat="1">
      <alignment horizontal="left" vertical="center" wrapText="1" indent="1"/>
    </xf>
    <xf numFmtId="168" fontId="0" fillId="40" borderId="16" xfId="0" applyFont="1" applyFill="1" applyBorder="1" applyNumberFormat="1">
      <alignment horizontal="left" vertical="center" wrapText="1" indent="1"/>
      <protection locked="0"/>
    </xf>
    <xf numFmtId="170" fontId="22" fillId="40" borderId="13" xfId="0" applyFont="1" applyFill="1" applyBorder="1" applyNumberFormat="1">
      <alignment horizontal="left" vertical="center" wrapText="1" indent="1"/>
      <protection locked="0"/>
    </xf>
    <xf numFmtId="168" fontId="46" fillId="0" borderId="0" xfId="0" applyFont="1" applyNumberFormat="1">
      <alignment horizontal="center" vertical="center" wrapText="1"/>
    </xf>
    <xf numFmtId="169" fontId="22" fillId="0" borderId="18" xfId="0" applyFont="1" applyBorder="1" applyNumberFormat="1">
      <alignment horizontal="center" vertical="center" wrapText="1"/>
    </xf>
    <xf numFmtId="169" fontId="22" fillId="0" borderId="15" xfId="0" applyFont="1" applyBorder="1" applyNumberFormat="1">
      <alignment horizontal="center" vertical="center" wrapText="1"/>
    </xf>
    <xf numFmtId="169" fontId="22" fillId="0" borderId="16" xfId="0" applyFont="1" applyBorder="1" applyNumberFormat="1">
      <alignment horizontal="center" vertical="center" wrapText="1"/>
    </xf>
    <xf numFmtId="169" fontId="22" fillId="0" borderId="14" xfId="0" applyFont="1" applyBorder="1" applyNumberFormat="1">
      <alignment horizontal="center" vertical="center" wrapText="1"/>
    </xf>
    <xf numFmtId="4" fontId="22" fillId="0" borderId="37" xfId="0" applyFont="1" applyBorder="1" applyNumberFormat="1">
      <alignment horizontal="center" vertical="center" wrapText="1"/>
    </xf>
    <xf numFmtId="169" fontId="22" fillId="0" borderId="24" xfId="0" applyFont="1" applyBorder="1" applyNumberFormat="1">
      <alignment horizontal="center" vertical="center" wrapText="1"/>
    </xf>
    <xf numFmtId="169" fontId="22" fillId="0" borderId="24" xfId="0" applyFont="1" applyBorder="1" applyNumberFormat="1">
      <alignment horizontal="center" vertical="center" wrapText="1"/>
    </xf>
    <xf numFmtId="0" fontId="22" fillId="0" borderId="24" xfId="0" applyFont="1" applyBorder="1" applyNumberFormat="1">
      <alignment horizontal="center" vertical="center" wrapText="1"/>
    </xf>
    <xf numFmtId="0" fontId="22" fillId="35" borderId="24" xfId="0" applyFont="1" applyFill="1" applyBorder="1" applyNumberFormat="1">
      <alignment horizontal="left" vertical="center" wrapText="1" indent="1"/>
    </xf>
    <xf numFmtId="14" fontId="22" fillId="40" borderId="24" xfId="0" applyFont="1" applyFill="1" applyBorder="1" applyNumberFormat="1">
      <alignment horizontal="left" vertical="center" wrapText="1" indent="1"/>
      <protection locked="0"/>
    </xf>
    <xf numFmtId="0" fontId="22" fillId="0" borderId="30" xfId="0" applyFont="1" applyBorder="1" applyNumberFormat="1">
      <alignment horizontal="left" vertical="top" wrapText="1"/>
    </xf>
    <xf numFmtId="0" fontId="22" fillId="0" borderId="13" xfId="0" applyFont="1" applyBorder="1" applyNumberFormat="1">
      <alignment horizontal="center" vertical="center" wrapText="1"/>
    </xf>
    <xf numFmtId="0" fontId="22" fillId="35" borderId="13" xfId="0" applyFont="1" applyFill="1" applyBorder="1" applyNumberFormat="1">
      <alignment horizontal="left" vertical="center" wrapText="1" indent="1"/>
    </xf>
    <xf numFmtId="0" fontId="46"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69" fontId="22" fillId="0" borderId="24" xfId="0" applyFont="1" applyBorder="1" applyNumberFormat="1">
      <alignment horizontal="center" vertical="center" wrapText="1"/>
    </xf>
    <xf numFmtId="0" fontId="22" fillId="0" borderId="24" xfId="0" applyFont="1" applyBorder="1" applyNumberFormat="1">
      <alignment horizontal="left" vertical="center" wrapText="1" indent="1"/>
    </xf>
    <xf numFmtId="14" fontId="22" fillId="0" borderId="24" xfId="0" applyFont="1" applyBorder="1" applyNumberFormat="1">
      <alignment horizontal="left" vertical="center" wrapText="1" indent="1"/>
    </xf>
    <xf numFmtId="14" fontId="22" fillId="41" borderId="13" xfId="0" applyFont="1" applyFill="1" applyBorder="1" applyNumberFormat="1">
      <alignment horizontal="left" vertical="center" wrapText="1"/>
    </xf>
    <xf numFmtId="49" fontId="22" fillId="41" borderId="15" xfId="0" applyFont="1" applyFill="1" applyBorder="1" applyNumberFormat="1">
      <alignment horizontal="left" vertical="center" wrapText="1"/>
    </xf>
    <xf numFmtId="0" fontId="22" fillId="0" borderId="15" xfId="0" applyFont="1" applyBorder="1" applyNumberFormat="1">
      <alignment horizontal="center" vertical="center" wrapText="1"/>
    </xf>
    <xf numFmtId="49" fontId="22" fillId="40" borderId="13" xfId="0" applyFont="1" applyFill="1" applyBorder="1" applyNumberFormat="1">
      <alignment horizontal="left" vertical="center" wrapText="1"/>
      <protection locked="0"/>
    </xf>
    <xf numFmtId="49" fontId="51" fillId="38" borderId="28" xfId="0" applyFont="1" applyFill="1" applyBorder="1" applyNumberFormat="1">
      <alignment horizontal="left" vertical="center" wrapText="1"/>
    </xf>
    <xf numFmtId="49" fontId="51" fillId="38" borderId="30" xfId="0" applyFont="1" applyFill="1" applyBorder="1" applyNumberFormat="1">
      <alignment horizontal="left" vertical="center" wrapText="1"/>
    </xf>
    <xf numFmtId="0" fontId="22" fillId="36" borderId="37" xfId="0" applyFont="1" applyFill="1" applyBorder="1" applyNumberFormat="1">
      <alignment vertical="center" wrapText="1"/>
    </xf>
    <xf numFmtId="0" fontId="46" fillId="0" borderId="0" xfId="0" applyFont="1" applyNumberFormat="1">
      <alignment horizontal="center" vertical="center" wrapText="1"/>
    </xf>
    <xf numFmtId="0" fontId="46" fillId="0" borderId="28" xfId="0" applyFont="1" applyBorder="1" applyNumberFormat="1">
      <alignment horizontal="center" vertical="center" wrapText="1"/>
    </xf>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2" fillId="36" borderId="23" xfId="0" applyFont="1" applyFill="1" applyBorder="1" applyNumberFormat="1">
      <alignment vertical="center" wrapText="1"/>
    </xf>
    <xf numFmtId="0" fontId="35" fillId="0" borderId="13" xfId="0" applyFont="1" applyBorder="1" applyNumberFormat="1">
      <alignment horizontal="center" vertical="center" wrapText="1"/>
    </xf>
    <xf numFmtId="0" fontId="22" fillId="0" borderId="16" xfId="0" applyFont="1" applyBorder="1" applyNumberFormat="1">
      <alignment horizontal="center" vertical="center" wrapText="1"/>
    </xf>
    <xf numFmtId="0" fontId="22" fillId="0" borderId="16" xfId="0" applyFont="1" applyBorder="1" applyNumberFormat="1">
      <alignment horizontal="left" vertical="center" wrapText="1"/>
    </xf>
    <xf numFmtId="0" fontId="41" fillId="0" borderId="0" xfId="0" applyFont="1" applyNumberFormat="1">
      <alignment horizontal="center" vertical="center" wrapText="1"/>
    </xf>
    <xf numFmtId="0" fontId="22" fillId="0" borderId="0" xfId="0" applyFont="1" applyNumberFormat="1">
      <alignment horizontal="center" vertical="center" wrapText="1"/>
    </xf>
    <xf numFmtId="169" fontId="44" fillId="0" borderId="20" xfId="0" applyFont="1" applyBorder="1" applyNumberFormat="1">
      <alignment horizontal="center" vertical="center" wrapText="1"/>
    </xf>
    <xf numFmtId="169" fontId="44" fillId="0" borderId="20" xfId="0" applyFont="1" applyBorder="1" applyNumberFormat="1">
      <alignment horizontal="center" vertical="center" wrapText="1"/>
    </xf>
    <xf numFmtId="169" fontId="44" fillId="0" borderId="21" xfId="0" applyFont="1" applyBorder="1" applyNumberFormat="1">
      <alignment horizontal="center" vertical="center" wrapText="1"/>
    </xf>
    <xf numFmtId="0" fontId="46" fillId="0" borderId="0" xfId="0" applyFont="1" applyNumberFormat="1">
      <alignment horizontal="center" vertical="center"/>
    </xf>
    <xf numFmtId="0" fontId="41" fillId="0" borderId="0" xfId="0" applyFont="1" applyNumberFormat="1">
      <alignment horizontal="center" vertical="center" wrapText="1"/>
    </xf>
    <xf numFmtId="169" fontId="22" fillId="0" borderId="13" xfId="0" applyFont="1" applyBorder="1" applyNumberFormat="1">
      <alignment horizontal="center" vertical="center" wrapText="1"/>
    </xf>
    <xf numFmtId="169" fontId="22" fillId="0" borderId="37" xfId="0" applyFont="1" applyBorder="1" applyNumberFormat="1">
      <alignment horizontal="center" vertical="center" wrapText="1"/>
    </xf>
    <xf numFmtId="169" fontId="22" fillId="0" borderId="13" xfId="0" applyFont="1" applyBorder="1" applyNumberFormat="1">
      <alignment horizontal="center" vertical="center" wrapText="1"/>
    </xf>
    <xf numFmtId="0" fontId="22" fillId="35" borderId="30" xfId="0" applyFont="1" applyFill="1" applyBorder="1" applyNumberFormat="1">
      <alignment horizontal="left" vertical="center" wrapText="1"/>
    </xf>
    <xf numFmtId="14" fontId="22" fillId="41" borderId="24" xfId="0" applyFont="1" applyFill="1" applyBorder="1" applyNumberFormat="1">
      <alignment horizontal="left" vertical="center" wrapText="1"/>
    </xf>
    <xf numFmtId="49" fontId="22" fillId="41" borderId="31" xfId="0" applyFont="1" applyFill="1" applyBorder="1" applyNumberFormat="1">
      <alignment horizontal="left" vertical="center" wrapText="1"/>
    </xf>
    <xf numFmtId="0" fontId="22" fillId="0" borderId="24" xfId="0" applyFont="1" applyBorder="1" applyNumberFormat="1">
      <alignment horizontal="center" vertical="center" wrapText="1"/>
    </xf>
    <xf numFmtId="49" fontId="22" fillId="40" borderId="28" xfId="0" applyFont="1" applyFill="1" applyBorder="1" applyNumberFormat="1">
      <alignment horizontal="left" vertical="center" wrapText="1"/>
      <protection locked="0"/>
    </xf>
    <xf numFmtId="49" fontId="22" fillId="40" borderId="31" xfId="0" applyFont="1" applyFill="1" applyBorder="1" applyNumberFormat="1">
      <alignment horizontal="left" vertical="center" wrapText="1"/>
      <protection locked="0"/>
    </xf>
    <xf numFmtId="49" fontId="22" fillId="0" borderId="13" xfId="0" applyFont="1" applyBorder="1" applyNumberFormat="1">
      <alignment horizontal="left" vertical="top" wrapText="1"/>
    </xf>
    <xf numFmtId="49" fontId="22" fillId="41" borderId="24" xfId="0" applyFont="1" applyFill="1" applyBorder="1" applyNumberFormat="1">
      <alignment horizontal="left" vertical="center" wrapText="1"/>
    </xf>
    <xf numFmtId="49" fontId="125" fillId="0" borderId="13" xfId="0" applyFont="1" applyBorder="1" applyNumberFormat="1">
      <alignment horizontal="left" vertical="top" wrapText="1"/>
    </xf>
    <xf numFmtId="49" fontId="22" fillId="0" borderId="0" xfId="0" applyFont="1" applyNumberFormat="1">
      <alignment vertical="top"/>
    </xf>
    <xf numFmtId="0" fontId="31" fillId="0" borderId="0" xfId="0" applyFont="1" applyNumberFormat="1">
      <alignment vertical="center" wrapText="1"/>
    </xf>
    <xf numFmtId="0" fontId="36" fillId="36" borderId="0" xfId="0" applyFont="1" applyFill="1" applyNumberFormat="1">
      <alignment horizontal="center" vertical="center" wrapText="1"/>
    </xf>
    <xf numFmtId="0" fontId="22" fillId="36" borderId="0" xfId="0" applyFont="1" applyFill="1" applyNumberFormat="1"/>
    <xf numFmtId="49" fontId="22" fillId="0" borderId="0" xfId="0" applyFont="1" applyNumberFormat="1">
      <alignment vertical="top"/>
    </xf>
    <xf numFmtId="49" fontId="36" fillId="0" borderId="0" xfId="0" applyFont="1" applyNumberFormat="1">
      <alignment horizontal="center" vertical="center"/>
    </xf>
    <xf numFmtId="0" fontId="42" fillId="36" borderId="0" xfId="0" applyFont="1" applyFill="1" applyNumberFormat="1">
      <alignment horizontal="center" vertical="center" wrapText="1"/>
    </xf>
    <xf numFmtId="0" fontId="31" fillId="36" borderId="0" xfId="0" applyFont="1" applyFill="1" applyNumberFormat="1"/>
    <xf numFmtId="49" fontId="31" fillId="0" borderId="0" xfId="0" applyFont="1" applyNumberFormat="1">
      <alignment vertical="top"/>
    </xf>
    <xf numFmtId="0" fontId="22" fillId="36" borderId="13" xfId="0" applyFont="1" applyFill="1" applyBorder="1" applyNumberFormat="1">
      <alignment horizontal="center" vertical="center" wrapText="1"/>
    </xf>
    <xf numFmtId="49" fontId="45"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protection locked="0"/>
    </xf>
    <xf numFmtId="0" fontId="46" fillId="0" borderId="0" xfId="0" applyFont="1" applyNumberFormat="1">
      <alignment vertical="top"/>
    </xf>
    <xf numFmtId="49" fontId="46" fillId="0" borderId="0" xfId="0" applyFont="1" applyNumberFormat="1">
      <alignment vertical="top"/>
    </xf>
    <xf numFmtId="49" fontId="22" fillId="0" borderId="0" xfId="0" applyFont="1" applyNumberFormat="1">
      <alignment vertical="top"/>
    </xf>
    <xf numFmtId="49" fontId="39" fillId="38" borderId="16" xfId="0" applyFont="1" applyFill="1" applyBorder="1" applyNumberFormat="1">
      <alignment horizontal="left" vertical="center"/>
    </xf>
    <xf numFmtId="49" fontId="43" fillId="38" borderId="16" xfId="0" applyFont="1" applyFill="1" applyBorder="1" applyNumberFormat="1">
      <alignment horizontal="center" vertical="top"/>
    </xf>
    <xf numFmtId="49" fontId="22" fillId="0" borderId="0" xfId="0" applyFont="1" applyNumberFormat="1">
      <alignment horizontal="left" vertical="top" wrapText="1"/>
    </xf>
    <xf numFmtId="49" fontId="36" fillId="0" borderId="0" xfId="0" applyFont="1" applyNumberFormat="1">
      <alignment horizontal="center" vertical="center"/>
    </xf>
    <xf numFmtId="0" fontId="22" fillId="0" borderId="0" xfId="0" applyFont="1" applyNumberFormat="1"/>
    <xf numFmtId="0" fontId="36" fillId="36" borderId="0" xfId="0" applyFont="1" applyFill="1" applyNumberFormat="1">
      <alignment horizontal="center" vertical="center"/>
    </xf>
    <xf numFmtId="0" fontId="22" fillId="36" borderId="0" xfId="0" applyFont="1" applyFill="1" applyNumberFormat="1"/>
    <xf numFmtId="0" fontId="22" fillId="0" borderId="14" xfId="0" applyFont="1" applyBorder="1" applyNumberFormat="1">
      <alignment horizontal="left" vertical="center" wrapText="1" indent="1"/>
    </xf>
    <xf numFmtId="0" fontId="22" fillId="0" borderId="15" xfId="0" applyFont="1" applyBorder="1" applyNumberFormat="1">
      <alignment horizontal="left" vertical="center" wrapText="1" indent="1"/>
    </xf>
    <xf numFmtId="0" fontId="62" fillId="0" borderId="0" xfId="0" applyFont="1" applyNumberFormat="1"/>
    <xf numFmtId="0" fontId="22" fillId="0" borderId="13" xfId="0" applyFont="1" applyBorder="1" applyNumberFormat="1">
      <alignment horizontal="center" vertical="center" wrapText="1"/>
    </xf>
    <xf numFmtId="0" fontId="22" fillId="36" borderId="18" xfId="0" applyFont="1" applyFill="1" applyBorder="1" applyNumberFormat="1">
      <alignment horizontal="center" vertical="center"/>
    </xf>
    <xf numFmtId="49" fontId="22" fillId="0" borderId="18" xfId="0" applyFont="1" applyBorder="1" applyNumberFormat="1">
      <alignment horizontal="left" vertical="center" wrapText="1"/>
    </xf>
    <xf numFmtId="0" fontId="36" fillId="36" borderId="0" xfId="0" applyFont="1" applyFill="1" applyNumberFormat="1">
      <alignment horizontal="center" vertical="center" wrapText="1"/>
    </xf>
    <xf numFmtId="0" fontId="22" fillId="36" borderId="13" xfId="0" applyFont="1" applyFill="1" applyBorder="1" applyNumberFormat="1">
      <alignment horizontal="center" vertical="center"/>
    </xf>
    <xf numFmtId="49" fontId="22" fillId="40" borderId="13" xfId="0" applyFont="1" applyFill="1" applyBorder="1" applyNumberFormat="1">
      <alignment horizontal="left" vertical="center" wrapText="1"/>
      <protection locked="0"/>
    </xf>
    <xf numFmtId="49" fontId="48" fillId="38" borderId="15" xfId="0" applyFont="1" applyFill="1" applyBorder="1" applyNumberFormat="1">
      <alignment horizontal="center" vertical="center"/>
    </xf>
    <xf numFmtId="49" fontId="39" fillId="38" borderId="14" xfId="0" applyFont="1" applyFill="1" applyBorder="1" applyNumberFormat="1">
      <alignment horizontal="left" vertical="center"/>
    </xf>
    <xf numFmtId="49" fontId="44" fillId="0" borderId="0" xfId="0" applyFont="1" applyNumberFormat="1">
      <alignment horizontal="right" vertical="top"/>
    </xf>
    <xf numFmtId="49" fontId="44" fillId="0" borderId="0" xfId="0" applyFont="1" applyNumberFormat="1">
      <alignment vertical="top"/>
    </xf>
    <xf numFmtId="0" fontId="36" fillId="0" borderId="0" xfId="0" applyFont="1" applyNumberFormat="1">
      <alignment horizontal="center" vertical="center"/>
    </xf>
    <xf numFmtId="0" fontId="22" fillId="0" borderId="0" xfId="0" applyFont="1" applyNumberFormat="1"/>
    <xf numFmtId="0" fontId="36" fillId="0" borderId="0" xfId="0" applyFont="1" applyNumberFormat="1">
      <alignment horizontal="center" vertical="center"/>
    </xf>
    <xf numFmtId="49" fontId="22" fillId="0" borderId="13" xfId="0" applyFont="1" applyBorder="1" applyNumberFormat="1">
      <alignment horizontal="left" vertical="center" wrapText="1"/>
    </xf>
    <xf numFmtId="0" fontId="22" fillId="0" borderId="0" xfId="0" applyFont="1" applyNumberFormat="1"/>
    <xf numFmtId="0" fontId="36" fillId="36" borderId="0" xfId="0" applyFont="1" applyFill="1" applyNumberFormat="1">
      <alignment horizontal="center"/>
    </xf>
    <xf numFmtId="49" fontId="22" fillId="37" borderId="13" xfId="0" applyFont="1" applyFill="1" applyBorder="1" applyNumberFormat="1">
      <alignment horizontal="left" vertical="center" wrapText="1"/>
      <protection locked="0"/>
    </xf>
    <xf numFmtId="49" fontId="39" fillId="38" borderId="14" xfId="0" applyFont="1" applyFill="1" applyBorder="1" applyNumberFormat="1">
      <alignment horizontal="left" vertical="center"/>
    </xf>
    <xf numFmtId="49" fontId="0" fillId="0" borderId="0" xfId="0" applyFont="1" applyNumberFormat="1">
      <alignment vertical="top"/>
    </xf>
    <xf numFmtId="49" fontId="0" fillId="0" borderId="16" xfId="0" applyFont="1" applyBorder="1" applyNumberFormat="1">
      <alignment horizontal="left" vertical="center" indent="1"/>
    </xf>
    <xf numFmtId="49" fontId="63" fillId="0" borderId="0" xfId="0" applyFont="1" applyNumberFormat="1">
      <alignment vertical="top"/>
    </xf>
    <xf numFmtId="49" fontId="0" fillId="0" borderId="26" xfId="0" applyFont="1" applyBorder="1" applyNumberFormat="1">
      <alignment horizontal="center" vertical="center"/>
    </xf>
    <xf numFmtId="49" fontId="0" fillId="0" borderId="26" xfId="0" applyFont="1" applyBorder="1" applyNumberFormat="1">
      <alignment horizontal="center" vertical="center"/>
    </xf>
    <xf numFmtId="49" fontId="0" fillId="39" borderId="0" xfId="0" applyFont="1" applyFill="1" applyNumberFormat="1">
      <alignment vertical="top"/>
    </xf>
    <xf numFmtId="49" fontId="0" fillId="39" borderId="0" xfId="0" applyFont="1" applyFill="1" applyNumberFormat="1">
      <alignment vertical="top"/>
    </xf>
    <xf numFmtId="0" fontId="36" fillId="36" borderId="0" xfId="0" applyFont="1" applyFill="1" applyNumberFormat="1">
      <alignment horizontal="center" vertical="center" wrapText="1"/>
    </xf>
    <xf numFmtId="0" fontId="45" fillId="0" borderId="0" xfId="0" applyFont="1" applyNumberFormat="1">
      <alignment horizontal="center" vertical="center" wrapText="1"/>
    </xf>
    <xf numFmtId="49" fontId="50" fillId="39" borderId="0" xfId="0" applyFont="1" applyFill="1" applyNumberFormat="1">
      <alignment vertical="top"/>
    </xf>
    <xf numFmtId="49" fontId="50" fillId="0" borderId="0" xfId="0" applyFont="1" applyNumberFormat="1">
      <alignment vertical="top"/>
    </xf>
    <xf numFmtId="49" fontId="22" fillId="36" borderId="0" xfId="0" applyFont="1" applyFill="1" applyNumberFormat="1">
      <alignment horizontal="center" vertical="center" wrapText="1"/>
    </xf>
    <xf numFmtId="0" fontId="22" fillId="36" borderId="0" xfId="0" applyFont="1" applyFill="1" applyNumberFormat="1">
      <alignment horizontal="center" vertical="top" wrapText="1"/>
    </xf>
    <xf numFmtId="49" fontId="22" fillId="41"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0" borderId="13" xfId="0" applyFont="1" applyFill="1" applyBorder="1" applyNumberFormat="1">
      <alignment horizontal="left" vertical="center" wrapText="1"/>
      <protection locked="0"/>
    </xf>
    <xf numFmtId="0" fontId="36" fillId="36" borderId="0" xfId="0" applyFont="1" applyFill="1" applyNumberFormat="1">
      <alignment vertical="top" wrapText="1"/>
    </xf>
    <xf numFmtId="0" fontId="22" fillId="36" borderId="15" xfId="0" applyFont="1" applyFill="1" applyBorder="1" applyNumberFormat="1">
      <alignment horizontal="center" vertical="center" wrapText="1"/>
    </xf>
    <xf numFmtId="0" fontId="46" fillId="36" borderId="13" xfId="0" applyFont="1" applyFill="1" applyBorder="1" applyNumberFormat="1">
      <alignment horizontal="center" vertical="center" wrapText="1"/>
    </xf>
    <xf numFmtId="14" fontId="22" fillId="41" borderId="30" xfId="0" applyFont="1" applyFill="1" applyBorder="1" applyNumberFormat="1">
      <alignment horizontal="left" vertical="center" wrapText="1"/>
    </xf>
    <xf numFmtId="49" fontId="120" fillId="40"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2" fillId="41"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36" fillId="0" borderId="0" xfId="0" applyFont="1" applyNumberFormat="1">
      <alignment horizontal="center" vertical="center" wrapText="1"/>
    </xf>
    <xf numFmtId="168" fontId="0" fillId="40" borderId="13" xfId="0" applyFont="1" applyFill="1" applyBorder="1" applyNumberFormat="1">
      <alignment horizontal="center" vertical="center" wrapText="1"/>
      <protection locked="0"/>
    </xf>
    <xf numFmtId="49" fontId="0" fillId="40" borderId="13" xfId="0" applyFont="1" applyFill="1" applyBorder="1" applyNumberFormat="1">
      <alignment horizontal="center" vertical="center" wrapText="1"/>
      <protection locked="0"/>
    </xf>
    <xf numFmtId="49" fontId="0" fillId="36" borderId="13" xfId="0" applyFont="1" applyFill="1" applyBorder="1" applyNumberFormat="1">
      <alignment horizontal="center" vertical="center" wrapText="1"/>
    </xf>
    <xf numFmtId="0" fontId="0" fillId="40" borderId="15" xfId="0" applyFont="1" applyFill="1" applyBorder="1" applyNumberFormat="1">
      <alignment horizontal="left" vertical="center" wrapText="1" indent="2"/>
      <protection locked="0"/>
    </xf>
    <xf numFmtId="0" fontId="36" fillId="0" borderId="25" xfId="0" applyFont="1" applyBorder="1" applyNumberFormat="1">
      <alignment horizontal="center" vertical="center" wrapText="1"/>
    </xf>
    <xf numFmtId="0" fontId="22" fillId="0" borderId="25" xfId="0" applyFont="1" applyBorder="1" applyNumberFormat="1">
      <alignment vertical="top" wrapText="1"/>
    </xf>
    <xf numFmtId="49" fontId="22" fillId="0" borderId="37" xfId="0" applyFont="1" applyBorder="1" applyNumberFormat="1">
      <alignment horizontal="center" vertical="top" wrapText="1"/>
    </xf>
    <xf numFmtId="0" fontId="0" fillId="35" borderId="37" xfId="0" applyFont="1" applyFill="1" applyBorder="1" applyNumberFormat="1">
      <alignment horizontal="left" vertical="top" wrapText="1" indent="1"/>
    </xf>
    <xf numFmtId="49" fontId="22" fillId="41" borderId="37" xfId="0" applyFont="1" applyFill="1" applyBorder="1" applyNumberFormat="1">
      <alignment horizontal="center" vertical="top" wrapText="1"/>
    </xf>
    <xf numFmtId="49" fontId="0" fillId="40" borderId="37" xfId="0" applyFont="1" applyFill="1" applyBorder="1" applyNumberFormat="1">
      <alignment horizontal="center" vertical="top" wrapText="1"/>
      <protection locked="0"/>
    </xf>
    <xf numFmtId="49" fontId="0" fillId="37" borderId="37" xfId="0" applyFont="1" applyFill="1" applyBorder="1" applyNumberFormat="1">
      <alignment horizontal="center" vertical="top" wrapText="1"/>
      <protection locked="0"/>
    </xf>
    <xf numFmtId="49" fontId="22" fillId="41" borderId="37" xfId="0" applyFont="1" applyFill="1" applyBorder="1" applyNumberFormat="1">
      <alignment horizontal="left" vertical="top" wrapText="1"/>
    </xf>
    <xf numFmtId="49" fontId="22" fillId="40" borderId="37" xfId="0" applyFont="1" applyFill="1" applyBorder="1" applyNumberFormat="1">
      <alignment horizontal="left" vertical="top" wrapText="1"/>
      <protection locked="0"/>
    </xf>
    <xf numFmtId="49" fontId="0" fillId="35" borderId="37" xfId="0" applyFont="1" applyFill="1" applyBorder="1" applyNumberFormat="1">
      <alignment horizontal="center" vertical="top" wrapText="1"/>
    </xf>
    <xf numFmtId="0" fontId="22" fillId="35" borderId="37" xfId="0" applyFont="1" applyFill="1" applyBorder="1" applyNumberFormat="1">
      <alignment horizontal="center" vertical="top" wrapText="1"/>
    </xf>
    <xf numFmtId="0" fontId="22" fillId="37" borderId="37" xfId="0" applyFont="1" applyFill="1" applyBorder="1" applyNumberFormat="1">
      <alignment horizontal="left" vertical="top" wrapText="1"/>
      <protection locked="0"/>
    </xf>
    <xf numFmtId="49" fontId="0" fillId="35" borderId="37" xfId="0" applyFont="1" applyFill="1" applyBorder="1" applyNumberFormat="1">
      <alignment vertical="top"/>
    </xf>
    <xf numFmtId="49" fontId="0" fillId="0" borderId="37" xfId="0" applyFont="1" applyBorder="1" applyNumberFormat="1">
      <alignment vertical="top"/>
    </xf>
    <xf numFmtId="49" fontId="22" fillId="41" borderId="18" xfId="0" applyFont="1" applyFill="1" applyBorder="1" applyNumberFormat="1">
      <alignment vertical="center" wrapText="1"/>
    </xf>
    <xf numFmtId="49" fontId="0" fillId="40" borderId="37" xfId="0" applyFont="1" applyFill="1" applyBorder="1" applyNumberFormat="1">
      <alignment vertical="top"/>
      <protection locked="0"/>
    </xf>
    <xf numFmtId="49" fontId="0" fillId="40" borderId="18" xfId="0" applyFont="1" applyFill="1" applyBorder="1" applyNumberFormat="1">
      <alignment vertical="top"/>
      <protection locked="0"/>
    </xf>
    <xf numFmtId="14" fontId="22" fillId="41" borderId="37" xfId="0" applyFont="1" applyFill="1" applyBorder="1" applyNumberFormat="1">
      <alignment horizontal="left" vertical="center" wrapText="1" indent="1"/>
    </xf>
    <xf numFmtId="14" fontId="22" fillId="41" borderId="23" xfId="0" applyFont="1" applyFill="1" applyBorder="1" applyNumberFormat="1">
      <alignment horizontal="left" vertical="center" wrapText="1" indent="1"/>
    </xf>
    <xf numFmtId="49" fontId="22" fillId="41" borderId="37" xfId="0" applyFont="1" applyFill="1" applyBorder="1" applyNumberFormat="1">
      <alignment vertical="center" wrapText="1"/>
    </xf>
    <xf numFmtId="0" fontId="44" fillId="0" borderId="13" xfId="0" applyFont="1" applyBorder="1" applyNumberFormat="1">
      <alignment horizontal="center" vertical="center"/>
    </xf>
    <xf numFmtId="49" fontId="22" fillId="41" borderId="24" xfId="0" applyFont="1" applyFill="1" applyBorder="1" applyNumberFormat="1">
      <alignment vertical="center" wrapText="1"/>
    </xf>
    <xf numFmtId="49" fontId="0" fillId="40" borderId="24" xfId="0" applyFont="1" applyFill="1" applyBorder="1" applyNumberFormat="1">
      <alignment vertical="top"/>
      <protection locked="0"/>
    </xf>
    <xf numFmtId="49" fontId="121" fillId="0" borderId="37" xfId="0" applyFont="1" applyBorder="1" applyNumberFormat="1">
      <alignment horizontal="center" vertical="top" wrapText="1"/>
    </xf>
    <xf numFmtId="0" fontId="44" fillId="0" borderId="14" xfId="0" applyFont="1" applyBorder="1" applyNumberFormat="1">
      <alignment horizontal="center" vertical="center"/>
    </xf>
    <xf numFmtId="49" fontId="0" fillId="0" borderId="0" xfId="0" applyFont="1" applyNumberFormat="1">
      <alignment vertical="top"/>
    </xf>
    <xf numFmtId="0" fontId="22" fillId="36" borderId="13" xfId="0" applyFont="1" applyFill="1" applyBorder="1" applyNumberFormat="1">
      <alignment horizontal="center" vertical="center"/>
    </xf>
    <xf numFmtId="0" fontId="22" fillId="41" borderId="13" xfId="0" applyFont="1" applyFill="1" applyBorder="1" applyNumberFormat="1">
      <alignment horizontal="left" vertical="center" wrapText="1" indent="1"/>
    </xf>
    <xf numFmtId="49" fontId="39" fillId="38" borderId="57"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49" borderId="14" xfId="0" applyFont="1" applyFill="1" applyBorder="1" applyNumberFormat="1">
      <alignment horizontal="left" vertical="center" indent="1"/>
    </xf>
    <xf numFmtId="49" fontId="22" fillId="0" borderId="0" xfId="0" applyFont="1" applyNumberFormat="1">
      <alignment vertical="top"/>
    </xf>
    <xf numFmtId="0" fontId="45" fillId="0" borderId="0" xfId="0" applyFont="1" applyNumberFormat="1">
      <alignment horizontal="center" vertical="top"/>
    </xf>
    <xf numFmtId="49" fontId="0" fillId="0" borderId="20" xfId="0" applyFont="1" applyBorder="1" applyNumberFormat="1">
      <alignment vertical="top"/>
    </xf>
    <xf numFmtId="49" fontId="36" fillId="0" borderId="18" xfId="0" applyFont="1" applyBorder="1" applyNumberFormat="1">
      <alignment horizontal="center" vertical="top" wrapText="1"/>
    </xf>
    <xf numFmtId="49" fontId="22" fillId="40"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4" fontId="0" fillId="35" borderId="13" xfId="0" applyFont="1" applyFill="1" applyBorder="1" applyNumberFormat="1">
      <alignment horizontal="right" vertical="center" wrapText="1"/>
    </xf>
    <xf numFmtId="49" fontId="22" fillId="0" borderId="37" xfId="0" applyFont="1" applyBorder="1" applyNumberFormat="1">
      <alignment horizontal="center" vertical="top" wrapText="1"/>
    </xf>
    <xf numFmtId="0" fontId="0" fillId="40" borderId="13" xfId="0" applyFont="1" applyFill="1" applyBorder="1" applyNumberFormat="1">
      <alignment horizontal="left" vertical="center" wrapText="1"/>
      <protection locked="0"/>
    </xf>
    <xf numFmtId="49" fontId="0" fillId="40"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0" borderId="13" xfId="0" applyFont="1" applyFill="1" applyBorder="1" applyNumberFormat="1">
      <alignment horizontal="left" vertical="center" wrapText="1"/>
      <protection locked="0"/>
    </xf>
    <xf numFmtId="4" fontId="0" fillId="40" borderId="13" xfId="0" applyFont="1" applyFill="1" applyBorder="1" applyNumberFormat="1">
      <alignment horizontal="right" vertical="center" wrapText="1"/>
      <protection locked="0"/>
    </xf>
    <xf numFmtId="49" fontId="0" fillId="40" borderId="13" xfId="0" applyFont="1" applyFill="1" applyBorder="1" applyNumberFormat="1">
      <alignment horizontal="center" vertical="center" wrapText="1"/>
      <protection locked="0"/>
    </xf>
    <xf numFmtId="4" fontId="45" fillId="0" borderId="13" xfId="0" applyFont="1" applyBorder="1" applyNumberFormat="1">
      <alignment horizontal="right" vertical="center" wrapText="1"/>
    </xf>
    <xf numFmtId="49" fontId="0" fillId="40" borderId="13" xfId="0" applyFont="1" applyFill="1" applyBorder="1" applyNumberFormat="1">
      <alignment horizontal="left" vertical="center" wrapText="1"/>
      <protection locked="0"/>
    </xf>
    <xf numFmtId="49" fontId="0" fillId="38" borderId="31" xfId="0" applyFont="1" applyFill="1" applyBorder="1" applyNumberFormat="1">
      <alignment horizontal="center" vertical="center"/>
    </xf>
    <xf numFmtId="49" fontId="0" fillId="38" borderId="16" xfId="0" applyFont="1" applyFill="1" applyBorder="1" applyNumberFormat="1">
      <alignment horizontal="center" vertical="center"/>
    </xf>
    <xf numFmtId="49" fontId="39" fillId="38" borderId="16" xfId="0" applyFont="1" applyFill="1" applyBorder="1" applyNumberFormat="1">
      <alignment horizontal="left" vertical="center"/>
    </xf>
    <xf numFmtId="49" fontId="39" fillId="38" borderId="14" xfId="0" applyFont="1" applyFill="1" applyBorder="1" applyNumberFormat="1">
      <alignment horizontal="left" vertical="center" indent="1"/>
    </xf>
    <xf numFmtId="49" fontId="22" fillId="0" borderId="24" xfId="0" applyFont="1" applyBorder="1" applyNumberFormat="1">
      <alignment horizontal="center" vertical="top" wrapText="1"/>
    </xf>
    <xf numFmtId="49" fontId="22" fillId="40"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6" fillId="0" borderId="0" xfId="0" applyFont="1" applyNumberFormat="1">
      <alignment horizontal="center" vertical="center" wrapText="1"/>
    </xf>
    <xf numFmtId="0" fontId="0" fillId="0" borderId="13" xfId="0" applyFont="1" applyBorder="1" applyNumberFormat="1">
      <alignment horizontal="center" vertical="center"/>
    </xf>
    <xf numFmtId="0" fontId="22" fillId="41" borderId="13" xfId="0" applyFont="1" applyFill="1" applyBorder="1" applyNumberFormat="1">
      <alignment horizontal="left" vertical="top" wrapText="1"/>
    </xf>
    <xf numFmtId="49" fontId="22" fillId="37" borderId="13" xfId="0" applyFont="1" applyFill="1" applyBorder="1" applyNumberFormat="1">
      <alignment horizontal="left" vertical="center" wrapText="1"/>
      <protection locked="0"/>
    </xf>
    <xf numFmtId="0" fontId="0" fillId="41" borderId="13"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0" fillId="40" borderId="13" xfId="0" applyFont="1" applyFill="1" applyBorder="1" applyNumberFormat="1">
      <alignment horizontal="left" vertical="center" wrapText="1"/>
      <protection locked="0"/>
    </xf>
    <xf numFmtId="49" fontId="22" fillId="37"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9" fillId="38" borderId="15" xfId="0" applyFont="1" applyFill="1" applyBorder="1" applyNumberFormat="1">
      <alignment horizontal="left" vertical="center"/>
    </xf>
    <xf numFmtId="0" fontId="39" fillId="38" borderId="16" xfId="0" applyFont="1" applyFill="1" applyBorder="1" applyNumberFormat="1">
      <alignment horizontal="left" vertical="center"/>
    </xf>
    <xf numFmtId="0" fontId="39" fillId="38" borderId="14" xfId="0" applyFont="1" applyFill="1" applyBorder="1" applyNumberFormat="1">
      <alignment horizontal="left" vertical="center"/>
    </xf>
    <xf numFmtId="49" fontId="0" fillId="41" borderId="13" xfId="0" applyFont="1" applyFill="1" applyBorder="1" applyNumberFormat="1">
      <alignment horizontal="left" vertical="top"/>
    </xf>
    <xf numFmtId="49" fontId="0" fillId="37" borderId="13" xfId="0" applyFont="1" applyFill="1" applyBorder="1" applyNumberFormat="1">
      <alignment horizontal="left" vertical="top"/>
      <protection locked="0"/>
    </xf>
    <xf numFmtId="49" fontId="0" fillId="41" borderId="13" xfId="0" applyFont="1" applyFill="1" applyBorder="1" applyNumberFormat="1">
      <alignment horizontal="left" vertical="center" wrapText="1"/>
    </xf>
    <xf numFmtId="0" fontId="0" fillId="38" borderId="16" xfId="0" applyFont="1" applyFill="1" applyBorder="1" applyNumberFormat="1">
      <alignment vertical="center"/>
    </xf>
    <xf numFmtId="49" fontId="0" fillId="0" borderId="37" xfId="0" applyFont="1" applyBorder="1" applyNumberFormat="1">
      <alignment horizontal="left" vertical="top"/>
    </xf>
    <xf numFmtId="0" fontId="22" fillId="41" borderId="37" xfId="0" applyFont="1" applyFill="1" applyBorder="1" applyNumberFormat="1">
      <alignment horizontal="center" vertical="top" wrapText="1"/>
    </xf>
    <xf numFmtId="49" fontId="0" fillId="41" borderId="37" xfId="0" applyFont="1" applyFill="1" applyBorder="1" applyNumberFormat="1">
      <alignment horizontal="left" vertical="top"/>
    </xf>
    <xf numFmtId="49" fontId="0" fillId="37" borderId="37" xfId="0" applyFont="1" applyFill="1" applyBorder="1" applyNumberFormat="1">
      <alignment horizontal="left" vertical="top"/>
      <protection locked="0"/>
    </xf>
    <xf numFmtId="49" fontId="22" fillId="41" borderId="0" xfId="0" applyFont="1" applyFill="1" applyNumberFormat="1">
      <alignment horizontal="center" vertical="center" wrapText="1"/>
    </xf>
    <xf numFmtId="0" fontId="39" fillId="0" borderId="37" xfId="0" applyFont="1" applyBorder="1" applyNumberFormat="1">
      <alignment horizontal="left" vertical="center"/>
    </xf>
    <xf numFmtId="49" fontId="0" fillId="41" borderId="37" xfId="0" applyFont="1" applyFill="1" applyBorder="1" applyNumberFormat="1">
      <alignment horizontal="left" vertical="center" wrapText="1"/>
    </xf>
    <xf numFmtId="49" fontId="22" fillId="41" borderId="37" xfId="0" applyFont="1" applyFill="1" applyBorder="1" applyNumberFormat="1">
      <alignment horizontal="center" vertical="center" wrapText="1"/>
    </xf>
    <xf numFmtId="0" fontId="39" fillId="37" borderId="37" xfId="0" applyFont="1" applyFill="1" applyBorder="1" applyNumberFormat="1">
      <alignment horizontal="left" vertical="center"/>
      <protection locked="0"/>
    </xf>
    <xf numFmtId="0" fontId="39" fillId="40" borderId="37" xfId="0" applyFont="1" applyFill="1" applyBorder="1" applyNumberFormat="1">
      <alignment horizontal="left" vertical="center"/>
      <protection locked="0"/>
    </xf>
    <xf numFmtId="49" fontId="46" fillId="0" borderId="13" xfId="0" applyFont="1" applyBorder="1" applyNumberFormat="1">
      <alignment horizontal="center" vertical="center" wrapText="1"/>
    </xf>
    <xf numFmtId="49" fontId="46" fillId="0" borderId="15" xfId="0" applyFont="1" applyBorder="1" applyNumberFormat="1">
      <alignment horizontal="left" vertical="center" wrapText="1"/>
    </xf>
    <xf numFmtId="0" fontId="46" fillId="0" borderId="15" xfId="0" applyFont="1" applyBorder="1" applyNumberFormat="1">
      <alignment horizontal="left" vertical="center"/>
    </xf>
    <xf numFmtId="0" fontId="46" fillId="0" borderId="16" xfId="0" applyFont="1" applyBorder="1" applyNumberFormat="1">
      <alignment horizontal="left" vertical="center"/>
    </xf>
    <xf numFmtId="0" fontId="39" fillId="38" borderId="30" xfId="0" applyFont="1" applyFill="1" applyBorder="1" applyNumberFormat="1">
      <alignment horizontal="left" vertical="center"/>
    </xf>
    <xf numFmtId="49" fontId="0" fillId="37" borderId="37" xfId="0" applyFont="1" applyFill="1" applyBorder="1" applyNumberFormat="1">
      <alignment vertical="top"/>
      <protection locked="0"/>
    </xf>
    <xf numFmtId="0" fontId="0" fillId="0" borderId="0" xfId="0" applyFont="1" applyNumberFormat="1">
      <alignment vertical="center"/>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2" fillId="0" borderId="37" xfId="0" applyFont="1" applyBorder="1" applyNumberFormat="1">
      <alignment horizontal="center" vertical="center"/>
    </xf>
    <xf numFmtId="49" fontId="22" fillId="0" borderId="37" xfId="0" applyFont="1" applyBorder="1" applyNumberFormat="1">
      <alignment vertical="center" wrapText="1"/>
    </xf>
    <xf numFmtId="0" fontId="22" fillId="0" borderId="25" xfId="0" applyFont="1" applyBorder="1" applyNumberFormat="1">
      <alignment horizontal="center" vertical="center"/>
    </xf>
    <xf numFmtId="49" fontId="22" fillId="0" borderId="18" xfId="0" applyFont="1" applyBorder="1" applyNumberFormat="1">
      <alignment horizontal="left" vertical="center" wrapText="1"/>
    </xf>
    <xf numFmtId="49" fontId="22" fillId="0" borderId="18" xfId="0" applyFont="1" applyBorder="1" applyNumberFormat="1">
      <alignment horizontal="left" vertical="center" wrapText="1"/>
    </xf>
    <xf numFmtId="49" fontId="36" fillId="0" borderId="37" xfId="0" applyFont="1" applyBorder="1" applyNumberFormat="1">
      <alignment vertical="center" wrapText="1"/>
    </xf>
    <xf numFmtId="0" fontId="22" fillId="41" borderId="18" xfId="0" applyFont="1" applyFill="1" applyBorder="1" applyNumberFormat="1">
      <alignment horizontal="left" vertical="center" wrapText="1"/>
    </xf>
    <xf numFmtId="49" fontId="22" fillId="0" borderId="18" xfId="0" applyFont="1" applyBorder="1" applyNumberFormat="1">
      <alignment horizontal="center" vertical="center" wrapText="1"/>
    </xf>
    <xf numFmtId="49" fontId="22" fillId="41" borderId="18" xfId="0" applyFont="1" applyFill="1" applyBorder="1" applyNumberFormat="1">
      <alignment horizontal="left" vertical="center" wrapText="1"/>
    </xf>
    <xf numFmtId="0" fontId="22" fillId="0" borderId="18" xfId="0" applyFont="1" applyBorder="1" applyNumberFormat="1">
      <alignment horizontal="left" vertical="center" wrapText="1"/>
    </xf>
    <xf numFmtId="49" fontId="22" fillId="0" borderId="18" xfId="0" applyFont="1" applyBorder="1" applyNumberFormat="1">
      <alignment horizontal="center" vertical="center" wrapText="1"/>
    </xf>
    <xf numFmtId="49" fontId="22" fillId="41" borderId="18" xfId="0" applyFont="1" applyFill="1" applyBorder="1" applyNumberFormat="1">
      <alignment vertical="center" wrapText="1"/>
    </xf>
    <xf numFmtId="0" fontId="22" fillId="0" borderId="37" xfId="0" applyFont="1" applyBorder="1" applyNumberFormat="1">
      <alignment horizontal="left" vertical="center" wrapText="1"/>
    </xf>
    <xf numFmtId="49" fontId="22" fillId="0" borderId="37" xfId="0" applyFont="1" applyBorder="1" applyNumberFormat="1">
      <alignment horizontal="left" vertical="center" wrapText="1"/>
    </xf>
    <xf numFmtId="0" fontId="22" fillId="41" borderId="37" xfId="0" applyFont="1" applyFill="1" applyBorder="1" applyNumberFormat="1">
      <alignment horizontal="left" vertical="center" wrapText="1"/>
    </xf>
    <xf numFmtId="49" fontId="22" fillId="0" borderId="37" xfId="0" applyFont="1" applyBorder="1" applyNumberFormat="1">
      <alignment horizontal="center" vertical="center" wrapText="1"/>
    </xf>
    <xf numFmtId="0" fontId="22" fillId="0" borderId="24" xfId="0" applyFont="1" applyBorder="1" applyNumberFormat="1">
      <alignment horizontal="left" vertical="center" wrapText="1"/>
    </xf>
    <xf numFmtId="0" fontId="39" fillId="0" borderId="24" xfId="0" applyFont="1" applyBorder="1" applyNumberFormat="1">
      <alignment horizontal="left" vertical="center"/>
    </xf>
    <xf numFmtId="0" fontId="39" fillId="38" borderId="15" xfId="0" applyFont="1" applyFill="1" applyBorder="1" applyNumberFormat="1">
      <alignment horizontal="left" vertical="center"/>
    </xf>
    <xf numFmtId="0" fontId="39" fillId="38" borderId="16" xfId="0" applyFont="1" applyFill="1" applyBorder="1" applyNumberFormat="1">
      <alignment horizontal="left" vertical="center"/>
    </xf>
    <xf numFmtId="0" fontId="39" fillId="38" borderId="14" xfId="0" applyFont="1" applyFill="1" applyBorder="1" applyNumberFormat="1">
      <alignment horizontal="left" vertical="center"/>
    </xf>
    <xf numFmtId="49" fontId="22" fillId="0" borderId="37" xfId="0" applyFont="1" applyBorder="1" applyNumberFormat="1">
      <alignment horizontal="center" vertical="center" wrapText="1"/>
    </xf>
    <xf numFmtId="0" fontId="39" fillId="38" borderId="38" xfId="0" applyFont="1" applyFill="1" applyBorder="1" applyNumberFormat="1">
      <alignment horizontal="left" vertical="center"/>
    </xf>
    <xf numFmtId="0" fontId="39" fillId="38" borderId="20" xfId="0" applyFont="1" applyFill="1" applyBorder="1" applyNumberFormat="1">
      <alignment horizontal="left" vertical="center"/>
    </xf>
    <xf numFmtId="0" fontId="39" fillId="38" borderId="21" xfId="0" applyFont="1" applyFill="1" applyBorder="1" applyNumberFormat="1">
      <alignment horizontal="left" vertical="center"/>
    </xf>
    <xf numFmtId="49" fontId="22" fillId="40" borderId="18" xfId="0" applyFont="1" applyFill="1" applyBorder="1" applyNumberFormat="1">
      <alignment horizontal="left" vertical="center" wrapText="1"/>
      <protection locked="0"/>
    </xf>
    <xf numFmtId="49" fontId="36" fillId="0" borderId="37" xfId="0" applyFont="1" applyBorder="1" applyNumberFormat="1">
      <alignment horizontal="center" vertical="center" wrapText="1"/>
    </xf>
    <xf numFmtId="0" fontId="39" fillId="38" borderId="38" xfId="0" applyFont="1" applyFill="1" applyBorder="1" applyNumberFormat="1">
      <alignment vertical="center"/>
    </xf>
    <xf numFmtId="0" fontId="39" fillId="0" borderId="37" xfId="0" applyFont="1" applyBorder="1" applyNumberFormat="1">
      <alignment horizontal="left" vertical="center"/>
    </xf>
    <xf numFmtId="49" fontId="22" fillId="37" borderId="18" xfId="0" applyFont="1" applyFill="1" applyBorder="1" applyNumberFormat="1">
      <alignment horizontal="left" vertical="center" wrapText="1"/>
      <protection locked="0"/>
    </xf>
    <xf numFmtId="49" fontId="65" fillId="38" borderId="15" xfId="0" applyFont="1" applyFill="1" applyBorder="1" applyNumberFormat="1">
      <alignment vertical="top"/>
    </xf>
    <xf numFmtId="49" fontId="65" fillId="38" borderId="16" xfId="0" applyFont="1" applyFill="1" applyBorder="1" applyNumberFormat="1">
      <alignment vertical="top"/>
    </xf>
    <xf numFmtId="49" fontId="22" fillId="0" borderId="20" xfId="0" applyFont="1" applyBorder="1" applyNumberFormat="1">
      <alignment horizontal="left" vertical="center" wrapText="1"/>
    </xf>
    <xf numFmtId="49" fontId="22" fillId="0" borderId="20" xfId="0" applyFont="1" applyBorder="1" applyNumberFormat="1">
      <alignment horizontal="left" vertical="center" wrapText="1"/>
    </xf>
    <xf numFmtId="49" fontId="36" fillId="0" borderId="20" xfId="0" applyFont="1" applyBorder="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0" fontId="39" fillId="0" borderId="0" xfId="0" applyFont="1" applyNumberFormat="1">
      <alignment horizontal="left" vertical="center"/>
    </xf>
    <xf numFmtId="49" fontId="36" fillId="0" borderId="0" xfId="0" applyFont="1" applyNumberFormat="1">
      <alignment horizontal="center" vertical="center" wrapText="1"/>
    </xf>
    <xf numFmtId="49" fontId="93" fillId="0" borderId="13" xfId="0" applyFont="1" applyBorder="1" applyNumberFormat="1">
      <alignment vertical="top" wrapText="1"/>
    </xf>
    <xf numFmtId="49" fontId="89" fillId="0" borderId="13" xfId="0" applyFont="1" applyBorder="1" applyNumberFormat="1">
      <alignment horizontal="center" vertical="top" wrapText="1"/>
    </xf>
    <xf numFmtId="49" fontId="89" fillId="42" borderId="13" xfId="0" applyFont="1" applyFill="1" applyBorder="1" applyNumberFormat="1">
      <alignment horizontal="center" vertical="top"/>
    </xf>
    <xf numFmtId="49" fontId="89" fillId="0" borderId="13" xfId="0" applyFont="1" applyBorder="1" applyNumberFormat="1">
      <alignment vertical="top" wrapText="1"/>
    </xf>
    <xf numFmtId="0" fontId="89" fillId="0" borderId="13" xfId="0" applyFont="1" applyBorder="1" applyNumberFormat="1">
      <alignment vertical="top" wrapText="1"/>
    </xf>
    <xf numFmtId="49" fontId="89" fillId="0" borderId="13" xfId="0" applyFont="1" applyBorder="1" applyNumberFormat="1">
      <alignment vertical="top"/>
    </xf>
    <xf numFmtId="49" fontId="93" fillId="0" borderId="13" xfId="0" applyFont="1" applyBorder="1" applyNumberFormat="1">
      <alignment vertical="top"/>
    </xf>
    <xf numFmtId="0" fontId="93" fillId="0" borderId="13" xfId="0" applyFont="1" applyBorder="1" applyNumberFormat="1">
      <alignment vertical="top" wrapText="1"/>
    </xf>
    <xf numFmtId="49" fontId="93" fillId="0" borderId="0" xfId="0" applyFont="1" applyNumberFormat="1">
      <alignment vertical="top" wrapText="1"/>
    </xf>
    <xf numFmtId="49" fontId="93" fillId="0" borderId="0" xfId="0" applyFont="1" applyNumberFormat="1">
      <alignment vertical="top"/>
    </xf>
    <xf numFmtId="49" fontId="93" fillId="0" borderId="0" xfId="0" applyFont="1" applyNumberFormat="1">
      <alignment horizontal="center" vertical="top" wrapText="1"/>
    </xf>
    <xf numFmtId="49" fontId="93" fillId="0" borderId="13" xfId="0" applyFont="1" applyBorder="1" applyNumberFormat="1">
      <alignment horizontal="center" vertical="top" wrapText="1"/>
    </xf>
    <xf numFmtId="49" fontId="93" fillId="0" borderId="13" xfId="0" applyFont="1" applyBorder="1" applyNumberFormat="1">
      <alignment horizontal="center" vertical="top" wrapText="1"/>
    </xf>
    <xf numFmtId="49" fontId="93" fillId="42" borderId="13" xfId="0" applyFont="1" applyFill="1" applyBorder="1" applyNumberFormat="1">
      <alignment horizontal="center" vertical="top" wrapText="1"/>
    </xf>
    <xf numFmtId="49" fontId="89" fillId="42" borderId="13" xfId="0" applyFont="1" applyFill="1" applyBorder="1" applyNumberFormat="1">
      <alignment horizontal="center" vertical="top" wrapText="1"/>
    </xf>
    <xf numFmtId="49" fontId="93" fillId="0" borderId="13" xfId="0" applyFont="1" applyBorder="1" applyNumberFormat="1">
      <alignment horizontal="left" vertical="top" wrapText="1"/>
    </xf>
    <xf numFmtId="0" fontId="89" fillId="42" borderId="13" xfId="0" applyFont="1" applyFill="1" applyBorder="1" applyNumberFormat="1">
      <alignment horizontal="center" vertical="top" wrapText="1"/>
    </xf>
    <xf numFmtId="0" fontId="93" fillId="42" borderId="13" xfId="0" applyFont="1" applyFill="1" applyBorder="1" applyNumberFormat="1">
      <alignment horizontal="right" vertical="center" wrapText="1"/>
    </xf>
    <xf numFmtId="49" fontId="93" fillId="0" borderId="15" xfId="0" applyFont="1" applyBorder="1" applyNumberFormat="1">
      <alignment horizontal="center" vertical="top" wrapText="1"/>
    </xf>
    <xf numFmtId="49" fontId="93" fillId="0" borderId="16" xfId="0" applyFont="1" applyBorder="1" applyNumberFormat="1">
      <alignment horizontal="center" vertical="top" wrapText="1"/>
    </xf>
    <xf numFmtId="49" fontId="93" fillId="0" borderId="14" xfId="0" applyFont="1" applyBorder="1" applyNumberFormat="1">
      <alignment horizontal="center" vertical="top" wrapText="1"/>
    </xf>
    <xf numFmtId="0" fontId="93" fillId="0" borderId="13" xfId="0" applyFont="1" applyBorder="1" applyNumberFormat="1">
      <alignment horizontal="left" vertical="top" wrapText="1"/>
    </xf>
    <xf numFmtId="49" fontId="93" fillId="42" borderId="13" xfId="0" applyFont="1" applyFill="1" applyBorder="1" applyNumberFormat="1">
      <alignment horizontal="left" vertical="top" wrapText="1"/>
    </xf>
    <xf numFmtId="0" fontId="93" fillId="42" borderId="13" xfId="0" applyFont="1" applyFill="1" applyBorder="1" applyNumberFormat="1">
      <alignment horizontal="center" vertical="center" wrapText="1"/>
    </xf>
    <xf numFmtId="0" fontId="93" fillId="42" borderId="13" xfId="0" applyFont="1" applyFill="1" applyBorder="1" applyNumberFormat="1">
      <alignment horizontal="center" vertical="center" wrapText="1"/>
    </xf>
    <xf numFmtId="49" fontId="93" fillId="0" borderId="18" xfId="0" applyFont="1" applyBorder="1" applyNumberFormat="1">
      <alignment horizontal="center" vertical="top" wrapText="1"/>
    </xf>
    <xf numFmtId="49" fontId="93" fillId="0" borderId="37" xfId="0" applyFont="1" applyBorder="1" applyNumberFormat="1">
      <alignment horizontal="center" vertical="top" wrapText="1"/>
    </xf>
    <xf numFmtId="49" fontId="93" fillId="0" borderId="18" xfId="0" applyFont="1" applyBorder="1" applyNumberFormat="1">
      <alignment horizontal="center" vertical="top" wrapText="1"/>
    </xf>
    <xf numFmtId="0" fontId="93" fillId="0" borderId="18" xfId="0" applyFont="1" applyBorder="1" applyNumberFormat="1">
      <alignment horizontal="left" vertical="top" wrapText="1"/>
    </xf>
    <xf numFmtId="49" fontId="93" fillId="0" borderId="38" xfId="0" applyFont="1" applyBorder="1" applyNumberFormat="1">
      <alignment horizontal="center" vertical="top" wrapText="1"/>
    </xf>
    <xf numFmtId="49" fontId="93" fillId="0" borderId="38" xfId="0" applyFont="1" applyBorder="1" applyNumberFormat="1">
      <alignment horizontal="center" vertical="top" wrapText="1"/>
    </xf>
    <xf numFmtId="0" fontId="93" fillId="0" borderId="14" xfId="0" applyFont="1" applyBorder="1" applyNumberFormat="1">
      <alignment horizontal="left" vertical="top" wrapText="1"/>
    </xf>
    <xf numFmtId="49" fontId="93" fillId="0" borderId="24" xfId="0" applyFont="1" applyBorder="1" applyNumberFormat="1">
      <alignment horizontal="center" vertical="top" wrapText="1"/>
    </xf>
    <xf numFmtId="49" fontId="93" fillId="0" borderId="31" xfId="0" applyFont="1" applyBorder="1" applyNumberFormat="1">
      <alignment horizontal="center" vertical="top" wrapText="1"/>
    </xf>
    <xf numFmtId="49" fontId="93" fillId="0" borderId="23" xfId="0" applyFont="1" applyBorder="1" applyNumberFormat="1">
      <alignment horizontal="center" vertical="top" wrapText="1"/>
    </xf>
    <xf numFmtId="0" fontId="93" fillId="0" borderId="18" xfId="0" applyFont="1" applyBorder="1" applyNumberFormat="1">
      <alignment vertical="top" wrapText="1"/>
    </xf>
    <xf numFmtId="49" fontId="89" fillId="0" borderId="13" xfId="0" applyFont="1" applyBorder="1" applyNumberFormat="1">
      <alignment horizontal="left" vertical="top" wrapText="1"/>
    </xf>
    <xf numFmtId="0" fontId="89" fillId="0" borderId="15" xfId="0" applyFont="1" applyBorder="1" applyNumberFormat="1">
      <alignment horizontal="center" vertical="center" wrapText="1"/>
    </xf>
    <xf numFmtId="0" fontId="89" fillId="0" borderId="15" xfId="0" applyFont="1" applyBorder="1" applyNumberFormat="1">
      <alignment horizontal="center" vertical="center"/>
    </xf>
    <xf numFmtId="49" fontId="89" fillId="0" borderId="13" xfId="0" applyFont="1" applyBorder="1" applyNumberFormat="1">
      <alignment horizontal="center" vertical="center" wrapText="1"/>
    </xf>
    <xf numFmtId="0" fontId="89" fillId="0" borderId="13" xfId="0" applyFont="1" applyBorder="1" applyNumberFormat="1">
      <alignment vertical="center" wrapText="1"/>
    </xf>
    <xf numFmtId="49" fontId="93" fillId="0" borderId="15" xfId="0" applyFont="1" applyBorder="1" applyNumberFormat="1">
      <alignment horizontal="left" vertical="top" wrapText="1"/>
    </xf>
    <xf numFmtId="0" fontId="89" fillId="0" borderId="13" xfId="0" applyFont="1" applyBorder="1" applyNumberFormat="1">
      <alignment horizontal="center" vertical="center" wrapText="1"/>
    </xf>
    <xf numFmtId="0" fontId="89" fillId="0" borderId="18" xfId="0" applyFont="1" applyBorder="1" applyNumberFormat="1">
      <alignment vertical="center" wrapText="1"/>
    </xf>
    <xf numFmtId="0" fontId="89" fillId="0" borderId="24" xfId="0" applyFont="1" applyBorder="1" applyNumberFormat="1">
      <alignment vertical="center" wrapText="1"/>
    </xf>
    <xf numFmtId="49" fontId="93" fillId="0" borderId="31" xfId="0" applyFont="1" applyBorder="1" applyNumberFormat="1">
      <alignment horizontal="left" vertical="top" wrapText="1"/>
    </xf>
    <xf numFmtId="49" fontId="93" fillId="0" borderId="14" xfId="0" applyFont="1" applyBorder="1" applyNumberFormat="1">
      <alignment horizontal="left" vertical="top" wrapText="1"/>
    </xf>
    <xf numFmtId="49" fontId="89" fillId="0" borderId="18" xfId="0" applyFont="1" applyBorder="1" applyNumberFormat="1">
      <alignment horizontal="center" vertical="center" wrapText="1"/>
    </xf>
    <xf numFmtId="49" fontId="89" fillId="0" borderId="24" xfId="0" applyFont="1" applyBorder="1" applyNumberFormat="1">
      <alignment horizontal="center" vertical="center" wrapText="1"/>
    </xf>
    <xf numFmtId="0" fontId="89" fillId="0" borderId="18" xfId="0" applyFont="1" applyBorder="1" applyNumberFormat="1">
      <alignment horizontal="center" vertical="center" wrapText="1"/>
    </xf>
    <xf numFmtId="49" fontId="93" fillId="0" borderId="37" xfId="0" applyFont="1" applyBorder="1" applyNumberFormat="1">
      <alignment horizontal="left" vertical="top" wrapText="1"/>
    </xf>
    <xf numFmtId="0" fontId="93" fillId="0" borderId="37" xfId="0" applyFont="1" applyBorder="1" applyNumberFormat="1">
      <alignment horizontal="left" vertical="top" wrapText="1"/>
    </xf>
    <xf numFmtId="49" fontId="93" fillId="0" borderId="0" xfId="0" applyFont="1" applyNumberFormat="1">
      <alignment horizontal="left" vertical="top" wrapText="1"/>
    </xf>
    <xf numFmtId="49" fontId="93" fillId="42" borderId="0" xfId="0" applyFont="1" applyFill="1" applyNumberFormat="1">
      <alignment horizontal="left" vertical="top" wrapText="1"/>
    </xf>
    <xf numFmtId="0" fontId="93" fillId="0" borderId="0" xfId="0" applyFont="1" applyNumberFormat="1">
      <alignment vertical="top" wrapText="1"/>
    </xf>
    <xf numFmtId="0" fontId="30" fillId="0" borderId="20" xfId="0" applyFont="1" applyBorder="1" applyNumberFormat="1">
      <alignment horizontal="left" vertical="center" wrapText="1" indent="1"/>
    </xf>
    <xf numFmtId="0" fontId="30" fillId="0" borderId="28" xfId="0" applyFont="1" applyBorder="1" applyNumberFormat="1">
      <alignment horizontal="left" vertical="center" wrapText="1" inden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22" fillId="36" borderId="13" xfId="0" applyFont="1" applyFill="1" applyBorder="1" applyNumberFormat="1">
      <alignment horizontal="left" vertical="center" wrapText="1"/>
    </xf>
    <xf numFmtId="4" fontId="22" fillId="35"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49" fontId="99" fillId="38" borderId="15" xfId="0" applyFont="1" applyFill="1" applyBorder="1" applyNumberFormat="1">
      <alignment horizontal="left" vertical="center"/>
    </xf>
    <xf numFmtId="49" fontId="107" fillId="38" borderId="16" xfId="0" applyFont="1" applyFill="1" applyBorder="1" applyNumberFormat="1">
      <alignment horizontal="left" vertical="center" indent="3"/>
    </xf>
    <xf numFmtId="49" fontId="70" fillId="38" borderId="16" xfId="0" applyFont="1" applyFill="1" applyBorder="1" applyNumberFormat="1">
      <alignment horizontal="center" vertical="center" wrapText="1"/>
    </xf>
    <xf numFmtId="49" fontId="65" fillId="38" borderId="16" xfId="0" applyFont="1" applyFill="1" applyBorder="1" applyNumberFormat="1">
      <alignment horizontal="center" vertical="center" wrapText="1"/>
    </xf>
    <xf numFmtId="49" fontId="65" fillId="38" borderId="14" xfId="0" applyFont="1" applyFill="1" applyBorder="1" applyNumberFormat="1">
      <alignment horizontal="center" vertical="center" wrapText="1"/>
    </xf>
    <xf numFmtId="49" fontId="45" fillId="0" borderId="0" xfId="0" applyFont="1" applyNumberFormat="1">
      <alignment horizontal="left" vertical="center"/>
    </xf>
    <xf numFmtId="49" fontId="31" fillId="0" borderId="0" xfId="0" applyFont="1" applyNumberFormat="1">
      <alignment vertical="top"/>
    </xf>
    <xf numFmtId="49" fontId="0" fillId="0" borderId="25" xfId="0" applyFont="1" applyBorder="1" applyNumberFormat="1">
      <alignment vertical="top"/>
    </xf>
    <xf numFmtId="49" fontId="107" fillId="38" borderId="16" xfId="0" applyFont="1" applyFill="1" applyBorder="1" applyNumberFormat="1">
      <alignment horizontal="left" vertical="center" indent="2"/>
    </xf>
    <xf numFmtId="49" fontId="107" fillId="38" borderId="16" xfId="0" applyFont="1" applyFill="1" applyBorder="1" applyNumberFormat="1">
      <alignment horizontal="left" vertical="center" indent="1"/>
    </xf>
    <xf numFmtId="49" fontId="45" fillId="0" borderId="0" xfId="0" applyFont="1" applyNumberFormat="1">
      <alignment horizontal="left" vertical="center"/>
    </xf>
    <xf numFmtId="49" fontId="45" fillId="0" borderId="0" xfId="0" applyFont="1" applyNumberFormat="1">
      <alignment horizontal="left" vertical="top"/>
    </xf>
    <xf numFmtId="49" fontId="65" fillId="38" borderId="15" xfId="0" applyFont="1" applyFill="1" applyBorder="1" applyNumberFormat="1">
      <alignment horizontal="left" vertical="top"/>
    </xf>
    <xf numFmtId="49" fontId="107" fillId="38" borderId="16" xfId="0" applyFont="1" applyFill="1" applyBorder="1" applyNumberFormat="1">
      <alignment horizontal="left" vertical="center"/>
    </xf>
    <xf numFmtId="49" fontId="46"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53" borderId="18" xfId="0" applyFont="1" applyFill="1" applyBorder="1" applyNumberFormat="1">
      <alignment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0" borderId="15" xfId="0" applyFont="1" applyBorder="1" applyNumberFormat="1">
      <alignment vertical="top"/>
    </xf>
    <xf numFmtId="49" fontId="0" fillId="54"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0" borderId="16" xfId="0" applyFont="1" applyBorder="1" applyNumberFormat="1">
      <alignment horizontal="center" vertical="top"/>
    </xf>
    <xf numFmtId="49" fontId="0" fillId="55"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49" fontId="0" fillId="36" borderId="0" xfId="0" applyFont="1" applyFill="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49" fontId="22" fillId="35" borderId="11" xfId="0" applyFont="1" applyFill="1" applyBorder="1" applyNumberFormat="1">
      <alignment horizontal="center" vertical="top"/>
    </xf>
    <xf numFmtId="49" fontId="37" fillId="0" borderId="12" xfId="0" applyFont="1" applyBorder="1" applyNumberFormat="1">
      <alignment vertical="top" wrapText="1"/>
    </xf>
    <xf numFmtId="0" fontId="0" fillId="0" borderId="12" xfId="0" applyFont="1" applyBorder="1" applyNumberFormat="1">
      <alignment vertical="top" wrapText="1"/>
    </xf>
    <xf numFmtId="0" fontId="30"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48" fillId="0" borderId="12" xfId="0" applyFont="1" applyBorder="1" applyNumberFormat="1">
      <alignment vertical="center" wrapText="1"/>
    </xf>
    <xf numFmtId="0" fontId="30" fillId="0" borderId="0" xfId="0" applyFont="1" applyNumberFormat="1">
      <alignment vertical="top" wrapText="1"/>
    </xf>
    <xf numFmtId="0" fontId="22" fillId="0" borderId="12" xfId="0" applyFont="1" applyBorder="1" applyNumberFormat="1">
      <alignment vertical="center" wrapText="1"/>
    </xf>
    <xf numFmtId="0" fontId="113" fillId="0" borderId="0" xfId="0" applyFont="1" applyNumberFormat="1">
      <alignment wrapText="1"/>
    </xf>
    <xf numFmtId="49" fontId="64" fillId="0" borderId="0" xfId="0" applyFont="1" applyNumberFormat="1">
      <alignment wrapText="1"/>
    </xf>
    <xf numFmtId="49" fontId="64" fillId="0" borderId="0" xfId="0" applyFont="1" applyNumberFormat="1">
      <alignment vertical="center" wrapText="1"/>
    </xf>
    <xf numFmtId="49" fontId="114" fillId="0" borderId="0" xfId="0" applyFont="1" applyNumberFormat="1">
      <alignment wrapText="1"/>
    </xf>
    <xf numFmtId="0" fontId="100" fillId="0" borderId="0" xfId="0" applyFont="1" applyNumberFormat="1">
      <alignment vertical="center" wrapText="1"/>
    </xf>
    <xf numFmtId="0" fontId="100" fillId="0" borderId="0" xfId="0" applyFont="1" applyNumberFormat="1">
      <alignment horizontal="left" vertical="center" wrapText="1"/>
    </xf>
    <xf numFmtId="49" fontId="115" fillId="0" borderId="0" xfId="0" applyFont="1" applyNumberFormat="1">
      <alignment wrapText="1"/>
    </xf>
    <xf numFmtId="0" fontId="100" fillId="0" borderId="0" xfId="0" applyFont="1" applyNumberFormat="1">
      <alignment vertical="center"/>
    </xf>
    <xf numFmtId="0" fontId="30" fillId="0" borderId="0" xfId="0" applyFont="1" applyNumberFormat="1">
      <alignment horizontal="left" vertical="top" wrapText="1"/>
    </xf>
    <xf numFmtId="49" fontId="22" fillId="0" borderId="0" xfId="0" applyFont="1" applyNumberFormat="1">
      <alignment vertical="top" wrapText="1"/>
    </xf>
    <xf numFmtId="0" fontId="30" fillId="56" borderId="65" xfId="0" applyFont="1" applyFill="1" applyBorder="1" applyNumberFormat="1">
      <alignment horizontal="center" vertical="center" wrapText="1"/>
    </xf>
    <xf numFmtId="0" fontId="30" fillId="56" borderId="66" xfId="0" applyFont="1" applyFill="1" applyBorder="1" applyNumberFormat="1">
      <alignment horizontal="center" vertical="center" wrapText="1"/>
    </xf>
    <xf numFmtId="0" fontId="30" fillId="56" borderId="67" xfId="0" applyFont="1" applyFill="1" applyBorder="1" applyNumberFormat="1">
      <alignment horizontal="center" vertical="center" wrapText="1"/>
    </xf>
    <xf numFmtId="0" fontId="64" fillId="0" borderId="0" xfId="0" applyFont="1" applyNumberFormat="1">
      <alignment wrapText="1"/>
    </xf>
    <xf numFmtId="0" fontId="30" fillId="34" borderId="39" xfId="0" applyFont="1" applyFill="1" applyBorder="1" applyNumberFormat="1">
      <alignment horizontal="right" vertical="center" wrapText="1" indent="1"/>
    </xf>
    <xf numFmtId="0" fontId="30" fillId="34" borderId="64" xfId="0" applyFont="1" applyFill="1" applyBorder="1" applyNumberFormat="1">
      <alignment horizontal="right" vertical="center" wrapText="1" indent="1"/>
    </xf>
    <xf numFmtId="0" fontId="116" fillId="0" borderId="0" xfId="0" applyFont="1" applyNumberFormat="1">
      <alignment horizontal="left" vertical="center" wrapText="1"/>
    </xf>
    <xf numFmtId="0" fontId="117" fillId="0" borderId="0" xfId="0" applyFont="1" applyNumberFormat="1">
      <alignment vertical="center" wrapText="1"/>
    </xf>
    <xf numFmtId="0" fontId="64" fillId="0" borderId="39" xfId="0" applyFont="1" applyBorder="1" applyNumberFormat="1">
      <alignment wrapText="1"/>
    </xf>
    <xf numFmtId="0" fontId="64" fillId="0" borderId="0" xfId="0" applyFont="1" applyNumberFormat="1"/>
    <xf numFmtId="0" fontId="116" fillId="0" borderId="0" xfId="0" applyFont="1" applyNumberFormat="1"/>
    <xf numFmtId="0" fontId="118" fillId="0" borderId="0" xfId="0" applyFont="1" applyNumberFormat="1">
      <alignment wrapText="1"/>
    </xf>
    <xf numFmtId="0" fontId="0" fillId="37" borderId="10" xfId="0" applyFont="1" applyFill="1" applyBorder="1" applyNumberFormat="1">
      <alignment horizontal="center" vertical="center" wrapText="1"/>
    </xf>
    <xf numFmtId="0" fontId="118" fillId="0" borderId="39" xfId="0" applyFont="1" applyBorder="1" applyNumberFormat="1">
      <alignment vertical="center" wrapText="1"/>
    </xf>
    <xf numFmtId="0" fontId="118" fillId="0" borderId="0" xfId="0" applyFont="1" applyNumberFormat="1">
      <alignment vertical="center" wrapText="1"/>
    </xf>
    <xf numFmtId="0" fontId="0" fillId="50" borderId="10" xfId="0" applyFont="1" applyFill="1" applyBorder="1" applyNumberFormat="1">
      <alignment horizontal="center" vertical="center" wrapText="1"/>
    </xf>
    <xf numFmtId="0" fontId="118" fillId="0" borderId="39" xfId="0" applyFont="1" applyBorder="1" applyNumberFormat="1">
      <alignment horizontal="left" vertical="center" wrapText="1"/>
    </xf>
    <xf numFmtId="0" fontId="118" fillId="0" borderId="0" xfId="0" applyFont="1" applyNumberFormat="1">
      <alignment horizontal="left" vertical="center" wrapText="1"/>
    </xf>
    <xf numFmtId="0" fontId="0" fillId="35" borderId="10" xfId="0" applyFont="1" applyFill="1" applyBorder="1" applyNumberFormat="1">
      <alignment horizontal="center" vertical="center" wrapText="1"/>
    </xf>
    <xf numFmtId="0" fontId="0" fillId="40" borderId="10" xfId="0" applyFont="1" applyFill="1" applyBorder="1" applyNumberFormat="1">
      <alignment horizontal="center" vertical="center" wrapText="1"/>
    </xf>
    <xf numFmtId="0" fontId="30" fillId="34" borderId="0" xfId="0" applyFont="1" applyFill="1" applyNumberFormat="1">
      <alignment horizontal="right" vertical="center" wrapText="1" indent="1"/>
    </xf>
    <xf numFmtId="0" fontId="116" fillId="0" borderId="39" xfId="0" applyFont="1" applyBorder="1" applyNumberFormat="1">
      <alignment horizontal="left" vertical="center" wrapText="1"/>
    </xf>
    <xf numFmtId="0" fontId="116" fillId="0" borderId="61" xfId="0" applyFont="1" applyBorder="1" applyNumberFormat="1">
      <alignment horizontal="left" vertical="center" wrapText="1"/>
    </xf>
    <xf numFmtId="0" fontId="30" fillId="34" borderId="10" xfId="0" applyFont="1" applyFill="1" applyBorder="1" applyNumberFormat="1">
      <alignment horizontal="right" vertical="center" wrapText="1" indent="1"/>
    </xf>
    <xf numFmtId="0" fontId="30" fillId="34" borderId="63" xfId="0" applyFont="1" applyFill="1" applyBorder="1" applyNumberFormat="1">
      <alignment horizontal="right" vertical="center" wrapText="1" indent="1"/>
    </xf>
    <xf numFmtId="0" fontId="118" fillId="0" borderId="0" xfId="0" applyFont="1" applyNumberFormat="1"/>
    <xf numFmtId="0" fontId="118" fillId="0" borderId="39" xfId="0" applyFont="1" applyBorder="1" applyNumberFormat="1">
      <alignment wrapText="1"/>
    </xf>
    <xf numFmtId="0" fontId="118" fillId="0" borderId="0" xfId="0" applyFont="1" applyNumberFormat="1">
      <alignment vertical="top" wrapText="1"/>
    </xf>
    <xf numFmtId="0" fontId="30" fillId="34" borderId="62" xfId="0" applyFont="1" applyFill="1" applyBorder="1" applyNumberFormat="1">
      <alignment horizontal="right" vertical="center" wrapText="1" indent="1"/>
    </xf>
    <xf numFmtId="0" fontId="30" fillId="34" borderId="40" xfId="0" applyFont="1" applyFill="1" applyBorder="1" applyNumberFormat="1">
      <alignment horizontal="right" vertical="center" wrapText="1" indent="1"/>
    </xf>
    <xf numFmtId="0" fontId="64" fillId="0" borderId="62" xfId="0" applyFont="1" applyBorder="1" applyNumberFormat="1">
      <alignment wrapText="1"/>
    </xf>
    <xf numFmtId="0" fontId="64" fillId="0" borderId="40" xfId="0" applyFont="1" applyBorder="1" applyNumberFormat="1">
      <alignment wrapText="1"/>
    </xf>
    <xf numFmtId="0" fontId="64" fillId="0" borderId="40" xfId="0" applyFont="1" applyBorder="1" applyNumberFormat="1">
      <alignment vertical="center" wrapText="1"/>
    </xf>
    <xf numFmtId="0" fontId="114" fillId="0" borderId="0" xfId="0" applyFont="1" applyNumberFormat="1"/>
    <xf numFmtId="49" fontId="64" fillId="0" borderId="0" xfId="0" applyFont="1" applyNumberFormat="1">
      <alignment vertical="top" wrapText="1"/>
    </xf>
    <xf numFmtId="0" fontId="27" fillId="0" borderId="0" xfId="0" applyFont="1" applyNumberFormat="1"/>
    <xf numFmtId="0" fontId="61" fillId="0" borderId="0" xfId="0" applyFont="1" applyNumberFormat="1">
      <alignment vertical="center" wrapText="1"/>
    </xf>
    <xf numFmtId="0" fontId="89" fillId="0" borderId="0" xfId="0" applyFont="1" applyNumberFormat="1">
      <alignment horizontal="left" vertical="center" wrapText="1"/>
    </xf>
    <xf numFmtId="0" fontId="61" fillId="0" borderId="0" xfId="0" applyFont="1" applyNumberFormat="1">
      <alignment horizontal="left" vertical="center" wrapText="1"/>
    </xf>
    <xf numFmtId="0" fontId="61" fillId="0" borderId="0" xfId="0" applyFont="1" applyNumberFormat="1">
      <alignment vertical="center" wrapText="1"/>
    </xf>
    <xf numFmtId="0" fontId="31" fillId="0" borderId="0" xfId="0" applyFont="1" applyNumberFormat="1">
      <alignment horizontal="center" vertical="center" wrapText="1"/>
    </xf>
    <xf numFmtId="0" fontId="31" fillId="0" borderId="0" xfId="0" applyFont="1" applyNumberFormat="1">
      <alignment vertical="center" wrapText="1"/>
    </xf>
    <xf numFmtId="0" fontId="46" fillId="0" borderId="0" xfId="0" applyFont="1" applyNumberFormat="1">
      <alignment vertical="center" wrapText="1"/>
    </xf>
    <xf numFmtId="0" fontId="31" fillId="0" borderId="0" xfId="0" applyFont="1" applyNumberFormat="1">
      <alignment vertical="center" wrapText="1"/>
    </xf>
    <xf numFmtId="0" fontId="31" fillId="0" borderId="0" xfId="0" applyFont="1" applyNumberFormat="1">
      <alignment horizontal="left" vertical="center" wrapText="1"/>
    </xf>
    <xf numFmtId="0" fontId="22" fillId="0" borderId="0" xfId="0" applyFont="1" applyNumberFormat="1">
      <alignment horizontal="left" vertical="top" indent="1"/>
    </xf>
    <xf numFmtId="49" fontId="64" fillId="0" borderId="0" xfId="0" applyFont="1" applyNumberFormat="1">
      <alignment vertical="top"/>
    </xf>
    <xf numFmtId="49" fontId="22" fillId="0" borderId="0" xfId="0" applyFont="1" applyNumberFormat="1">
      <alignment vertical="center" wrapText="1"/>
    </xf>
    <xf numFmtId="49" fontId="45"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5"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58" fillId="0" borderId="0" xfId="0" applyFont="1" applyNumberFormat="1">
      <alignment vertical="center" wrapText="1"/>
    </xf>
    <xf numFmtId="0" fontId="89" fillId="0" borderId="0" xfId="0" applyFont="1" applyNumberFormat="1">
      <alignment horizontal="left" vertical="center" wrapText="1"/>
    </xf>
    <xf numFmtId="0" fontId="56" fillId="0" borderId="0" xfId="0" applyFont="1" applyNumberFormat="1">
      <alignment horizontal="left" vertical="center" wrapText="1"/>
    </xf>
    <xf numFmtId="0" fontId="57" fillId="0" borderId="0" xfId="0" applyFont="1" applyNumberFormat="1">
      <alignment vertical="center" wrapText="1"/>
    </xf>
    <xf numFmtId="0" fontId="58" fillId="36" borderId="0" xfId="0" applyFont="1" applyFill="1" applyNumberFormat="1">
      <alignment vertical="center" wrapText="1"/>
    </xf>
    <xf numFmtId="0" fontId="58" fillId="0" borderId="0" xfId="0" applyFont="1" applyNumberFormat="1">
      <alignment vertical="center" wrapText="1"/>
    </xf>
    <xf numFmtId="0" fontId="58"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wrapText="1"/>
    </xf>
    <xf numFmtId="0" fontId="58" fillId="0" borderId="0" xfId="0" applyFont="1" applyNumberFormat="1">
      <alignment vertical="center" wrapText="1"/>
    </xf>
    <xf numFmtId="0" fontId="33" fillId="36" borderId="0" xfId="0" applyFont="1" applyFill="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48" fillId="36" borderId="0" xfId="0" applyFont="1" applyFill="1" applyNumberFormat="1">
      <alignment vertical="center" wrapText="1"/>
    </xf>
    <xf numFmtId="0" fontId="94" fillId="0" borderId="0" xfId="0" applyFont="1" applyNumberFormat="1">
      <alignment vertical="center" wrapText="1"/>
    </xf>
    <xf numFmtId="0" fontId="58" fillId="36" borderId="0" xfId="0" applyFont="1" applyFill="1" applyNumberFormat="1">
      <alignment horizontal="right" vertical="center" wrapText="1" indent="1"/>
    </xf>
    <xf numFmtId="0" fontId="60" fillId="36" borderId="0" xfId="0" applyFont="1" applyFill="1" applyNumberFormat="1">
      <alignment horizontal="center" vertical="center" wrapText="1"/>
    </xf>
    <xf numFmtId="0" fontId="22" fillId="36" borderId="27" xfId="0" applyFont="1" applyFill="1" applyBorder="1" applyNumberFormat="1">
      <alignment horizontal="right" vertical="center" wrapText="1" indent="1"/>
    </xf>
    <xf numFmtId="0" fontId="0" fillId="35" borderId="13" xfId="0" applyFont="1" applyFill="1" applyBorder="1" applyNumberFormat="1">
      <alignment horizontal="left" vertical="center" wrapText="1" indent="1"/>
    </xf>
    <xf numFmtId="14" fontId="89" fillId="36" borderId="0" xfId="0" applyFont="1" applyFill="1" applyNumberFormat="1">
      <alignment horizontal="left" vertical="center" wrapText="1"/>
    </xf>
    <xf numFmtId="0" fontId="56" fillId="36" borderId="0" xfId="0" applyFont="1" applyFill="1" applyNumberFormat="1">
      <alignment horizontal="center" vertical="center" wrapText="1"/>
    </xf>
    <xf numFmtId="0" fontId="58" fillId="36" borderId="0" xfId="0" applyFont="1" applyFill="1" applyNumberFormat="1">
      <alignment horizontal="left" vertical="center" wrapText="1" indent="1"/>
    </xf>
    <xf numFmtId="0" fontId="22" fillId="36" borderId="0" xfId="0" applyFont="1" applyFill="1" applyNumberFormat="1">
      <alignment horizontal="center" vertical="center" wrapText="1"/>
    </xf>
    <xf numFmtId="0" fontId="86" fillId="0" borderId="0" xfId="0" applyFont="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3" fillId="36" borderId="0" xfId="0" applyFont="1" applyFill="1" applyNumberFormat="1">
      <alignment vertical="center" wrapText="1"/>
    </xf>
    <xf numFmtId="0" fontId="22" fillId="36" borderId="27" xfId="0" applyFont="1" applyFill="1" applyBorder="1" applyNumberFormat="1">
      <alignment horizontal="right" vertical="center" wrapText="1" indent="1"/>
    </xf>
    <xf numFmtId="0" fontId="22" fillId="40" borderId="13"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5" fillId="0" borderId="0" xfId="0" applyFont="1" applyNumberFormat="1">
      <alignment vertical="center" wrapText="1"/>
    </xf>
    <xf numFmtId="0" fontId="56" fillId="0" borderId="0" xfId="0" applyFont="1" applyNumberFormat="1">
      <alignment horizontal="left" vertical="center" wrapText="1"/>
    </xf>
    <xf numFmtId="0" fontId="57" fillId="0" borderId="0" xfId="0" applyFont="1" applyNumberFormat="1">
      <alignment vertical="center" wrapText="1"/>
    </xf>
    <xf numFmtId="49" fontId="22" fillId="41" borderId="13" xfId="0" applyFont="1" applyFill="1" applyBorder="1" applyNumberFormat="1">
      <alignment horizontal="left" vertical="center" wrapText="1" indent="1"/>
    </xf>
    <xf numFmtId="0" fontId="58" fillId="0" borderId="0" xfId="0" applyFont="1" applyNumberFormat="1">
      <alignment vertical="center" wrapText="1"/>
    </xf>
    <xf numFmtId="14" fontId="91" fillId="0" borderId="13" xfId="0" applyFont="1" applyBorder="1" applyNumberFormat="1">
      <alignment horizontal="center" vertical="center" wrapText="1"/>
    </xf>
    <xf numFmtId="168" fontId="0" fillId="40" borderId="13" xfId="0" applyFont="1" applyFill="1" applyBorder="1" applyNumberFormat="1">
      <alignment horizontal="left" vertical="center" wrapText="1" indent="1"/>
      <protection locked="0"/>
    </xf>
    <xf numFmtId="0" fontId="51" fillId="0" borderId="0" xfId="0" applyFont="1" applyNumberFormat="1">
      <alignment horizontal="left" vertical="center" indent="1"/>
    </xf>
    <xf numFmtId="0" fontId="22" fillId="36" borderId="0" xfId="0" applyFont="1" applyFill="1" applyNumberFormat="1">
      <alignment vertical="center" wrapText="1"/>
    </xf>
    <xf numFmtId="14" fontId="91" fillId="0" borderId="13" xfId="0" applyFont="1" applyBorder="1" applyNumberFormat="1">
      <alignment horizontal="left" vertical="center" wrapText="1"/>
    </xf>
    <xf numFmtId="49" fontId="22" fillId="36" borderId="27" xfId="0" applyFont="1" applyFill="1" applyBorder="1" applyNumberFormat="1">
      <alignment horizontal="right" vertical="center" wrapText="1" indent="1"/>
    </xf>
    <xf numFmtId="49" fontId="45" fillId="0" borderId="0" xfId="0" applyFont="1" applyNumberFormat="1">
      <alignment vertical="center" wrapText="1"/>
    </xf>
    <xf numFmtId="0" fontId="0" fillId="40" borderId="13" xfId="0" applyFont="1" applyFill="1" applyBorder="1" applyNumberFormat="1">
      <alignment horizontal="left" vertical="center" wrapText="1" indent="1"/>
      <protection locked="0"/>
    </xf>
    <xf numFmtId="49" fontId="22" fillId="40" borderId="13" xfId="0" applyFont="1" applyFill="1" applyBorder="1" applyNumberFormat="1">
      <alignment horizontal="left" vertical="center" wrapText="1" indent="1"/>
      <protection locked="0"/>
    </xf>
    <xf numFmtId="168"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94" fillId="0" borderId="0" xfId="0" applyFont="1" applyNumberFormat="1">
      <alignment horizontal="left" vertical="center" wrapText="1"/>
    </xf>
    <xf numFmtId="0" fontId="22" fillId="36"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2" fillId="0" borderId="13" xfId="0" applyFont="1" applyBorder="1" applyNumberFormat="1">
      <alignment horizontal="left" vertical="center" wrapText="1" indent="1"/>
    </xf>
    <xf numFmtId="0" fontId="32" fillId="0" borderId="0" xfId="0" applyFont="1" applyNumberFormat="1">
      <alignment horizontal="center" vertical="center" wrapText="1"/>
    </xf>
    <xf numFmtId="0" fontId="34" fillId="36" borderId="0" xfId="0" applyFont="1" applyFill="1" applyNumberFormat="1">
      <alignment horizontal="center" vertical="center" wrapText="1"/>
    </xf>
    <xf numFmtId="49" fontId="22" fillId="35" borderId="13" xfId="0" applyFont="1" applyFill="1" applyBorder="1" applyNumberFormat="1">
      <alignment horizontal="left" vertical="center" wrapText="1" indent="1"/>
    </xf>
    <xf numFmtId="14" fontId="22"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0" fontId="22" fillId="0" borderId="0" xfId="0" applyFont="1" applyNumberFormat="1">
      <alignment vertical="center"/>
    </xf>
    <xf numFmtId="14" fontId="22" fillId="36" borderId="0" xfId="0" applyFont="1" applyFill="1" applyNumberFormat="1">
      <alignment horizontal="left" vertical="center" wrapText="1"/>
    </xf>
    <xf numFmtId="0" fontId="22" fillId="40" borderId="13" xfId="0" applyFont="1" applyFill="1" applyBorder="1" applyNumberFormat="1">
      <alignment horizontal="left" vertical="center" wrapText="1" indent="1"/>
      <protection locked="0"/>
    </xf>
    <xf numFmtId="0" fontId="59" fillId="36" borderId="0" xfId="0" applyFont="1" applyFill="1" applyNumberFormat="1">
      <alignment horizontal="right" vertical="center" wrapText="1" indent="1"/>
    </xf>
    <xf numFmtId="0" fontId="59" fillId="36" borderId="0" xfId="0" applyFont="1" applyFill="1" applyNumberFormat="1">
      <alignment horizontal="left" vertical="center" wrapText="1" indent="1"/>
    </xf>
    <xf numFmtId="49" fontId="22" fillId="41" borderId="13" xfId="0" applyFont="1" applyFill="1" applyBorder="1" applyNumberFormat="1">
      <alignment horizontal="left" vertical="center" wrapText="1" indent="1"/>
    </xf>
    <xf numFmtId="0" fontId="58" fillId="36" borderId="0" xfId="0" applyFont="1" applyFill="1" applyNumberFormat="1">
      <alignment vertical="center" wrapText="1"/>
    </xf>
    <xf numFmtId="0" fontId="59" fillId="36" borderId="0" xfId="0" applyFont="1" applyFill="1" applyNumberFormat="1">
      <alignment horizontal="right" vertical="center" wrapText="1" indent="1"/>
    </xf>
    <xf numFmtId="0" fontId="31" fillId="0" borderId="0" xfId="0" applyFont="1" applyNumberFormat="1">
      <alignment horizontal="left" vertical="center" wrapText="1"/>
    </xf>
    <xf numFmtId="49" fontId="122" fillId="0" borderId="13" xfId="0" applyFont="1" applyBorder="1" applyNumberFormat="1">
      <alignment horizontal="left" vertical="center" wrapText="1" indent="1"/>
    </xf>
    <xf numFmtId="0" fontId="31" fillId="0" borderId="0" xfId="0" applyFont="1" applyNumberFormat="1">
      <alignment horizontal="left" vertical="center" wrapText="1"/>
    </xf>
    <xf numFmtId="14" fontId="90" fillId="0" borderId="0" xfId="0" applyFont="1" applyNumberFormat="1">
      <alignment horizontal="center" vertical="center" wrapText="1"/>
    </xf>
    <xf numFmtId="0" fontId="32" fillId="0" borderId="0" xfId="0" applyFont="1" applyNumberFormat="1">
      <alignment vertical="center" wrapText="1"/>
    </xf>
    <xf numFmtId="0" fontId="31" fillId="0" borderId="0" xfId="0" applyFont="1" applyNumberFormat="1">
      <alignment horizontal="center" vertical="center" wrapText="1"/>
    </xf>
    <xf numFmtId="0" fontId="22" fillId="0" borderId="0" xfId="0" applyFont="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vertical="center" wrapText="1"/>
    </xf>
    <xf numFmtId="0" fontId="81" fillId="0" borderId="0" xfId="0" applyFont="1" applyNumberFormat="1">
      <alignment vertical="center" wrapText="1"/>
    </xf>
    <xf numFmtId="0" fontId="22" fillId="0" borderId="0" xfId="0" applyFont="1" applyNumberFormat="1">
      <alignment vertical="center" wrapText="1"/>
    </xf>
    <xf numFmtId="0" fontId="22" fillId="41" borderId="13" xfId="0" applyFont="1" applyFill="1" applyBorder="1" applyNumberFormat="1">
      <alignment horizontal="left" vertical="center" wrapText="1" indent="1"/>
    </xf>
    <xf numFmtId="168" fontId="0" fillId="40" borderId="12" xfId="0" applyFont="1" applyFill="1" applyBorder="1" applyNumberFormat="1">
      <alignment horizontal="left" vertical="center" wrapText="1" indent="1"/>
      <protection locked="0"/>
    </xf>
    <xf numFmtId="0" fontId="22" fillId="41" borderId="13" xfId="0" applyFont="1" applyFill="1" applyBorder="1" applyNumberFormat="1">
      <alignment horizontal="left" vertical="center" wrapText="1" indent="1"/>
    </xf>
    <xf numFmtId="49" fontId="22" fillId="41" borderId="13" xfId="0" applyFont="1" applyFill="1" applyBorder="1" applyNumberFormat="1">
      <alignment horizontal="left" vertical="center" wrapText="1" indent="1"/>
    </xf>
    <xf numFmtId="49" fontId="31" fillId="0" borderId="0" xfId="0" applyFont="1" applyNumberFormat="1">
      <alignment horizontal="left" vertical="center" wrapText="1"/>
    </xf>
    <xf numFmtId="49" fontId="33" fillId="36" borderId="0" xfId="0" applyFont="1" applyFill="1" applyNumberFormat="1">
      <alignment horizontal="center" vertical="center" wrapText="1"/>
    </xf>
    <xf numFmtId="0" fontId="22" fillId="40" borderId="13" xfId="0" applyFont="1" applyFill="1" applyBorder="1" applyNumberFormat="1">
      <alignment horizontal="left" vertical="center" wrapTex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40"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6" borderId="0" xfId="0" applyFont="1" applyFill="1" applyNumberFormat="1">
      <alignment horizontal="right" vertical="center" wrapText="1" indent="1"/>
    </xf>
    <xf numFmtId="49" fontId="45" fillId="0" borderId="0" xfId="0" applyFont="1" applyNumberFormat="1">
      <alignment horizontal="center" vertical="center" wrapText="1"/>
    </xf>
    <xf numFmtId="49" fontId="22" fillId="0" borderId="0" xfId="0" applyFont="1" applyNumberFormat="1">
      <alignment horizontal="center" vertical="center" wrapText="1"/>
    </xf>
    <xf numFmtId="49" fontId="0" fillId="36" borderId="0" xfId="0" applyFont="1" applyFill="1" applyNumberFormat="1">
      <alignment horizontal="right" vertical="center" wrapText="1" indent="1"/>
    </xf>
    <xf numFmtId="0" fontId="48" fillId="0" borderId="0" xfId="0" applyFont="1" applyNumberFormat="1">
      <alignment vertical="top" wrapText="1"/>
    </xf>
    <xf numFmtId="0" fontId="32" fillId="0" borderId="0" xfId="0" applyFont="1" applyNumberFormat="1">
      <alignment vertical="center" wrapText="1"/>
    </xf>
    <xf numFmtId="0" fontId="89" fillId="0" borderId="0" xfId="0" applyFont="1" applyNumberFormat="1">
      <alignment horizontal="left" vertical="center" wrapText="1"/>
    </xf>
    <xf numFmtId="0" fontId="31" fillId="0" borderId="0" xfId="0" applyFont="1" applyNumberFormat="1">
      <alignment horizontal="lef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31" fillId="0" borderId="0" xfId="0" applyFont="1" applyNumberFormat="1">
      <alignment horizontal="center" vertical="center" wrapText="1"/>
    </xf>
    <xf numFmtId="0" fontId="45" fillId="0" borderId="0" xfId="0" applyFont="1" applyNumberFormat="1">
      <alignment vertical="center" wrapText="1"/>
    </xf>
    <xf numFmtId="0" fontId="46" fillId="0" borderId="0" xfId="0" applyFont="1" applyNumberFormat="1">
      <alignment vertical="center" wrapText="1"/>
    </xf>
    <xf numFmtId="0" fontId="70"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horizontal="center" vertical="center" wrapText="1"/>
    </xf>
    <xf numFmtId="0" fontId="46" fillId="0" borderId="0" xfId="0" applyFont="1" applyNumberFormat="1">
      <alignment horizontal="left" vertical="center" indent="1"/>
    </xf>
    <xf numFmtId="0" fontId="46" fillId="0" borderId="0" xfId="0" applyFont="1" applyNumberFormat="1">
      <alignment horizontal="center" vertical="center" wrapText="1"/>
    </xf>
    <xf numFmtId="0" fontId="46" fillId="0" borderId="0" xfId="0" applyFont="1" applyNumberFormat="1">
      <alignment horizontal="left" vertical="center" wrapText="1" indent="1"/>
    </xf>
    <xf numFmtId="0" fontId="46" fillId="0" borderId="0" xfId="0" applyFont="1" applyNumberFormat="1">
      <alignment horizontal="left" vertical="center" indent="1"/>
    </xf>
    <xf numFmtId="0" fontId="46" fillId="0" borderId="0" xfId="0" applyFont="1" applyNumberFormat="1">
      <alignment vertical="center" wrapText="1"/>
    </xf>
    <xf numFmtId="0" fontId="54" fillId="0" borderId="0" xfId="0" applyFont="1" applyNumberFormat="1">
      <alignment vertical="center" wrapText="1"/>
    </xf>
    <xf numFmtId="0" fontId="22" fillId="0" borderId="0" xfId="0" applyFont="1" applyNumberFormat="1">
      <alignment horizontal="left" vertical="center" wrapText="1" indent="1"/>
    </xf>
    <xf numFmtId="0" fontId="45" fillId="0" borderId="0" xfId="0" applyFont="1" applyNumberFormat="1">
      <alignment horizontal="left" vertical="center" wrapText="1" indent="1"/>
    </xf>
    <xf numFmtId="0" fontId="54" fillId="0" borderId="0" xfId="0" applyFont="1" applyNumberFormat="1">
      <alignment horizontal="left" vertical="center" wrapText="1" indent="1"/>
    </xf>
    <xf numFmtId="0" fontId="55" fillId="0" borderId="0" xfId="0" applyFont="1" applyNumberFormat="1">
      <alignment horizontal="left" vertical="center" indent="1"/>
    </xf>
    <xf numFmtId="0" fontId="54" fillId="0" borderId="0" xfId="0" applyFont="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45" fillId="0" borderId="0" xfId="0" applyFont="1" applyNumberFormat="1">
      <alignmen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6" fillId="0" borderId="0" xfId="0" applyFont="1" applyNumberFormat="1">
      <alignment vertical="center"/>
    </xf>
    <xf numFmtId="0" fontId="46" fillId="0" borderId="0" xfId="0" applyFont="1" applyNumberFormat="1">
      <alignment vertical="center"/>
    </xf>
    <xf numFmtId="0" fontId="53" fillId="0" borderId="0" xfId="0" applyFont="1" applyNumberFormat="1">
      <alignment vertical="center"/>
    </xf>
    <xf numFmtId="0" fontId="41" fillId="0" borderId="0" xfId="0" applyFont="1" applyNumberFormat="1">
      <alignment vertical="center" wrapText="1"/>
    </xf>
    <xf numFmtId="0" fontId="22" fillId="0" borderId="16"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5"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6" xfId="0" applyFont="1" applyBorder="1" applyNumberFormat="1">
      <alignment horizontal="center" vertical="center" wrapText="1"/>
    </xf>
    <xf numFmtId="4" fontId="22" fillId="0" borderId="13" xfId="0" applyFont="1" applyBorder="1" applyNumberFormat="1">
      <alignment horizontal="center" vertical="center" wrapText="1"/>
    </xf>
    <xf numFmtId="169" fontId="22" fillId="0" borderId="15" xfId="0" applyFont="1" applyBorder="1" applyNumberFormat="1">
      <alignment horizontal="center" vertical="center" wrapText="1"/>
    </xf>
    <xf numFmtId="169" fontId="22" fillId="0" borderId="13" xfId="0" applyFont="1" applyBorder="1" applyNumberFormat="1">
      <alignment horizontal="center" vertical="center" wrapText="1"/>
    </xf>
    <xf numFmtId="0" fontId="35" fillId="0" borderId="0" xfId="0" applyFont="1" applyNumberFormat="1">
      <alignment horizontal="center" vertical="center" wrapText="1"/>
    </xf>
    <xf numFmtId="49" fontId="35" fillId="0" borderId="16" xfId="0" applyFont="1" applyBorder="1" applyNumberFormat="1">
      <alignment horizontal="center" vertical="center" wrapText="1"/>
    </xf>
    <xf numFmtId="49" fontId="35" fillId="0" borderId="16" xfId="0" applyFont="1" applyBorder="1" applyNumberFormat="1">
      <alignment horizontal="center" vertical="center" wrapText="1"/>
    </xf>
    <xf numFmtId="0" fontId="45" fillId="0" borderId="0" xfId="0" applyFont="1" applyNumberFormat="1">
      <alignment vertical="center"/>
    </xf>
    <xf numFmtId="0" fontId="45" fillId="0" borderId="0" xfId="0" applyFont="1" applyNumberFormat="1">
      <alignment vertical="center"/>
    </xf>
    <xf numFmtId="0" fontId="52" fillId="0" borderId="0" xfId="0" applyFont="1" applyNumberFormat="1">
      <alignment vertical="center"/>
    </xf>
    <xf numFmtId="49" fontId="22" fillId="38" borderId="20" xfId="0" applyFont="1" applyFill="1" applyBorder="1" applyNumberFormat="1">
      <alignment horizontal="center" vertical="center" wrapText="1"/>
    </xf>
    <xf numFmtId="49" fontId="45" fillId="38" borderId="20" xfId="0" applyFont="1" applyFill="1" applyBorder="1" applyNumberFormat="1">
      <alignment horizontal="left" vertical="center" wrapText="1"/>
    </xf>
    <xf numFmtId="49" fontId="45" fillId="38" borderId="21" xfId="0" applyFont="1" applyFill="1" applyBorder="1" applyNumberFormat="1">
      <alignment horizontal="left" vertical="center" wrapText="1"/>
    </xf>
    <xf numFmtId="0" fontId="46" fillId="0" borderId="23" xfId="0" applyFont="1" applyBorder="1" applyNumberFormat="1">
      <alignment vertical="center"/>
    </xf>
    <xf numFmtId="0" fontId="22" fillId="0" borderId="0" xfId="0" applyFont="1" applyNumberFormat="1">
      <alignment horizontal="center" vertical="center" wrapText="1"/>
    </xf>
    <xf numFmtId="0" fontId="36" fillId="0" borderId="0" xfId="0" applyFont="1" applyNumberFormat="1">
      <alignment horizontal="center" vertical="center" wrapText="1"/>
    </xf>
    <xf numFmtId="0" fontId="22" fillId="0" borderId="13" xfId="0" applyFont="1" applyBorder="1" applyNumberFormat="1">
      <alignment horizontal="center" vertical="center" wrapText="1"/>
    </xf>
    <xf numFmtId="0" fontId="46" fillId="0" borderId="13" xfId="0" applyFont="1" applyBorder="1" applyNumberFormat="1">
      <alignment horizontal="center" vertical="center" wrapText="1"/>
    </xf>
    <xf numFmtId="49" fontId="22" fillId="40" borderId="13" xfId="0" applyFont="1" applyFill="1" applyBorder="1" applyNumberFormat="1">
      <alignment vertical="center" wrapText="1"/>
      <protection locked="0"/>
    </xf>
    <xf numFmtId="49" fontId="45" fillId="0" borderId="13" xfId="0" applyFont="1" applyBorder="1" applyNumberFormat="1">
      <alignment horizontal="left" vertical="center" wrapText="1"/>
    </xf>
    <xf numFmtId="0" fontId="46" fillId="0" borderId="0" xfId="0" applyFont="1" applyNumberFormat="1">
      <alignment vertical="center"/>
    </xf>
    <xf numFmtId="0" fontId="46" fillId="0" borderId="0" xfId="0" applyFont="1" applyNumberFormat="1">
      <alignment vertical="center"/>
    </xf>
    <xf numFmtId="0" fontId="41" fillId="0" borderId="0" xfId="0" applyFont="1" applyNumberFormat="1">
      <alignment vertical="center" wrapText="1"/>
    </xf>
    <xf numFmtId="49" fontId="0" fillId="0" borderId="0" xfId="0" applyFont="1" applyNumberFormat="1">
      <alignment vertical="top"/>
    </xf>
    <xf numFmtId="0" fontId="35" fillId="0" borderId="25" xfId="0" applyFont="1" applyBorder="1" applyNumberFormat="1">
      <alignment vertical="top" wrapText="1"/>
    </xf>
    <xf numFmtId="0" fontId="22" fillId="0" borderId="24" xfId="0" applyFont="1" applyBorder="1" applyNumberFormat="1">
      <alignment horizontal="center" vertical="center" wrapText="1"/>
    </xf>
    <xf numFmtId="0" fontId="46" fillId="0" borderId="24" xfId="0" applyFont="1" applyBorder="1" applyNumberFormat="1">
      <alignment horizontal="center" vertical="center" wrapText="1"/>
    </xf>
    <xf numFmtId="14" fontId="22" fillId="41" borderId="24" xfId="0" applyFont="1" applyFill="1" applyBorder="1" applyNumberFormat="1">
      <alignment horizontal="left" vertical="center" wrapText="1" indent="1"/>
    </xf>
    <xf numFmtId="49" fontId="22" fillId="35" borderId="24" xfId="0" applyFont="1" applyFill="1" applyBorder="1" applyNumberFormat="1">
      <alignment horizontal="center" vertical="center" wrapText="1"/>
    </xf>
    <xf numFmtId="0" fontId="72" fillId="0" borderId="0" xfId="0" applyFont="1" applyNumberFormat="1">
      <alignment vertical="center" wrapText="1"/>
    </xf>
    <xf numFmtId="49" fontId="45" fillId="0" borderId="0" xfId="0" applyFont="1" applyNumberFormat="1">
      <alignment vertical="top"/>
    </xf>
    <xf numFmtId="49" fontId="46" fillId="0" borderId="0" xfId="0" applyFont="1" applyNumberFormat="1">
      <alignment vertical="top"/>
    </xf>
    <xf numFmtId="49" fontId="0" fillId="0" borderId="0" xfId="0" applyFont="1" applyNumberFormat="1">
      <alignment vertical="top"/>
    </xf>
    <xf numFmtId="0" fontId="45" fillId="0" borderId="0" xfId="0" applyFont="1" applyNumberFormat="1">
      <alignment horizontal="center" vertical="center" wrapText="1"/>
    </xf>
    <xf numFmtId="0" fontId="45" fillId="0" borderId="0" xfId="0" applyFont="1" applyNumberFormat="1">
      <alignment vertical="center" wrapText="1"/>
    </xf>
    <xf numFmtId="0" fontId="22" fillId="0" borderId="13" xfId="0" applyFont="1" applyBorder="1" applyNumberFormat="1">
      <alignment horizontal="center" vertical="center" wrapText="1"/>
    </xf>
    <xf numFmtId="0" fontId="45" fillId="0" borderId="13" xfId="0" applyFont="1" applyBorder="1" applyNumberFormat="1">
      <alignment horizontal="center" vertical="center" wrapText="1"/>
    </xf>
    <xf numFmtId="14" fontId="22" fillId="41" borderId="13" xfId="0" applyFont="1" applyFill="1" applyBorder="1" applyNumberFormat="1">
      <alignment horizontal="left" vertical="center" wrapText="1" indent="1"/>
    </xf>
    <xf numFmtId="49" fontId="22" fillId="35" borderId="13" xfId="0" applyFont="1" applyFill="1" applyBorder="1" applyNumberFormat="1">
      <alignment horizontal="center" vertical="center" wrapText="1"/>
    </xf>
    <xf numFmtId="0" fontId="46" fillId="0" borderId="0" xfId="0" applyFont="1" applyNumberFormat="1">
      <alignment vertical="center" wrapText="1"/>
    </xf>
    <xf numFmtId="0" fontId="46" fillId="0" borderId="0" xfId="0" applyFont="1" applyNumberFormat="1">
      <alignment vertical="center"/>
    </xf>
    <xf numFmtId="49" fontId="46" fillId="0" borderId="0" xfId="0" applyFont="1" applyNumberFormat="1">
      <alignment vertical="top"/>
    </xf>
    <xf numFmtId="0" fontId="0" fillId="0" borderId="0" xfId="0" applyFont="1" applyNumberFormat="1">
      <alignment vertical="center" wrapText="1"/>
    </xf>
    <xf numFmtId="0" fontId="35" fillId="0" borderId="0" xfId="0" applyFont="1" applyNumberFormat="1">
      <alignment vertical="top" wrapText="1"/>
    </xf>
    <xf numFmtId="49" fontId="48" fillId="38" borderId="15" xfId="0" applyFont="1" applyFill="1" applyBorder="1" applyNumberFormat="1">
      <alignment horizontal="right" vertical="center" wrapText="1"/>
    </xf>
    <xf numFmtId="49" fontId="48" fillId="38" borderId="16" xfId="0" applyFont="1" applyFill="1" applyBorder="1" applyNumberFormat="1">
      <alignment horizontal="right" vertical="center" wrapText="1"/>
    </xf>
    <xf numFmtId="49" fontId="39" fillId="38" borderId="16" xfId="0" applyFont="1" applyFill="1" applyBorder="1" applyNumberFormat="1">
      <alignment horizontal="left" vertical="center" indent="1"/>
    </xf>
    <xf numFmtId="49" fontId="0" fillId="38" borderId="16" xfId="0" applyFont="1" applyFill="1" applyBorder="1" applyNumberFormat="1">
      <alignment horizontal="right" vertical="center" wrapText="1"/>
    </xf>
    <xf numFmtId="49" fontId="0" fillId="38" borderId="14" xfId="0" applyFont="1" applyFill="1" applyBorder="1" applyNumberFormat="1">
      <alignment horizontal="right" vertical="center" wrapText="1"/>
    </xf>
    <xf numFmtId="0" fontId="45" fillId="0" borderId="0" xfId="0" applyFont="1" applyNumberFormat="1">
      <alignment vertical="center" wrapText="1"/>
    </xf>
    <xf numFmtId="0" fontId="36" fillId="0" borderId="0" xfId="0" applyFont="1" applyNumberFormat="1">
      <alignment horizontal="center" vertical="center" wrapText="1"/>
    </xf>
    <xf numFmtId="0" fontId="22" fillId="0" borderId="13" xfId="0" applyFont="1" applyBorder="1" applyNumberFormat="1">
      <alignment horizontal="center" vertical="center" wrapText="1"/>
    </xf>
    <xf numFmtId="0" fontId="46" fillId="0" borderId="13" xfId="0" applyFont="1" applyBorder="1" applyNumberFormat="1">
      <alignment horizontal="center" vertical="center"/>
    </xf>
    <xf numFmtId="0" fontId="41" fillId="0" borderId="0" xfId="0" applyFont="1" applyNumberFormat="1">
      <alignment vertical="center" wrapText="1"/>
    </xf>
    <xf numFmtId="0" fontId="22" fillId="0" borderId="24" xfId="0" applyFont="1" applyBorder="1" applyNumberFormat="1">
      <alignment horizontal="center" vertical="center" wrapText="1"/>
    </xf>
    <xf numFmtId="0" fontId="45" fillId="0" borderId="24" xfId="0" applyFont="1" applyBorder="1" applyNumberFormat="1">
      <alignment horizontal="center" vertical="center" wrapText="1"/>
    </xf>
    <xf numFmtId="49" fontId="22" fillId="38" borderId="15" xfId="0" applyFont="1" applyFill="1" applyBorder="1" applyNumberFormat="1">
      <alignment horizontal="right" vertical="center" wrapText="1"/>
    </xf>
    <xf numFmtId="49" fontId="22" fillId="38" borderId="16" xfId="0" applyFont="1" applyFill="1" applyBorder="1" applyNumberFormat="1">
      <alignment horizontal="right" vertical="center" wrapText="1"/>
    </xf>
    <xf numFmtId="49" fontId="39" fillId="38" borderId="16" xfId="0" applyFont="1" applyFill="1" applyBorder="1" applyNumberFormat="1">
      <alignment horizontal="left" vertical="center"/>
    </xf>
    <xf numFmtId="49" fontId="22" fillId="38" borderId="14" xfId="0" applyFont="1" applyFill="1" applyBorder="1" applyNumberFormat="1">
      <alignment horizontal="right" vertical="center" wrapText="1"/>
    </xf>
    <xf numFmtId="0" fontId="36" fillId="0" borderId="0" xfId="0" applyFont="1" applyNumberFormat="1">
      <alignment horizontal="center" vertical="center" wrapText="1"/>
    </xf>
    <xf numFmtId="0" fontId="22" fillId="0" borderId="22" xfId="0" applyFont="1" applyBorder="1" applyNumberFormat="1">
      <alignment vertical="center" wrapText="1"/>
    </xf>
    <xf numFmtId="0" fontId="44" fillId="0" borderId="0" xfId="0" applyFont="1" applyNumberFormat="1">
      <alignment vertical="center" wrapText="1"/>
    </xf>
    <xf numFmtId="0" fontId="92" fillId="0" borderId="0" xfId="0" applyFont="1" applyNumberFormat="1">
      <alignment vertical="center" wrapText="1"/>
    </xf>
    <xf numFmtId="0" fontId="49" fillId="0" borderId="0" xfId="0" applyFont="1" applyNumberFormat="1">
      <alignment horizontal="center" vertical="center" wrapText="1"/>
    </xf>
    <xf numFmtId="0" fontId="44" fillId="0" borderId="0" xfId="0" applyFont="1" applyNumberFormat="1">
      <alignment vertical="center" wrapText="1"/>
    </xf>
    <xf numFmtId="49" fontId="0" fillId="0" borderId="0" xfId="0" applyFont="1" applyNumberFormat="1">
      <alignment vertical="top"/>
    </xf>
    <xf numFmtId="0" fontId="36" fillId="0" borderId="0" xfId="0" applyFont="1" applyNumberFormat="1">
      <alignment horizontal="center" vertical="center" wrapText="1"/>
    </xf>
    <xf numFmtId="0" fontId="46" fillId="0" borderId="0" xfId="0" applyFont="1" applyNumberFormat="1">
      <alignment vertical="center"/>
    </xf>
    <xf numFmtId="0" fontId="53"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1" xfId="0" applyFont="1" applyBorder="1" applyNumberFormat="1">
      <alignment horizontal="left" vertical="center" wrapText="1" indent="1"/>
    </xf>
    <xf numFmtId="0" fontId="22" fillId="0" borderId="18" xfId="0" applyFont="1" applyBorder="1" applyNumberFormat="1">
      <alignment horizontal="left" vertical="center" wrapText="1" indent="1"/>
    </xf>
    <xf numFmtId="0" fontId="22" fillId="0" borderId="38" xfId="0" applyFont="1" applyBorder="1" applyNumberFormat="1">
      <alignment horizontal="left" vertical="center" wrapText="1" indent="1"/>
    </xf>
    <xf numFmtId="0" fontId="45" fillId="0" borderId="0" xfId="0" applyFont="1" applyNumberFormat="1">
      <alignment vertical="center"/>
    </xf>
    <xf numFmtId="0" fontId="40" fillId="0" borderId="0" xfId="0" applyFont="1" applyNumberFormat="1">
      <alignment vertical="center"/>
    </xf>
    <xf numFmtId="0" fontId="22" fillId="0" borderId="30" xfId="0" applyFont="1" applyBorder="1" applyNumberFormat="1">
      <alignment horizontal="left" vertical="center" indent="1"/>
    </xf>
    <xf numFmtId="0" fontId="22" fillId="0" borderId="24" xfId="0" applyFont="1" applyBorder="1" applyNumberFormat="1">
      <alignment horizontal="left" vertical="center" indent="1"/>
    </xf>
    <xf numFmtId="0" fontId="22" fillId="0" borderId="31" xfId="0" applyFont="1" applyBorder="1" applyNumberFormat="1">
      <alignment horizontal="left" vertical="center" indent="1"/>
    </xf>
    <xf numFmtId="0" fontId="84" fillId="0" borderId="0" xfId="0" applyFont="1" applyNumberFormat="1">
      <alignment vertical="center"/>
    </xf>
    <xf numFmtId="0" fontId="47" fillId="0" borderId="0" xfId="0" applyFont="1" applyNumberFormat="1">
      <alignment vertical="center"/>
    </xf>
    <xf numFmtId="0" fontId="106" fillId="0" borderId="0" xfId="0" applyFont="1" applyNumberFormat="1">
      <alignment vertical="center"/>
    </xf>
    <xf numFmtId="0" fontId="40" fillId="0" borderId="0" xfId="0" applyFont="1" applyNumberFormat="1">
      <alignment vertical="center"/>
    </xf>
    <xf numFmtId="0" fontId="22" fillId="0" borderId="0" xfId="0" applyFont="1" applyNumberFormat="1">
      <alignment vertical="center" wrapText="1"/>
    </xf>
    <xf numFmtId="0" fontId="84" fillId="0" borderId="0" xfId="0" applyFont="1" applyNumberFormat="1">
      <alignment vertical="center"/>
    </xf>
    <xf numFmtId="0" fontId="47" fillId="0" borderId="0" xfId="0" applyFont="1" applyNumberFormat="1">
      <alignment vertical="center"/>
    </xf>
    <xf numFmtId="0" fontId="106" fillId="0" borderId="0" xfId="0" applyFont="1" applyNumberFormat="1">
      <alignment vertical="center"/>
    </xf>
    <xf numFmtId="0" fontId="40"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29" fillId="0" borderId="0" xfId="0" applyFont="1" applyNumberFormat="1">
      <alignment vertical="center"/>
    </xf>
    <xf numFmtId="0" fontId="22" fillId="43" borderId="0" xfId="0" applyFont="1" applyFill="1" applyNumberFormat="1">
      <alignment horizontal="center" vertical="center" wrapText="1"/>
    </xf>
    <xf numFmtId="0" fontId="22" fillId="0" borderId="0" xfId="0" applyFont="1" applyNumberFormat="1">
      <alignment vertical="center" wrapText="1"/>
    </xf>
    <xf numFmtId="0" fontId="22" fillId="0" borderId="13" xfId="0" applyFont="1" applyBorder="1" applyNumberFormat="1">
      <alignment horizontal="center" vertical="center" wrapText="1"/>
    </xf>
    <xf numFmtId="0" fontId="73" fillId="0" borderId="38" xfId="0" applyFont="1" applyBorder="1" applyNumberFormat="1">
      <alignment horizontal="center" vertical="center" wrapText="1"/>
    </xf>
    <xf numFmtId="0" fontId="73" fillId="0" borderId="20" xfId="0" applyFont="1" applyBorder="1" applyNumberFormat="1">
      <alignment horizontal="center" vertical="center" wrapText="1"/>
    </xf>
    <xf numFmtId="0" fontId="73" fillId="0" borderId="13" xfId="0" applyFont="1" applyBorder="1" applyNumberFormat="1">
      <alignment horizontal="center" vertical="center" wrapText="1"/>
    </xf>
    <xf numFmtId="0" fontId="22" fillId="0" borderId="0" xfId="0" applyFont="1" applyNumberFormat="1">
      <alignment horizontal="center" vertical="center" wrapText="1"/>
    </xf>
    <xf numFmtId="0" fontId="80" fillId="0" borderId="0" xfId="0" applyFont="1" applyNumberFormat="1">
      <alignment horizontal="center" vertical="center" wrapText="1"/>
    </xf>
    <xf numFmtId="0" fontId="22" fillId="0" borderId="13"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5" fillId="0" borderId="23" xfId="0" applyFont="1" applyBorder="1" applyNumberFormat="1">
      <alignment vertical="center"/>
    </xf>
    <xf numFmtId="0" fontId="0" fillId="0" borderId="0" xfId="0" applyFont="1" applyNumberFormat="1">
      <alignment vertical="center"/>
    </xf>
    <xf numFmtId="49" fontId="35" fillId="0" borderId="0" xfId="0" applyFont="1" applyNumberFormat="1">
      <alignment horizontal="center" vertical="center" wrapText="1"/>
    </xf>
    <xf numFmtId="49" fontId="35" fillId="0" borderId="13" xfId="0" applyFont="1" applyBorder="1" applyNumberFormat="1">
      <alignment horizontal="center" vertical="center" wrapText="1"/>
    </xf>
    <xf numFmtId="49" fontId="35" fillId="0" borderId="68" xfId="0" applyFont="1" applyBorder="1" applyNumberFormat="1">
      <alignment horizontal="center" vertical="center" wrapText="1"/>
    </xf>
    <xf numFmtId="49" fontId="35" fillId="0" borderId="69" xfId="0" applyFont="1" applyBorder="1" applyNumberFormat="1">
      <alignment horizontal="center" vertical="center" wrapText="1"/>
    </xf>
    <xf numFmtId="49" fontId="35" fillId="0" borderId="15" xfId="0" applyFont="1" applyBorder="1" applyNumberFormat="1">
      <alignment horizontal="center" vertical="center" wrapText="1"/>
    </xf>
    <xf numFmtId="49" fontId="35" fillId="0" borderId="14" xfId="0" applyFont="1" applyBorder="1" applyNumberFormat="1">
      <alignment horizontal="center" vertical="center" wrapText="1"/>
    </xf>
    <xf numFmtId="0" fontId="45" fillId="0" borderId="23" xfId="0" applyFont="1" applyBorder="1" applyNumberFormat="1">
      <alignment vertical="center"/>
    </xf>
    <xf numFmtId="0" fontId="46" fillId="0" borderId="0" xfId="0" applyFont="1" applyNumberFormat="1">
      <alignment vertical="center"/>
    </xf>
    <xf numFmtId="0" fontId="46" fillId="0" borderId="0" xfId="0" applyFont="1" applyNumberFormat="1">
      <alignment vertical="center"/>
    </xf>
    <xf numFmtId="0" fontId="22" fillId="0" borderId="0" xfId="0" applyFont="1" applyNumberFormat="1">
      <alignment vertical="center"/>
    </xf>
    <xf numFmtId="0" fontId="45" fillId="0" borderId="0" xfId="0" applyFont="1" applyNumberFormat="1">
      <alignment vertical="center"/>
    </xf>
    <xf numFmtId="0" fontId="0" fillId="0" borderId="0" xfId="0" applyFont="1" applyNumberFormat="1">
      <alignment vertical="center"/>
    </xf>
    <xf numFmtId="0" fontId="46" fillId="0" borderId="0" xfId="0" applyFont="1" applyNumberFormat="1">
      <alignment horizontal="center" vertical="center"/>
    </xf>
    <xf numFmtId="0" fontId="22" fillId="0" borderId="0" xfId="0" applyFont="1" applyNumberFormat="1">
      <alignment horizontal="center" vertical="center" wrapText="1"/>
    </xf>
    <xf numFmtId="0" fontId="22" fillId="38" borderId="15" xfId="0" applyFont="1" applyFill="1" applyBorder="1" applyNumberFormat="1">
      <alignment horizontal="center" vertical="center" wrapText="1"/>
    </xf>
    <xf numFmtId="49" fontId="22" fillId="38" borderId="16" xfId="0" applyFont="1" applyFill="1" applyBorder="1" applyNumberFormat="1">
      <alignment horizontal="center" vertical="center" wrapText="1"/>
    </xf>
    <xf numFmtId="49" fontId="22" fillId="38" borderId="16" xfId="0" applyFont="1" applyFill="1" applyBorder="1" applyNumberFormat="1">
      <alignment horizontal="center" vertical="center" wrapText="1"/>
    </xf>
    <xf numFmtId="49" fontId="22" fillId="38" borderId="42" xfId="0" applyFont="1" applyFill="1" applyBorder="1" applyNumberFormat="1">
      <alignment horizontal="center" vertical="center" wrapText="1"/>
    </xf>
    <xf numFmtId="49" fontId="0" fillId="38" borderId="16" xfId="0" applyFont="1" applyFill="1" applyBorder="1" applyNumberFormat="1">
      <alignment horizontal="left" vertical="center"/>
    </xf>
    <xf numFmtId="0" fontId="0" fillId="38" borderId="14" xfId="0" applyFont="1" applyFill="1" applyBorder="1" applyNumberFormat="1">
      <alignment vertical="center"/>
    </xf>
    <xf numFmtId="49" fontId="0" fillId="0" borderId="0" xfId="0" applyFont="1" applyNumberFormat="1">
      <alignment vertical="top"/>
    </xf>
    <xf numFmtId="0" fontId="36" fillId="0" borderId="0" xfId="0" applyFont="1" applyNumberFormat="1">
      <alignment horizontal="center" vertical="center" wrapText="1"/>
    </xf>
    <xf numFmtId="49" fontId="22" fillId="0" borderId="13" xfId="0" applyFont="1" applyBorder="1" applyNumberFormat="1">
      <alignment horizontal="center" vertical="center" wrapText="1"/>
    </xf>
    <xf numFmtId="0" fontId="22" fillId="41" borderId="18" xfId="0" applyFont="1" applyFill="1" applyBorder="1" applyNumberFormat="1">
      <alignment horizontal="left" vertical="center" wrapText="1" indent="2"/>
    </xf>
    <xf numFmtId="49" fontId="22" fillId="41" borderId="24" xfId="0" applyFont="1" applyFill="1" applyBorder="1" applyNumberFormat="1">
      <alignment horizontal="center" vertical="center" wrapText="1"/>
    </xf>
    <xf numFmtId="14" fontId="79"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1" borderId="18" xfId="0" applyFont="1" applyFill="1" applyBorder="1" applyNumberFormat="1">
      <alignment horizontal="left" vertical="center" wrapText="1" indent="1"/>
    </xf>
    <xf numFmtId="49" fontId="22" fillId="41" borderId="13" xfId="0" applyFont="1" applyFill="1" applyBorder="1" applyNumberFormat="1">
      <alignment horizontal="center" vertical="center" wrapText="1"/>
    </xf>
    <xf numFmtId="49" fontId="22" fillId="0" borderId="18" xfId="0" applyFont="1" applyBorder="1" applyNumberFormat="1">
      <alignment horizontal="center" vertical="center" wrapText="1"/>
    </xf>
    <xf numFmtId="49" fontId="22" fillId="0" borderId="13" xfId="0" applyFont="1" applyBorder="1" applyNumberFormat="1">
      <alignment horizontal="center" vertical="center" wrapText="1"/>
    </xf>
    <xf numFmtId="49" fontId="73" fillId="40" borderId="13" xfId="0" applyFont="1" applyFill="1" applyBorder="1" applyNumberFormat="1">
      <alignment horizontal="left" vertical="center" wrapText="1" indent="1"/>
      <protection locked="0"/>
    </xf>
    <xf numFmtId="0" fontId="45" fillId="0" borderId="23" xfId="0" applyFont="1" applyBorder="1" applyNumberFormat="1">
      <alignment vertical="center"/>
    </xf>
    <xf numFmtId="0" fontId="46" fillId="0" borderId="0" xfId="0" applyFont="1" applyNumberFormat="1">
      <alignment vertical="center"/>
    </xf>
    <xf numFmtId="0" fontId="22" fillId="0" borderId="0" xfId="0" applyFont="1" applyNumberFormat="1">
      <alignment vertical="center"/>
    </xf>
    <xf numFmtId="0" fontId="45" fillId="0" borderId="0" xfId="0" applyFont="1" applyNumberFormat="1">
      <alignment vertical="center"/>
    </xf>
    <xf numFmtId="0" fontId="0" fillId="0" borderId="0" xfId="0" applyFont="1" applyNumberFormat="1">
      <alignment vertical="center"/>
    </xf>
    <xf numFmtId="49" fontId="0" fillId="0" borderId="13" xfId="0" applyFont="1" applyBorder="1" applyNumberFormat="1">
      <alignment vertical="top"/>
    </xf>
    <xf numFmtId="0" fontId="35" fillId="0" borderId="13" xfId="0" applyFont="1" applyBorder="1" applyNumberFormat="1">
      <alignment horizontal="center" vertical="center" wrapText="1"/>
    </xf>
    <xf numFmtId="49" fontId="22" fillId="0" borderId="14" xfId="0" applyFont="1" applyBorder="1" applyNumberFormat="1">
      <alignment horizontal="center" vertical="center" wrapText="1"/>
    </xf>
    <xf numFmtId="49" fontId="73" fillId="40" borderId="13" xfId="0" applyFont="1" applyFill="1" applyBorder="1" applyNumberFormat="1">
      <alignment horizontal="left" vertical="center" wrapText="1" indent="1"/>
      <protection locked="0"/>
    </xf>
    <xf numFmtId="0" fontId="72" fillId="0" borderId="0" xfId="0" applyFont="1" applyNumberFormat="1">
      <alignment vertical="center"/>
    </xf>
    <xf numFmtId="0" fontId="22" fillId="41" borderId="37" xfId="0" applyFont="1" applyFill="1" applyBorder="1" applyNumberFormat="1">
      <alignment horizontal="left" vertical="center" wrapText="1" indent="2"/>
    </xf>
    <xf numFmtId="0" fontId="22" fillId="41" borderId="24" xfId="0" applyFont="1" applyFill="1" applyBorder="1" applyNumberFormat="1">
      <alignment horizontal="left" vertical="center" wrapText="1" indent="1"/>
    </xf>
    <xf numFmtId="49" fontId="39" fillId="38" borderId="14" xfId="0" applyFont="1" applyFill="1" applyBorder="1" applyNumberFormat="1">
      <alignment horizontal="left" vertical="center" indent="1"/>
    </xf>
    <xf numFmtId="0" fontId="35" fillId="0" borderId="13" xfId="0" applyFont="1" applyBorder="1" applyNumberFormat="1">
      <alignment horizontal="center" vertical="center" wrapText="1"/>
    </xf>
    <xf numFmtId="0" fontId="22" fillId="41" borderId="13" xfId="0" applyFont="1" applyFill="1" applyBorder="1" applyNumberFormat="1">
      <alignment horizontal="left" vertical="center" wrapText="1" indent="1"/>
    </xf>
    <xf numFmtId="0" fontId="79" fillId="0" borderId="18" xfId="0" applyFont="1" applyBorder="1" applyNumberFormat="1">
      <alignment horizontal="center" vertical="center" wrapText="1"/>
    </xf>
    <xf numFmtId="49" fontId="22" fillId="0" borderId="13" xfId="0" applyFont="1" applyBorder="1" applyNumberFormat="1">
      <alignment horizontal="center" vertical="center" wrapText="1"/>
    </xf>
    <xf numFmtId="0" fontId="22" fillId="41" borderId="24" xfId="0" applyFont="1" applyFill="1" applyBorder="1" applyNumberFormat="1">
      <alignment horizontal="left" vertical="center" wrapText="1" indent="2"/>
    </xf>
    <xf numFmtId="49" fontId="48" fillId="38" borderId="43" xfId="0" applyFont="1" applyFill="1" applyBorder="1" applyNumberFormat="1">
      <alignment horizontal="right" vertical="center" wrapText="1"/>
    </xf>
    <xf numFmtId="49" fontId="48" fillId="38" borderId="44" xfId="0" applyFont="1" applyFill="1" applyBorder="1" applyNumberFormat="1">
      <alignment horizontal="right" vertical="center" wrapText="1"/>
    </xf>
    <xf numFmtId="49" fontId="39" fillId="38" borderId="16" xfId="0" applyFont="1" applyFill="1" applyBorder="1" applyNumberFormat="1">
      <alignment horizontal="left" vertical="center" indent="1"/>
    </xf>
    <xf numFmtId="49" fontId="48" fillId="38" borderId="14" xfId="0" applyFont="1" applyFill="1" applyBorder="1" applyNumberFormat="1">
      <alignment horizontal="right" vertical="center" wrapText="1"/>
    </xf>
    <xf numFmtId="0" fontId="35" fillId="0" borderId="25" xfId="0" applyFont="1" applyBorder="1" applyNumberFormat="1">
      <alignment horizontal="center" vertical="center" wrapText="1"/>
    </xf>
    <xf numFmtId="14" fontId="79" fillId="0" borderId="18" xfId="0" applyFont="1" applyBorder="1" applyNumberFormat="1">
      <alignment horizontal="center" vertical="center" wrapText="1"/>
    </xf>
    <xf numFmtId="0" fontId="73" fillId="41" borderId="13" xfId="0" applyFont="1" applyFill="1" applyBorder="1" applyNumberFormat="1">
      <alignment horizontal="left" vertical="center" wrapText="1" indent="1"/>
      <protection locked="0"/>
    </xf>
    <xf numFmtId="0" fontId="35" fillId="0" borderId="0" xfId="0" applyFont="1" applyNumberFormat="1">
      <alignment horizontal="center" vertical="center" wrapText="1"/>
    </xf>
    <xf numFmtId="14" fontId="79" fillId="0" borderId="37" xfId="0" applyFont="1" applyBorder="1" applyNumberFormat="1">
      <alignment horizontal="center" vertical="center" wrapText="1"/>
    </xf>
    <xf numFmtId="0" fontId="73" fillId="41" borderId="13" xfId="0" applyFont="1" applyFill="1" applyBorder="1" applyNumberFormat="1">
      <alignment horizontal="left" vertical="top" indent="1"/>
      <protection locked="0"/>
    </xf>
    <xf numFmtId="0" fontId="73" fillId="0" borderId="13" xfId="0" applyFont="1" applyBorder="1" applyNumberFormat="1">
      <alignment horizontal="left" vertical="center" wrapText="1" indent="1"/>
    </xf>
    <xf numFmtId="0" fontId="73" fillId="0" borderId="13" xfId="0" applyFont="1" applyBorder="1" applyNumberFormat="1">
      <alignment horizontal="left" vertical="top" indent="1"/>
    </xf>
    <xf numFmtId="0" fontId="35" fillId="0" borderId="25" xfId="0" applyFont="1" applyBorder="1" applyNumberFormat="1">
      <alignment horizontal="center" vertical="center" wrapText="1"/>
    </xf>
    <xf numFmtId="0" fontId="73" fillId="41" borderId="13" xfId="0" applyFont="1" applyFill="1" applyBorder="1" applyNumberFormat="1">
      <alignment horizontal="left" vertical="center" wrapText="1" indent="1"/>
      <protection locked="0"/>
    </xf>
    <xf numFmtId="49" fontId="73" fillId="40" borderId="13" xfId="0" applyFont="1" applyFill="1" applyBorder="1" applyNumberFormat="1">
      <alignment horizontal="left" vertical="center" wrapText="1" indent="1"/>
      <protection locked="0"/>
    </xf>
    <xf numFmtId="0" fontId="0" fillId="0" borderId="0" xfId="0" applyFont="1" applyNumberFormat="1">
      <alignment vertical="center"/>
    </xf>
    <xf numFmtId="0" fontId="73" fillId="41" borderId="13" xfId="0" applyFont="1" applyFill="1" applyBorder="1" applyNumberFormat="1">
      <alignment horizontal="left" vertical="top" indent="1"/>
      <protection locked="0"/>
    </xf>
    <xf numFmtId="49" fontId="0" fillId="0" borderId="13" xfId="0" applyFont="1" applyBorder="1" applyNumberFormat="1">
      <alignment vertical="top"/>
    </xf>
    <xf numFmtId="49" fontId="73" fillId="0" borderId="13" xfId="0" applyFont="1" applyBorder="1" applyNumberFormat="1">
      <alignment horizontal="left" vertical="center" wrapText="1" indent="1"/>
    </xf>
    <xf numFmtId="0" fontId="73" fillId="43"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39" fillId="38" borderId="16" xfId="0" applyFont="1" applyFill="1" applyBorder="1" applyNumberFormat="1">
      <alignment horizontal="left" vertical="center" indent="2"/>
    </xf>
    <xf numFmtId="0" fontId="22" fillId="0" borderId="0" xfId="0" applyFont="1" applyNumberFormat="1">
      <alignment vertical="center"/>
    </xf>
    <xf numFmtId="0" fontId="45" fillId="0" borderId="0" xfId="0" applyFont="1" applyNumberFormat="1">
      <alignment vertical="center"/>
    </xf>
    <xf numFmtId="0" fontId="22" fillId="0" borderId="0" xfId="0" applyFont="1" applyNumberFormat="1">
      <alignment vertical="center"/>
    </xf>
    <xf numFmtId="0" fontId="46"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21" xfId="0" applyFont="1" applyBorder="1" applyNumberFormat="1">
      <alignment horizontal="left" vertical="top" wrapText="1" indent="1"/>
    </xf>
    <xf numFmtId="0" fontId="22" fillId="0" borderId="18" xfId="0" applyFont="1" applyBorder="1" applyNumberFormat="1">
      <alignment horizontal="left" vertical="top" wrapText="1" indent="1"/>
    </xf>
    <xf numFmtId="0" fontId="22" fillId="0" borderId="38" xfId="0" applyFont="1" applyBorder="1" applyNumberFormat="1">
      <alignment horizontal="left" vertical="top" wrapText="1" indent="1"/>
    </xf>
    <xf numFmtId="0" fontId="62" fillId="0" borderId="0" xfId="0" applyFont="1" applyNumberFormat="1">
      <alignment vertical="center" wrapText="1"/>
    </xf>
    <xf numFmtId="0" fontId="30" fillId="0" borderId="0" xfId="0" applyFont="1" applyNumberFormat="1">
      <alignment vertical="center" wrapText="1"/>
    </xf>
    <xf numFmtId="0" fontId="30" fillId="0" borderId="0" xfId="0" applyFont="1" applyNumberFormat="1">
      <alignment vertical="center" wrapText="1"/>
    </xf>
    <xf numFmtId="0" fontId="106" fillId="0" borderId="0" xfId="0" applyFont="1" applyNumberFormat="1">
      <alignment vertical="center"/>
    </xf>
    <xf numFmtId="0" fontId="40" fillId="0" borderId="0" xfId="0" applyFont="1" applyNumberFormat="1">
      <alignment vertical="center"/>
    </xf>
    <xf numFmtId="0" fontId="22" fillId="0" borderId="28" xfId="0" applyFont="1" applyBorder="1" applyNumberFormat="1">
      <alignment horizontal="left" vertical="center" indent="1"/>
    </xf>
    <xf numFmtId="0" fontId="65" fillId="0" borderId="0" xfId="0" applyFont="1" applyNumberFormat="1">
      <alignment vertical="center"/>
    </xf>
    <xf numFmtId="0" fontId="46" fillId="0" borderId="0" xfId="0" applyFont="1" applyNumberFormat="1">
      <alignment vertical="center"/>
    </xf>
    <xf numFmtId="0" fontId="70" fillId="0" borderId="25" xfId="0" applyFont="1" applyBorder="1" applyNumberFormat="1">
      <alignment horizontal="left" vertical="center" wrapText="1" indent="1"/>
    </xf>
    <xf numFmtId="0" fontId="70" fillId="0" borderId="37" xfId="0" applyFont="1" applyBorder="1" applyNumberFormat="1">
      <alignment horizontal="left" vertical="center" wrapText="1" indent="1"/>
    </xf>
    <xf numFmtId="0" fontId="70" fillId="0" borderId="23" xfId="0" applyFont="1" applyBorder="1" applyNumberFormat="1">
      <alignment horizontal="left" vertical="center" wrapText="1" indent="1"/>
    </xf>
    <xf numFmtId="0" fontId="22" fillId="0" borderId="0" xfId="0" applyFont="1" applyNumberFormat="1">
      <alignment vertical="center"/>
    </xf>
    <xf numFmtId="0" fontId="65" fillId="0" borderId="0" xfId="0" applyFont="1" applyNumberFormat="1">
      <alignment vertical="center"/>
    </xf>
    <xf numFmtId="0" fontId="29" fillId="0" borderId="0" xfId="0" applyFont="1" applyNumberFormat="1">
      <alignment vertical="center"/>
    </xf>
    <xf numFmtId="0" fontId="40" fillId="0" borderId="0" xfId="0" applyFont="1" applyNumberFormat="1">
      <alignment vertical="center"/>
    </xf>
    <xf numFmtId="0" fontId="0"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0" xfId="0" applyFont="1" applyNumberFormat="1">
      <alignment vertical="center"/>
    </xf>
    <xf numFmtId="49" fontId="46" fillId="36" borderId="0" xfId="0" applyFont="1" applyFill="1" applyNumberFormat="1">
      <alignment horizontal="center" vertical="center" wrapText="1"/>
    </xf>
    <xf numFmtId="49" fontId="46" fillId="36" borderId="28" xfId="0" applyFont="1" applyFill="1" applyBorder="1" applyNumberFormat="1">
      <alignment horizontal="center" vertical="center" wrapText="1"/>
    </xf>
    <xf numFmtId="0" fontId="46" fillId="0" borderId="0" xfId="0" applyFont="1" applyNumberFormat="1">
      <alignment vertical="center"/>
    </xf>
    <xf numFmtId="0" fontId="36" fillId="0" borderId="0" xfId="0" applyFont="1" applyNumberFormat="1">
      <alignment horizontal="center" vertical="center" wrapText="1"/>
    </xf>
    <xf numFmtId="0" fontId="46" fillId="0" borderId="13" xfId="0" applyFont="1" applyBorder="1" applyNumberFormat="1">
      <alignment horizontal="center" vertical="center"/>
    </xf>
    <xf numFmtId="0" fontId="22" fillId="0" borderId="13" xfId="0" applyFont="1" applyBorder="1" applyNumberFormat="1">
      <alignment horizontal="center" vertical="center" wrapText="1"/>
    </xf>
    <xf numFmtId="0" fontId="0" fillId="0" borderId="13" xfId="0" applyFont="1" applyBorder="1" applyNumberFormat="1">
      <alignment horizontal="center" vertical="center"/>
    </xf>
    <xf numFmtId="49" fontId="22" fillId="0" borderId="13" xfId="0" applyFont="1" applyBorder="1" applyNumberFormat="1">
      <alignment horizontal="center" vertical="center" wrapText="1"/>
    </xf>
    <xf numFmtId="49" fontId="22"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2" fillId="0" borderId="13" xfId="0" applyFont="1" applyBorder="1" applyNumberFormat="1">
      <alignment horizontal="center" vertical="center" wrapText="1"/>
    </xf>
    <xf numFmtId="49" fontId="22"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2" fillId="0" borderId="13" xfId="0" applyFont="1" applyBorder="1" applyNumberFormat="1">
      <alignment horizontal="left" vertical="top" wrapText="1"/>
    </xf>
    <xf numFmtId="0" fontId="22" fillId="41"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2" fillId="0" borderId="20" xfId="0" applyFont="1" applyBorder="1" applyNumberFormat="1">
      <alignment horizontal="left" vertical="center" wrapText="1"/>
    </xf>
    <xf numFmtId="49" fontId="22"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2" fillId="0" borderId="21"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1"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9" fillId="0" borderId="0" xfId="0" applyFont="1" applyNumberFormat="1">
      <alignment horizontal="left" vertical="center"/>
    </xf>
    <xf numFmtId="0" fontId="39" fillId="0" borderId="25"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3" xfId="0" applyFont="1" applyBorder="1" applyNumberFormat="1">
      <alignment horizontal="left" vertical="top"/>
    </xf>
    <xf numFmtId="0" fontId="22" fillId="41" borderId="24" xfId="0" applyFont="1" applyFill="1" applyBorder="1" applyNumberFormat="1">
      <alignment horizontal="center" vertical="top" wrapText="1"/>
    </xf>
    <xf numFmtId="0" fontId="39" fillId="0" borderId="31" xfId="0" applyFont="1" applyBorder="1" applyNumberFormat="1">
      <alignment horizontal="left" vertical="center"/>
    </xf>
    <xf numFmtId="0" fontId="39" fillId="0" borderId="28" xfId="0" applyFont="1" applyBorder="1" applyNumberFormat="1">
      <alignment horizontal="left" vertical="center"/>
    </xf>
    <xf numFmtId="0" fontId="0" fillId="0" borderId="28" xfId="0" applyFont="1" applyBorder="1" applyNumberFormat="1">
      <alignment vertical="center"/>
    </xf>
    <xf numFmtId="0" fontId="39" fillId="0" borderId="30" xfId="0" applyFont="1" applyBorder="1" applyNumberFormat="1">
      <alignment horizontal="left" vertical="center"/>
    </xf>
    <xf numFmtId="0" fontId="22" fillId="40" borderId="13"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40" borderId="13" xfId="0" applyFont="1" applyFill="1" applyBorder="1" applyNumberFormat="1">
      <alignment horizontal="left" vertical="top"/>
      <protection locked="0"/>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0" fontId="39" fillId="0" borderId="0" xfId="0" applyFont="1" applyNumberFormat="1">
      <alignment horizontal="left" vertical="center"/>
    </xf>
    <xf numFmtId="0" fontId="39" fillId="0" borderId="25" xfId="0" applyFont="1" applyBorder="1" applyNumberFormat="1">
      <alignment horizontal="left" vertical="center"/>
    </xf>
    <xf numFmtId="49" fontId="22" fillId="0" borderId="0" xfId="0" applyFont="1" applyNumberFormat="1">
      <alignment horizontal="center" vertical="center" wrapText="1"/>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0" fillId="0" borderId="0" xfId="0" applyFont="1" applyNumberFormat="1">
      <alignment vertical="center"/>
    </xf>
    <xf numFmtId="0" fontId="0" fillId="0" borderId="18" xfId="0" applyFont="1" applyBorder="1" applyNumberFormat="1">
      <alignment horizontal="center" vertical="top"/>
    </xf>
    <xf numFmtId="0" fontId="22" fillId="0" borderId="18" xfId="0" applyFont="1" applyBorder="1" applyNumberFormat="1">
      <alignment horizontal="left" vertical="top" wrapText="1"/>
    </xf>
    <xf numFmtId="0" fontId="0" fillId="0" borderId="0" xfId="0" applyFont="1" applyNumberFormat="1">
      <alignment vertical="center"/>
    </xf>
    <xf numFmtId="0" fontId="0" fillId="0" borderId="37" xfId="0" applyFont="1" applyBorder="1" applyNumberFormat="1">
      <alignment horizontal="center" vertical="top"/>
    </xf>
    <xf numFmtId="0" fontId="22" fillId="0" borderId="37" xfId="0" applyFont="1" applyBorder="1" applyNumberFormat="1">
      <alignment horizontal="left" vertical="top" wrapText="1"/>
    </xf>
    <xf numFmtId="0" fontId="0" fillId="0" borderId="24" xfId="0" applyFont="1" applyBorder="1" applyNumberFormat="1">
      <alignment horizontal="center" vertical="top"/>
    </xf>
    <xf numFmtId="0" fontId="22" fillId="0" borderId="24" xfId="0" applyFont="1" applyBorder="1" applyNumberFormat="1">
      <alignment horizontal="left" vertical="top" wrapText="1"/>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2" fillId="0" borderId="0" xfId="0" applyFont="1" applyNumberFormat="1">
      <alignment horizontal="center" vertical="center" wrapText="1"/>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39" fillId="0" borderId="0" xfId="0" applyFont="1" applyNumberFormat="1">
      <alignment horizontal="left" vertical="center"/>
    </xf>
    <xf numFmtId="0" fontId="39" fillId="0" borderId="25" xfId="0" applyFont="1" applyBorder="1" applyNumberFormat="1">
      <alignment horizontal="left" vertical="center"/>
    </xf>
    <xf numFmtId="49" fontId="22" fillId="0" borderId="0" xfId="0" applyFont="1" applyNumberFormat="1">
      <alignment horizontal="center" vertical="center" wrapText="1"/>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2" fillId="0" borderId="0" xfId="0" applyFont="1" applyNumberFormat="1">
      <alignment horizontal="center" vertical="center" wrapText="1"/>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39" fillId="0" borderId="0" xfId="0" applyFont="1" applyNumberFormat="1">
      <alignment horizontal="left" vertical="center"/>
    </xf>
    <xf numFmtId="0" fontId="39" fillId="0" borderId="25" xfId="0" applyFont="1" applyBorder="1" applyNumberFormat="1">
      <alignment horizontal="left" vertical="center"/>
    </xf>
    <xf numFmtId="49" fontId="22" fillId="0" borderId="0" xfId="0" applyFont="1" applyNumberFormat="1">
      <alignment horizontal="center" vertical="center" wrapText="1"/>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46" fillId="0" borderId="0" xfId="0" applyFont="1" applyNumberFormat="1">
      <alignment vertical="center"/>
    </xf>
    <xf numFmtId="0" fontId="0" fillId="0" borderId="0" xfId="0" applyFont="1" applyNumberFormat="1">
      <alignment vertical="center"/>
    </xf>
    <xf numFmtId="49" fontId="46" fillId="0" borderId="0" xfId="0" applyFont="1" applyNumberFormat="1">
      <alignment vertical="top"/>
    </xf>
    <xf numFmtId="49" fontId="46" fillId="0" borderId="0" xfId="0" applyFont="1" applyNumberFormat="1">
      <alignment horizontal="center" vertical="center"/>
    </xf>
    <xf numFmtId="49" fontId="46" fillId="0" borderId="0" xfId="0" applyFont="1" applyNumberFormat="1">
      <alignment horizontal="center" vertical="center"/>
    </xf>
    <xf numFmtId="49" fontId="45" fillId="0" borderId="0" xfId="0" applyFont="1" applyNumberFormat="1">
      <alignment horizontal="center" vertical="center"/>
    </xf>
    <xf numFmtId="49" fontId="65" fillId="0" borderId="0" xfId="0" applyFont="1" applyNumberFormat="1">
      <alignment vertical="top"/>
    </xf>
    <xf numFmtId="49" fontId="0" fillId="0" borderId="0" xfId="0" applyFont="1" applyNumberFormat="1">
      <alignment vertical="top"/>
    </xf>
    <xf numFmtId="49" fontId="31" fillId="0" borderId="0" xfId="0" applyFont="1" applyNumberFormat="1">
      <alignment vertical="top"/>
    </xf>
    <xf numFmtId="49" fontId="65" fillId="0" borderId="0" xfId="0" applyFont="1" applyNumberFormat="1">
      <alignment vertical="top"/>
    </xf>
    <xf numFmtId="0" fontId="31"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30" fillId="0" borderId="0" xfId="0" applyFont="1" applyNumberFormat="1">
      <alignment horizontal="left" vertical="center" wrapText="1" indent="1"/>
    </xf>
    <xf numFmtId="0" fontId="41" fillId="0" borderId="0" xfId="0" applyFont="1" applyNumberFormat="1">
      <alignment vertical="center"/>
    </xf>
    <xf numFmtId="0" fontId="111" fillId="0" borderId="0" xfId="0" applyFont="1" applyNumberFormat="1">
      <alignment vertical="center" wrapText="1"/>
    </xf>
    <xf numFmtId="0" fontId="112" fillId="0" borderId="0" xfId="0" applyFont="1" applyNumberFormat="1">
      <alignment vertical="center" wrapText="1"/>
    </xf>
    <xf numFmtId="0" fontId="31" fillId="0" borderId="0" xfId="0" applyFont="1" applyNumberFormat="1">
      <alignment vertical="center" wrapText="1"/>
    </xf>
    <xf numFmtId="0" fontId="22" fillId="0" borderId="0" xfId="0" applyFont="1" applyNumberFormat="1">
      <alignment vertical="center" wrapText="1"/>
    </xf>
    <xf numFmtId="0" fontId="22" fillId="0" borderId="28" xfId="0" applyFont="1" applyBorder="1" applyNumberFormat="1">
      <alignment horizontal="left" vertical="center" wrapText="1" indent="1"/>
    </xf>
    <xf numFmtId="0" fontId="41" fillId="0" borderId="0" xfId="0" applyFont="1" applyNumberFormat="1">
      <alignment vertical="center" wrapText="1"/>
    </xf>
    <xf numFmtId="0" fontId="22" fillId="0" borderId="38" xfId="0" applyFont="1" applyBorder="1" applyNumberFormat="1">
      <alignment horizontal="center" vertical="center" wrapText="1"/>
    </xf>
    <xf numFmtId="0" fontId="22" fillId="0" borderId="21"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38"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25"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1"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38" xfId="0" applyFont="1" applyBorder="1" applyNumberFormat="1">
      <alignment horizontal="center" vertical="center" wrapText="1"/>
    </xf>
    <xf numFmtId="49" fontId="22" fillId="0" borderId="0" xfId="0" applyFont="1" applyNumberFormat="1">
      <alignment vertical="top"/>
    </xf>
    <xf numFmtId="49" fontId="22" fillId="0" borderId="13" xfId="0" applyFont="1" applyBorder="1" applyNumberFormat="1">
      <alignment horizontal="center" vertical="center"/>
    </xf>
    <xf numFmtId="0" fontId="22" fillId="0" borderId="13" xfId="0" applyFont="1" applyBorder="1" applyNumberFormat="1">
      <alignment horizontal="left" vertical="center" wrapText="1"/>
    </xf>
    <xf numFmtId="49" fontId="22" fillId="41" borderId="18" xfId="0" applyFont="1" applyFill="1" applyBorder="1" applyNumberFormat="1">
      <alignment horizontal="center" vertical="center" wrapText="1"/>
    </xf>
    <xf numFmtId="49" fontId="22" fillId="0" borderId="38" xfId="0" applyFont="1" applyBorder="1" applyNumberFormat="1">
      <alignment vertical="center" wrapText="1"/>
    </xf>
    <xf numFmtId="0" fontId="22" fillId="0" borderId="20" xfId="0" applyFont="1" applyBorder="1" applyNumberFormat="1">
      <alignment horizontal="center" vertical="center"/>
    </xf>
    <xf numFmtId="49" fontId="22" fillId="0" borderId="20" xfId="0" applyFont="1" applyBorder="1" applyNumberFormat="1">
      <alignment horizontal="left" vertical="center" wrapText="1"/>
    </xf>
    <xf numFmtId="49" fontId="22" fillId="0" borderId="20" xfId="0" applyFont="1" applyBorder="1" applyNumberFormat="1">
      <alignment vertical="center" wrapText="1"/>
    </xf>
    <xf numFmtId="49" fontId="22" fillId="0" borderId="20" xfId="0" applyFont="1" applyBorder="1" applyNumberFormat="1">
      <alignment horizontal="left" vertical="center" wrapText="1"/>
    </xf>
    <xf numFmtId="49" fontId="36" fillId="0" borderId="20" xfId="0" applyFont="1" applyBorder="1" applyNumberFormat="1">
      <alignment vertical="center" wrapText="1"/>
    </xf>
    <xf numFmtId="49" fontId="22" fillId="0" borderId="20" xfId="0" applyFont="1" applyBorder="1" applyNumberFormat="1">
      <alignment horizontal="center" vertical="center" wrapText="1"/>
    </xf>
    <xf numFmtId="0" fontId="22" fillId="0" borderId="20" xfId="0" applyFont="1" applyBorder="1" applyNumberFormat="1">
      <alignment horizontal="left" vertical="center" wrapText="1"/>
    </xf>
    <xf numFmtId="49" fontId="22" fillId="0" borderId="20" xfId="0" applyFont="1" applyBorder="1" applyNumberFormat="1">
      <alignment horizontal="center" vertical="center" wrapText="1"/>
    </xf>
    <xf numFmtId="49" fontId="22" fillId="0" borderId="20" xfId="0" applyFont="1" applyBorder="1" applyNumberFormat="1">
      <alignment vertical="center" wrapText="1"/>
    </xf>
    <xf numFmtId="49" fontId="22" fillId="41" borderId="37" xfId="0" applyFont="1" applyFill="1" applyBorder="1" applyNumberFormat="1">
      <alignment horizontal="center" vertical="center" wrapText="1"/>
    </xf>
    <xf numFmtId="49" fontId="22" fillId="0" borderId="23"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39" fillId="0" borderId="0" xfId="0" applyFont="1" applyNumberFormat="1">
      <alignment horizontal="left" vertical="center"/>
    </xf>
    <xf numFmtId="0" fontId="39" fillId="0" borderId="0" xfId="0" applyFont="1" applyNumberFormat="1">
      <alignment horizontal="left" vertical="center"/>
    </xf>
    <xf numFmtId="0" fontId="39" fillId="0" borderId="25" xfId="0" applyFont="1" applyBorder="1" applyNumberFormat="1">
      <alignment horizontal="left" vertical="center"/>
    </xf>
    <xf numFmtId="49" fontId="22" fillId="0" borderId="0" xfId="0" applyFont="1" applyNumberFormat="1">
      <alignment horizontal="center" vertical="center" wrapText="1"/>
    </xf>
    <xf numFmtId="49" fontId="36" fillId="0" borderId="0" xfId="0" applyFont="1" applyNumberFormat="1">
      <alignment horizontal="center" vertical="center" wrapText="1"/>
    </xf>
    <xf numFmtId="0" fontId="39" fillId="0" borderId="0" xfId="0" applyFont="1" applyNumberFormat="1">
      <alignment vertical="center"/>
    </xf>
    <xf numFmtId="0" fontId="39" fillId="0" borderId="23" xfId="0" applyFont="1" applyBorder="1" applyNumberFormat="1">
      <alignment horizontal="left" vertical="center"/>
    </xf>
    <xf numFmtId="49" fontId="22" fillId="0" borderId="18" xfId="0" applyFont="1" applyBorder="1" applyNumberFormat="1">
      <alignment horizontal="center" vertical="center"/>
    </xf>
    <xf numFmtId="0" fontId="22" fillId="0" borderId="18" xfId="0" applyFont="1" applyBorder="1" applyNumberFormat="1">
      <alignment horizontal="left" vertical="center" wrapText="1"/>
    </xf>
    <xf numFmtId="0" fontId="22" fillId="0" borderId="38" xfId="0" applyFont="1" applyBorder="1" applyNumberFormat="1">
      <alignment horizontal="left" vertical="center" wrapText="1"/>
    </xf>
    <xf numFmtId="49" fontId="65" fillId="0" borderId="31" xfId="0" applyFont="1" applyBorder="1" applyNumberFormat="1">
      <alignment vertical="top"/>
    </xf>
    <xf numFmtId="49" fontId="65" fillId="0" borderId="28" xfId="0" applyFont="1" applyBorder="1" applyNumberFormat="1">
      <alignment vertical="top"/>
    </xf>
    <xf numFmtId="0" fontId="39" fillId="0" borderId="28" xfId="0" applyFont="1" applyBorder="1" applyNumberFormat="1">
      <alignment horizontal="left" vertical="center"/>
    </xf>
    <xf numFmtId="0" fontId="39" fillId="0" borderId="30" xfId="0" applyFont="1" applyBorder="1" applyNumberFormat="1">
      <alignment horizontal="left" vertical="center"/>
    </xf>
    <xf numFmtId="0" fontId="22" fillId="0" borderId="0" xfId="0" applyFont="1" applyNumberFormat="1">
      <alignment horizontal="left" vertical="center" wrapText="1"/>
    </xf>
    <xf numFmtId="0" fontId="22" fillId="0" borderId="15" xfId="0" applyFont="1" applyBorder="1" applyNumberFormat="1">
      <alignment horizontal="left" vertical="center" wrapText="1"/>
    </xf>
    <xf numFmtId="49" fontId="31" fillId="0" borderId="0" xfId="0" applyFont="1" applyNumberFormat="1">
      <alignment vertical="top"/>
    </xf>
    <xf numFmtId="0" fontId="22" fillId="36" borderId="0" xfId="0" applyFont="1" applyFill="1" applyNumberFormat="1"/>
    <xf numFmtId="0" fontId="0" fillId="36" borderId="0" xfId="0" applyFont="1" applyFill="1" applyNumberFormat="1"/>
    <xf numFmtId="0" fontId="59" fillId="36" borderId="0" xfId="0" applyFont="1" applyFill="1" applyNumberFormat="1"/>
    <xf numFmtId="0" fontId="46" fillId="36" borderId="0" xfId="0" applyFont="1" applyFill="1" applyNumberFormat="1"/>
    <xf numFmtId="0" fontId="59" fillId="36" borderId="0" xfId="0" applyFont="1" applyFill="1" applyNumberFormat="1">
      <alignment horizontal="center"/>
    </xf>
    <xf numFmtId="0" fontId="59" fillId="36" borderId="0" xfId="0" applyFont="1" applyFill="1" applyNumberFormat="1"/>
    <xf numFmtId="0" fontId="88" fillId="0" borderId="0" xfId="0" applyFont="1" applyNumberFormat="1">
      <alignment vertical="center"/>
    </xf>
    <xf numFmtId="0" fontId="87" fillId="0" borderId="0" xfId="0" applyFont="1" applyNumberFormat="1">
      <alignment vertical="center"/>
    </xf>
    <xf numFmtId="0" fontId="71" fillId="36" borderId="0" xfId="0" applyFont="1" applyFill="1" applyNumberFormat="1">
      <alignment horizontal="right" vertical="center"/>
    </xf>
    <xf numFmtId="0" fontId="22" fillId="36" borderId="0" xfId="0" applyFont="1" applyFill="1" applyNumberFormat="1">
      <alignment vertical="center" wrapText="1"/>
    </xf>
    <xf numFmtId="0" fontId="46" fillId="36" borderId="0" xfId="0" applyFont="1" applyFill="1" applyNumberFormat="1">
      <alignment vertical="center" wrapText="1"/>
    </xf>
    <xf numFmtId="0" fontId="22" fillId="36" borderId="0" xfId="0" applyFont="1" applyFill="1" applyNumberFormat="1">
      <alignment horizontal="center" vertical="center" wrapText="1"/>
    </xf>
    <xf numFmtId="0" fontId="91"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2"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2"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2" fillId="36" borderId="13" xfId="0" applyFont="1" applyFill="1" applyBorder="1" applyNumberFormat="1">
      <alignment horizontal="center" vertical="center" wrapText="1"/>
    </xf>
    <xf numFmtId="0" fontId="35" fillId="36" borderId="0" xfId="0" applyFont="1" applyFill="1" applyNumberFormat="1">
      <alignment horizontal="center" vertical="center"/>
    </xf>
    <xf numFmtId="49" fontId="46" fillId="0" borderId="13" xfId="0" applyFont="1" applyBorder="1" applyNumberFormat="1">
      <alignment horizontal="center" vertical="center"/>
    </xf>
    <xf numFmtId="0" fontId="46" fillId="0" borderId="13" xfId="0" applyFont="1" applyBorder="1" applyNumberFormat="1">
      <alignment vertical="center" wrapText="1"/>
    </xf>
    <xf numFmtId="0" fontId="46" fillId="0" borderId="13" xfId="0" applyFont="1" applyBorder="1" applyNumberFormat="1">
      <alignment horizontal="left" vertical="center" wrapText="1"/>
    </xf>
    <xf numFmtId="0" fontId="63"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2"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0" borderId="13" xfId="0" applyFont="1" applyFill="1" applyBorder="1" applyNumberFormat="1">
      <alignment horizontal="left" vertical="center" wrapText="1"/>
      <protection locked="0"/>
    </xf>
    <xf numFmtId="0" fontId="46" fillId="0" borderId="13" xfId="0" applyFont="1" applyBorder="1" applyNumberFormat="1">
      <alignment horizontal="left" vertical="center" wrapText="1" indent="1"/>
    </xf>
    <xf numFmtId="49" fontId="22" fillId="36" borderId="0" xfId="0" applyFont="1" applyFill="1" applyNumberFormat="1">
      <alignment horizontal="center" vertical="center" wrapText="1"/>
    </xf>
    <xf numFmtId="0" fontId="22" fillId="36" borderId="25" xfId="0" applyFont="1" applyFill="1" applyBorder="1" applyNumberFormat="1">
      <alignment horizontal="center" vertical="center" wrapText="1"/>
    </xf>
    <xf numFmtId="0" fontId="88" fillId="0" borderId="0" xfId="0" applyFont="1" applyNumberFormat="1">
      <alignment vertical="center" wrapText="1"/>
    </xf>
    <xf numFmtId="0" fontId="0" fillId="36" borderId="13" xfId="0" applyFont="1" applyFill="1" applyBorder="1" applyNumberFormat="1">
      <alignment horizontal="center" vertical="center"/>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2" fillId="36" borderId="0" xfId="0" applyFont="1" applyFill="1" applyNumberFormat="1">
      <alignment vertical="center" wrapText="1"/>
    </xf>
    <xf numFmtId="0" fontId="22" fillId="36" borderId="25" xfId="0" applyFont="1" applyFill="1" applyBorder="1" applyNumberFormat="1">
      <alignment vertical="center" wrapText="1"/>
    </xf>
    <xf numFmtId="0" fontId="22" fillId="38" borderId="15" xfId="0" applyFont="1" applyFill="1" applyBorder="1" applyNumberFormat="1">
      <alignment horizontal="center"/>
    </xf>
    <xf numFmtId="49" fontId="39" fillId="38" borderId="16" xfId="0" applyFont="1" applyFill="1" applyBorder="1" applyNumberFormat="1">
      <alignment horizontal="left" vertical="center" indent="1"/>
    </xf>
    <xf numFmtId="0" fontId="71" fillId="38" borderId="16" xfId="0" applyFont="1" applyFill="1" applyBorder="1" applyNumberFormat="1">
      <alignment horizontal="left" vertical="center"/>
    </xf>
    <xf numFmtId="0" fontId="71" fillId="38" borderId="14" xfId="0" applyFont="1" applyFill="1" applyBorder="1" applyNumberFormat="1">
      <alignment horizontal="left" vertical="center"/>
    </xf>
    <xf numFmtId="0" fontId="46" fillId="36" borderId="0" xfId="0" applyFont="1" applyFill="1" applyNumberFormat="1"/>
    <xf numFmtId="49" fontId="46" fillId="36" borderId="13" xfId="0" applyFont="1" applyFill="1" applyBorder="1" applyNumberFormat="1">
      <alignment horizontal="center" vertical="center"/>
    </xf>
    <xf numFmtId="0" fontId="46" fillId="36" borderId="13" xfId="0" applyFont="1" applyFill="1" applyBorder="1" applyNumberFormat="1">
      <alignment vertical="center" wrapText="1"/>
    </xf>
    <xf numFmtId="0" fontId="46" fillId="0" borderId="13" xfId="0" applyFont="1" applyBorder="1" applyNumberFormat="1">
      <alignment horizontal="center" vertical="center" wrapText="1"/>
    </xf>
    <xf numFmtId="0" fontId="46" fillId="36" borderId="13" xfId="0" applyFont="1" applyFill="1" applyBorder="1" applyNumberFormat="1">
      <alignment horizontal="left" vertical="center" wrapText="1" indent="1"/>
    </xf>
    <xf numFmtId="0" fontId="46" fillId="36" borderId="13" xfId="0" applyFont="1" applyFill="1" applyBorder="1" applyNumberFormat="1">
      <alignment horizontal="left" vertical="center" wrapText="1" indent="2"/>
    </xf>
    <xf numFmtId="49" fontId="46" fillId="0" borderId="13" xfId="0" applyFont="1" applyBorder="1" applyNumberFormat="1">
      <alignment horizontal="left" vertical="center" wrapText="1"/>
    </xf>
    <xf numFmtId="49" fontId="46"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7"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2"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2" fillId="36" borderId="37" xfId="0" applyFont="1" applyFill="1" applyBorder="1" applyNumberFormat="1">
      <alignment horizontal="left" vertical="top" wrapText="1"/>
    </xf>
    <xf numFmtId="0" fontId="36" fillId="36" borderId="0" xfId="0" applyFont="1" applyFill="1" applyNumberFormat="1">
      <alignment horizontal="center" vertical="center" wrapText="1"/>
    </xf>
    <xf numFmtId="49" fontId="0" fillId="40" borderId="13" xfId="0" applyFont="1" applyFill="1" applyBorder="1" applyNumberFormat="1">
      <alignment horizontal="left" vertical="center" wrapText="1" indent="1"/>
      <protection locked="0"/>
    </xf>
    <xf numFmtId="49" fontId="22" fillId="40" borderId="15" xfId="0" applyFont="1" applyFill="1" applyBorder="1" applyNumberFormat="1">
      <alignment horizontal="left" vertical="center" wrapText="1"/>
      <protection locked="0"/>
    </xf>
    <xf numFmtId="0" fontId="22" fillId="36" borderId="24" xfId="0" applyFont="1" applyFill="1" applyBorder="1" applyNumberFormat="1">
      <alignment horizontal="left" vertical="top" wrapText="1"/>
    </xf>
    <xf numFmtId="0" fontId="50" fillId="36" borderId="0" xfId="0" applyFont="1" applyFill="1" applyNumberFormat="1"/>
    <xf numFmtId="49" fontId="22" fillId="40" borderId="13" xfId="0" applyFont="1" applyFill="1" applyBorder="1" applyNumberFormat="1" quotePrefix="1">
      <alignment horizontal="left" vertical="center" wrapText="1"/>
      <protection locked="0"/>
    </xf>
    <xf numFmtId="49" fontId="22" fillId="37" borderId="13" xfId="0" applyFont="1" applyFill="1" applyBorder="1" applyNumberFormat="1">
      <alignment horizontal="left" vertical="center" wrapText="1"/>
      <protection locked="0"/>
    </xf>
    <xf numFmtId="49" fontId="22" fillId="41" borderId="13" xfId="0" applyFont="1" applyFill="1" applyBorder="1" applyNumberFormat="1">
      <alignment horizontal="left" vertical="center" wrapText="1"/>
    </xf>
    <xf numFmtId="49" fontId="22" fillId="41"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2" fillId="41" borderId="15" xfId="0" applyFont="1" applyFill="1" applyBorder="1" applyNumberFormat="1">
      <alignment horizontal="left" vertical="center" wrapText="1"/>
    </xf>
    <xf numFmtId="0" fontId="0" fillId="36" borderId="13" xfId="0" applyFont="1" applyFill="1" applyBorder="1" applyNumberFormat="1">
      <alignment vertical="top" wrapText="1"/>
    </xf>
    <xf numFmtId="49" fontId="22"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74" fillId="36" borderId="0" xfId="0" applyFont="1" applyFill="1" applyNumberFormat="1"/>
    <xf numFmtId="0" fontId="22" fillId="0" borderId="0" xfId="0" applyFont="1" applyNumberFormat="1">
      <alignment vertical="top" wrapText="1"/>
    </xf>
    <xf numFmtId="0" fontId="46" fillId="0" borderId="0" xfId="0" applyFont="1" applyNumberFormat="1">
      <alignment vertical="center" wrapText="1"/>
    </xf>
    <xf numFmtId="0" fontId="44" fillId="0" borderId="0" xfId="0" applyFont="1" applyNumberFormat="1">
      <alignment horizontal="right" vertical="top" wrapText="1"/>
    </xf>
    <xf numFmtId="0" fontId="44" fillId="0" borderId="0" xfId="0" applyFont="1" applyNumberFormat="1">
      <alignment horizontal="left" vertical="top" wrapText="1" indent="1"/>
    </xf>
    <xf numFmtId="0" fontId="44" fillId="0" borderId="0" xfId="0" applyFont="1" applyNumberFormat="1">
      <alignment vertical="center" wrapText="1"/>
    </xf>
    <xf numFmtId="0" fontId="74" fillId="36" borderId="0" xfId="0" applyFont="1" applyFill="1" applyNumberFormat="1"/>
    <xf numFmtId="0" fontId="73" fillId="36" borderId="0" xfId="0" applyFont="1" applyFill="1" applyNumberFormat="1">
      <alignment horizontal="center"/>
    </xf>
    <xf numFmtId="0" fontId="73" fillId="36" borderId="0" xfId="0" applyFont="1" applyFill="1" applyNumberFormat="1"/>
    <xf numFmtId="0" fontId="75" fillId="36" borderId="0" xfId="0" applyFont="1" applyFill="1" applyNumberFormat="1">
      <alignment horizontal="right" vertical="center"/>
    </xf>
    <xf numFmtId="0" fontId="76" fillId="36" borderId="0" xfId="0" applyFont="1" applyFill="1" applyNumberFormat="1">
      <alignment vertical="center"/>
    </xf>
    <xf numFmtId="0" fontId="75" fillId="36" borderId="0" xfId="0" applyFont="1" applyFill="1" applyNumberFormat="1">
      <alignment horizontal="right" vertical="top"/>
    </xf>
    <xf numFmtId="0" fontId="76" fillId="36" borderId="0" xfId="0" applyFont="1" applyFill="1" applyNumberFormat="1">
      <alignment vertical="center" wrapText="1"/>
    </xf>
    <xf numFmtId="0" fontId="0" fillId="36" borderId="0" xfId="0" applyFont="1" applyFill="1" applyNumberFormat="1">
      <alignment horizontal="center"/>
    </xf>
    <xf numFmtId="0" fontId="22"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22" fillId="0" borderId="0" xfId="0" applyFont="1" applyNumberFormat="1">
      <alignment vertical="center" wrapText="1"/>
    </xf>
    <xf numFmtId="0" fontId="86" fillId="0" borderId="0" xfId="0" applyFont="1" applyNumberFormat="1">
      <alignment vertical="center" wrapText="1"/>
    </xf>
    <xf numFmtId="0" fontId="86" fillId="36" borderId="0" xfId="0" applyFont="1" applyFill="1" applyNumberFormat="1">
      <alignment horizontal="center" vertical="center" wrapText="1"/>
    </xf>
    <xf numFmtId="0" fontId="86" fillId="36" borderId="0" xfId="0" applyFont="1" applyFill="1" applyNumberFormat="1">
      <alignment horizontal="right" vertical="center" wrapText="1"/>
    </xf>
    <xf numFmtId="0" fontId="86" fillId="0" borderId="0" xfId="0" applyFont="1" applyNumberFormat="1">
      <alignment vertical="center" wrapText="1"/>
    </xf>
    <xf numFmtId="0" fontId="36" fillId="36" borderId="0" xfId="0" applyFont="1" applyFill="1" applyNumberFormat="1">
      <alignment horizontal="center" vertical="center" wrapText="1"/>
    </xf>
    <xf numFmtId="0" fontId="30" fillId="0" borderId="0" xfId="0" applyFont="1" applyNumberFormat="1">
      <alignment horizontal="left" vertical="center" wrapText="1" indent="3"/>
    </xf>
    <xf numFmtId="0" fontId="62" fillId="0" borderId="0" xfId="0" applyFont="1" applyNumberFormat="1">
      <alignment horizontal="center" vertical="center" wrapText="1"/>
    </xf>
    <xf numFmtId="0" fontId="62" fillId="0" borderId="0" xfId="0" applyFont="1" applyNumberFormat="1">
      <alignment vertical="center" wrapText="1"/>
    </xf>
    <xf numFmtId="0" fontId="31" fillId="0" borderId="0" xfId="0" applyFont="1" applyNumberFormat="1">
      <alignment vertical="center" wrapText="1"/>
    </xf>
    <xf numFmtId="0" fontId="36" fillId="36" borderId="0" xfId="0" applyFont="1" applyFill="1" applyNumberFormat="1">
      <alignment horizontal="center" vertical="center" wrapText="1"/>
    </xf>
    <xf numFmtId="0" fontId="22" fillId="0" borderId="30" xfId="0" applyFont="1" applyBorder="1" applyNumberFormat="1">
      <alignment horizontal="left" vertical="center" wrapText="1" indent="1"/>
    </xf>
    <xf numFmtId="0" fontId="22" fillId="0" borderId="24" xfId="0" applyFont="1" applyBorder="1" applyNumberFormat="1">
      <alignment horizontal="left" vertical="center" wrapText="1" indent="1"/>
    </xf>
    <xf numFmtId="0" fontId="22" fillId="0" borderId="31" xfId="0" applyFont="1" applyBorder="1" applyNumberFormat="1">
      <alignment horizontal="left" vertical="center" wrapText="1" indent="1"/>
    </xf>
    <xf numFmtId="0" fontId="56" fillId="0" borderId="0" xfId="0" applyFont="1" applyNumberFormat="1">
      <alignment vertical="center" wrapText="1"/>
    </xf>
    <xf numFmtId="0" fontId="77" fillId="36" borderId="0" xfId="0" applyFont="1" applyFill="1" applyNumberFormat="1">
      <alignment horizontal="center" vertical="center" wrapText="1"/>
    </xf>
    <xf numFmtId="0" fontId="58" fillId="0" borderId="0" xfId="0" applyFont="1" applyNumberFormat="1">
      <alignment horizontal="left" vertical="center" wrapText="1" indent="1"/>
    </xf>
    <xf numFmtId="0" fontId="22" fillId="0" borderId="0" xfId="0" applyFont="1" applyNumberFormat="1">
      <alignment horizontal="right" vertical="center"/>
    </xf>
    <xf numFmtId="0" fontId="46" fillId="0" borderId="0" xfId="0" applyFont="1" applyNumberFormat="1">
      <alignment vertical="center" wrapText="1"/>
    </xf>
    <xf numFmtId="0" fontId="58"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35" fillId="36" borderId="0" xfId="0" applyFont="1" applyFill="1" applyNumberFormat="1">
      <alignment horizontal="center" vertical="center" wrapText="1"/>
    </xf>
    <xf numFmtId="49" fontId="35" fillId="36" borderId="0" xfId="0" applyFont="1" applyFill="1" applyNumberFormat="1">
      <alignment horizontal="center" vertical="center" wrapText="1"/>
    </xf>
    <xf numFmtId="0" fontId="70" fillId="0" borderId="0" xfId="0" applyFont="1" applyNumberFormat="1">
      <alignment vertical="center" wrapText="1"/>
    </xf>
    <xf numFmtId="0" fontId="78" fillId="36" borderId="0" xfId="0" applyFont="1" applyFill="1" applyNumberFormat="1">
      <alignment horizontal="center" vertical="center" wrapText="1"/>
    </xf>
    <xf numFmtId="49" fontId="70" fillId="0" borderId="18" xfId="0" applyFont="1" applyBorder="1" applyNumberFormat="1">
      <alignment horizontal="left" vertical="center" wrapText="1"/>
    </xf>
    <xf numFmtId="49" fontId="70"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7" borderId="13" xfId="0" applyFont="1" applyFill="1" applyBorder="1" applyNumberFormat="1">
      <alignment horizontal="left" vertical="center" wrapText="1"/>
      <protection locked="0"/>
    </xf>
    <xf numFmtId="0" fontId="22" fillId="41" borderId="15" xfId="0" applyFont="1" applyFill="1" applyBorder="1" applyNumberFormat="1">
      <alignment horizontal="left" vertical="center" wrapText="1"/>
    </xf>
    <xf numFmtId="49" fontId="35" fillId="36" borderId="13" xfId="0" applyFont="1" applyFill="1" applyBorder="1" applyNumberFormat="1">
      <alignment horizontal="center" vertical="center" wrapText="1"/>
    </xf>
    <xf numFmtId="4" fontId="0" fillId="40" borderId="13" xfId="0" applyFont="1" applyFill="1" applyBorder="1" applyNumberFormat="1">
      <alignment horizontal="right" vertical="center" wrapText="1"/>
      <protection locked="0"/>
    </xf>
    <xf numFmtId="3" fontId="0" fillId="40" borderId="13" xfId="0" applyFont="1" applyFill="1" applyBorder="1" applyNumberFormat="1">
      <alignment horizontal="right" vertical="center" wrapText="1"/>
      <protection locked="0"/>
    </xf>
    <xf numFmtId="4" fontId="0" fillId="40" borderId="14" xfId="0" applyFont="1" applyFill="1" applyBorder="1" applyNumberFormat="1">
      <alignment horizontal="right" vertical="center" wrapText="1"/>
      <protection locked="0"/>
    </xf>
    <xf numFmtId="0" fontId="0" fillId="37"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48" fillId="38" borderId="15" xfId="0" applyFont="1" applyFill="1" applyBorder="1" applyNumberFormat="1">
      <alignment horizontal="center" vertical="center"/>
    </xf>
    <xf numFmtId="0" fontId="39" fillId="38" borderId="16" xfId="0" applyFont="1" applyFill="1" applyBorder="1" applyNumberFormat="1">
      <alignment vertical="center"/>
    </xf>
    <xf numFmtId="49" fontId="39" fillId="38" borderId="16" xfId="0" applyFont="1" applyFill="1" applyBorder="1" applyNumberFormat="1">
      <alignment vertical="center"/>
    </xf>
    <xf numFmtId="49" fontId="71" fillId="38" borderId="16" xfId="0" applyFont="1" applyFill="1" applyBorder="1" applyNumberFormat="1">
      <alignment vertical="center"/>
    </xf>
    <xf numFmtId="49" fontId="71" fillId="38" borderId="14" xfId="0" applyFont="1" applyFill="1" applyBorder="1" applyNumberFormat="1">
      <alignment vertical="center"/>
    </xf>
    <xf numFmtId="0" fontId="0" fillId="0" borderId="24" xfId="0" applyFont="1" applyBorder="1" applyNumberFormat="1">
      <alignment horizontal="left" vertical="top" wrapText="1"/>
    </xf>
    <xf numFmtId="0" fontId="31" fillId="0" borderId="0" xfId="0" applyFont="1" applyNumberFormat="1">
      <alignment vertical="center" wrapText="1"/>
    </xf>
    <xf numFmtId="0" fontId="36" fillId="0" borderId="0" xfId="0" applyFont="1" applyNumberFormat="1">
      <alignment horizontal="center" vertical="center" wrapText="1"/>
    </xf>
    <xf numFmtId="0" fontId="22" fillId="0" borderId="0" xfId="0" applyFont="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3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2" fillId="41" borderId="20" xfId="0" applyFont="1" applyFill="1" applyBorder="1" applyNumberFormat="1">
      <alignment horizontal="left" vertical="center" wrapText="1"/>
    </xf>
    <xf numFmtId="0" fontId="36" fillId="36" borderId="13"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protection locked="0"/>
    </xf>
    <xf numFmtId="3" fontId="22" fillId="40" borderId="13" xfId="0" applyFont="1" applyFill="1" applyBorder="1" applyNumberFormat="1">
      <alignment horizontal="right" vertical="center" wrapText="1"/>
      <protection locked="0"/>
    </xf>
    <xf numFmtId="0" fontId="46" fillId="0" borderId="0" xfId="0" applyFont="1" applyNumberFormat="1">
      <alignment vertical="center" wrapText="1"/>
    </xf>
    <xf numFmtId="0" fontId="22" fillId="0" borderId="0" xfId="0" applyFont="1" applyNumberFormat="1">
      <alignment vertical="center" wrapText="1"/>
    </xf>
    <xf numFmtId="49" fontId="0" fillId="0" borderId="31" xfId="0" applyFont="1" applyBorder="1" applyNumberFormat="1">
      <alignment horizontal="center" vertical="center" wrapText="1"/>
    </xf>
    <xf numFmtId="0" fontId="22" fillId="41" borderId="28" xfId="0" applyFont="1" applyFill="1" applyBorder="1" applyNumberFormat="1">
      <alignment horizontal="left" vertical="center" wrapText="1"/>
    </xf>
    <xf numFmtId="0" fontId="46" fillId="0" borderId="0" xfId="0" applyFont="1" applyNumberFormat="1">
      <alignment vertical="center" wrapText="1"/>
    </xf>
    <xf numFmtId="0" fontId="86" fillId="0" borderId="0" xfId="0" applyFont="1" applyNumberFormat="1">
      <alignment vertical="center" wrapText="1"/>
    </xf>
    <xf numFmtId="0" fontId="36" fillId="36" borderId="0" xfId="0" applyFont="1" applyFill="1" applyNumberFormat="1">
      <alignment horizontal="center" vertical="center" wrapText="1"/>
    </xf>
    <xf numFmtId="0" fontId="22" fillId="0" borderId="20" xfId="0" applyFont="1" applyBorder="1" applyNumberFormat="1">
      <alignment horizontal="left" vertical="top" wrapText="1" indent="1"/>
    </xf>
    <xf numFmtId="0" fontId="62" fillId="0" borderId="0" xfId="0" applyFont="1" applyNumberFormat="1">
      <alignment vertical="center" wrapText="1"/>
    </xf>
    <xf numFmtId="0" fontId="56" fillId="0" borderId="0" xfId="0" applyFont="1" applyNumberFormat="1">
      <alignment vertical="center" wrapText="1"/>
    </xf>
    <xf numFmtId="0" fontId="58" fillId="0" borderId="0" xfId="0" applyFont="1" applyNumberFormat="1">
      <alignment vertical="center" wrapText="1"/>
    </xf>
    <xf numFmtId="0" fontId="22" fillId="0" borderId="24" xfId="0" applyFont="1" applyBorder="1" applyNumberFormat="1">
      <alignment horizontal="center" vertical="center" wrapText="1"/>
    </xf>
    <xf numFmtId="0" fontId="36" fillId="36" borderId="13" xfId="0" applyFont="1" applyFill="1" applyBorder="1" applyNumberFormat="1">
      <alignment horizontal="center" vertical="center" wrapText="1"/>
    </xf>
    <xf numFmtId="49" fontId="22" fillId="0" borderId="13" xfId="0" applyFont="1" applyBorder="1" applyNumberFormat="1">
      <alignment horizontal="center" vertical="center" wrapText="1"/>
    </xf>
    <xf numFmtId="0" fontId="31" fillId="0" borderId="0" xfId="0" applyFont="1" applyNumberFormat="1">
      <alignment vertical="center" wrapText="1"/>
    </xf>
    <xf numFmtId="0" fontId="58" fillId="36" borderId="0" xfId="0" applyFont="1" applyFill="1" applyNumberFormat="1">
      <alignment vertical="center" wrapText="1"/>
    </xf>
    <xf numFmtId="0" fontId="58" fillId="36" borderId="0" xfId="0" applyFont="1" applyFill="1" applyNumberFormat="1">
      <alignment horizontal="right" vertical="center"/>
    </xf>
    <xf numFmtId="0" fontId="58" fillId="36" borderId="0" xfId="0" applyFont="1" applyFill="1" applyNumberFormat="1">
      <alignment horizontal="right" vertical="center" wrapText="1"/>
    </xf>
    <xf numFmtId="0" fontId="30" fillId="0" borderId="0" xfId="0" applyFont="1" applyNumberFormat="1">
      <alignment horizontal="center" vertical="center" wrapText="1"/>
    </xf>
    <xf numFmtId="4" fontId="58" fillId="0" borderId="0" xfId="0" applyFont="1" applyNumberFormat="1">
      <alignment horizontal="right" vertical="center" wrapText="1"/>
    </xf>
    <xf numFmtId="0" fontId="22" fillId="36" borderId="13" xfId="0" applyFont="1" applyFill="1" applyBorder="1" applyNumberFormat="1">
      <alignment horizontal="center" vertical="center" wrapText="1"/>
    </xf>
    <xf numFmtId="0" fontId="22" fillId="36" borderId="13"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5" fillId="36" borderId="16" xfId="0" applyFont="1" applyFill="1" applyBorder="1" applyNumberFormat="1">
      <alignment horizontal="center" vertical="center" wrapText="1"/>
    </xf>
    <xf numFmtId="49" fontId="35" fillId="36" borderId="16" xfId="0" applyFont="1" applyFill="1" applyBorder="1" applyNumberFormat="1">
      <alignment horizontal="center" vertical="center" wrapText="1"/>
    </xf>
    <xf numFmtId="0" fontId="36" fillId="36" borderId="0" xfId="0" applyFont="1" applyFill="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9" fontId="22" fillId="0" borderId="13" xfId="0" applyFont="1" applyBorder="1" applyNumberFormat="1">
      <alignment horizontal="left" vertical="center" wrapText="1"/>
    </xf>
    <xf numFmtId="49" fontId="22" fillId="0" borderId="0" xfId="0" applyFont="1" applyNumberFormat="1">
      <alignment vertical="top"/>
    </xf>
    <xf numFmtId="0" fontId="36" fillId="36" borderId="25" xfId="0" applyFont="1" applyFill="1" applyBorder="1" applyNumberFormat="1">
      <alignment vertical="top" wrapText="1"/>
    </xf>
    <xf numFmtId="14" fontId="22" fillId="38" borderId="16" xfId="0" applyFont="1" applyFill="1" applyBorder="1" applyNumberFormat="1">
      <alignment horizontal="center" vertical="center" wrapText="1"/>
    </xf>
    <xf numFmtId="49" fontId="22" fillId="38" borderId="16" xfId="0" applyFont="1" applyFill="1" applyBorder="1" applyNumberFormat="1">
      <alignment horizontal="center" vertical="center" wrapText="1"/>
    </xf>
    <xf numFmtId="14" fontId="79" fillId="38" borderId="16" xfId="0" applyFont="1" applyFill="1" applyBorder="1" applyNumberFormat="1">
      <alignment horizontal="center" vertical="center" wrapText="1"/>
    </xf>
    <xf numFmtId="49" fontId="51" fillId="38"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46" fillId="0" borderId="0" xfId="0" applyFont="1" applyNumberFormat="1">
      <alignment horizontal="left" vertical="center" wrapText="1"/>
    </xf>
    <xf numFmtId="49" fontId="46" fillId="0" borderId="0" xfId="0" applyFont="1" applyNumberFormat="1">
      <alignment horizontal="left" vertical="center" wrapText="1"/>
    </xf>
    <xf numFmtId="0" fontId="36" fillId="36" borderId="0" xfId="0" applyFont="1" applyFill="1" applyNumberFormat="1">
      <alignment vertical="top" wrapText="1"/>
    </xf>
    <xf numFmtId="0" fontId="46" fillId="36" borderId="24" xfId="0" applyFont="1" applyFill="1" applyBorder="1" applyNumberFormat="1">
      <alignment horizontal="center" vertical="center" wrapText="1"/>
    </xf>
    <xf numFmtId="14" fontId="22" fillId="41" borderId="24" xfId="0" applyFont="1" applyFill="1" applyBorder="1" applyNumberFormat="1">
      <alignment horizontal="left" vertical="center" wrapText="1"/>
    </xf>
    <xf numFmtId="14" fontId="22" fillId="41" borderId="13" xfId="0" applyFont="1" applyFill="1" applyBorder="1" applyNumberFormat="1">
      <alignment horizontal="center" vertical="center" wrapText="1"/>
    </xf>
    <xf numFmtId="49" fontId="51" fillId="40" borderId="13" xfId="0" applyFont="1" applyFill="1" applyBorder="1" applyNumberFormat="1">
      <alignment horizontal="left" vertical="center" wrapText="1"/>
      <protection locked="0"/>
    </xf>
    <xf numFmtId="49" fontId="48" fillId="38" borderId="16" xfId="0" applyFont="1" applyFill="1" applyBorder="1" applyNumberFormat="1">
      <alignment horizontal="center" vertical="center"/>
    </xf>
    <xf numFmtId="49" fontId="71" fillId="38" borderId="16" xfId="0" applyFont="1" applyFill="1" applyBorder="1" applyNumberFormat="1">
      <alignment horizontal="left" vertical="center" indent="1"/>
    </xf>
    <xf numFmtId="49" fontId="71" fillId="38" borderId="14" xfId="0" applyFont="1" applyFill="1" applyBorder="1" applyNumberFormat="1">
      <alignment horizontal="left" vertical="center" indent="1"/>
    </xf>
    <xf numFmtId="0" fontId="77" fillId="0" borderId="0" xfId="0" applyFont="1" applyNumberFormat="1">
      <alignment horizontal="center" vertical="center" wrapText="1"/>
    </xf>
    <xf numFmtId="0" fontId="44" fillId="0" borderId="0" xfId="0" applyFont="1" applyNumberFormat="1">
      <alignment vertical="top" wrapText="1"/>
    </xf>
    <xf numFmtId="0" fontId="22" fillId="0" borderId="0" xfId="0" applyFont="1" applyNumberFormat="1">
      <alignment horizontal="right" vertical="top" wrapText="1"/>
    </xf>
    <xf numFmtId="0" fontId="44" fillId="0" borderId="0" xfId="0" applyFont="1" applyNumberFormat="1">
      <alignment vertical="top"/>
    </xf>
    <xf numFmtId="0" fontId="22" fillId="0" borderId="0" xfId="0" applyFont="1" applyNumberFormat="1">
      <alignment vertical="center" wrapText="1"/>
    </xf>
    <xf numFmtId="0" fontId="45" fillId="0" borderId="0" xfId="0" applyFont="1" applyNumberFormat="1">
      <alignment horizontal="left" vertical="center" indent="1"/>
    </xf>
    <xf numFmtId="0" fontId="45" fillId="0" borderId="13" xfId="0" applyFont="1" applyBorder="1" applyNumberFormat="1">
      <alignment horizontal="center" vertical="center"/>
    </xf>
    <xf numFmtId="0" fontId="45" fillId="0" borderId="0" xfId="0" applyFont="1" applyNumberFormat="1">
      <alignment horizontal="center" vertical="center"/>
    </xf>
    <xf numFmtId="0" fontId="45"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5" xfId="0" applyFont="1" applyBorder="1" applyNumberFormat="1">
      <alignment vertical="top"/>
    </xf>
    <xf numFmtId="0" fontId="22" fillId="36" borderId="13" xfId="0" applyFont="1" applyFill="1" applyBorder="1" applyNumberFormat="1">
      <alignment horizontal="left" vertical="center" wrapText="1"/>
    </xf>
    <xf numFmtId="0" fontId="22" fillId="0" borderId="13" xfId="0" applyFont="1" applyBorder="1" applyNumberFormat="1">
      <alignment vertical="center" wrapText="1"/>
    </xf>
    <xf numFmtId="0" fontId="22" fillId="0" borderId="13" xfId="0" applyFont="1" applyBorder="1" applyNumberFormat="1">
      <alignment horizontal="left" vertical="center" wrapText="1" indent="6"/>
    </xf>
    <xf numFmtId="0" fontId="22" fillId="35" borderId="15" xfId="0" applyFont="1" applyFill="1" applyBorder="1" applyNumberFormat="1">
      <alignment horizontal="left" vertical="center" wrapText="1"/>
    </xf>
    <xf numFmtId="0" fontId="22" fillId="35" borderId="16" xfId="0" applyFont="1" applyFill="1" applyBorder="1" applyNumberFormat="1">
      <alignment horizontal="left" vertical="center" wrapText="1"/>
    </xf>
    <xf numFmtId="0" fontId="22" fillId="35" borderId="14" xfId="0" applyFont="1" applyFill="1" applyBorder="1" applyNumberFormat="1">
      <alignment horizontal="left" vertical="center" wrapText="1"/>
    </xf>
    <xf numFmtId="0" fontId="44" fillId="0" borderId="13" xfId="0" applyFont="1" applyBorder="1" applyNumberFormat="1">
      <alignment vertical="top" wrapText="1"/>
    </xf>
    <xf numFmtId="0" fontId="45" fillId="0" borderId="15" xfId="0" applyFont="1" applyBorder="1" applyNumberFormat="1">
      <alignment horizontal="center" vertical="center"/>
    </xf>
    <xf numFmtId="0" fontId="22" fillId="0" borderId="0" xfId="0" applyFont="1" applyNumberFormat="1">
      <alignment horizontal="center" vertical="center" wrapText="1"/>
    </xf>
    <xf numFmtId="0" fontId="41" fillId="36" borderId="0" xfId="0" applyFont="1" applyFill="1" applyNumberFormat="1">
      <alignment horizontal="center" vertical="center" wrapText="1"/>
    </xf>
    <xf numFmtId="0" fontId="22" fillId="0" borderId="25" xfId="0" applyFont="1" applyBorder="1" applyNumberFormat="1">
      <alignment vertical="center" wrapText="1"/>
    </xf>
    <xf numFmtId="0" fontId="22" fillId="36" borderId="13" xfId="0" applyFont="1" applyFill="1" applyBorder="1" applyNumberFormat="1">
      <alignment horizontal="left" vertical="center" wrapText="1" indent="1"/>
    </xf>
    <xf numFmtId="0" fontId="36" fillId="0" borderId="0" xfId="0" applyFont="1" applyNumberFormat="1">
      <alignment vertical="center" wrapText="1"/>
    </xf>
    <xf numFmtId="0" fontId="22" fillId="36" borderId="13" xfId="0" applyFont="1" applyFill="1" applyBorder="1" applyNumberFormat="1">
      <alignment horizontal="left" vertical="center" wrapText="1" indent="2"/>
    </xf>
    <xf numFmtId="0" fontId="22" fillId="36" borderId="13" xfId="0" applyFont="1" applyFill="1" applyBorder="1" applyNumberFormat="1">
      <alignment horizontal="left" vertical="center" wrapText="1" indent="3"/>
    </xf>
    <xf numFmtId="0" fontId="45" fillId="0" borderId="13" xfId="0" applyFont="1" applyBorder="1" applyNumberFormat="1">
      <alignment horizontal="center" vertical="center" wrapText="1"/>
    </xf>
    <xf numFmtId="0" fontId="45" fillId="0" borderId="0" xfId="0" applyFont="1" applyNumberFormat="1">
      <alignment vertical="center" wrapText="1"/>
    </xf>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46" fillId="0" borderId="25" xfId="0" applyFont="1" applyBorder="1" applyNumberFormat="1">
      <alignment horizontal="center" vertical="center" wrapText="1"/>
    </xf>
    <xf numFmtId="0" fontId="22" fillId="36" borderId="13" xfId="0" applyFont="1" applyFill="1" applyBorder="1" applyNumberFormat="1">
      <alignment horizontal="left" vertical="center" wrapText="1" indent="4"/>
    </xf>
    <xf numFmtId="0" fontId="22" fillId="41" borderId="15" xfId="0" applyFont="1" applyFill="1" applyBorder="1" applyNumberFormat="1">
      <alignment horizontal="left" vertical="center" wrapText="1"/>
    </xf>
    <xf numFmtId="0" fontId="22" fillId="41" borderId="16" xfId="0" applyFont="1" applyFill="1" applyBorder="1" applyNumberFormat="1">
      <alignment horizontal="left" vertical="center" wrapText="1"/>
    </xf>
    <xf numFmtId="0" fontId="22" fillId="41" borderId="14" xfId="0" applyFont="1" applyFill="1" applyBorder="1" applyNumberFormat="1">
      <alignment horizontal="left" vertical="center" wrapText="1"/>
    </xf>
    <xf numFmtId="0" fontId="45" fillId="0" borderId="15" xfId="0" applyFont="1" applyBorder="1" applyNumberFormat="1">
      <alignment horizontal="center" vertical="center" wrapText="1"/>
    </xf>
    <xf numFmtId="0" fontId="46" fillId="0" borderId="25" xfId="0" applyFont="1" applyBorder="1" applyNumberFormat="1">
      <alignment vertical="center" wrapText="1"/>
    </xf>
    <xf numFmtId="0" fontId="22" fillId="36" borderId="13" xfId="0" applyFont="1" applyFill="1" applyBorder="1" applyNumberFormat="1">
      <alignment horizontal="left" vertical="center" wrapText="1" indent="5"/>
    </xf>
    <xf numFmtId="0" fontId="22" fillId="41" borderId="13" xfId="0" applyFont="1" applyFill="1" applyBorder="1" applyNumberFormat="1">
      <alignment horizontal="left" vertical="center" wrapText="1" indent="6"/>
    </xf>
    <xf numFmtId="4" fontId="22" fillId="37" borderId="13" xfId="0" applyFont="1" applyFill="1" applyBorder="1" applyNumberFormat="1">
      <alignment horizontal="right" vertical="center" wrapText="1"/>
      <protection locked="0"/>
    </xf>
    <xf numFmtId="4" fontId="22" fillId="0" borderId="13" xfId="0" applyFont="1" applyBorder="1" applyNumberFormat="1">
      <alignment horizontal="right" vertical="center" wrapText="1"/>
    </xf>
    <xf numFmtId="166" fontId="22" fillId="37" borderId="13" xfId="0" applyFont="1" applyFill="1" applyBorder="1" applyNumberFormat="1">
      <alignment horizontal="right" vertical="center" wrapText="1"/>
      <protection locked="0"/>
    </xf>
    <xf numFmtId="168" fontId="0" fillId="40" borderId="13" xfId="0" applyFont="1" applyFill="1" applyBorder="1" applyNumberFormat="1">
      <alignment horizontal="center" vertical="center" wrapText="1"/>
      <protection locked="0"/>
    </xf>
    <xf numFmtId="0" fontId="44" fillId="0" borderId="18" xfId="0" applyFont="1" applyBorder="1" applyNumberFormat="1">
      <alignment horizontal="left" vertical="top" wrapText="1"/>
    </xf>
    <xf numFmtId="49" fontId="22" fillId="0" borderId="13" xfId="0" applyFont="1" applyBorder="1" applyNumberFormat="1">
      <alignment horizontal="left" vertical="center" wrapText="1"/>
    </xf>
    <xf numFmtId="4" fontId="46" fillId="0" borderId="13" xfId="0" applyFont="1" applyBorder="1" applyNumberFormat="1">
      <alignment horizontal="center" vertical="center" wrapText="1"/>
    </xf>
    <xf numFmtId="49" fontId="0" fillId="40" borderId="13" xfId="0" applyFont="1" applyFill="1" applyBorder="1" applyNumberFormat="1">
      <alignment horizontal="center" vertical="center" wrapText="1"/>
      <protection locked="0"/>
    </xf>
    <xf numFmtId="0" fontId="44" fillId="0" borderId="37" xfId="0" applyFont="1" applyBorder="1" applyNumberFormat="1">
      <alignment horizontal="left" vertical="top" wrapText="1"/>
    </xf>
    <xf numFmtId="49" fontId="71" fillId="38" borderId="15" xfId="0" applyFont="1" applyFill="1" applyBorder="1" applyNumberFormat="1">
      <alignment horizontal="left" vertical="center"/>
    </xf>
    <xf numFmtId="49" fontId="39" fillId="38" borderId="16" xfId="0" applyFont="1" applyFill="1" applyBorder="1" applyNumberFormat="1">
      <alignment horizontal="left" vertical="center" indent="6"/>
    </xf>
    <xf numFmtId="49" fontId="22" fillId="38" borderId="14" xfId="0" applyFont="1" applyFill="1" applyBorder="1" applyNumberFormat="1">
      <alignment horizontal="center" vertical="center" wrapText="1"/>
    </xf>
    <xf numFmtId="0" fontId="44" fillId="0" borderId="24" xfId="0" applyFont="1" applyBorder="1" applyNumberFormat="1">
      <alignment horizontal="left" vertical="top" wrapText="1"/>
    </xf>
    <xf numFmtId="49" fontId="39" fillId="38" borderId="16" xfId="0" applyFont="1" applyFill="1" applyBorder="1" applyNumberFormat="1">
      <alignment horizontal="left" vertical="center" indent="5"/>
    </xf>
    <xf numFmtId="49" fontId="0" fillId="38" borderId="16" xfId="0" applyFont="1" applyFill="1" applyBorder="1" applyNumberFormat="1">
      <alignment horizontal="center" vertical="center" wrapText="1"/>
    </xf>
    <xf numFmtId="49" fontId="0" fillId="38" borderId="14" xfId="0" applyFont="1" applyFill="1" applyBorder="1" applyNumberFormat="1">
      <alignment horizontal="center" vertical="center" wrapText="1"/>
    </xf>
    <xf numFmtId="49" fontId="38" fillId="0" borderId="0" xfId="0" applyFont="1" applyNumberFormat="1">
      <alignment vertical="top"/>
    </xf>
    <xf numFmtId="49" fontId="39" fillId="38" borderId="16" xfId="0" applyFont="1" applyFill="1" applyBorder="1" applyNumberFormat="1">
      <alignment horizontal="left" vertical="center" indent="4"/>
    </xf>
    <xf numFmtId="0" fontId="46" fillId="0" borderId="0" xfId="0" applyFont="1" applyNumberFormat="1">
      <alignment horizontal="left" vertical="center" indent="1"/>
    </xf>
    <xf numFmtId="0" fontId="46" fillId="0" borderId="0" xfId="0" applyFont="1" applyNumberFormat="1">
      <alignment horizontal="center" vertical="center"/>
    </xf>
    <xf numFmtId="0" fontId="46" fillId="0" borderId="0" xfId="0" applyFont="1" applyNumberFormat="1">
      <alignment horizontal="left" vertical="center" wrapText="1"/>
    </xf>
    <xf numFmtId="49" fontId="46" fillId="0" borderId="0" xfId="0" applyFont="1" applyNumberFormat="1">
      <alignment vertical="top"/>
    </xf>
    <xf numFmtId="49" fontId="105" fillId="0" borderId="0" xfId="0" applyFont="1" applyNumberFormat="1">
      <alignment vertical="top"/>
    </xf>
    <xf numFmtId="49" fontId="95" fillId="0" borderId="20" xfId="0" applyFont="1" applyBorder="1" applyNumberFormat="1">
      <alignment horizontal="left" vertical="center"/>
    </xf>
    <xf numFmtId="49" fontId="46" fillId="0" borderId="20" xfId="0" applyFont="1" applyBorder="1" applyNumberFormat="1">
      <alignment horizontal="left" vertical="center" indent="3"/>
    </xf>
    <xf numFmtId="49" fontId="46" fillId="0" borderId="20" xfId="0" applyFont="1" applyBorder="1" applyNumberFormat="1">
      <alignment horizontal="center" vertical="center" wrapText="1"/>
    </xf>
    <xf numFmtId="0" fontId="46" fillId="0" borderId="0" xfId="0" applyFont="1" applyNumberFormat="1">
      <alignment vertical="center" wrapText="1"/>
    </xf>
    <xf numFmtId="49" fontId="46" fillId="0" borderId="0" xfId="0" applyFont="1" applyNumberFormat="1">
      <alignment horizontal="left" vertical="center"/>
    </xf>
    <xf numFmtId="49" fontId="95" fillId="0" borderId="0" xfId="0" applyFont="1" applyNumberFormat="1">
      <alignment horizontal="left" vertical="center"/>
    </xf>
    <xf numFmtId="49" fontId="46" fillId="0" borderId="0" xfId="0" applyFont="1" applyNumberFormat="1">
      <alignment horizontal="left" vertical="center" indent="2"/>
    </xf>
    <xf numFmtId="49" fontId="46" fillId="0" borderId="0" xfId="0" applyFont="1" applyNumberFormat="1">
      <alignment horizontal="center" vertical="center" wrapText="1"/>
    </xf>
    <xf numFmtId="49" fontId="46" fillId="0" borderId="0" xfId="0" applyFont="1" applyNumberFormat="1">
      <alignment horizontal="left" vertical="center" indent="1"/>
    </xf>
    <xf numFmtId="49" fontId="22" fillId="0" borderId="0" xfId="0" applyFont="1" applyNumberFormat="1">
      <alignment vertical="center" wrapText="1"/>
    </xf>
    <xf numFmtId="4" fontId="45" fillId="0" borderId="13" xfId="0" applyFont="1" applyBorder="1" applyNumberFormat="1">
      <alignment horizontal="right" vertical="center" wrapText="1"/>
    </xf>
    <xf numFmtId="166" fontId="45" fillId="0" borderId="13" xfId="0" applyFont="1" applyBorder="1" applyNumberFormat="1">
      <alignment horizontal="right" vertical="center" wrapText="1"/>
    </xf>
    <xf numFmtId="168" fontId="45" fillId="0" borderId="13" xfId="0" applyFont="1" applyBorder="1" applyNumberFormat="1">
      <alignment horizontal="center" vertical="center" wrapText="1"/>
    </xf>
    <xf numFmtId="49" fontId="45"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vertical="center" wrapText="1"/>
    </xf>
    <xf numFmtId="49" fontId="45" fillId="0" borderId="13" xfId="0" applyFont="1" applyBorder="1" applyNumberFormat="1">
      <alignment vertical="center" wrapText="1"/>
    </xf>
    <xf numFmtId="0" fontId="67" fillId="0" borderId="0" xfId="0" applyFont="1" applyNumberFormat="1">
      <alignment vertical="center" wrapText="1"/>
    </xf>
    <xf numFmtId="0" fontId="45" fillId="0" borderId="0" xfId="0" applyFont="1" applyNumberFormat="1">
      <alignment horizontal="left" vertical="center" wrapText="1"/>
    </xf>
    <xf numFmtId="0" fontId="38" fillId="36" borderId="0" xfId="0" applyFont="1" applyFill="1" applyNumberFormat="1">
      <alignment vertical="center" wrapText="1"/>
    </xf>
    <xf numFmtId="0" fontId="22" fillId="36" borderId="0" xfId="0" applyFont="1" applyFill="1" applyNumberFormat="1">
      <alignment horizontal="left" vertical="center" wrapText="1"/>
    </xf>
    <xf numFmtId="0" fontId="22" fillId="36" borderId="0" xfId="0" applyFont="1" applyFill="1" applyNumberFormat="1">
      <alignment vertical="center" wrapText="1"/>
    </xf>
    <xf numFmtId="0" fontId="30" fillId="0" borderId="0" xfId="0" applyFont="1" applyNumberFormat="1">
      <alignment vertical="center" wrapText="1"/>
    </xf>
    <xf numFmtId="0" fontId="48" fillId="36" borderId="0" xfId="0" applyFont="1" applyFill="1" applyNumberFormat="1">
      <alignment horizontal="center" vertical="center" wrapText="1"/>
    </xf>
    <xf numFmtId="0" fontId="45" fillId="0" borderId="0" xfId="0" applyFont="1" applyNumberFormat="1">
      <alignment vertical="center"/>
    </xf>
    <xf numFmtId="0" fontId="4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2" fillId="35" borderId="13" xfId="0" applyFont="1" applyFill="1" applyBorder="1" applyNumberFormat="1">
      <alignment horizontal="left" vertical="center" wrapText="1" indent="1"/>
    </xf>
    <xf numFmtId="0" fontId="22" fillId="0" borderId="0" xfId="0" applyFont="1" applyNumberFormat="1">
      <alignment vertical="center" wrapText="1"/>
    </xf>
    <xf numFmtId="0" fontId="66" fillId="0" borderId="0" xfId="0" applyFont="1" applyNumberFormat="1">
      <alignment vertical="center"/>
    </xf>
    <xf numFmtId="0" fontId="46" fillId="0" borderId="0" xfId="0" applyFont="1" applyNumberFormat="1">
      <alignment vertical="center"/>
    </xf>
    <xf numFmtId="0" fontId="0" fillId="0" borderId="0" xfId="0" applyFont="1" applyNumberFormat="1">
      <alignment vertical="center"/>
    </xf>
    <xf numFmtId="168" fontId="22" fillId="35" borderId="13"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6" fillId="0" borderId="0" xfId="0" applyFont="1" applyNumberFormat="1">
      <alignment vertical="center" wrapText="1"/>
    </xf>
    <xf numFmtId="0" fontId="22" fillId="36" borderId="28" xfId="0" applyFont="1" applyFill="1" applyBorder="1" applyNumberFormat="1">
      <alignment vertical="center" wrapText="1"/>
    </xf>
    <xf numFmtId="0" fontId="36" fillId="0" borderId="28" xfId="0" applyFont="1" applyBorder="1" applyNumberFormat="1">
      <alignment horizontal="center" vertical="center" wrapText="1"/>
    </xf>
    <xf numFmtId="0" fontId="22" fillId="36" borderId="13" xfId="0" applyFont="1" applyFill="1" applyBorder="1" applyNumberFormat="1">
      <alignment horizontal="left" vertical="center" wrapText="1"/>
    </xf>
    <xf numFmtId="0" fontId="22"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2" fillId="36" borderId="18" xfId="0" applyFont="1" applyFill="1" applyBorder="1" applyNumberFormat="1">
      <alignment horizontal="center" vertical="center" wrapText="1"/>
    </xf>
    <xf numFmtId="49" fontId="39" fillId="38" borderId="18" xfId="0" applyFont="1" applyFill="1" applyBorder="1" applyNumberFormat="1">
      <alignment horizontal="center" vertical="center" textRotation="90" wrapText="1"/>
    </xf>
    <xf numFmtId="0" fontId="22" fillId="0" borderId="37" xfId="0" applyFont="1" applyBorder="1" applyNumberFormat="1">
      <alignment vertical="center" wrapText="1"/>
    </xf>
    <xf numFmtId="0" fontId="45" fillId="0" borderId="18" xfId="0" applyFont="1" applyBorder="1" applyNumberFormat="1">
      <alignment horizontal="center" vertical="center" wrapText="1"/>
    </xf>
    <xf numFmtId="0" fontId="22" fillId="36" borderId="37" xfId="0" applyFont="1" applyFill="1" applyBorder="1" applyNumberFormat="1">
      <alignment horizontal="center" vertical="center" wrapText="1"/>
    </xf>
    <xf numFmtId="49" fontId="39" fillId="38" borderId="37" xfId="0" applyFont="1" applyFill="1" applyBorder="1" applyNumberFormat="1">
      <alignment horizontal="center" vertical="center" textRotation="90" wrapText="1"/>
    </xf>
    <xf numFmtId="0" fontId="45" fillId="0" borderId="0" xfId="0" applyFont="1" applyNumberFormat="1">
      <alignment vertical="center"/>
    </xf>
    <xf numFmtId="0" fontId="22" fillId="0" borderId="24" xfId="0" applyFont="1" applyBorder="1" applyNumberFormat="1">
      <alignment vertical="center" wrapText="1"/>
    </xf>
    <xf numFmtId="0" fontId="4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2"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39" fillId="38" borderId="24" xfId="0" applyFont="1" applyFill="1" applyBorder="1" applyNumberFormat="1">
      <alignment horizontal="center" vertical="center" textRotation="90" wrapText="1"/>
    </xf>
    <xf numFmtId="49" fontId="70" fillId="0" borderId="0" xfId="0" applyFont="1" applyNumberFormat="1">
      <alignment vertical="center" wrapText="1"/>
    </xf>
    <xf numFmtId="0" fontId="104" fillId="36" borderId="0" xfId="0" applyFont="1" applyFill="1" applyNumberFormat="1">
      <alignment vertical="center" wrapText="1"/>
    </xf>
    <xf numFmtId="0" fontId="105" fillId="36" borderId="0" xfId="0" applyFont="1" applyFill="1" applyNumberFormat="1">
      <alignment vertical="center" wrapText="1"/>
    </xf>
    <xf numFmtId="49" fontId="78" fillId="36" borderId="20" xfId="0" applyFont="1" applyFill="1" applyBorder="1" applyNumberFormat="1">
      <alignment horizontal="left" vertical="center" wrapText="1"/>
    </xf>
    <xf numFmtId="49" fontId="78" fillId="36" borderId="20" xfId="0" applyFont="1" applyFill="1" applyBorder="1" applyNumberFormat="1">
      <alignment horizontal="center" vertical="center" wrapText="1"/>
    </xf>
    <xf numFmtId="0" fontId="46" fillId="36" borderId="20" xfId="0" applyFont="1" applyFill="1" applyBorder="1" applyNumberFormat="1">
      <alignment horizontal="center" vertical="center" wrapText="1"/>
    </xf>
    <xf numFmtId="0" fontId="78" fillId="36" borderId="20" xfId="0" applyFont="1" applyFill="1" applyBorder="1" applyNumberFormat="1">
      <alignment horizontal="center" vertical="center" wrapText="1"/>
    </xf>
    <xf numFmtId="0" fontId="78" fillId="36" borderId="20" xfId="0" applyFont="1" applyFill="1" applyBorder="1" applyNumberFormat="1">
      <alignment horizontal="center" vertical="center" wrapText="1"/>
    </xf>
    <xf numFmtId="0" fontId="78" fillId="36" borderId="20" xfId="0" applyFont="1" applyFill="1" applyBorder="1" applyNumberFormat="1">
      <alignment horizontal="center"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168" fontId="0" fillId="40" borderId="18" xfId="0" applyFont="1" applyFill="1" applyBorder="1" applyNumberFormat="1">
      <alignment horizontal="center" vertical="center" wrapText="1"/>
      <protection locked="0"/>
    </xf>
    <xf numFmtId="4" fontId="22" fillId="0" borderId="18" xfId="0" applyFont="1" applyBorder="1" applyNumberFormat="1">
      <alignment horizontal="right" vertical="center" wrapText="1"/>
    </xf>
    <xf numFmtId="49" fontId="22" fillId="0" borderId="13" xfId="0" applyFont="1" applyBorder="1" applyNumberFormat="1">
      <alignment horizontal="left" vertical="center" wrapText="1"/>
    </xf>
    <xf numFmtId="49" fontId="0" fillId="40" borderId="24" xfId="0" applyFont="1" applyFill="1" applyBorder="1" applyNumberFormat="1">
      <alignment horizontal="center" vertical="center" wrapText="1"/>
      <protection locked="0"/>
    </xf>
    <xf numFmtId="4" fontId="22" fillId="0" borderId="24" xfId="0" applyFont="1" applyBorder="1" applyNumberFormat="1">
      <alignment horizontal="right" vertical="center" wrapText="1"/>
    </xf>
    <xf numFmtId="0" fontId="46" fillId="0" borderId="0" xfId="0" applyFont="1" applyNumberFormat="1">
      <alignment horizontal="left" vertical="center" indent="1"/>
    </xf>
    <xf numFmtId="0" fontId="46" fillId="0" borderId="0" xfId="0" applyFont="1" applyNumberFormat="1">
      <alignment horizontal="center" vertical="center"/>
    </xf>
    <xf numFmtId="49" fontId="46" fillId="0" borderId="0" xfId="0" applyFont="1" applyNumberFormat="1">
      <alignment vertical="top"/>
    </xf>
    <xf numFmtId="49" fontId="105"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8" fillId="0" borderId="0" xfId="0" applyFont="1" applyNumberFormat="1">
      <alignment vertical="center" wrapText="1"/>
    </xf>
    <xf numFmtId="0" fontId="22" fillId="0" borderId="0" xfId="0" applyFont="1" applyNumberFormat="1">
      <alignment horizontal="left" vertical="center" wrapText="1"/>
    </xf>
    <xf numFmtId="0" fontId="45" fillId="0" borderId="0" xfId="0" applyFont="1" applyNumberFormat="1">
      <alignment horizontal="center" vertical="center" wrapText="1"/>
    </xf>
    <xf numFmtId="49" fontId="45" fillId="0" borderId="0" xfId="0" applyFont="1" applyNumberFormat="1">
      <alignment vertical="center" wrapText="1"/>
    </xf>
    <xf numFmtId="49" fontId="22" fillId="0" borderId="0" xfId="0" applyFont="1" applyNumberFormat="1">
      <alignment vertical="center" wrapText="1"/>
    </xf>
    <xf numFmtId="0" fontId="38" fillId="0" borderId="0" xfId="0" applyFont="1" applyNumberFormat="1">
      <alignment vertical="center" wrapText="1"/>
    </xf>
    <xf numFmtId="0" fontId="22" fillId="0" borderId="0" xfId="0" applyFont="1" applyNumberFormat="1">
      <alignment horizontal="left"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0" fontId="22" fillId="0" borderId="0" xfId="0" applyFont="1" applyNumberFormat="1">
      <alignment horizontal="right"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22" fillId="0" borderId="13" xfId="0" applyFont="1" applyBorder="1" applyNumberFormat="1">
      <alignment horizontal="center" vertical="center"/>
    </xf>
    <xf numFmtId="0" fontId="22" fillId="0" borderId="0" xfId="0" applyFont="1" applyNumberFormat="1">
      <alignment horizontal="center" vertical="center"/>
    </xf>
    <xf numFmtId="0" fontId="22" fillId="36" borderId="13" xfId="0" applyFont="1" applyFill="1" applyBorder="1" applyNumberFormat="1">
      <alignment horizontal="left" vertical="center" wrapText="1"/>
    </xf>
    <xf numFmtId="0" fontId="22" fillId="0" borderId="13" xfId="0" applyFont="1" applyBorder="1" applyNumberFormat="1">
      <alignment vertical="center" wrapText="1"/>
    </xf>
    <xf numFmtId="0" fontId="22" fillId="0" borderId="15" xfId="0" applyFont="1" applyBorder="1" applyNumberFormat="1">
      <alignment horizontal="center" vertical="center"/>
    </xf>
    <xf numFmtId="0" fontId="22" fillId="0" borderId="0" xfId="0" applyFont="1" applyNumberFormat="1">
      <alignment horizontal="center" vertical="center" wrapText="1"/>
    </xf>
    <xf numFmtId="0" fontId="22" fillId="36" borderId="13" xfId="0" applyFont="1" applyFill="1" applyBorder="1" applyNumberFormat="1">
      <alignment horizontal="left" vertical="center" wrapText="1" indent="1"/>
    </xf>
    <xf numFmtId="0" fontId="22" fillId="0" borderId="0" xfId="0" applyFont="1" applyNumberFormat="1">
      <alignment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0" fontId="70" fillId="0" borderId="0" xfId="0" applyFont="1" applyNumberFormat="1">
      <alignment horizontal="left" vertical="center" indent="1"/>
    </xf>
    <xf numFmtId="0" fontId="70" fillId="0" borderId="0" xfId="0" applyFont="1" applyNumberFormat="1">
      <alignment horizontal="center" vertical="center"/>
    </xf>
    <xf numFmtId="0" fontId="70" fillId="0" borderId="0" xfId="0" applyFont="1" applyNumberFormat="1">
      <alignment horizontal="left" vertical="center" wrapText="1"/>
    </xf>
    <xf numFmtId="0" fontId="70" fillId="0" borderId="0" xfId="0" applyFont="1" applyNumberFormat="1">
      <alignment vertical="center" wrapText="1"/>
    </xf>
    <xf numFmtId="0" fontId="46" fillId="0" borderId="0" xfId="0" applyFont="1" applyNumberFormat="1">
      <alignment vertical="center"/>
    </xf>
    <xf numFmtId="0" fontId="46" fillId="0" borderId="0" xfId="0" applyFont="1" applyNumberFormat="1">
      <alignment vertical="center" wrapText="1"/>
    </xf>
    <xf numFmtId="49" fontId="70"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3"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8" xfId="0" applyFont="1" applyBorder="1" applyNumberFormat="1">
      <alignment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70" fillId="0" borderId="0" xfId="0" applyFont="1" applyNumberFormat="1">
      <alignment vertical="center" wrapText="1"/>
    </xf>
    <xf numFmtId="0" fontId="70" fillId="0" borderId="0" xfId="0" applyFont="1" applyNumberFormat="1">
      <alignment horizontal="left" vertical="center" indent="1"/>
    </xf>
    <xf numFmtId="0" fontId="70"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66" fontId="22"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46" fillId="0" borderId="18" xfId="0" applyFont="1" applyBorder="1" applyNumberFormat="1">
      <alignment horizontal="center" vertical="center" wrapText="1"/>
    </xf>
    <xf numFmtId="0" fontId="46" fillId="0" borderId="13" xfId="0" applyFont="1" applyBorder="1" applyNumberFormat="1">
      <alignment vertical="center" wrapText="1"/>
    </xf>
    <xf numFmtId="0" fontId="46" fillId="0" borderId="24" xfId="0" applyFont="1" applyBorder="1" applyNumberFormat="1">
      <alignment horizontal="center" vertical="center" wrapText="1"/>
    </xf>
    <xf numFmtId="0" fontId="4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22" fillId="0" borderId="0" xfId="0" applyFont="1" applyNumberFormat="1">
      <alignment vertical="center"/>
    </xf>
    <xf numFmtId="0" fontId="78" fillId="36" borderId="0" xfId="0" applyFont="1" applyFill="1" applyNumberFormat="1">
      <alignment horizontal="center" vertical="center" wrapText="1"/>
    </xf>
    <xf numFmtId="0" fontId="46" fillId="0" borderId="13" xfId="0" applyFont="1" applyBorder="1" applyNumberFormat="1">
      <alignment horizontal="left" vertical="center" wrapText="1"/>
    </xf>
    <xf numFmtId="0" fontId="46" fillId="0" borderId="13" xfId="0" applyFont="1" applyBorder="1" applyNumberFormat="1">
      <alignment horizontal="left" vertical="center" wrapText="1" indent="4"/>
    </xf>
    <xf numFmtId="0" fontId="46" fillId="0" borderId="13" xfId="0" applyFont="1" applyBorder="1" applyNumberFormat="1">
      <alignment horizontal="left" vertical="center" wrapText="1" indent="6"/>
    </xf>
    <xf numFmtId="0" fontId="46" fillId="0" borderId="15" xfId="0" applyFont="1" applyBorder="1" applyNumberFormat="1">
      <alignment horizontal="left" vertical="center" wrapText="1"/>
    </xf>
    <xf numFmtId="0" fontId="46" fillId="0" borderId="16" xfId="0" applyFont="1" applyBorder="1" applyNumberFormat="1">
      <alignment horizontal="left" vertical="center" wrapText="1"/>
    </xf>
    <xf numFmtId="0" fontId="46" fillId="0" borderId="14" xfId="0" applyFont="1" applyBorder="1" applyNumberFormat="1">
      <alignment horizontal="left" vertical="center" wrapText="1"/>
    </xf>
    <xf numFmtId="0" fontId="46" fillId="0" borderId="13" xfId="0" applyFont="1" applyBorder="1" applyNumberFormat="1">
      <alignment vertical="top" wrapText="1"/>
    </xf>
    <xf numFmtId="49" fontId="95" fillId="0" borderId="15" xfId="0" applyFont="1" applyBorder="1" applyNumberFormat="1">
      <alignment horizontal="left" vertical="center"/>
    </xf>
    <xf numFmtId="49" fontId="46" fillId="0" borderId="16" xfId="0" applyFont="1" applyBorder="1" applyNumberFormat="1">
      <alignment horizontal="left" vertical="center" indent="4"/>
    </xf>
    <xf numFmtId="49" fontId="46" fillId="0" borderId="16" xfId="0" applyFont="1" applyBorder="1" applyNumberFormat="1">
      <alignment horizontal="center" vertical="center" wrapText="1"/>
    </xf>
    <xf numFmtId="49" fontId="46" fillId="0" borderId="14" xfId="0" applyFont="1" applyBorder="1" applyNumberFormat="1">
      <alignment horizontal="center" vertical="center" wrapText="1"/>
    </xf>
    <xf numFmtId="49" fontId="46" fillId="0" borderId="0" xfId="0" applyFont="1" applyNumberFormat="1">
      <alignment vertical="center" wrapText="1"/>
    </xf>
    <xf numFmtId="0" fontId="45" fillId="0" borderId="0" xfId="0" applyFont="1" applyNumberFormat="1">
      <alignment vertical="top" wrapText="1"/>
    </xf>
    <xf numFmtId="0" fontId="22" fillId="36" borderId="18" xfId="0" applyFont="1" applyFill="1" applyBorder="1" applyNumberFormat="1">
      <alignment horizontal="left" vertical="center" wrapText="1"/>
    </xf>
    <xf numFmtId="0" fontId="22" fillId="36" borderId="18" xfId="0" applyFont="1" applyFill="1" applyBorder="1" applyNumberFormat="1">
      <alignment horizontal="left" vertical="center" wrapText="1" indent="2"/>
    </xf>
    <xf numFmtId="0" fontId="22" fillId="0" borderId="18" xfId="0" applyFont="1" applyBorder="1" applyNumberFormat="1">
      <alignment horizontal="left" vertical="center" wrapText="1" indent="6"/>
    </xf>
    <xf numFmtId="0" fontId="22" fillId="35" borderId="38" xfId="0" applyFont="1" applyFill="1" applyBorder="1" applyNumberFormat="1">
      <alignment horizontal="left" vertical="center" wrapText="1"/>
    </xf>
    <xf numFmtId="0" fontId="22" fillId="35" borderId="20" xfId="0" applyFont="1" applyFill="1" applyBorder="1" applyNumberFormat="1">
      <alignment horizontal="left" vertical="center" wrapText="1"/>
    </xf>
    <xf numFmtId="0" fontId="22" fillId="35" borderId="21" xfId="0" applyFont="1" applyFill="1" applyBorder="1" applyNumberFormat="1">
      <alignment horizontal="left" vertical="center" wrapText="1"/>
    </xf>
    <xf numFmtId="0" fontId="22" fillId="36" borderId="13" xfId="0" applyFont="1" applyFill="1" applyBorder="1" applyNumberFormat="1">
      <alignment horizontal="left" vertical="center" wrapText="1"/>
    </xf>
    <xf numFmtId="0" fontId="22" fillId="35" borderId="13" xfId="0" applyFont="1" applyFill="1" applyBorder="1" applyNumberFormat="1">
      <alignment horizontal="left" vertical="center" wrapText="1"/>
    </xf>
    <xf numFmtId="0" fontId="44" fillId="0" borderId="14" xfId="0" applyFont="1" applyBorder="1" applyNumberFormat="1">
      <alignment vertical="top" wrapText="1"/>
    </xf>
    <xf numFmtId="0" fontId="46" fillId="0" borderId="0" xfId="0" applyFont="1" applyNumberFormat="1">
      <alignment horizontal="center" vertical="center" wrapText="1"/>
    </xf>
    <xf numFmtId="0" fontId="46" fillId="0" borderId="13" xfId="0" applyFont="1" applyBorder="1" applyNumberFormat="1">
      <alignment horizontal="left" vertical="center" wrapText="1"/>
    </xf>
    <xf numFmtId="0" fontId="46" fillId="0" borderId="14" xfId="0" applyFont="1" applyBorder="1" applyNumberFormat="1">
      <alignment vertical="top" wrapText="1"/>
    </xf>
    <xf numFmtId="0" fontId="22" fillId="41" borderId="13" xfId="0" applyFont="1" applyFill="1" applyBorder="1" applyNumberFormat="1">
      <alignment horizontal="left" vertical="center" wrapText="1"/>
    </xf>
    <xf numFmtId="0" fontId="22" fillId="36" borderId="24" xfId="0" applyFont="1" applyFill="1" applyBorder="1" applyNumberFormat="1">
      <alignment horizontal="left" vertical="center" wrapText="1"/>
    </xf>
    <xf numFmtId="0" fontId="22" fillId="41" borderId="24" xfId="0" applyFont="1" applyFill="1" applyBorder="1" applyNumberFormat="1">
      <alignment horizontal="left" vertical="center" wrapText="1" indent="6"/>
    </xf>
    <xf numFmtId="0" fontId="22" fillId="0" borderId="24" xfId="0" applyFont="1" applyBorder="1" applyNumberFormat="1">
      <alignment horizontal="left" vertical="center" wrapText="1" indent="6"/>
    </xf>
    <xf numFmtId="4" fontId="22" fillId="37" borderId="24" xfId="0" applyFont="1" applyFill="1" applyBorder="1" applyNumberFormat="1">
      <alignment horizontal="right" vertical="center" wrapText="1"/>
      <protection locked="0"/>
    </xf>
    <xf numFmtId="166" fontId="22" fillId="37" borderId="24" xfId="0" applyFont="1" applyFill="1" applyBorder="1" applyNumberFormat="1">
      <alignment horizontal="right" vertical="center" wrapText="1"/>
      <protection locked="0"/>
    </xf>
    <xf numFmtId="168" fontId="0" fillId="40" borderId="24" xfId="0" applyFont="1" applyFill="1" applyBorder="1" applyNumberFormat="1">
      <alignment horizontal="center" vertical="center" wrapText="1"/>
      <protection locked="0"/>
    </xf>
    <xf numFmtId="0" fontId="22" fillId="0" borderId="0" xfId="0" applyFont="1" applyNumberFormat="1">
      <alignment horizontal="left" vertical="center" wrapText="1"/>
    </xf>
    <xf numFmtId="0" fontId="22" fillId="41" borderId="21" xfId="0" applyFont="1" applyFill="1" applyBorder="1" applyNumberFormat="1">
      <alignment horizontal="left" vertical="center" wrapText="1"/>
    </xf>
    <xf numFmtId="0" fontId="22" fillId="0" borderId="0" xfId="0" applyFont="1" applyNumberFormat="1">
      <alignment horizontal="center" vertical="center" wrapText="1"/>
    </xf>
    <xf numFmtId="166" fontId="22" fillId="37" borderId="15" xfId="0" applyFont="1" applyFill="1" applyBorder="1" applyNumberFormat="1">
      <alignment horizontal="right" vertical="center" wrapText="1"/>
      <protection locked="0"/>
    </xf>
    <xf numFmtId="4" fontId="22" fillId="37" borderId="14" xfId="0" applyFont="1" applyFill="1" applyBorder="1" applyNumberFormat="1">
      <alignment horizontal="right" vertical="center" wrapText="1"/>
      <protection locked="0"/>
    </xf>
    <xf numFmtId="0" fontId="44" fillId="0" borderId="18" xfId="0" applyFont="1" applyBorder="1" applyNumberFormat="1">
      <alignment vertical="top" wrapText="1"/>
    </xf>
    <xf numFmtId="0" fontId="22" fillId="37" borderId="13" xfId="0" applyFont="1" applyFill="1" applyBorder="1" applyNumberFormat="1">
      <alignment horizontal="left" vertical="center" wrapText="1" indent="7"/>
      <protection locked="0"/>
    </xf>
    <xf numFmtId="4" fontId="46" fillId="0" borderId="15" xfId="0" applyFont="1" applyBorder="1" applyNumberFormat="1">
      <alignment horizontal="center" vertical="center" wrapText="1"/>
    </xf>
    <xf numFmtId="4" fontId="22" fillId="0" borderId="14" xfId="0" applyFont="1" applyBorder="1" applyNumberFormat="1">
      <alignment horizontal="right" vertical="center" wrapText="1"/>
    </xf>
    <xf numFmtId="0" fontId="22" fillId="38" borderId="16" xfId="0" applyFont="1" applyFill="1" applyBorder="1" applyNumberFormat="1">
      <alignment horizontal="left" vertical="center" wrapText="1" indent="6"/>
    </xf>
    <xf numFmtId="4" fontId="22" fillId="38" borderId="16" xfId="0" applyFont="1" applyFill="1" applyBorder="1" applyNumberFormat="1">
      <alignment horizontal="right" vertical="center" wrapText="1"/>
    </xf>
    <xf numFmtId="4" fontId="46" fillId="38" borderId="16" xfId="0" applyFont="1" applyFill="1" applyBorder="1" applyNumberFormat="1">
      <alignment horizontal="center" vertical="center" wrapText="1"/>
    </xf>
    <xf numFmtId="4" fontId="22" fillId="38" borderId="14" xfId="0" applyFont="1" applyFill="1" applyBorder="1" applyNumberFormat="1">
      <alignment horizontal="right" vertical="center" wrapText="1"/>
    </xf>
    <xf numFmtId="49" fontId="22" fillId="38" borderId="28"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20" xfId="0" applyFont="1" applyBorder="1" applyNumberFormat="1">
      <alignment horizontal="center" vertical="center" wrapText="1"/>
    </xf>
    <xf numFmtId="0" fontId="22" fillId="0" borderId="28" xfId="0" applyFont="1" applyBorder="1" applyNumberFormat="1">
      <alignment horizontal="center" vertical="center" wrapText="1"/>
    </xf>
    <xf numFmtId="0" fontId="0" fillId="0" borderId="37" xfId="0" applyFont="1" applyBorder="1" applyNumberFormat="1">
      <alignment horizontal="center" vertical="center" wrapText="1"/>
    </xf>
    <xf numFmtId="49" fontId="45" fillId="0" borderId="0" xfId="0" applyFont="1" applyNumberFormat="1">
      <alignment vertical="center" wrapText="1"/>
    </xf>
    <xf numFmtId="0" fontId="45" fillId="0" borderId="0" xfId="0" applyFont="1" applyNumberFormat="1">
      <alignment horizontal="center" vertical="center" wrapText="1"/>
    </xf>
    <xf numFmtId="0" fontId="54" fillId="36" borderId="0" xfId="0" applyFont="1" applyFill="1" applyNumberFormat="1">
      <alignment horizontal="center" vertical="center" wrapText="1"/>
    </xf>
    <xf numFmtId="0" fontId="54" fillId="0" borderId="0" xfId="0" applyFont="1" applyNumberFormat="1">
      <alignment vertical="center" wrapText="1"/>
    </xf>
    <xf numFmtId="0" fontId="46" fillId="0" borderId="13" xfId="0" applyFont="1" applyBorder="1" applyNumberFormat="1">
      <alignment horizontal="left" vertical="center" wrapText="1" indent="5"/>
    </xf>
    <xf numFmtId="0" fontId="46" fillId="0" borderId="25" xfId="0" applyFont="1" applyBorder="1" applyNumberFormat="1">
      <alignment horizontal="center" vertical="top" wrapText="1"/>
    </xf>
    <xf numFmtId="0" fontId="22" fillId="36" borderId="18" xfId="0" applyFont="1" applyFill="1" applyBorder="1" applyNumberFormat="1">
      <alignment horizontal="left" vertical="center" wrapText="1"/>
    </xf>
    <xf numFmtId="49" fontId="22" fillId="40" borderId="18" xfId="0" applyFont="1" applyFill="1" applyBorder="1" applyNumberFormat="1">
      <alignment horizontal="left" vertical="center" wrapText="1" indent="6"/>
      <protection locked="0"/>
    </xf>
    <xf numFmtId="0" fontId="36" fillId="0" borderId="13" xfId="0" applyFont="1" applyBorder="1" applyNumberFormat="1">
      <alignment horizontal="center" vertical="center" wrapText="1"/>
    </xf>
    <xf numFmtId="49" fontId="22" fillId="41" borderId="13" xfId="0" applyFont="1" applyFill="1" applyBorder="1" applyNumberFormat="1">
      <alignment horizontal="left" vertical="center" wrapText="1" indent="1"/>
    </xf>
    <xf numFmtId="0" fontId="22" fillId="0" borderId="13" xfId="0" applyFont="1" applyBorder="1" applyNumberFormat="1">
      <alignment horizontal="left" vertical="center" wrapText="1" indent="4"/>
    </xf>
    <xf numFmtId="49" fontId="22" fillId="36" borderId="13" xfId="0" applyFont="1" applyFill="1" applyBorder="1" applyNumberFormat="1">
      <alignment horizontal="center" vertical="center" wrapText="1"/>
    </xf>
    <xf numFmtId="0" fontId="22" fillId="41" borderId="13" xfId="0" applyFont="1" applyFill="1" applyBorder="1" applyNumberFormat="1">
      <alignment horizontal="left" vertical="center" wrapText="1" indent="1"/>
    </xf>
    <xf numFmtId="168" fontId="0" fillId="40" borderId="13" xfId="0" applyFont="1" applyFill="1" applyBorder="1" applyNumberFormat="1">
      <alignment horizontal="center" vertical="center" wrapText="1"/>
      <protection locked="0"/>
    </xf>
    <xf numFmtId="49" fontId="22" fillId="41" borderId="13" xfId="0" applyFont="1" applyFill="1" applyBorder="1" applyNumberFormat="1">
      <alignment horizontal="center" vertical="center" wrapText="1"/>
    </xf>
    <xf numFmtId="0" fontId="22" fillId="36" borderId="37" xfId="0" applyFont="1" applyFill="1" applyBorder="1" applyNumberFormat="1">
      <alignment horizontal="left" vertical="center" wrapText="1"/>
    </xf>
    <xf numFmtId="49" fontId="22" fillId="40" borderId="37" xfId="0" applyFont="1" applyFill="1" applyBorder="1" applyNumberFormat="1">
      <alignment horizontal="left" vertical="center" wrapText="1" indent="6"/>
      <protection locked="0"/>
    </xf>
    <xf numFmtId="166" fontId="22" fillId="38" borderId="14" xfId="0" applyFont="1" applyFill="1" applyBorder="1" applyNumberFormat="1">
      <alignment horizontal="right" vertical="center" wrapText="1"/>
    </xf>
    <xf numFmtId="49" fontId="39" fillId="38" borderId="15" xfId="0" applyFont="1" applyFill="1" applyBorder="1" applyNumberFormat="1">
      <alignment horizontal="left" vertical="center"/>
    </xf>
    <xf numFmtId="166" fontId="22" fillId="38" borderId="16" xfId="0" applyFont="1" applyFill="1" applyBorder="1" applyNumberFormat="1">
      <alignment horizontal="right" vertical="center" wrapText="1"/>
    </xf>
    <xf numFmtId="4" fontId="22" fillId="0" borderId="37" xfId="0" applyFont="1" applyBorder="1" applyNumberFormat="1">
      <alignment horizontal="right" vertical="center" wrapText="1"/>
    </xf>
    <xf numFmtId="49" fontId="39" fillId="38" borderId="15" xfId="0" applyFont="1" applyFill="1" applyBorder="1" applyNumberFormat="1">
      <alignment horizontal="left" vertical="center" indent="1"/>
    </xf>
    <xf numFmtId="0" fontId="22" fillId="36" borderId="24" xfId="0" applyFont="1" applyFill="1" applyBorder="1" applyNumberFormat="1">
      <alignment horizontal="left" vertical="center" wrapText="1"/>
    </xf>
    <xf numFmtId="49" fontId="22" fillId="40" borderId="24" xfId="0" applyFont="1" applyFill="1" applyBorder="1" applyNumberFormat="1">
      <alignment horizontal="left" vertical="center" wrapText="1" indent="6"/>
      <protection locked="0"/>
    </xf>
    <xf numFmtId="4" fontId="46" fillId="38" borderId="14" xfId="0" applyFont="1" applyFill="1" applyBorder="1" applyNumberFormat="1">
      <alignment horizontal="center" vertical="center" wrapText="1"/>
    </xf>
    <xf numFmtId="49" fontId="39" fillId="38" borderId="15" xfId="0" applyFont="1" applyFill="1" applyBorder="1" applyNumberFormat="1">
      <alignment vertical="center" wrapText="1"/>
    </xf>
    <xf numFmtId="49" fontId="39" fillId="38" borderId="16" xfId="0" applyFont="1" applyFill="1" applyBorder="1" applyNumberFormat="1">
      <alignment vertical="center" wrapText="1"/>
    </xf>
    <xf numFmtId="49" fontId="46" fillId="0" borderId="25" xfId="0" applyFont="1" applyBorder="1" applyNumberFormat="1">
      <alignment vertical="top"/>
    </xf>
    <xf numFmtId="0" fontId="109" fillId="0" borderId="0" xfId="0" applyFont="1" applyNumberFormat="1">
      <alignment horizontal="center" vertical="center" wrapText="1"/>
    </xf>
    <xf numFmtId="49" fontId="46" fillId="0" borderId="0" xfId="0" applyFont="1" applyNumberFormat="1">
      <alignment horizontal="center" vertical="center" wrapText="1"/>
    </xf>
    <xf numFmtId="49" fontId="46" fillId="0" borderId="0" xfId="0" applyFont="1" applyNumberFormat="1">
      <alignment horizontal="left" vertical="center" wrapText="1" indent="1"/>
    </xf>
    <xf numFmtId="0" fontId="46" fillId="0" borderId="0" xfId="0" applyFont="1" applyNumberFormat="1">
      <alignment horizontal="left" vertical="center" wrapText="1" indent="4"/>
    </xf>
    <xf numFmtId="0" fontId="46" fillId="0" borderId="25" xfId="0" applyFont="1" applyBorder="1" applyNumberFormat="1">
      <alignment horizontal="left" vertical="center" wrapText="1" indent="1"/>
    </xf>
    <xf numFmtId="4" fontId="46" fillId="0" borderId="13" xfId="0" applyFont="1" applyBorder="1" applyNumberFormat="1">
      <alignment horizontal="right" vertical="center" wrapText="1"/>
    </xf>
    <xf numFmtId="166" fontId="46" fillId="0" borderId="13" xfId="0" applyFont="1" applyBorder="1" applyNumberFormat="1">
      <alignment horizontal="right" vertical="center" wrapText="1"/>
    </xf>
    <xf numFmtId="168" fontId="46" fillId="0" borderId="13" xfId="0" applyFont="1" applyBorder="1" applyNumberFormat="1">
      <alignment horizontal="center" vertical="center" wrapText="1"/>
    </xf>
    <xf numFmtId="49" fontId="46" fillId="0" borderId="13" xfId="0" applyFont="1" applyBorder="1" applyNumberFormat="1">
      <alignment horizontal="center" vertical="center" wrapText="1"/>
    </xf>
    <xf numFmtId="0" fontId="45" fillId="0" borderId="0" xfId="0" applyFont="1" applyNumberFormat="1">
      <alignment horizontal="left" vertical="center"/>
    </xf>
    <xf numFmtId="49" fontId="45" fillId="0" borderId="0" xfId="0" applyFont="1" applyNumberFormat="1">
      <alignment horizontal="left" vertical="center"/>
    </xf>
    <xf numFmtId="0" fontId="45" fillId="0" borderId="0" xfId="0" applyFont="1" applyNumberFormat="1">
      <alignment horizontal="left" vertical="center"/>
    </xf>
    <xf numFmtId="0" fontId="67" fillId="0" borderId="0" xfId="0" applyFont="1" applyNumberFormat="1">
      <alignment horizontal="left" vertical="center"/>
    </xf>
    <xf numFmtId="0" fontId="45" fillId="0" borderId="0" xfId="0" applyFont="1" applyNumberFormat="1">
      <alignment horizontal="left" vertical="center"/>
    </xf>
    <xf numFmtId="0" fontId="46" fillId="0" borderId="0" xfId="0" applyFont="1" applyNumberFormat="1">
      <alignment horizontal="left" vertical="center"/>
    </xf>
    <xf numFmtId="0" fontId="67" fillId="36" borderId="0" xfId="0" applyFont="1" applyFill="1" applyNumberFormat="1">
      <alignment vertical="center" wrapText="1"/>
    </xf>
    <xf numFmtId="0" fontId="22" fillId="36" borderId="3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22" fillId="36" borderId="23"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0" borderId="13" xfId="0" applyFont="1" applyFill="1" applyBorder="1" applyNumberFormat="1">
      <alignment horizontal="center" vertical="center" wrapText="1"/>
      <protection locked="0"/>
    </xf>
    <xf numFmtId="0" fontId="22" fillId="36" borderId="13" xfId="0" applyFont="1" applyFill="1" applyBorder="1" applyNumberFormat="1">
      <alignment horizontal="center" vertical="center" wrapText="1"/>
    </xf>
    <xf numFmtId="0" fontId="22" fillId="36" borderId="31"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30" xfId="0" applyFont="1" applyFill="1" applyBorder="1" applyNumberFormat="1">
      <alignment horizontal="center" vertical="center" wrapText="1"/>
    </xf>
    <xf numFmtId="0" fontId="22" fillId="36" borderId="24" xfId="0" applyFont="1" applyFill="1" applyBorder="1" applyNumberFormat="1">
      <alignment horizontal="center" vertical="center" wrapText="1"/>
    </xf>
    <xf numFmtId="49" fontId="22" fillId="0" borderId="13" xfId="0" applyFont="1" applyBorder="1" applyNumberFormat="1">
      <alignment horizontal="left" vertical="center" wrapText="1" indent="1"/>
    </xf>
    <xf numFmtId="0" fontId="22" fillId="0" borderId="13" xfId="0" applyFont="1" applyBorder="1" applyNumberFormat="1">
      <alignment horizontal="left" vertical="center" wrapText="1" indent="1"/>
    </xf>
    <xf numFmtId="49" fontId="22" fillId="38" borderId="15" xfId="0" applyFont="1" applyFill="1" applyBorder="1" applyNumberFormat="1">
      <alignment horizontal="center" vertical="center" wrapText="1"/>
    </xf>
    <xf numFmtId="49" fontId="70" fillId="0" borderId="25" xfId="0" applyFont="1" applyBorder="1" applyNumberFormat="1">
      <alignment vertical="top"/>
    </xf>
    <xf numFmtId="0" fontId="22" fillId="0" borderId="0" xfId="0" applyFont="1" applyNumberFormat="1">
      <alignment horizontal="left" vertical="top" wrapText="1"/>
    </xf>
    <xf numFmtId="0" fontId="67" fillId="0" borderId="0" xfId="0" applyFont="1" applyNumberFormat="1">
      <alignment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0" fontId="22" fillId="37" borderId="15" xfId="0" applyFont="1" applyFill="1" applyBorder="1" applyNumberFormat="1">
      <alignment horizontal="left" vertical="center" wrapText="1"/>
      <protection locked="0"/>
    </xf>
    <xf numFmtId="0" fontId="22" fillId="37" borderId="16" xfId="0" applyFont="1" applyFill="1" applyBorder="1" applyNumberFormat="1">
      <alignment horizontal="left" vertical="center" wrapText="1"/>
      <protection locked="0"/>
    </xf>
    <xf numFmtId="0" fontId="22" fillId="37" borderId="14" xfId="0" applyFont="1" applyFill="1" applyBorder="1" applyNumberFormat="1">
      <alignment horizontal="left" vertical="center" wrapText="1"/>
      <protection locked="0"/>
    </xf>
    <xf numFmtId="49" fontId="22" fillId="37" borderId="15" xfId="0" applyFont="1" applyFill="1" applyBorder="1" applyNumberFormat="1">
      <alignment horizontal="left" vertical="center" wrapText="1"/>
      <protection locked="0"/>
    </xf>
    <xf numFmtId="49" fontId="22" fillId="37" borderId="16" xfId="0" applyFont="1" applyFill="1" applyBorder="1" applyNumberFormat="1">
      <alignment horizontal="left" vertical="center" wrapText="1"/>
      <protection locked="0"/>
    </xf>
    <xf numFmtId="49" fontId="22" fillId="37" borderId="14" xfId="0" applyFont="1" applyFill="1" applyBorder="1" applyNumberFormat="1">
      <alignment horizontal="left" vertical="center" wrapText="1"/>
      <protection locked="0"/>
    </xf>
    <xf numFmtId="49" fontId="22" fillId="37" borderId="13" xfId="0" applyFont="1" applyFill="1" applyBorder="1" applyNumberFormat="1">
      <alignment horizontal="left" vertical="center" wrapText="1" indent="6"/>
      <protection locked="0"/>
    </xf>
    <xf numFmtId="4" fontId="22" fillId="0" borderId="38" xfId="0" applyFont="1" applyBorder="1" applyNumberFormat="1">
      <alignment horizontal="right" vertical="center" wrapText="1"/>
    </xf>
    <xf numFmtId="0" fontId="44" fillId="0" borderId="13" xfId="0" applyFont="1" applyBorder="1" applyNumberFormat="1">
      <alignment horizontal="left" vertical="top" wrapText="1"/>
    </xf>
    <xf numFmtId="49" fontId="22" fillId="0" borderId="13" xfId="0" applyFont="1" applyBorder="1" applyNumberFormat="1">
      <alignment horizontal="left" vertical="center" wrapText="1"/>
    </xf>
    <xf numFmtId="4" fontId="22" fillId="0" borderId="31" xfId="0" applyFont="1" applyBorder="1" applyNumberFormat="1">
      <alignment horizontal="right" vertical="center" wrapText="1"/>
    </xf>
    <xf numFmtId="49" fontId="0" fillId="38" borderId="30" xfId="0" applyFont="1" applyFill="1" applyBorder="1" applyNumberFormat="1">
      <alignment horizontal="center" vertical="center" wrapText="1"/>
    </xf>
    <xf numFmtId="49" fontId="39" fillId="38" borderId="16" xfId="0" applyFont="1" applyFill="1" applyBorder="1" applyNumberFormat="1">
      <alignment horizontal="left" vertical="center" indent="3"/>
    </xf>
    <xf numFmtId="0" fontId="46" fillId="0" borderId="0" xfId="0" applyFont="1" applyNumberFormat="1">
      <alignment horizontal="center" vertical="center"/>
    </xf>
    <xf numFmtId="0" fontId="45" fillId="0" borderId="0" xfId="0" applyFont="1" applyNumberFormat="1">
      <alignment horizontal="center" vertical="center" wrapText="1"/>
    </xf>
    <xf numFmtId="0" fontId="108" fillId="0" borderId="0" xfId="0" applyFont="1" applyNumberFormat="1">
      <alignment vertical="center" wrapText="1"/>
    </xf>
    <xf numFmtId="0" fontId="22" fillId="0" borderId="0" xfId="0" applyFont="1" applyNumberFormat="1">
      <alignment horizontal="right" vertical="center" wrapText="1"/>
    </xf>
    <xf numFmtId="0" fontId="22"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49" fontId="22" fillId="0" borderId="0" xfId="0" applyFont="1" applyNumberFormat="1">
      <alignment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0" fontId="46" fillId="0" borderId="0" xfId="0" applyFont="1" applyNumberFormat="1">
      <alignment horizontal="center" vertical="center"/>
    </xf>
    <xf numFmtId="0" fontId="45" fillId="0" borderId="0" xfId="0" applyFont="1" applyNumberFormat="1">
      <alignment horizontal="center" vertical="center" wrapText="1"/>
    </xf>
    <xf numFmtId="0" fontId="22" fillId="0" borderId="0" xfId="0" applyFont="1" applyNumberFormat="1">
      <alignment horizontal="right" vertical="center" wrapText="1"/>
    </xf>
    <xf numFmtId="0" fontId="22"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49" fontId="22" fillId="0" borderId="0" xfId="0" applyFont="1" applyNumberFormat="1">
      <alignment vertical="center" wrapText="1"/>
    </xf>
    <xf numFmtId="0" fontId="22" fillId="35" borderId="16" xfId="0" applyFont="1" applyFill="1" applyBorder="1" applyNumberFormat="1">
      <alignment horizontal="left" vertical="center" wrapText="1"/>
    </xf>
    <xf numFmtId="0" fontId="45" fillId="0" borderId="0" xfId="0" applyFont="1" applyNumberFormat="1">
      <alignment horizontal="center" vertical="center" wrapText="1"/>
    </xf>
    <xf numFmtId="0" fontId="46" fillId="0" borderId="16" xfId="0" applyFont="1" applyBorder="1" applyNumberFormat="1">
      <alignment horizontal="left" vertical="center" wrapText="1"/>
    </xf>
    <xf numFmtId="0" fontId="22" fillId="0" borderId="13" xfId="0" applyFont="1" applyBorder="1" applyNumberFormat="1">
      <alignment horizontal="center" vertical="center" wrapText="1"/>
    </xf>
    <xf numFmtId="0" fontId="46" fillId="0" borderId="25" xfId="0" applyFont="1" applyBorder="1" applyNumberFormat="1">
      <alignment horizontal="center" vertical="top" wrapText="1"/>
    </xf>
    <xf numFmtId="0" fontId="22" fillId="36" borderId="18" xfId="0" applyFont="1" applyFill="1" applyBorder="1" applyNumberFormat="1">
      <alignment horizontal="left" vertical="center" wrapText="1"/>
    </xf>
    <xf numFmtId="49" fontId="22" fillId="40" borderId="18" xfId="0" applyFont="1" applyFill="1" applyBorder="1" applyNumberFormat="1">
      <alignment horizontal="left" vertical="center" wrapText="1" indent="6"/>
      <protection locked="0"/>
    </xf>
    <xf numFmtId="168" fontId="0" fillId="40" borderId="13" xfId="0" applyFont="1" applyFill="1" applyBorder="1" applyNumberFormat="1">
      <alignment horizontal="center" vertical="center" wrapText="1"/>
      <protection locked="0"/>
    </xf>
    <xf numFmtId="49" fontId="22" fillId="41" borderId="13" xfId="0" applyFont="1" applyFill="1" applyBorder="1" applyNumberFormat="1">
      <alignment horizontal="center" vertical="center" wrapText="1"/>
    </xf>
    <xf numFmtId="49" fontId="22" fillId="37" borderId="18" xfId="0" applyFont="1" applyFill="1" applyBorder="1" applyNumberFormat="1">
      <alignment horizontal="left" vertical="center" wrapText="1" indent="6"/>
      <protection locked="0"/>
    </xf>
    <xf numFmtId="4" fontId="22" fillId="40" borderId="13" xfId="0" applyFont="1" applyFill="1" applyBorder="1" applyNumberFormat="1">
      <alignment horizontal="left" vertical="center" wrapText="1" indent="1"/>
      <protection locked="0"/>
    </xf>
    <xf numFmtId="168" fontId="0" fillId="40" borderId="13" xfId="0" applyFont="1" applyFill="1" applyBorder="1" applyNumberFormat="1">
      <alignment horizontal="center" vertical="center" wrapText="1"/>
      <protection locked="0"/>
    </xf>
    <xf numFmtId="49" fontId="22" fillId="41" borderId="13" xfId="0" applyFont="1" applyFill="1" applyBorder="1" applyNumberFormat="1">
      <alignment horizontal="center" vertical="center" wrapText="1"/>
    </xf>
    <xf numFmtId="49" fontId="46" fillId="0" borderId="13"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6" fillId="0" borderId="28" xfId="0" applyFont="1" applyBorder="1" applyNumberFormat="1">
      <alignment horizontal="center" vertical="center" wrapText="1"/>
    </xf>
    <xf numFmtId="0" fontId="22" fillId="40" borderId="14" xfId="0" applyFont="1" applyFill="1" applyBorder="1" applyNumberFormat="1">
      <alignment horizontal="center" vertical="center" wrapText="1"/>
      <protection locked="0"/>
    </xf>
    <xf numFmtId="0" fontId="22" fillId="36" borderId="13" xfId="0" applyFont="1" applyFill="1" applyBorder="1" applyNumberFormat="1">
      <alignment horizontal="center" vertical="center" wrapText="1"/>
    </xf>
    <xf numFmtId="0" fontId="22" fillId="36" borderId="30" xfId="0" applyFont="1" applyFill="1" applyBorder="1" applyNumberFormat="1">
      <alignment horizontal="center" vertical="center" wrapText="1"/>
    </xf>
    <xf numFmtId="0" fontId="22" fillId="36" borderId="24"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36" borderId="18" xfId="0" applyFont="1" applyFill="1" applyBorder="1" applyNumberFormat="1">
      <alignment horizontal="left" vertical="center" wrapText="1"/>
    </xf>
    <xf numFmtId="49" fontId="22" fillId="40" borderId="18" xfId="0" applyFont="1" applyFill="1" applyBorder="1" applyNumberFormat="1">
      <alignment horizontal="left" vertical="center" wrapText="1" indent="6"/>
      <protection locked="0"/>
    </xf>
    <xf numFmtId="49" fontId="22" fillId="37" borderId="18" xfId="0" applyFont="1" applyFill="1" applyBorder="1" applyNumberFormat="1">
      <alignment horizontal="left" vertical="center" wrapText="1" indent="6"/>
      <protection locked="0"/>
    </xf>
    <xf numFmtId="4" fontId="22" fillId="40" borderId="13"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6" borderId="13" xfId="0" applyFont="1" applyFill="1" applyBorder="1" applyNumberFormat="1">
      <alignment horizontal="left" vertical="center" wrapText="1"/>
    </xf>
    <xf numFmtId="0" fontId="109" fillId="0" borderId="0" xfId="0" applyFont="1" applyNumberFormat="1">
      <alignment vertical="center" wrapText="1"/>
    </xf>
    <xf numFmtId="0" fontId="109" fillId="36" borderId="0" xfId="0" applyFont="1" applyFill="1" applyNumberFormat="1">
      <alignment horizontal="center" vertical="center" wrapText="1"/>
    </xf>
    <xf numFmtId="0" fontId="46" fillId="36" borderId="13" xfId="0" applyFont="1" applyFill="1" applyBorder="1" applyNumberFormat="1">
      <alignment horizontal="left" vertical="center" wrapText="1" indent="3"/>
    </xf>
    <xf numFmtId="0" fontId="46" fillId="0" borderId="0" xfId="0" applyFont="1" applyNumberFormat="1">
      <alignment horizontal="center" vertical="center" wrapText="1"/>
    </xf>
    <xf numFmtId="49" fontId="22" fillId="37" borderId="18" xfId="0" applyFont="1" applyFill="1" applyBorder="1" applyNumberFormat="1">
      <alignment horizontal="left" vertical="center" wrapText="1" indent="6"/>
      <protection locked="0"/>
    </xf>
    <xf numFmtId="4" fontId="22" fillId="40" borderId="13" xfId="0" applyFont="1" applyFill="1" applyBorder="1" applyNumberFormat="1">
      <alignment horizontal="left" vertical="center" wrapText="1" indent="1"/>
      <protection locked="0"/>
    </xf>
    <xf numFmtId="4" fontId="22" fillId="40" borderId="13" xfId="0" applyFont="1" applyFill="1" applyBorder="1" applyNumberFormat="1">
      <alignment horizontal="center" vertical="center" wrapText="1"/>
      <protection locked="0"/>
    </xf>
    <xf numFmtId="49" fontId="22" fillId="41" borderId="21" xfId="0" applyFont="1" applyFill="1" applyBorder="1" applyNumberFormat="1">
      <alignment horizontal="center" vertical="center" wrapText="1"/>
    </xf>
    <xf numFmtId="49" fontId="22" fillId="36" borderId="13" xfId="0" applyFont="1" applyFill="1" applyBorder="1" applyNumberFormat="1">
      <alignment horizontal="center" vertical="center" wrapText="1"/>
    </xf>
    <xf numFmtId="49" fontId="22" fillId="40" borderId="13" xfId="0" applyFont="1" applyFill="1" applyBorder="1" applyNumberFormat="1">
      <alignment horizontal="left" vertical="center" wrapText="1" indent="1"/>
      <protection locked="0"/>
    </xf>
    <xf numFmtId="49" fontId="22" fillId="37" borderId="37" xfId="0" applyFont="1" applyFill="1" applyBorder="1" applyNumberFormat="1">
      <alignment horizontal="left" vertical="center" wrapText="1" indent="6"/>
      <protection locked="0"/>
    </xf>
    <xf numFmtId="49" fontId="22" fillId="41" borderId="30" xfId="0" applyFont="1" applyFill="1" applyBorder="1" applyNumberFormat="1">
      <alignment horizontal="center" vertical="center" wrapText="1"/>
    </xf>
    <xf numFmtId="49" fontId="39" fillId="38" borderId="28" xfId="0" applyFont="1" applyFill="1" applyBorder="1" applyNumberFormat="1">
      <alignment horizontal="left" vertical="center"/>
    </xf>
    <xf numFmtId="49" fontId="22" fillId="37" borderId="24" xfId="0" applyFont="1" applyFill="1" applyBorder="1" applyNumberFormat="1">
      <alignment horizontal="left" vertical="center" wrapText="1" indent="6"/>
      <protection locked="0"/>
    </xf>
    <xf numFmtId="0" fontId="46" fillId="0" borderId="0" xfId="0" applyFont="1" applyNumberFormat="1">
      <alignment horizontal="center" vertical="center"/>
    </xf>
    <xf numFmtId="0" fontId="46" fillId="0" borderId="0" xfId="0" applyFont="1" applyNumberFormat="1">
      <alignment horizontal="left" vertical="center" wrapText="1" indent="1"/>
    </xf>
    <xf numFmtId="0" fontId="22" fillId="36" borderId="13" xfId="0" applyFont="1" applyFill="1" applyBorder="1" applyNumberFormat="1">
      <alignment horizontal="center" vertical="center" wrapText="1"/>
    </xf>
    <xf numFmtId="0" fontId="46" fillId="0" borderId="20" xfId="0" applyFont="1" applyBorder="1" applyNumberFormat="1">
      <alignment horizontal="left" vertical="center" wrapText="1"/>
    </xf>
    <xf numFmtId="0" fontId="22" fillId="0" borderId="0" xfId="0" applyFont="1" applyNumberFormat="1">
      <alignment horizontal="left" vertical="top" wrapText="1"/>
    </xf>
    <xf numFmtId="0" fontId="45" fillId="0" borderId="0" xfId="0" applyFont="1" applyNumberFormat="1">
      <alignment horizontal="center" vertical="center" wrapText="1"/>
    </xf>
    <xf numFmtId="0" fontId="22" fillId="36"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0" fontId="46" fillId="0" borderId="0" xfId="0" applyFont="1" applyNumberFormat="1">
      <alignment horizontal="center" vertical="center"/>
    </xf>
    <xf numFmtId="0" fontId="45" fillId="0" borderId="0" xfId="0" applyFont="1" applyNumberFormat="1">
      <alignment horizontal="center" vertical="center" wrapText="1"/>
    </xf>
    <xf numFmtId="0" fontId="22" fillId="0" borderId="0" xfId="0" applyFont="1" applyNumberFormat="1">
      <alignment horizontal="right" vertical="center" wrapText="1"/>
    </xf>
    <xf numFmtId="0" fontId="22"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49" fontId="22" fillId="0" borderId="0" xfId="0" applyFont="1" applyNumberFormat="1">
      <alignment vertical="center" wrapText="1"/>
    </xf>
    <xf numFmtId="49" fontId="22" fillId="41" borderId="13" xfId="0" applyFont="1" applyFill="1" applyBorder="1" applyNumberFormat="1">
      <alignment horizontal="center" vertical="center" wrapText="1"/>
    </xf>
    <xf numFmtId="49" fontId="22" fillId="36" borderId="13" xfId="0" applyFont="1" applyFill="1" applyBorder="1" applyNumberFormat="1">
      <alignment horizontal="center" vertical="center" wrapText="1"/>
    </xf>
    <xf numFmtId="49" fontId="22" fillId="40" borderId="13" xfId="0" applyFont="1" applyFill="1" applyBorder="1" applyNumberFormat="1">
      <alignment horizontal="left" vertical="center" wrapText="1" indent="1"/>
      <protection locked="0"/>
    </xf>
    <xf numFmtId="49" fontId="46" fillId="0" borderId="13" xfId="0" applyFont="1" applyBorder="1" applyNumberFormat="1">
      <alignment horizontal="center" vertical="center" wrapText="1"/>
    </xf>
    <xf numFmtId="0" fontId="22" fillId="36" borderId="13" xfId="0" applyFont="1" applyFill="1" applyBorder="1" applyNumberFormat="1">
      <alignment horizontal="center" vertical="center" wrapText="1"/>
    </xf>
    <xf numFmtId="0" fontId="22" fillId="0" borderId="0" xfId="0" applyFont="1" applyNumberFormat="1">
      <alignment horizontal="left" vertical="top" wrapText="1"/>
    </xf>
    <xf numFmtId="49" fontId="22" fillId="36" borderId="13" xfId="0" applyFont="1" applyFill="1" applyBorder="1" applyNumberFormat="1">
      <alignment horizontal="center" vertical="center" wrapText="1"/>
    </xf>
    <xf numFmtId="0" fontId="45" fillId="0" borderId="0" xfId="0" applyFont="1" applyNumberFormat="1">
      <alignment horizontal="center" vertical="center" wrapText="1"/>
    </xf>
    <xf numFmtId="49" fontId="22" fillId="36" borderId="13" xfId="0" applyFont="1" applyFill="1" applyBorder="1" applyNumberFormat="1">
      <alignment horizontal="center" vertical="center" wrapText="1"/>
    </xf>
    <xf numFmtId="0" fontId="45" fillId="0" borderId="0" xfId="0" applyFont="1" applyNumberFormat="1">
      <alignment horizontal="center" vertical="center" wrapText="1"/>
    </xf>
    <xf numFmtId="49" fontId="22" fillId="0" borderId="0" xfId="0" applyFont="1" applyNumberFormat="1">
      <alignment vertical="center" wrapText="1"/>
    </xf>
    <xf numFmtId="0" fontId="78" fillId="36" borderId="20" xfId="0" applyFont="1" applyFill="1" applyBorder="1" applyNumberFormat="1">
      <alignment horizontal="center" vertical="center" wrapText="1"/>
    </xf>
    <xf numFmtId="0" fontId="22" fillId="0" borderId="0" xfId="0" applyFont="1" applyNumberFormat="1">
      <alignment vertical="center" wrapText="1"/>
    </xf>
    <xf numFmtId="49" fontId="46"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9" xfId="0" applyFont="1" applyBorder="1" applyNumberFormat="1">
      <alignment horizontal="center" vertical="center" wrapText="1"/>
    </xf>
    <xf numFmtId="0" fontId="22" fillId="40" borderId="13" xfId="0" applyFont="1" applyFill="1" applyBorder="1" applyNumberFormat="1">
      <alignment horizontal="left" vertical="center" wrapText="1" indent="2"/>
      <protection locked="0"/>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vertical="center" wrapText="1"/>
    </xf>
    <xf numFmtId="0" fontId="82" fillId="0" borderId="0" xfId="0" applyFont="1" applyNumberFormat="1">
      <alignment vertical="center" wrapText="1"/>
    </xf>
    <xf numFmtId="0" fontId="46" fillId="0" borderId="29" xfId="0" applyFont="1" applyBorder="1" applyNumberFormat="1">
      <alignment horizontal="center" vertical="center" wrapText="1"/>
    </xf>
    <xf numFmtId="0" fontId="46" fillId="0" borderId="13" xfId="0" applyFont="1" applyBorder="1" applyNumberFormat="1">
      <alignment horizontal="left" vertical="center" wrapText="1" indent="2"/>
    </xf>
    <xf numFmtId="0" fontId="46" fillId="0" borderId="13" xfId="0" applyFont="1" applyBorder="1" applyNumberFormat="1">
      <alignment horizontal="center" vertical="center" wrapText="1"/>
    </xf>
    <xf numFmtId="0" fontId="46" fillId="0" borderId="13" xfId="0" applyFont="1" applyBorder="1" applyNumberFormat="1">
      <alignment horizontal="center" vertical="center" wrapText="1"/>
    </xf>
    <xf numFmtId="0" fontId="46" fillId="0" borderId="13" xfId="0" applyFont="1" applyBorder="1" applyNumberFormat="1">
      <alignment vertical="center" wrapText="1"/>
    </xf>
    <xf numFmtId="0" fontId="22" fillId="0" borderId="13" xfId="0" applyFont="1" applyBorder="1" applyNumberFormat="1">
      <alignment horizontal="left" vertical="center" wrapText="1" indent="3"/>
    </xf>
    <xf numFmtId="49" fontId="22" fillId="40" borderId="13" xfId="0" applyFont="1" applyFill="1" applyBorder="1" applyNumberFormat="1">
      <alignment horizontal="center" vertical="center" wrapText="1"/>
      <protection locked="0"/>
    </xf>
    <xf numFmtId="4" fontId="22" fillId="37" borderId="13" xfId="0" applyFont="1" applyFill="1" applyBorder="1" applyNumberFormat="1">
      <alignment horizontal="right" vertical="center" wrapText="1"/>
      <protection locked="0"/>
    </xf>
    <xf numFmtId="4" fontId="22" fillId="37" borderId="13" xfId="0" applyFont="1" applyFill="1" applyBorder="1" applyNumberFormat="1">
      <alignment horizontal="right" vertical="center" wrapText="1"/>
      <protection locked="0"/>
    </xf>
    <xf numFmtId="0" fontId="22" fillId="37" borderId="13" xfId="0" applyFont="1" applyFill="1" applyBorder="1" applyNumberFormat="1">
      <alignment horizontal="left" vertical="center" wrapText="1"/>
      <protection locked="0"/>
    </xf>
    <xf numFmtId="0" fontId="22" fillId="37" borderId="13" xfId="0" applyFont="1" applyFill="1" applyBorder="1" applyNumberFormat="1">
      <alignment horizontal="left" vertical="center" wrapText="1"/>
      <protection locked="0"/>
    </xf>
    <xf numFmtId="49" fontId="89" fillId="0" borderId="0" xfId="0" applyFont="1" applyNumberFormat="1">
      <alignment horizontal="center" vertical="center" wrapText="1"/>
    </xf>
    <xf numFmtId="0" fontId="45" fillId="0" borderId="0" xfId="0" applyFont="1" applyNumberFormat="1">
      <alignment vertical="center" wrapText="1"/>
    </xf>
    <xf numFmtId="49" fontId="22" fillId="0" borderId="0" xfId="0" applyFont="1" applyNumberFormat="1">
      <alignment horizontal="center" vertical="top" wrapText="1"/>
    </xf>
    <xf numFmtId="0" fontId="22" fillId="0" borderId="13" xfId="0" applyFont="1" applyBorder="1" applyNumberFormat="1">
      <alignment horizontal="center" vertical="center" wrapText="1"/>
    </xf>
    <xf numFmtId="0" fontId="22" fillId="0" borderId="14" xfId="0" applyFont="1" applyBorder="1" applyNumberFormat="1">
      <alignment vertical="top" wrapText="1"/>
    </xf>
    <xf numFmtId="0" fontId="52" fillId="0" borderId="0" xfId="0" applyFont="1" applyNumberFormat="1">
      <alignment vertical="center" wrapText="1"/>
    </xf>
    <xf numFmtId="0" fontId="22" fillId="0" borderId="14" xfId="0" applyFont="1" applyBorder="1" applyNumberFormat="1">
      <alignment horizontal="center" vertical="center" wrapText="1"/>
    </xf>
    <xf numFmtId="167" fontId="22" fillId="37" borderId="13" xfId="0" applyFont="1" applyFill="1" applyBorder="1" applyNumberFormat="1">
      <alignment horizontal="right" vertical="center" wrapText="1"/>
      <protection locked="0"/>
    </xf>
    <xf numFmtId="167" fontId="22" fillId="37" borderId="13" xfId="0" applyFont="1" applyFill="1" applyBorder="1" applyNumberFormat="1">
      <alignment horizontal="right" vertical="center" wrapText="1"/>
      <protection locked="0"/>
    </xf>
    <xf numFmtId="0" fontId="22" fillId="0" borderId="21" xfId="0" applyFont="1" applyBorder="1" applyNumberFormat="1">
      <alignment vertical="center" wrapText="1"/>
    </xf>
    <xf numFmtId="0" fontId="31" fillId="0" borderId="0" xfId="0" applyFont="1" applyNumberFormat="1">
      <alignment vertical="center" wrapText="1"/>
    </xf>
    <xf numFmtId="0" fontId="31" fillId="0" borderId="0" xfId="0" applyFont="1" applyNumberFormat="1">
      <alignment vertical="center" wrapText="1"/>
    </xf>
    <xf numFmtId="0" fontId="22" fillId="0" borderId="20" xfId="0" applyFont="1" applyBorder="1" applyNumberFormat="1">
      <alignment horizontal="left" vertical="top" wrapText="1" indent="1"/>
    </xf>
    <xf numFmtId="0" fontId="22" fillId="0" borderId="20" xfId="0" applyFont="1" applyBorder="1" applyNumberFormat="1">
      <alignment horizontal="left" vertical="top" wrapText="1" indent="1"/>
    </xf>
    <xf numFmtId="0" fontId="30" fillId="0" borderId="0" xfId="0" applyFont="1" applyNumberFormat="1">
      <alignment vertical="center" wrapText="1"/>
    </xf>
    <xf numFmtId="0" fontId="22" fillId="0" borderId="28"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5" fillId="36" borderId="0" xfId="0" applyFont="1" applyFill="1" applyNumberFormat="1">
      <alignment horizontal="right" vertical="center"/>
    </xf>
    <xf numFmtId="0" fontId="95" fillId="36" borderId="0" xfId="0" applyFont="1" applyFill="1" applyNumberFormat="1">
      <alignment horizontal="right" vertical="center"/>
    </xf>
    <xf numFmtId="0" fontId="22" fillId="0" borderId="15" xfId="0" applyFont="1" applyBorder="1" applyNumberFormat="1">
      <alignment vertical="center" wrapText="1"/>
    </xf>
    <xf numFmtId="0" fontId="22" fillId="0" borderId="16" xfId="0" applyFont="1" applyBorder="1" applyNumberFormat="1">
      <alignment horizontal="right" vertical="center" wrapText="1" indent="1"/>
    </xf>
    <xf numFmtId="0" fontId="22" fillId="0" borderId="14" xfId="0" applyFont="1" applyBorder="1" applyNumberFormat="1">
      <alignment horizontal="right" vertical="center" wrapText="1" indent="1"/>
    </xf>
    <xf numFmtId="0" fontId="22" fillId="35" borderId="15" xfId="0" applyFont="1" applyFill="1" applyBorder="1" applyNumberFormat="1">
      <alignment horizontal="left" vertical="top" wrapText="1"/>
    </xf>
    <xf numFmtId="0" fontId="22" fillId="35" borderId="15" xfId="0" applyFont="1" applyFill="1" applyBorder="1" applyNumberFormat="1">
      <alignment horizontal="left" vertical="top" wrapText="1"/>
    </xf>
    <xf numFmtId="0" fontId="22" fillId="35" borderId="15" xfId="0" applyFont="1" applyFill="1" applyBorder="1" applyNumberFormat="1">
      <alignment horizontal="left" vertical="top" wrapText="1"/>
    </xf>
    <xf numFmtId="0" fontId="22" fillId="0" borderId="15" xfId="0" applyFont="1" applyBorder="1" applyNumberFormat="1">
      <alignment horizontal="right" vertical="center" wrapText="1"/>
    </xf>
    <xf numFmtId="0" fontId="22" fillId="0" borderId="16" xfId="0" applyFont="1" applyBorder="1" applyNumberFormat="1">
      <alignment horizontal="right" vertical="center" wrapText="1"/>
    </xf>
    <xf numFmtId="0" fontId="22" fillId="0" borderId="16" xfId="0" applyFont="1" applyBorder="1" applyNumberFormat="1">
      <alignment horizontal="right" vertical="center" wrapText="1" indent="1"/>
    </xf>
    <xf numFmtId="0" fontId="22" fillId="0" borderId="16" xfId="0" applyFont="1" applyBorder="1" applyNumberFormat="1">
      <alignment horizontal="right" vertical="center" wrapText="1" indent="1"/>
    </xf>
    <xf numFmtId="0" fontId="22" fillId="0" borderId="16"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4" fontId="22" fillId="40" borderId="13" xfId="0" applyFont="1" applyFill="1" applyBorder="1" applyNumberFormat="1">
      <alignment horizontal="right" vertical="center" wrapText="1"/>
      <protection locked="0"/>
    </xf>
    <xf numFmtId="4" fontId="22" fillId="40" borderId="13" xfId="0" applyFont="1" applyFill="1" applyBorder="1" applyNumberFormat="1">
      <alignment horizontal="right" vertical="center" wrapText="1"/>
      <protection locked="0"/>
    </xf>
    <xf numFmtId="4" fontId="22" fillId="35" borderId="13" xfId="0" applyFont="1" applyFill="1" applyBorder="1" applyNumberFormat="1">
      <alignment horizontal="right" vertical="center" wrapText="1"/>
    </xf>
    <xf numFmtId="4" fontId="22" fillId="35" borderId="13" xfId="0" applyFont="1" applyFill="1" applyBorder="1" applyNumberFormat="1">
      <alignment horizontal="right" vertical="center" wrapText="1"/>
    </xf>
    <xf numFmtId="0" fontId="22" fillId="0" borderId="13" xfId="0" applyFont="1" applyBorder="1" applyNumberFormat="1">
      <alignment horizontal="left" vertical="center" wrapText="1" indent="1"/>
    </xf>
    <xf numFmtId="49" fontId="89" fillId="34" borderId="0" xfId="0" applyFont="1" applyFill="1" applyNumberFormat="1">
      <alignment horizontal="center" vertical="center" textRotation="90" wrapText="1"/>
    </xf>
    <xf numFmtId="0" fontId="70" fillId="0" borderId="0" xfId="0" applyFont="1" applyNumberFormat="1">
      <alignment horizontal="center" vertical="center" wrapText="1"/>
    </xf>
    <xf numFmtId="49" fontId="70" fillId="0" borderId="0" xfId="0" applyFont="1" applyNumberFormat="1">
      <alignment horizontal="center" vertical="center" wrapText="1"/>
    </xf>
    <xf numFmtId="49" fontId="70" fillId="0" borderId="29" xfId="0" applyFont="1" applyBorder="1" applyNumberFormat="1">
      <alignment horizontal="center" vertical="center" wrapText="1"/>
    </xf>
    <xf numFmtId="0" fontId="70" fillId="0" borderId="13" xfId="0" applyFont="1" applyBorder="1" applyNumberFormat="1">
      <alignment horizontal="left" vertical="center" wrapText="1" indent="2"/>
    </xf>
    <xf numFmtId="0" fontId="70" fillId="0" borderId="13" xfId="0" applyFont="1" applyBorder="1" applyNumberFormat="1">
      <alignment horizontal="center" vertical="center" wrapText="1"/>
    </xf>
    <xf numFmtId="49" fontId="70" fillId="0" borderId="13" xfId="0" applyFont="1" applyBorder="1" applyNumberFormat="1">
      <alignment horizontal="left" vertical="center" wrapText="1"/>
    </xf>
    <xf numFmtId="0" fontId="70" fillId="0" borderId="13" xfId="0" applyFont="1" applyBorder="1" applyNumberFormat="1">
      <alignment vertical="center" wrapText="1"/>
    </xf>
    <xf numFmtId="0" fontId="83" fillId="0" borderId="0" xfId="0" applyFont="1" applyNumberFormat="1">
      <alignment vertical="center" wrapText="1"/>
    </xf>
    <xf numFmtId="0" fontId="61" fillId="0" borderId="0" xfId="0" applyFont="1" applyNumberFormat="1">
      <alignment vertical="center" wrapText="1"/>
    </xf>
    <xf numFmtId="0" fontId="70" fillId="0" borderId="29" xfId="0" applyFont="1" applyBorder="1" applyNumberFormat="1">
      <alignment horizontal="center" vertical="center" wrapText="1"/>
    </xf>
    <xf numFmtId="0" fontId="70" fillId="0" borderId="13" xfId="0" applyFont="1" applyBorder="1" applyNumberFormat="1">
      <alignment horizontal="left" vertical="center" wrapText="1" indent="3"/>
    </xf>
    <xf numFmtId="4" fontId="70" fillId="0" borderId="13" xfId="0" applyFont="1" applyBorder="1" applyNumberFormat="1">
      <alignment horizontal="right" vertical="center" wrapText="1"/>
    </xf>
    <xf numFmtId="4" fontId="70" fillId="0" borderId="13" xfId="0" applyFont="1" applyBorder="1" applyNumberFormat="1">
      <alignment horizontal="right"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0" fontId="82" fillId="0" borderId="0" xfId="0" applyFont="1" applyNumberFormat="1">
      <alignment vertical="center" wrapText="1"/>
    </xf>
    <xf numFmtId="0" fontId="52" fillId="0" borderId="0" xfId="0" applyFont="1" applyNumberFormat="1">
      <alignment vertical="center" wrapText="1"/>
    </xf>
    <xf numFmtId="0" fontId="46" fillId="0" borderId="0" xfId="0" applyFont="1" applyNumberFormat="1">
      <alignment vertical="center" wrapText="1"/>
    </xf>
    <xf numFmtId="49" fontId="22" fillId="0" borderId="0" xfId="0" applyFont="1" applyNumberFormat="1">
      <alignment horizontal="center" vertical="center" wrapText="1"/>
    </xf>
    <xf numFmtId="0" fontId="36" fillId="0" borderId="0" xfId="0" applyFont="1" applyNumberFormat="1">
      <alignment horizontal="center" vertical="center" wrapText="1"/>
    </xf>
    <xf numFmtId="49" fontId="22" fillId="38" borderId="15" xfId="0" applyFont="1" applyFill="1" applyBorder="1" applyNumberFormat="1">
      <alignment vertical="center" wrapText="1"/>
    </xf>
    <xf numFmtId="0" fontId="22" fillId="38" borderId="16"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0" borderId="13" xfId="0" applyFont="1" applyBorder="1" applyNumberFormat="1">
      <alignment horizontal="left" vertical="center" wrapText="1" indent="2"/>
    </xf>
    <xf numFmtId="14" fontId="22" fillId="0" borderId="0" xfId="0" applyFont="1" applyNumberFormat="1">
      <alignment horizontal="center" vertical="center" wrapText="1"/>
    </xf>
    <xf numFmtId="49" fontId="89" fillId="34" borderId="0" xfId="0" applyFont="1" applyFill="1" applyNumberFormat="1">
      <alignment horizontal="center" vertical="center" wrapText="1"/>
    </xf>
    <xf numFmtId="49" fontId="48" fillId="0" borderId="0" xfId="0" applyFont="1" applyNumberFormat="1">
      <alignment horizontal="center" vertical="center"/>
    </xf>
    <xf numFmtId="167" fontId="22" fillId="40" borderId="13" xfId="0" applyFont="1" applyFill="1" applyBorder="1" applyNumberFormat="1">
      <alignment horizontal="right" vertical="center" wrapText="1"/>
      <protection locked="0"/>
    </xf>
    <xf numFmtId="167" fontId="22" fillId="40" borderId="13" xfId="0" applyFont="1" applyFill="1" applyBorder="1" applyNumberFormat="1">
      <alignment horizontal="right" vertical="center" wrapText="1"/>
      <protection locked="0"/>
    </xf>
    <xf numFmtId="0" fontId="45" fillId="0" borderId="0" xfId="0" applyFont="1" applyNumberFormat="1">
      <alignment horizontal="left" vertical="center" wrapText="1"/>
    </xf>
    <xf numFmtId="49" fontId="89" fillId="0" borderId="0" xfId="0" applyFont="1" applyNumberFormat="1">
      <alignment horizontal="left" vertical="center" wrapText="1"/>
    </xf>
    <xf numFmtId="0" fontId="46" fillId="0" borderId="0" xfId="0" applyFont="1" applyNumberFormat="1">
      <alignment horizontal="left" vertical="center" wrapText="1"/>
    </xf>
    <xf numFmtId="49" fontId="22" fillId="0" borderId="0" xfId="0" applyFont="1" applyNumberFormat="1">
      <alignment horizontal="left" vertical="center" wrapText="1"/>
    </xf>
    <xf numFmtId="0" fontId="52" fillId="0" borderId="0" xfId="0" applyFont="1" applyNumberFormat="1">
      <alignment horizontal="left" vertical="center" wrapText="1"/>
    </xf>
    <xf numFmtId="0" fontId="31" fillId="0" borderId="0" xfId="0" applyFont="1" applyNumberFormat="1">
      <alignment horizontal="left" vertical="center" wrapText="1"/>
    </xf>
    <xf numFmtId="49" fontId="22" fillId="41" borderId="13" xfId="0" applyFont="1" applyFill="1" applyBorder="1" applyNumberFormat="1">
      <alignment horizontal="left" vertical="center" wrapText="1"/>
    </xf>
    <xf numFmtId="49" fontId="22" fillId="41" borderId="13" xfId="0" applyFont="1" applyFill="1" applyBorder="1" applyNumberFormat="1">
      <alignment horizontal="left" vertical="center" wrapText="1"/>
    </xf>
    <xf numFmtId="49" fontId="22" fillId="41" borderId="13" xfId="0" applyFont="1" applyFill="1" applyBorder="1" applyNumberFormat="1">
      <alignment horizontal="left" vertical="center" wrapText="1"/>
    </xf>
    <xf numFmtId="0" fontId="22" fillId="0" borderId="18" xfId="0" applyFont="1" applyBorder="1" applyNumberFormat="1">
      <alignment horizontal="center" vertical="center" wrapText="1"/>
    </xf>
    <xf numFmtId="4" fontId="22" fillId="35" borderId="18" xfId="0" applyFont="1" applyFill="1" applyBorder="1" applyNumberFormat="1">
      <alignment horizontal="right" vertical="center" wrapText="1"/>
    </xf>
    <xf numFmtId="4" fontId="22" fillId="35" borderId="18" xfId="0" applyFont="1" applyFill="1" applyBorder="1" applyNumberFormat="1">
      <alignment horizontal="right" vertical="center" wrapText="1"/>
    </xf>
    <xf numFmtId="0" fontId="46" fillId="0" borderId="13" xfId="0" applyFont="1" applyBorder="1" applyNumberFormat="1">
      <alignment horizontal="left" vertical="center" wrapText="1" indent="3"/>
    </xf>
    <xf numFmtId="49" fontId="46" fillId="0" borderId="13" xfId="0" applyFont="1" applyBorder="1" applyNumberFormat="1">
      <alignment vertical="center" wrapText="1"/>
    </xf>
    <xf numFmtId="49" fontId="46" fillId="0" borderId="13" xfId="0" applyFont="1" applyBorder="1" applyNumberFormat="1">
      <alignment vertical="center" wrapText="1"/>
    </xf>
    <xf numFmtId="0" fontId="46" fillId="0" borderId="18" xfId="0" applyFont="1" applyBorder="1" applyNumberFormat="1">
      <alignment vertical="top"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0" borderId="18" xfId="0" applyFont="1" applyBorder="1" applyNumberFormat="1">
      <alignment horizontal="center" vertical="center" wrapText="1"/>
    </xf>
    <xf numFmtId="0" fontId="22" fillId="0" borderId="15"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40" borderId="14" xfId="0" applyFont="1" applyFill="1" applyBorder="1" applyNumberFormat="1">
      <alignment horizontal="right" vertical="center" wrapText="1"/>
      <protection locked="0"/>
    </xf>
    <xf numFmtId="4" fontId="22" fillId="40" borderId="14" xfId="0" applyFont="1" applyFill="1" applyBorder="1" applyNumberFormat="1">
      <alignment horizontal="right" vertical="center" wrapText="1"/>
      <protection locked="0"/>
    </xf>
    <xf numFmtId="0" fontId="22" fillId="0" borderId="15" xfId="0" applyFont="1" applyBorder="1" applyNumberFormat="1">
      <alignment horizontal="left" vertical="center" wrapText="1" indent="1"/>
    </xf>
    <xf numFmtId="0" fontId="22" fillId="0" borderId="15" xfId="0" applyFont="1" applyBorder="1" applyNumberFormat="1">
      <alignment horizontal="left" vertical="center" wrapText="1"/>
    </xf>
    <xf numFmtId="0" fontId="22" fillId="0" borderId="24" xfId="0" applyFont="1" applyBorder="1" applyNumberFormat="1">
      <alignment horizontal="center" vertical="center" wrapText="1"/>
    </xf>
    <xf numFmtId="49" fontId="51" fillId="37" borderId="14" xfId="0" applyFont="1" applyFill="1" applyBorder="1" applyNumberFormat="1">
      <alignment horizontal="left" vertical="center" wrapText="1"/>
      <protection locked="0"/>
    </xf>
    <xf numFmtId="49" fontId="51" fillId="37" borderId="13" xfId="0" applyFont="1" applyFill="1" applyBorder="1" applyNumberFormat="1">
      <alignment horizontal="left" vertical="center" wrapText="1"/>
      <protection locked="0"/>
    </xf>
    <xf numFmtId="49" fontId="51" fillId="37" borderId="14" xfId="0" applyFont="1" applyFill="1" applyBorder="1" applyNumberFormat="1">
      <alignment horizontal="left" vertical="center" wrapText="1"/>
      <protection locked="0"/>
    </xf>
    <xf numFmtId="0" fontId="46" fillId="0" borderId="0" xfId="0" applyFont="1" applyNumberFormat="1">
      <alignment vertical="center" wrapText="1"/>
    </xf>
    <xf numFmtId="49" fontId="22" fillId="0" borderId="0" xfId="0" applyFont="1" applyNumberFormat="1">
      <alignment horizontal="center" vertical="center" wrapText="1"/>
    </xf>
    <xf numFmtId="0" fontId="22" fillId="0" borderId="13" xfId="0" applyFont="1" applyBorder="1" applyNumberFormat="1">
      <alignment horizontal="center" vertical="center" wrapText="1"/>
    </xf>
    <xf numFmtId="167" fontId="22" fillId="40" borderId="14" xfId="0" applyFont="1" applyFill="1" applyBorder="1" applyNumberFormat="1">
      <alignment horizontal="right" vertical="center" wrapText="1"/>
      <protection locked="0"/>
    </xf>
    <xf numFmtId="167" fontId="22" fillId="40" borderId="14" xfId="0" applyFont="1" applyFill="1" applyBorder="1" applyNumberFormat="1">
      <alignment horizontal="right" vertical="center" wrapText="1"/>
      <protection locked="0"/>
    </xf>
    <xf numFmtId="0" fontId="31" fillId="0" borderId="0" xfId="0" applyFont="1" applyNumberFormat="1">
      <alignment vertical="center" wrapText="1"/>
    </xf>
    <xf numFmtId="0" fontId="45" fillId="0" borderId="0" xfId="0" applyFont="1" applyNumberFormat="1">
      <alignment vertical="center" wrapText="1"/>
    </xf>
    <xf numFmtId="49" fontId="48" fillId="0" borderId="0" xfId="0" applyFont="1" applyNumberFormat="1">
      <alignment horizontal="center" vertical="center"/>
    </xf>
    <xf numFmtId="0" fontId="22" fillId="0" borderId="0" xfId="0" applyFont="1" applyNumberFormat="1">
      <alignment vertical="center" wrapText="1"/>
    </xf>
    <xf numFmtId="167" fontId="22" fillId="35" borderId="14" xfId="0" applyFont="1" applyFill="1" applyBorder="1" applyNumberFormat="1">
      <alignment horizontal="right" vertical="center" wrapText="1"/>
    </xf>
    <xf numFmtId="167" fontId="22" fillId="35" borderId="13" xfId="0" applyFont="1" applyFill="1" applyBorder="1" applyNumberFormat="1">
      <alignment horizontal="right" vertical="center" wrapText="1"/>
    </xf>
    <xf numFmtId="167" fontId="22" fillId="35" borderId="14" xfId="0" applyFont="1" applyFill="1" applyBorder="1" applyNumberFormat="1">
      <alignment horizontal="right" vertical="center" wrapText="1"/>
    </xf>
    <xf numFmtId="0" fontId="22" fillId="40" borderId="13" xfId="0" applyFont="1" applyFill="1" applyBorder="1" applyNumberFormat="1">
      <alignment horizontal="center" vertical="center" wrapText="1"/>
      <protection locked="0"/>
    </xf>
    <xf numFmtId="4" fontId="22" fillId="40" borderId="30" xfId="0" applyFont="1" applyFill="1" applyBorder="1" applyNumberFormat="1">
      <alignment horizontal="right" vertical="center" wrapText="1"/>
      <protection locked="0"/>
    </xf>
    <xf numFmtId="4" fontId="22" fillId="40" borderId="24" xfId="0" applyFont="1" applyFill="1" applyBorder="1" applyNumberFormat="1">
      <alignment horizontal="right" vertical="center" wrapText="1"/>
      <protection locked="0"/>
    </xf>
    <xf numFmtId="4" fontId="22" fillId="40" borderId="30" xfId="0" applyFont="1" applyFill="1" applyBorder="1" applyNumberFormat="1">
      <alignment horizontal="right" vertical="center" wrapText="1"/>
      <protection locked="0"/>
    </xf>
    <xf numFmtId="0" fontId="46" fillId="0" borderId="37" xfId="0" applyFont="1" applyBorder="1" applyNumberFormat="1">
      <alignment horizontal="left" vertical="center" wrapText="1" indent="1"/>
    </xf>
    <xf numFmtId="0" fontId="46" fillId="0" borderId="37" xfId="0" applyFont="1" applyBorder="1" applyNumberFormat="1">
      <alignment horizontal="center" vertical="center" wrapText="1"/>
    </xf>
    <xf numFmtId="0" fontId="46" fillId="0" borderId="18" xfId="0" applyFont="1" applyBorder="1" applyNumberFormat="1">
      <alignment vertical="center" wrapText="1"/>
    </xf>
    <xf numFmtId="49" fontId="22" fillId="38" borderId="38" xfId="0" applyFont="1" applyFill="1" applyBorder="1" applyNumberFormat="1">
      <alignment vertical="center" wrapText="1"/>
    </xf>
    <xf numFmtId="49" fontId="39" fillId="38" borderId="20" xfId="0" applyFont="1" applyFill="1" applyBorder="1" applyNumberFormat="1">
      <alignment horizontal="left" vertical="center" inden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4" fontId="22" fillId="37" borderId="14" xfId="0" applyFont="1" applyFill="1" applyBorder="1" applyNumberFormat="1">
      <alignment horizontal="right" vertical="center" wrapText="1"/>
      <protection locked="0"/>
    </xf>
    <xf numFmtId="0" fontId="22" fillId="0" borderId="14" xfId="0" applyFont="1" applyBorder="1" applyNumberFormat="1">
      <alignment horizontal="center" vertical="center" wrapText="1"/>
    </xf>
    <xf numFmtId="0" fontId="22" fillId="0" borderId="21" xfId="0" applyFont="1" applyBorder="1" applyNumberFormat="1">
      <alignment horizontal="center" vertical="center" wrapText="1"/>
    </xf>
    <xf numFmtId="167" fontId="22" fillId="40" borderId="18" xfId="0" applyFont="1" applyFill="1" applyBorder="1" applyNumberFormat="1">
      <alignment horizontal="right" vertical="center" wrapText="1"/>
      <protection locked="0"/>
    </xf>
    <xf numFmtId="167" fontId="22" fillId="40" borderId="18" xfId="0" applyFont="1" applyFill="1" applyBorder="1" applyNumberFormat="1">
      <alignment horizontal="right" vertical="center" wrapText="1"/>
      <protection locked="0"/>
    </xf>
    <xf numFmtId="0" fontId="46" fillId="0" borderId="24" xfId="0" applyFont="1" applyBorder="1" applyNumberFormat="1">
      <alignment horizontal="left" vertical="center" wrapText="1" indent="1"/>
    </xf>
    <xf numFmtId="0" fontId="46" fillId="0" borderId="18" xfId="0" applyFont="1" applyBorder="1" applyNumberFormat="1">
      <alignment horizontal="center" vertical="center" wrapText="1"/>
    </xf>
    <xf numFmtId="0" fontId="36" fillId="0" borderId="0" xfId="0" applyFont="1" applyNumberFormat="1">
      <alignment horizontal="center" vertical="center" wrapText="1"/>
    </xf>
    <xf numFmtId="49" fontId="22" fillId="38" borderId="38" xfId="0" applyFont="1" applyFill="1" applyBorder="1" applyNumberFormat="1">
      <alignment vertical="center" wrapText="1"/>
    </xf>
    <xf numFmtId="49" fontId="39" fillId="38" borderId="20" xfId="0" applyFont="1" applyFill="1" applyBorder="1" applyNumberFormat="1">
      <alignment horizontal="left" vertical="center" indent="1"/>
    </xf>
    <xf numFmtId="0" fontId="22" fillId="38" borderId="16"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22" fillId="0" borderId="24" xfId="0" applyFont="1" applyBorder="1" applyNumberFormat="1">
      <alignment vertical="top"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6" fillId="0" borderId="18" xfId="0" applyFont="1" applyBorder="1" applyNumberFormat="1">
      <alignment horizontal="left" vertical="center" wrapText="1" inden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49" fontId="51" fillId="37" borderId="13" xfId="0" applyFont="1" applyFill="1" applyBorder="1" applyNumberFormat="1">
      <alignment horizontal="left" vertical="center" wrapText="1"/>
      <protection locked="0"/>
    </xf>
    <xf numFmtId="49" fontId="51" fillId="37" borderId="13"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2" fillId="0" borderId="0" xfId="0" applyFont="1" applyNumberFormat="1">
      <alignment vertical="center"/>
    </xf>
    <xf numFmtId="0" fontId="70" fillId="0" borderId="0" xfId="0" applyFont="1" applyNumberFormat="1">
      <alignment vertical="center" wrapText="1"/>
    </xf>
    <xf numFmtId="0" fontId="61" fillId="0" borderId="0" xfId="0" applyFont="1" applyNumberFormat="1">
      <alignment vertical="center" wrapText="1"/>
    </xf>
    <xf numFmtId="0" fontId="61" fillId="0" borderId="0" xfId="0" applyFont="1" applyNumberFormat="1">
      <alignment vertical="center" wrapText="1"/>
    </xf>
    <xf numFmtId="0" fontId="89" fillId="0" borderId="0" xfId="0" applyFont="1" applyNumberFormat="1">
      <alignment vertical="center" wrapText="1"/>
    </xf>
    <xf numFmtId="49" fontId="89" fillId="0" borderId="0" xfId="0" applyFont="1" applyNumberFormat="1">
      <alignment horizontal="center" vertical="center" wrapText="1"/>
    </xf>
    <xf numFmtId="0" fontId="22" fillId="0" borderId="0" xfId="0" applyFont="1" applyNumberFormat="1">
      <alignment vertical="center" wrapText="1"/>
    </xf>
    <xf numFmtId="0" fontId="52" fillId="0" borderId="0" xfId="0" applyFont="1" applyNumberFormat="1">
      <alignment vertical="center" wrapText="1"/>
    </xf>
    <xf numFmtId="0" fontId="22" fillId="0" borderId="20" xfId="0" applyFont="1" applyBorder="1" applyNumberFormat="1">
      <alignment vertical="center" wrapText="1"/>
    </xf>
    <xf numFmtId="0" fontId="22" fillId="0" borderId="0" xfId="0" applyFont="1" applyNumberFormat="1">
      <alignment horizontal="center" vertical="center" wrapText="1"/>
    </xf>
    <xf numFmtId="49" fontId="31" fillId="0" borderId="0" xfId="0" applyFont="1" applyNumberFormat="1">
      <alignment horizontal="center" vertical="center" wrapText="1"/>
    </xf>
    <xf numFmtId="0" fontId="22" fillId="0" borderId="28" xfId="0" applyFont="1" applyBorder="1" applyNumberFormat="1">
      <alignment vertical="center" wrapText="1"/>
    </xf>
    <xf numFmtId="0" fontId="46" fillId="0" borderId="0" xfId="0" applyFont="1" applyNumberFormat="1">
      <alignment vertical="center" wrapText="1"/>
    </xf>
    <xf numFmtId="0" fontId="31" fillId="0" borderId="0" xfId="0" applyFont="1" applyNumberFormat="1">
      <alignment vertical="center" wrapText="1"/>
    </xf>
    <xf numFmtId="0" fontId="48" fillId="0" borderId="0" xfId="0" applyFont="1" applyNumberFormat="1">
      <alignment horizontal="center" vertical="center" wrapText="1"/>
    </xf>
    <xf numFmtId="49" fontId="61" fillId="0" borderId="0" xfId="0" applyFont="1" applyNumberFormat="1">
      <alignment horizontal="center" vertical="center" wrapText="1"/>
    </xf>
    <xf numFmtId="0" fontId="70" fillId="0" borderId="0" xfId="0" applyFont="1" applyNumberFormat="1">
      <alignment horizontal="center" vertical="center" wrapText="1"/>
    </xf>
    <xf numFmtId="0" fontId="98" fillId="0" borderId="0" xfId="0" applyFont="1" applyNumberFormat="1">
      <alignment horizontal="center" vertical="center" wrapText="1"/>
    </xf>
    <xf numFmtId="0" fontId="99" fillId="36" borderId="0" xfId="0" applyFont="1" applyFill="1" applyNumberFormat="1">
      <alignment horizontal="right" vertical="center"/>
    </xf>
    <xf numFmtId="0" fontId="69" fillId="0" borderId="0" xfId="0" applyFont="1" applyNumberFormat="1">
      <alignment vertical="center" wrapText="1"/>
    </xf>
    <xf numFmtId="0" fontId="22" fillId="0" borderId="13" xfId="0" applyFont="1" applyBorder="1" applyNumberFormat="1">
      <alignment horizontal="center" vertical="center" wrapText="1"/>
    </xf>
    <xf numFmtId="49" fontId="46" fillId="0" borderId="0" xfId="0" applyFont="1" applyNumberFormat="1">
      <alignment horizontal="center" vertical="center" wrapText="1"/>
    </xf>
    <xf numFmtId="49" fontId="46" fillId="0" borderId="0" xfId="0" applyFont="1" applyNumberFormat="1">
      <alignment horizontal="center" vertical="center" wrapText="1"/>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48" fillId="0" borderId="0" xfId="0" applyFont="1" applyNumberFormat="1">
      <alignment horizontal="center" vertical="center" wrapText="1"/>
    </xf>
    <xf numFmtId="0" fontId="69" fillId="0" borderId="0" xfId="0" applyFont="1" applyNumberFormat="1">
      <alignment vertical="center" wrapText="1"/>
    </xf>
    <xf numFmtId="0" fontId="46" fillId="0" borderId="0" xfId="0" applyFont="1" applyNumberFormat="1">
      <alignment vertical="center" wrapText="1"/>
    </xf>
    <xf numFmtId="0" fontId="3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6"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5" borderId="13" xfId="0" applyFont="1" applyFill="1" applyBorder="1" applyNumberFormat="1">
      <alignment horizontal="left" vertical="center" wrapText="1" indent="1"/>
    </xf>
    <xf numFmtId="0" fontId="22" fillId="0" borderId="14" xfId="0" applyFont="1" applyBorder="1" applyNumberFormat="1">
      <alignment horizontal="left" vertical="center" wrapText="1" indent="1"/>
    </xf>
    <xf numFmtId="49" fontId="46" fillId="0" borderId="23" xfId="0" applyFont="1" applyBorder="1" applyNumberFormat="1">
      <alignment vertical="top"/>
    </xf>
    <xf numFmtId="49" fontId="46"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0" fontId="45" fillId="0" borderId="0" xfId="0" applyFont="1" applyNumberFormat="1">
      <alignment horizontal="center" vertical="top"/>
    </xf>
    <xf numFmtId="49" fontId="45" fillId="0" borderId="0" xfId="0" applyFont="1" applyNumberFormat="1">
      <alignment vertical="top"/>
    </xf>
    <xf numFmtId="0" fontId="45" fillId="0" borderId="0" xfId="0" applyFont="1" applyNumberFormat="1">
      <alignment vertical="top"/>
    </xf>
    <xf numFmtId="0" fontId="72" fillId="0" borderId="0" xfId="0" applyFont="1" applyNumberFormat="1">
      <alignment vertical="top"/>
    </xf>
    <xf numFmtId="0" fontId="85" fillId="0" borderId="0" xfId="0" applyFont="1" applyNumberFormat="1">
      <alignment vertical="top"/>
    </xf>
    <xf numFmtId="49" fontId="46" fillId="0" borderId="37" xfId="0" applyFont="1" applyBorder="1" applyNumberFormat="1">
      <alignment horizontal="center" vertical="center" wrapText="1"/>
    </xf>
    <xf numFmtId="0" fontId="45" fillId="0" borderId="0" xfId="0" applyFont="1" applyNumberFormat="1">
      <alignment horizontal="center" vertical="center" wrapText="1"/>
    </xf>
    <xf numFmtId="0" fontId="22" fillId="0" borderId="24" xfId="0" applyFont="1" applyBorder="1" applyNumberFormat="1">
      <alignment horizontal="left" vertical="center" wrapText="1"/>
    </xf>
    <xf numFmtId="2" fontId="22" fillId="0" borderId="24" xfId="0" applyFont="1" applyBorder="1" applyNumberFormat="1">
      <alignment horizontal="center" vertical="center" wrapText="1"/>
    </xf>
    <xf numFmtId="0" fontId="22" fillId="0" borderId="13" xfId="0" applyFont="1" applyBorder="1" applyNumberFormat="1">
      <alignment horizontal="left" vertical="center" wrapText="1"/>
    </xf>
    <xf numFmtId="49" fontId="46" fillId="0" borderId="23" xfId="0" applyFont="1" applyBorder="1" applyNumberFormat="1">
      <alignment vertical="top"/>
    </xf>
    <xf numFmtId="0" fontId="46" fillId="0" borderId="0" xfId="0" applyFont="1" applyNumberFormat="1">
      <alignment horizontal="center" vertical="center" wrapText="1"/>
    </xf>
    <xf numFmtId="0" fontId="46" fillId="0" borderId="13" xfId="0" applyFont="1" applyBorder="1" applyNumberFormat="1">
      <alignment horizontal="left" vertical="center" wrapText="1"/>
    </xf>
    <xf numFmtId="0" fontId="46" fillId="0" borderId="13" xfId="0" applyFont="1" applyBorder="1" applyNumberFormat="1">
      <alignment vertical="center" wrapText="1"/>
    </xf>
    <xf numFmtId="0" fontId="46" fillId="0" borderId="23" xfId="0" applyFont="1" applyBorder="1" applyNumberFormat="1">
      <alignment vertical="center" wrapText="1"/>
    </xf>
    <xf numFmtId="49" fontId="39" fillId="38" borderId="15" xfId="0" applyFont="1" applyFill="1" applyBorder="1" applyNumberFormat="1">
      <alignment horizontal="left" vertical="center"/>
    </xf>
    <xf numFmtId="49" fontId="39" fillId="38" borderId="16" xfId="0" applyFont="1" applyFill="1" applyBorder="1" applyNumberFormat="1">
      <alignment horizontal="left" vertical="center" indent="1"/>
    </xf>
    <xf numFmtId="49" fontId="39" fillId="38" borderId="16" xfId="0" applyFont="1" applyFill="1" applyBorder="1" applyNumberFormat="1">
      <alignment horizontal="left" vertical="center"/>
    </xf>
    <xf numFmtId="49" fontId="39" fillId="38" borderId="14" xfId="0" applyFont="1" applyFill="1" applyBorder="1" applyNumberFormat="1">
      <alignment horizontal="left" vertical="center" indent="1"/>
    </xf>
    <xf numFmtId="0" fontId="22" fillId="0" borderId="24" xfId="0" applyFont="1" applyBorder="1" applyNumberFormat="1">
      <alignment horizontal="left" vertical="center" wrapText="1"/>
    </xf>
    <xf numFmtId="0" fontId="22" fillId="0" borderId="13" xfId="0" applyFont="1" applyBorder="1" applyNumberFormat="1">
      <alignment horizontal="left" vertical="center" wrapText="1"/>
    </xf>
    <xf numFmtId="0" fontId="45" fillId="0" borderId="0" xfId="0" applyFont="1" applyNumberFormat="1">
      <alignment horizontal="center" vertical="top"/>
    </xf>
    <xf numFmtId="0" fontId="46" fillId="0" borderId="0" xfId="0" applyFont="1" applyNumberFormat="1">
      <alignment horizontal="center" vertical="center" wrapText="1"/>
    </xf>
    <xf numFmtId="49" fontId="46" fillId="0" borderId="24" xfId="0" applyFont="1" applyBorder="1" applyNumberFormat="1">
      <alignment horizontal="center" vertical="center" wrapText="1"/>
    </xf>
    <xf numFmtId="49" fontId="22" fillId="0" borderId="18" xfId="0" applyFont="1" applyBorder="1" applyNumberFormat="1">
      <alignment horizontal="center" vertical="center" wrapText="1"/>
    </xf>
    <xf numFmtId="49" fontId="0" fillId="0" borderId="0" xfId="0" applyFont="1" applyNumberFormat="1">
      <alignment vertical="top"/>
    </xf>
    <xf numFmtId="49" fontId="22" fillId="0" borderId="37" xfId="0" applyFont="1" applyBorder="1" applyNumberFormat="1">
      <alignment horizontal="center" vertical="center" wrapText="1"/>
    </xf>
    <xf numFmtId="0" fontId="45" fillId="0" borderId="0" xfId="0" applyFont="1" applyNumberFormat="1">
      <alignment horizontal="center" vertical="center" wrapText="1"/>
    </xf>
    <xf numFmtId="0" fontId="22" fillId="0" borderId="13" xfId="0" applyFont="1" applyBorder="1" applyNumberFormat="1">
      <alignment horizontal="left" vertical="center" wrapText="1"/>
    </xf>
    <xf numFmtId="0" fontId="46" fillId="0" borderId="0" xfId="0" applyFont="1" applyNumberFormat="1">
      <alignment horizontal="center" vertical="center" wrapText="1"/>
    </xf>
    <xf numFmtId="0" fontId="39" fillId="0" borderId="13" xfId="0" applyFont="1" applyBorder="1" applyNumberFormat="1">
      <alignment horizontal="left" vertical="center" indent="1"/>
    </xf>
    <xf numFmtId="0" fontId="46" fillId="0" borderId="24" xfId="0" applyFont="1" applyBorder="1" applyNumberFormat="1">
      <alignment vertical="center" wrapText="1"/>
    </xf>
    <xf numFmtId="4" fontId="46" fillId="0" borderId="13" xfId="0" applyFont="1" applyBorder="1" applyNumberFormat="1">
      <alignment horizontal="right" vertical="center" wrapText="1"/>
    </xf>
    <xf numFmtId="2" fontId="46" fillId="0" borderId="24" xfId="0" applyFont="1" applyBorder="1" applyNumberFormat="1">
      <alignment horizontal="center" vertical="center" wrapText="1"/>
    </xf>
    <xf numFmtId="0" fontId="46" fillId="0" borderId="0" xfId="0" applyFont="1" applyNumberFormat="1">
      <alignment horizontal="center" vertical="top"/>
    </xf>
    <xf numFmtId="49" fontId="46" fillId="0" borderId="0" xfId="0" applyFont="1" applyNumberFormat="1">
      <alignment vertical="top"/>
    </xf>
    <xf numFmtId="49" fontId="22" fillId="0" borderId="24" xfId="0" applyFont="1" applyBorder="1" applyNumberFormat="1">
      <alignment horizontal="center" vertical="center" wrapText="1"/>
    </xf>
    <xf numFmtId="49" fontId="46" fillId="0" borderId="15" xfId="0" applyFont="1" applyBorder="1" applyNumberFormat="1">
      <alignment horizontal="left" vertical="center"/>
    </xf>
    <xf numFmtId="49" fontId="46" fillId="0" borderId="16" xfId="0" applyFont="1" applyBorder="1" applyNumberFormat="1">
      <alignment horizontal="left" vertical="center" indent="1"/>
    </xf>
    <xf numFmtId="49" fontId="46" fillId="0" borderId="16" xfId="0" applyFont="1" applyBorder="1" applyNumberFormat="1">
      <alignment horizontal="left" vertical="center"/>
    </xf>
    <xf numFmtId="49" fontId="46" fillId="0" borderId="14" xfId="0" applyFont="1" applyBorder="1" applyNumberFormat="1">
      <alignment horizontal="left" vertical="center" indent="1"/>
    </xf>
    <xf numFmtId="0" fontId="46" fillId="0" borderId="13" xfId="0" applyFont="1" applyBorder="1" applyNumberFormat="1">
      <alignment horizontal="left" vertical="center" indent="1"/>
    </xf>
    <xf numFmtId="49" fontId="0" fillId="0" borderId="0" xfId="0" applyFont="1" applyNumberFormat="1">
      <alignment vertical="top"/>
    </xf>
    <xf numFmtId="49" fontId="46" fillId="0" borderId="0" xfId="0" applyFont="1" applyNumberFormat="1">
      <alignment vertical="top"/>
    </xf>
    <xf numFmtId="49" fontId="39" fillId="0" borderId="20"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4" fillId="0" borderId="0" xfId="0" applyFont="1" applyNumberFormat="1">
      <alignment horizontal="right" vertical="top" wrapText="1"/>
    </xf>
    <xf numFmtId="0" fontId="44" fillId="0" borderId="0" xfId="0" applyFont="1" applyNumberFormat="1">
      <alignment horizontal="left" vertical="top" wrapText="1"/>
    </xf>
    <xf numFmtId="49" fontId="31" fillId="0" borderId="0" xfId="0" applyFont="1" applyNumberFormat="1">
      <alignment horizontal="center" vertical="center" wrapText="1"/>
    </xf>
    <xf numFmtId="0" fontId="45" fillId="52" borderId="13" xfId="0" applyFont="1" applyFill="1" applyBorder="1" applyNumberFormat="1">
      <alignment horizontal="left" vertical="center" wrapText="1"/>
    </xf>
    <xf numFmtId="0" fontId="22" fillId="51" borderId="13" xfId="0" applyFont="1" applyFill="1" applyBorder="1" applyNumberFormat="1">
      <alignment vertical="center"/>
    </xf>
    <xf numFmtId="49" fontId="0" fillId="7" borderId="13" xfId="0" applyFont="1" applyFill="1" applyBorder="1" applyNumberFormat="1">
      <alignment horizontal="center" vertical="center" wrapText="1"/>
    </xf>
    <xf numFmtId="49" fontId="0" fillId="7" borderId="13" xfId="0" applyFont="1" applyFill="1" applyBorder="1" applyNumberFormat="1">
      <alignment horizontal="center" vertical="center" wrapText="1"/>
    </xf>
    <xf numFmtId="49" fontId="35" fillId="0" borderId="0" xfId="0" applyFont="1" applyNumberFormat="1">
      <alignment horizontal="center" vertical="center" wrapText="1"/>
    </xf>
    <xf numFmtId="49"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49" fontId="124" fillId="0" borderId="18"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20" xfId="0" applyFont="1" applyBorder="1" applyNumberFormat="1">
      <alignment horizontal="left" vertical="center" wrapText="1" indent="1"/>
    </xf>
    <xf numFmtId="49" fontId="124" fillId="0" borderId="13" xfId="0" applyFont="1" applyBorder="1" applyNumberFormat="1">
      <alignment horizontal="center" vertical="center" wrapText="1"/>
    </xf>
    <xf numFmtId="0" fontId="22" fillId="35" borderId="15" xfId="0" applyFont="1" applyFill="1" applyBorder="1" applyNumberFormat="1">
      <alignment horizontal="left" vertical="top" wrapText="1"/>
    </xf>
    <xf numFmtId="0" fontId="46" fillId="0" borderId="15" xfId="0" applyFont="1" applyBorder="1" applyNumberFormat="1">
      <alignment vertical="center" wrapText="1"/>
    </xf>
    <xf numFmtId="0" fontId="22" fillId="0" borderId="16" xfId="0" applyFont="1" applyBorder="1" applyNumberFormat="1">
      <alignment horizontal="right" vertical="center" wrapText="1" indent="1"/>
    </xf>
    <xf numFmtId="0" fontId="22" fillId="0" borderId="20"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89"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9" xfId="0" applyFont="1" applyBorder="1" applyNumberFormat="1">
      <alignment horizontal="center" vertical="center" wrapText="1"/>
    </xf>
    <xf numFmtId="0" fontId="22" fillId="0" borderId="13" xfId="0" applyFont="1" applyBorder="1" applyNumberFormat="1">
      <alignment horizontal="left" vertical="center" wrapText="1"/>
    </xf>
    <xf numFmtId="49" fontId="51" fillId="37" borderId="15" xfId="0" applyFont="1" applyFill="1" applyBorder="1" applyNumberFormat="1">
      <alignment horizontal="left" vertical="center" wrapText="1"/>
      <protection locked="0"/>
    </xf>
    <xf numFmtId="49" fontId="51" fillId="37" borderId="15" xfId="0" applyFont="1" applyFill="1" applyBorder="1" applyNumberFormat="1">
      <alignment horizontal="left" vertical="center" wrapText="1"/>
      <protection locked="0"/>
    </xf>
    <xf numFmtId="49" fontId="22" fillId="0" borderId="58" xfId="0" applyFont="1" applyBorder="1" applyNumberFormat="1">
      <alignment horizontal="center" vertical="center" wrapText="1"/>
    </xf>
    <xf numFmtId="0" fontId="22" fillId="0" borderId="18" xfId="0" applyFont="1" applyBorder="1" applyNumberFormat="1">
      <alignment horizontal="left" vertical="center" wrapText="1"/>
    </xf>
    <xf numFmtId="0" fontId="22" fillId="0" borderId="18" xfId="0" applyFont="1" applyBorder="1" applyNumberFormat="1">
      <alignment horizontal="center" vertical="center" wrapText="1"/>
    </xf>
    <xf numFmtId="4" fontId="22" fillId="40" borderId="38" xfId="0" applyFont="1" applyFill="1" applyBorder="1" applyNumberFormat="1">
      <alignment horizontal="right" vertical="center" wrapText="1"/>
      <protection locked="0"/>
    </xf>
    <xf numFmtId="4" fontId="22" fillId="40" borderId="18" xfId="0" applyFont="1" applyFill="1" applyBorder="1" applyNumberFormat="1">
      <alignment horizontal="right" vertical="center" wrapText="1"/>
      <protection locked="0"/>
    </xf>
    <xf numFmtId="4" fontId="22" fillId="40" borderId="38" xfId="0" applyFont="1" applyFill="1" applyBorder="1" applyNumberFormat="1">
      <alignment horizontal="right" vertical="center" wrapText="1"/>
      <protection locked="0"/>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0" fontId="45" fillId="38" borderId="16" xfId="0" applyFont="1" applyFill="1" applyBorder="1" applyNumberFormat="1">
      <alignment vertical="center" wrapText="1"/>
    </xf>
    <xf numFmtId="49" fontId="22" fillId="0" borderId="59" xfId="0" applyFont="1" applyBorder="1" applyNumberFormat="1">
      <alignment horizontal="center" vertical="center" wrapText="1"/>
    </xf>
    <xf numFmtId="0" fontId="22" fillId="0" borderId="16" xfId="0" applyFont="1" applyBorder="1" applyNumberFormat="1">
      <alignment horizontal="center" vertical="center" wrapText="1"/>
    </xf>
    <xf numFmtId="4" fontId="22" fillId="40" borderId="15" xfId="0" applyFont="1" applyFill="1" applyBorder="1" applyNumberFormat="1">
      <alignment horizontal="right" vertical="center" wrapText="1"/>
      <protection locked="0"/>
    </xf>
    <xf numFmtId="4" fontId="22" fillId="40" borderId="15" xfId="0" applyFont="1" applyFill="1" applyBorder="1" applyNumberFormat="1">
      <alignment horizontal="right" vertical="center" wrapText="1"/>
      <protection locked="0"/>
    </xf>
    <xf numFmtId="49" fontId="22" fillId="0" borderId="60" xfId="0" applyFont="1" applyBorder="1" applyNumberFormat="1">
      <alignment horizontal="center" vertical="center" wrapText="1"/>
    </xf>
    <xf numFmtId="3" fontId="22" fillId="40" borderId="15" xfId="0" applyFont="1" applyFill="1" applyBorder="1" applyNumberFormat="1">
      <alignment horizontal="right" vertical="center" wrapText="1"/>
      <protection locked="0"/>
    </xf>
    <xf numFmtId="3" fontId="22" fillId="40" borderId="15" xfId="0" applyFont="1" applyFill="1" applyBorder="1" applyNumberFormat="1">
      <alignment horizontal="right" vertical="center" wrapText="1"/>
      <protection locked="0"/>
    </xf>
    <xf numFmtId="0" fontId="22" fillId="0" borderId="18" xfId="0" applyFont="1" applyBorder="1" applyNumberFormat="1">
      <alignment horizontal="left" vertical="center" wrapText="1"/>
    </xf>
    <xf numFmtId="0" fontId="22" fillId="0" borderId="38"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49" fontId="51" fillId="40" borderId="15" xfId="0" applyFont="1" applyFill="1" applyBorder="1" applyNumberFormat="1">
      <alignment horizontal="left" vertical="center" wrapText="1"/>
      <protection locked="0"/>
    </xf>
    <xf numFmtId="49" fontId="51" fillId="40" borderId="15"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19" fillId="0" borderId="0" xfId="0" applyFont="1" applyNumberFormat="1">
      <alignment horizontal="center" vertical="center" wrapText="1"/>
    </xf>
    <xf numFmtId="49" fontId="0" fillId="36" borderId="13" xfId="0" applyFont="1" applyFill="1" applyBorder="1" applyNumberFormat="1">
      <alignment horizontal="center" vertical="center" wrapText="1"/>
    </xf>
    <xf numFmtId="49" fontId="0" fillId="40" borderId="13" xfId="0" applyFont="1" applyFill="1" applyBorder="1" applyNumberFormat="1">
      <alignment horizontal="left" vertical="center" wrapText="1" indent="1"/>
      <protection locked="0"/>
    </xf>
    <xf numFmtId="0" fontId="22" fillId="0" borderId="13" xfId="0" applyFont="1" applyBorder="1" applyNumberFormat="1">
      <alignment vertical="top" wrapText="1"/>
    </xf>
    <xf numFmtId="0" fontId="22" fillId="36" borderId="0" xfId="0" applyFont="1" applyFill="1" applyNumberFormat="1">
      <alignment horizontal="right" vertical="center" wrapText="1"/>
    </xf>
    <xf numFmtId="0" fontId="62" fillId="0" borderId="0" xfId="0" applyFont="1" applyNumberFormat="1">
      <alignment vertical="center" wrapText="1"/>
    </xf>
    <xf numFmtId="0" fontId="22" fillId="36" borderId="0" xfId="0" applyFont="1" applyFill="1" applyNumberFormat="1">
      <alignment horizontal="right" vertical="center"/>
    </xf>
    <xf numFmtId="0" fontId="22" fillId="36" borderId="15" xfId="0" applyFont="1" applyFill="1" applyBorder="1" applyNumberFormat="1">
      <alignment horizontal="center" vertical="center" wrapText="1"/>
    </xf>
    <xf numFmtId="0" fontId="22" fillId="36" borderId="16" xfId="0" applyFont="1" applyFill="1" applyBorder="1" applyNumberFormat="1">
      <alignment horizontal="center" vertical="center" wrapText="1"/>
    </xf>
    <xf numFmtId="0" fontId="22" fillId="36" borderId="21" xfId="0" applyFont="1" applyFill="1" applyBorder="1" applyNumberFormat="1">
      <alignment horizontal="center" vertical="center" wrapText="1"/>
    </xf>
    <xf numFmtId="0" fontId="22" fillId="36" borderId="13" xfId="0" applyFont="1" applyFill="1" applyBorder="1" applyNumberFormat="1">
      <alignment horizontal="center" vertical="center"/>
    </xf>
    <xf numFmtId="0" fontId="22"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left" vertical="top" wrapText="1"/>
    </xf>
    <xf numFmtId="0" fontId="0" fillId="0" borderId="13" xfId="0" applyFont="1" applyBorder="1" applyNumberFormat="1">
      <alignment horizontal="left" vertical="center" wrapText="1"/>
    </xf>
    <xf numFmtId="49" fontId="22" fillId="0" borderId="0" xfId="0" applyFont="1" applyNumberFormat="1">
      <alignment vertical="top"/>
    </xf>
    <xf numFmtId="0" fontId="22" fillId="38" borderId="15" xfId="0" applyFont="1" applyFill="1" applyBorder="1" applyNumberFormat="1">
      <alignment vertical="center" wrapText="1"/>
    </xf>
    <xf numFmtId="49" fontId="43" fillId="38" borderId="14" xfId="0" applyFont="1" applyFill="1" applyBorder="1" applyNumberFormat="1">
      <alignment horizontal="center" vertical="top"/>
    </xf>
    <xf numFmtId="49" fontId="39" fillId="0" borderId="20" xfId="0" applyFont="1" applyBorder="1" applyNumberFormat="1">
      <alignment horizontal="left" vertical="center"/>
    </xf>
    <xf numFmtId="49" fontId="39" fillId="0" borderId="20" xfId="0" applyFont="1" applyBorder="1" applyNumberFormat="1">
      <alignment horizontal="left" vertical="center" indent="2"/>
    </xf>
    <xf numFmtId="49" fontId="43" fillId="0" borderId="20"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5" borderId="15" xfId="0" applyFont="1" applyFill="1" applyBorder="1" applyNumberFormat="1">
      <alignment horizontal="left" vertical="top" wrapText="1"/>
    </xf>
    <xf numFmtId="0" fontId="46" fillId="0" borderId="16" xfId="0" applyFont="1" applyBorder="1" applyNumberFormat="1">
      <alignment horizontal="right" vertical="center" wrapText="1" indent="1"/>
    </xf>
    <xf numFmtId="0" fontId="46" fillId="0" borderId="14" xfId="0" applyFont="1" applyBorder="1" applyNumberFormat="1">
      <alignment horizontal="right" vertical="center" wrapText="1" indent="1"/>
    </xf>
    <xf numFmtId="0" fontId="46" fillId="0" borderId="15" xfId="0" applyFont="1" applyBorder="1" applyNumberFormat="1">
      <alignment horizontal="left" vertical="top" wrapText="1"/>
    </xf>
    <xf numFmtId="0" fontId="46" fillId="0" borderId="15" xfId="0" applyFont="1" applyBorder="1" applyNumberFormat="1">
      <alignment horizontal="left" vertical="top" wrapText="1"/>
    </xf>
    <xf numFmtId="0" fontId="22" fillId="0" borderId="16"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0" fontId="22" fillId="0" borderId="13"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4" fontId="22" fillId="40" borderId="18" xfId="0" applyFont="1" applyFill="1" applyBorder="1" applyNumberFormat="1">
      <alignment horizontal="right" vertical="center" wrapText="1"/>
      <protection locked="0"/>
    </xf>
    <xf numFmtId="0" fontId="22" fillId="0" borderId="18" xfId="0" applyFont="1" applyBorder="1" applyNumberFormat="1">
      <alignment horizontal="center" vertical="center" wrapText="1"/>
    </xf>
    <xf numFmtId="49" fontId="39" fillId="38" borderId="20" xfId="0" applyFont="1" applyFill="1" applyBorder="1" applyNumberFormat="1">
      <alignment horizontal="left" vertical="center" indent="2"/>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4" fontId="22" fillId="36" borderId="18" xfId="0" applyFont="1" applyFill="1" applyBorder="1" applyNumberFormat="1">
      <alignment horizontal="right" vertical="center" wrapText="1"/>
      <protection locked="0"/>
    </xf>
    <xf numFmtId="4" fontId="22" fillId="36" borderId="18" xfId="0" applyFont="1" applyFill="1" applyBorder="1" applyNumberFormat="1">
      <alignment horizontal="right" vertical="center" wrapText="1"/>
      <protection locked="0"/>
    </xf>
    <xf numFmtId="49" fontId="0" fillId="0" borderId="0" xfId="0" applyFont="1" applyNumberFormat="1">
      <alignment vertical="top"/>
    </xf>
    <xf numFmtId="49" fontId="89" fillId="0" borderId="0" xfId="0" applyFont="1" applyNumberFormat="1">
      <alignment horizontal="center" vertical="center" wrapText="1"/>
    </xf>
    <xf numFmtId="0" fontId="45" fillId="0" borderId="0" xfId="0" applyFont="1" applyNumberFormat="1">
      <alignment vertical="center" wrapText="1"/>
    </xf>
    <xf numFmtId="0" fontId="46" fillId="0" borderId="0" xfId="0" applyFont="1" applyNumberFormat="1">
      <alignment vertical="center" wrapText="1"/>
    </xf>
    <xf numFmtId="49" fontId="22" fillId="0" borderId="0" xfId="0" applyFont="1" applyNumberFormat="1">
      <alignment horizontal="center" vertical="center" wrapText="1"/>
    </xf>
    <xf numFmtId="49" fontId="22" fillId="0" borderId="60" xfId="0" applyFont="1" applyBorder="1" applyNumberFormat="1">
      <alignment horizontal="center" vertical="center" wrapText="1"/>
    </xf>
    <xf numFmtId="0" fontId="22" fillId="0" borderId="13" xfId="0" applyFont="1" applyBorder="1" applyNumberFormat="1">
      <alignment horizontal="left" vertical="center" wrapText="1" indent="2"/>
    </xf>
    <xf numFmtId="0" fontId="22" fillId="0" borderId="14" xfId="0" applyFont="1" applyBorder="1" applyNumberFormat="1">
      <alignment horizontal="center" vertical="center" wrapText="1"/>
    </xf>
    <xf numFmtId="4" fontId="22" fillId="37" borderId="18" xfId="0" applyFont="1" applyFill="1" applyBorder="1" applyNumberFormat="1">
      <alignment horizontal="right" vertical="center" wrapText="1"/>
      <protection locked="0"/>
    </xf>
    <xf numFmtId="0" fontId="22" fillId="0" borderId="13" xfId="0" applyFont="1" applyBorder="1" applyNumberFormat="1">
      <alignment vertical="center" wrapText="1"/>
    </xf>
    <xf numFmtId="0" fontId="82" fillId="0" borderId="0" xfId="0" applyFont="1" applyNumberFormat="1">
      <alignment vertical="center" wrapText="1"/>
    </xf>
    <xf numFmtId="0" fontId="52" fillId="0" borderId="0" xfId="0" applyFont="1" applyNumberFormat="1">
      <alignment vertical="center" wrapText="1"/>
    </xf>
    <xf numFmtId="0" fontId="31"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5" borderId="15" xfId="0" applyFont="1" applyFill="1" applyBorder="1" applyNumberFormat="1">
      <alignment horizontal="left" vertical="top" wrapText="1"/>
    </xf>
    <xf numFmtId="0" fontId="22" fillId="0" borderId="16"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0" fontId="22" fillId="0" borderId="18" xfId="0" applyFont="1" applyBorder="1" applyNumberFormat="1">
      <alignment horizontal="left" vertical="center" wrapText="1" indent="1"/>
    </xf>
    <xf numFmtId="0" fontId="22" fillId="0" borderId="18" xfId="0" applyFont="1" applyBorder="1" applyNumberFormat="1">
      <alignment horizontal="center"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0" fontId="45" fillId="38" borderId="14" xfId="0" applyFont="1" applyFill="1" applyBorder="1" applyNumberFormat="1">
      <alignment vertical="center" wrapText="1"/>
    </xf>
    <xf numFmtId="49" fontId="0" fillId="0" borderId="0" xfId="0" applyFont="1" applyNumberFormat="1">
      <alignment vertical="top"/>
    </xf>
    <xf numFmtId="49" fontId="22" fillId="0" borderId="59" xfId="0" applyFont="1" applyBorder="1" applyNumberFormat="1">
      <alignment horizontal="center" vertical="center" wrapText="1"/>
    </xf>
    <xf numFmtId="49" fontId="0" fillId="0" borderId="13" xfId="0" applyFont="1" applyBorder="1" applyNumberFormat="1">
      <alignment horizontal="left" vertical="center" wrapText="1" indent="1"/>
    </xf>
    <xf numFmtId="4" fontId="22" fillId="40" borderId="13" xfId="0" applyFont="1" applyFill="1" applyBorder="1" applyNumberFormat="1">
      <alignment horizontal="right" vertical="center" wrapText="1"/>
      <protection locked="0"/>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167" fontId="22" fillId="36" borderId="13" xfId="0" applyFont="1" applyFill="1" applyBorder="1" applyNumberFormat="1">
      <alignment horizontal="right" vertical="center" wrapText="1"/>
      <protection locked="0"/>
    </xf>
    <xf numFmtId="167" fontId="22" fillId="36" borderId="13" xfId="0" applyFont="1" applyFill="1" applyBorder="1" applyNumberFormat="1">
      <alignment horizontal="right" vertical="center" wrapText="1"/>
      <protection locked="0"/>
    </xf>
    <xf numFmtId="49" fontId="0" fillId="0" borderId="0" xfId="0" applyFont="1" applyNumberFormat="1">
      <alignment vertical="top"/>
    </xf>
    <xf numFmtId="167" fontId="22" fillId="37"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5" fillId="0" borderId="0" xfId="0" applyFont="1" applyNumberFormat="1">
      <alignment horizontal="center" vertical="center" wrapText="1"/>
    </xf>
    <xf numFmtId="49" fontId="45" fillId="0" borderId="0" xfId="0" applyFont="1" applyNumberFormat="1">
      <alignment horizontal="center" vertical="center" wrapText="1"/>
    </xf>
    <xf numFmtId="0" fontId="71" fillId="36" borderId="0" xfId="0" applyFont="1" applyFill="1" applyNumberFormat="1">
      <alignment horizontal="right" vertical="center"/>
    </xf>
    <xf numFmtId="0" fontId="46" fillId="0" borderId="28" xfId="0" applyFont="1" applyBorder="1" applyNumberFormat="1">
      <alignment vertical="center" wrapText="1"/>
    </xf>
    <xf numFmtId="0" fontId="46" fillId="0" borderId="28" xfId="0" applyFont="1" applyBorder="1" applyNumberFormat="1">
      <alignment vertical="center" wrapText="1"/>
    </xf>
    <xf numFmtId="0" fontId="22" fillId="35" borderId="15" xfId="0" applyFont="1" applyFill="1" applyBorder="1" applyNumberFormat="1">
      <alignment horizontal="left" vertical="top" wrapText="1"/>
    </xf>
    <xf numFmtId="0" fontId="22" fillId="35" borderId="14" xfId="0" applyFont="1" applyFill="1" applyBorder="1" applyNumberFormat="1">
      <alignment horizontal="left" vertical="top" wrapText="1"/>
    </xf>
    <xf numFmtId="0" fontId="22" fillId="35" borderId="14" xfId="0" applyFont="1" applyFill="1" applyBorder="1" applyNumberFormat="1">
      <alignment horizontal="left" vertical="top" wrapText="1"/>
    </xf>
    <xf numFmtId="49" fontId="45" fillId="0" borderId="0" xfId="0" applyFont="1" applyNumberFormat="1">
      <alignment horizontal="center" vertical="center" wrapText="1"/>
    </xf>
    <xf numFmtId="49" fontId="45" fillId="0" borderId="0" xfId="0" applyFont="1" applyNumberFormat="1">
      <alignment horizontal="center" vertical="center" wrapText="1"/>
    </xf>
    <xf numFmtId="0" fontId="22" fillId="0" borderId="16" xfId="0" applyFont="1" applyBorder="1" applyNumberFormat="1">
      <alignment horizontal="center" vertical="center" wrapText="1"/>
    </xf>
    <xf numFmtId="0" fontId="22" fillId="0" borderId="16" xfId="0" applyFont="1" applyBorder="1" applyNumberFormat="1">
      <alignment horizontal="center" vertical="center" wrapText="1"/>
    </xf>
    <xf numFmtId="0" fontId="22" fillId="0" borderId="0" xfId="0" applyFont="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horizontal="left" vertical="top" wrapText="1"/>
    </xf>
    <xf numFmtId="49" fontId="46" fillId="0" borderId="0" xfId="0" applyFont="1" applyNumberFormat="1">
      <alignment horizontal="center" vertical="center" wrapText="1"/>
    </xf>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46"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4" fontId="22" fillId="0" borderId="13" xfId="0" applyFont="1" applyBorder="1" applyNumberFormat="1">
      <alignment horizontal="center" vertical="center" wrapText="1"/>
    </xf>
    <xf numFmtId="49" fontId="51" fillId="37" borderId="15" xfId="0" applyFont="1" applyFill="1" applyBorder="1" applyNumberFormat="1">
      <alignment horizontal="left" vertical="center" wrapText="1"/>
      <protection locked="0"/>
    </xf>
    <xf numFmtId="0" fontId="69" fillId="0" borderId="23" xfId="0" applyFont="1" applyBorder="1" applyNumberFormat="1">
      <alignment vertical="center" wrapText="1"/>
    </xf>
    <xf numFmtId="49"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9" fontId="22" fillId="37" borderId="13" xfId="0" applyFont="1" applyFill="1" applyBorder="1" applyNumberFormat="1">
      <alignment horizontal="left" vertical="center" wrapText="1"/>
      <protection locked="0"/>
    </xf>
    <xf numFmtId="49" fontId="22" fillId="37" borderId="13" xfId="0" applyFont="1" applyFill="1" applyBorder="1" applyNumberFormat="1">
      <alignment horizontal="left" vertical="center" wrapText="1"/>
      <protection locked="0"/>
    </xf>
    <xf numFmtId="49" fontId="22" fillId="37" borderId="13" xfId="0" applyFont="1" applyFill="1" applyBorder="1" applyNumberFormat="1">
      <alignment horizontal="left" vertical="center" wrapText="1"/>
      <protection locked="0"/>
    </xf>
    <xf numFmtId="3" fontId="22" fillId="37" borderId="15" xfId="0" applyFont="1" applyFill="1" applyBorder="1" applyNumberFormat="1">
      <alignment horizontal="right" vertical="center" wrapText="1"/>
      <protection locked="0"/>
    </xf>
    <xf numFmtId="3" fontId="22" fillId="37" borderId="15" xfId="0" applyFont="1" applyFill="1" applyBorder="1" applyNumberFormat="1">
      <alignment horizontal="right" vertical="center" wrapText="1"/>
      <protection locked="0"/>
    </xf>
    <xf numFmtId="4" fontId="22" fillId="37" borderId="15" xfId="0" applyFont="1" applyFill="1" applyBorder="1" applyNumberFormat="1">
      <alignment horizontal="right" vertical="center" wrapText="1"/>
      <protection locked="0"/>
    </xf>
    <xf numFmtId="4" fontId="22" fillId="37" borderId="15" xfId="0" applyFont="1" applyFill="1" applyBorder="1" applyNumberFormat="1">
      <alignment horizontal="right" vertical="center" wrapText="1"/>
      <protection locked="0"/>
    </xf>
    <xf numFmtId="49" fontId="22" fillId="40" borderId="13"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protection locked="0"/>
    </xf>
    <xf numFmtId="0" fontId="36" fillId="0" borderId="0" xfId="0" applyFont="1" applyNumberFormat="1">
      <alignment horizontal="center" vertical="center" wrapText="1"/>
    </xf>
    <xf numFmtId="0" fontId="22" fillId="0" borderId="18"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5" xfId="0" applyFont="1" applyBorder="1" applyNumberFormat="1">
      <alignment horizontal="center" vertical="center" wrapText="1"/>
    </xf>
    <xf numFmtId="0" fontId="81" fillId="0" borderId="0" xfId="0" applyFont="1" applyNumberFormat="1">
      <alignment vertical="center" wrapText="1"/>
    </xf>
    <xf numFmtId="0" fontId="22" fillId="0" borderId="13" xfId="0" applyFont="1" applyBorder="1" applyNumberFormat="1">
      <alignment horizontal="left" vertical="center" wrapText="1" indent="2"/>
    </xf>
    <xf numFmtId="49" fontId="22" fillId="37" borderId="15" xfId="0" applyFont="1" applyFill="1" applyBorder="1" applyNumberFormat="1">
      <alignment horizontal="left" vertical="center" wrapText="1"/>
      <protection locked="0"/>
    </xf>
    <xf numFmtId="49" fontId="22" fillId="37" borderId="15" xfId="0" applyFont="1" applyFill="1" applyBorder="1" applyNumberFormat="1">
      <alignment horizontal="left" vertical="center" wrapText="1"/>
      <protection locked="0"/>
    </xf>
    <xf numFmtId="49" fontId="22" fillId="37" borderId="15" xfId="0" applyFont="1" applyFill="1" applyBorder="1" applyNumberFormat="1">
      <alignment horizontal="left" vertical="center" wrapText="1"/>
      <protection locked="0"/>
    </xf>
    <xf numFmtId="0" fontId="44" fillId="0" borderId="0" xfId="0" applyFont="1" applyNumberFormat="1">
      <alignment vertical="center" wrapText="1"/>
    </xf>
    <xf numFmtId="0" fontId="44"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1" fillId="0" borderId="13" xfId="0" applyFont="1" applyBorder="1" applyNumberFormat="1">
      <alignment horizontal="left" vertical="center" wrapText="1"/>
    </xf>
    <xf numFmtId="49" fontId="51" fillId="0" borderId="13" xfId="0" applyFont="1" applyBorder="1" applyNumberFormat="1">
      <alignment horizontal="left" vertical="center" wrapText="1"/>
    </xf>
    <xf numFmtId="49" fontId="22" fillId="0" borderId="33" xfId="0" applyFont="1" applyBorder="1" applyNumberFormat="1">
      <alignment horizontal="center" vertical="center" wrapText="1"/>
    </xf>
    <xf numFmtId="0" fontId="22" fillId="0" borderId="33" xfId="0" applyFont="1" applyBorder="1" applyNumberFormat="1">
      <alignment horizontal="left" vertical="center" wrapText="1"/>
    </xf>
    <xf numFmtId="4" fontId="22" fillId="0" borderId="41" xfId="0" applyFont="1" applyBorder="1" applyNumberFormat="1">
      <alignment horizontal="center" vertical="center" wrapText="1"/>
    </xf>
    <xf numFmtId="49" fontId="51" fillId="0" borderId="31" xfId="0" applyFont="1" applyBorder="1" applyNumberFormat="1">
      <alignment horizontal="left" vertical="center" wrapText="1"/>
    </xf>
    <xf numFmtId="4" fontId="22" fillId="0" borderId="41" xfId="0" applyFont="1" applyBorder="1" applyNumberFormat="1">
      <alignment horizontal="center" vertical="center" wrapText="1"/>
    </xf>
    <xf numFmtId="49" fontId="51" fillId="0" borderId="31"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4" xfId="0" applyFont="1" applyBorder="1" applyNumberFormat="1">
      <alignment horizontal="left" vertical="center" wrapText="1" indent="1"/>
    </xf>
    <xf numFmtId="4" fontId="22" fillId="40" borderId="32" xfId="0" applyFont="1" applyFill="1" applyBorder="1" applyNumberFormat="1">
      <alignment horizontal="right" vertical="center" wrapText="1"/>
      <protection locked="0"/>
    </xf>
    <xf numFmtId="49" fontId="51" fillId="0" borderId="15" xfId="0" applyFont="1" applyBorder="1" applyNumberFormat="1">
      <alignment horizontal="left" vertical="center" wrapText="1"/>
    </xf>
    <xf numFmtId="4" fontId="22" fillId="40" borderId="32" xfId="0" applyFont="1" applyFill="1" applyBorder="1" applyNumberFormat="1">
      <alignment horizontal="right" vertical="center" wrapText="1"/>
      <protection locked="0"/>
    </xf>
    <xf numFmtId="4" fontId="22" fillId="40" borderId="32" xfId="0" applyFont="1" applyFill="1" applyBorder="1" applyNumberFormat="1">
      <alignment horizontal="right" vertical="center" wrapText="1"/>
      <protection locked="0"/>
    </xf>
    <xf numFmtId="49" fontId="51" fillId="0" borderId="15" xfId="0" applyFont="1" applyBorder="1" applyNumberFormat="1">
      <alignment horizontal="left" vertical="center" wrapText="1"/>
    </xf>
    <xf numFmtId="4" fontId="22" fillId="0" borderId="18" xfId="0" applyFont="1" applyBorder="1" applyNumberFormat="1">
      <alignment horizontal="center" vertical="center" wrapText="1"/>
    </xf>
    <xf numFmtId="4" fontId="22" fillId="40" borderId="36" xfId="0" applyFont="1" applyFill="1" applyBorder="1" applyNumberFormat="1">
      <alignment horizontal="right" vertical="center" wrapText="1"/>
      <protection locked="0"/>
    </xf>
    <xf numFmtId="4" fontId="22" fillId="40" borderId="36" xfId="0" applyFont="1" applyFill="1" applyBorder="1" applyNumberFormat="1">
      <alignment horizontal="right" vertical="center" wrapText="1"/>
      <protection locked="0"/>
    </xf>
    <xf numFmtId="0" fontId="22" fillId="0" borderId="34" xfId="0" applyFont="1" applyBorder="1" applyNumberFormat="1">
      <alignment horizontal="left" vertical="center" wrapText="1"/>
    </xf>
    <xf numFmtId="49" fontId="51" fillId="0" borderId="16" xfId="0" applyFont="1" applyBorder="1" applyNumberFormat="1">
      <alignment horizontal="left" vertical="center" wrapText="1"/>
    </xf>
    <xf numFmtId="4" fontId="22" fillId="0" borderId="13" xfId="0" applyFont="1" applyBorder="1" applyNumberFormat="1">
      <alignment horizontal="center" vertical="center" wrapText="1"/>
    </xf>
    <xf numFmtId="4" fontId="22" fillId="0" borderId="13" xfId="0" applyFont="1" applyBorder="1" applyNumberFormat="1">
      <alignment horizontal="center" vertical="center" wrapText="1"/>
    </xf>
    <xf numFmtId="49" fontId="51" fillId="0" borderId="16" xfId="0" applyFont="1" applyBorder="1" applyNumberFormat="1">
      <alignment horizontal="left" vertical="center" wrapText="1"/>
    </xf>
    <xf numFmtId="0" fontId="22" fillId="0" borderId="32" xfId="0" applyFont="1" applyBorder="1" applyNumberFormat="1">
      <alignment horizontal="left" vertical="center" wrapText="1" indent="1"/>
    </xf>
    <xf numFmtId="4" fontId="22" fillId="0" borderId="33" xfId="0" applyFont="1" applyBorder="1" applyNumberFormat="1">
      <alignment horizontal="center" vertical="center" wrapText="1"/>
    </xf>
    <xf numFmtId="4" fontId="22" fillId="40" borderId="24" xfId="0" applyFont="1" applyFill="1" applyBorder="1" applyNumberFormat="1">
      <alignment horizontal="right" vertical="center" wrapText="1"/>
      <protection locked="0"/>
    </xf>
    <xf numFmtId="0" fontId="22" fillId="0" borderId="32" xfId="0" applyFont="1" applyBorder="1" applyNumberFormat="1">
      <alignment horizontal="left" vertical="center" wrapText="1"/>
    </xf>
    <xf numFmtId="0" fontId="22" fillId="0" borderId="32" xfId="0" applyFont="1" applyBorder="1" applyNumberFormat="1">
      <alignment horizontal="left" vertical="center" wrapText="1" indent="2"/>
    </xf>
    <xf numFmtId="4" fontId="22" fillId="0" borderId="32" xfId="0" applyFont="1" applyBorder="1" applyNumberFormat="1">
      <alignment horizontal="center" vertical="center" wrapText="1"/>
    </xf>
    <xf numFmtId="49" fontId="22" fillId="0" borderId="35" xfId="0" applyFont="1" applyBorder="1" applyNumberFormat="1">
      <alignment horizontal="center" vertical="center" wrapText="1"/>
    </xf>
    <xf numFmtId="49" fontId="51" fillId="40" borderId="13" xfId="0" applyFont="1" applyFill="1" applyBorder="1" applyNumberFormat="1">
      <alignment horizontal="left" vertical="center" wrapText="1"/>
      <protection locked="0"/>
    </xf>
    <xf numFmtId="49" fontId="51" fillId="40" borderId="13" xfId="0" applyFont="1" applyFill="1" applyBorder="1" applyNumberFormat="1">
      <alignment horizontal="left" vertical="center" wrapText="1"/>
      <protection locked="0"/>
    </xf>
    <xf numFmtId="0" fontId="22" fillId="0" borderId="36" xfId="0" applyFont="1" applyBorder="1" applyNumberFormat="1">
      <alignment horizontal="left" vertical="center" wrapText="1"/>
    </xf>
    <xf numFmtId="4" fontId="22" fillId="0" borderId="36" xfId="0" applyFont="1" applyBorder="1" applyNumberFormat="1">
      <alignment horizontal="center" vertical="center" wrapText="1"/>
    </xf>
    <xf numFmtId="49" fontId="51" fillId="0" borderId="38" xfId="0" applyFont="1" applyBorder="1" applyNumberFormat="1">
      <alignment horizontal="left" vertical="center" wrapText="1"/>
    </xf>
    <xf numFmtId="49" fontId="51" fillId="0" borderId="38" xfId="0" applyFont="1" applyBorder="1" applyNumberFormat="1">
      <alignment horizontal="left" vertical="center" wrapText="1"/>
    </xf>
    <xf numFmtId="49" fontId="22" fillId="0" borderId="34" xfId="0" applyFont="1" applyBorder="1" applyNumberFormat="1">
      <alignment horizontal="center" vertical="center" wrapText="1"/>
    </xf>
    <xf numFmtId="4" fontId="22" fillId="40" borderId="34" xfId="0" applyFont="1" applyFill="1" applyBorder="1" applyNumberFormat="1">
      <alignment horizontal="right" vertical="center" wrapText="1"/>
      <protection locked="0"/>
    </xf>
    <xf numFmtId="4" fontId="22" fillId="40" borderId="34" xfId="0" applyFont="1" applyFill="1" applyBorder="1" applyNumberFormat="1">
      <alignment horizontal="right" vertical="center" wrapText="1"/>
      <protection locked="0"/>
    </xf>
    <xf numFmtId="4" fontId="22" fillId="0" borderId="34" xfId="0" applyFont="1" applyBorder="1" applyNumberFormat="1">
      <alignment horizontal="center" vertical="center" wrapText="1"/>
    </xf>
    <xf numFmtId="4" fontId="22" fillId="40" borderId="35" xfId="0" applyFont="1" applyFill="1" applyBorder="1" applyNumberFormat="1">
      <alignment horizontal="right" vertical="center" wrapText="1"/>
      <protection locked="0"/>
    </xf>
    <xf numFmtId="4" fontId="22" fillId="40" borderId="35" xfId="0" applyFont="1" applyFill="1" applyBorder="1" applyNumberFormat="1">
      <alignment horizontal="right" vertical="center" wrapText="1"/>
      <protection locked="0"/>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22" fillId="0" borderId="0" xfId="0" applyFont="1" applyNumberFormat="1">
      <alignment vertical="center" wrapText="1"/>
    </xf>
    <xf numFmtId="0" fontId="0" fillId="0" borderId="15" xfId="0" applyFont="1" applyBorder="1" applyNumberFormat="1">
      <alignment horizontal="center" vertical="center"/>
    </xf>
    <xf numFmtId="0" fontId="22" fillId="0" borderId="14" xfId="0" applyFont="1" applyBorder="1" applyNumberFormat="1">
      <alignment horizontal="center" vertical="center" wrapText="1"/>
    </xf>
    <xf numFmtId="168" fontId="0" fillId="37" borderId="13" xfId="0" applyFont="1" applyFill="1" applyBorder="1" applyNumberFormat="1">
      <alignment horizontal="left" vertical="center" wrapText="1" indent="1"/>
      <protection locked="0"/>
    </xf>
    <xf numFmtId="168" fontId="0" fillId="37" borderId="13" xfId="0" applyFont="1" applyFill="1" applyBorder="1" applyNumberFormat="1">
      <alignment horizontal="left" vertical="center" wrapText="1" indent="1"/>
      <protection locked="0"/>
    </xf>
    <xf numFmtId="49" fontId="22" fillId="40" borderId="15" xfId="0" applyFont="1" applyFill="1" applyBorder="1" applyNumberFormat="1">
      <alignment horizontal="left" vertical="center" wrapText="1"/>
      <protection locked="0"/>
    </xf>
    <xf numFmtId="49" fontId="22" fillId="40" borderId="15" xfId="0" applyFont="1" applyFill="1" applyBorder="1" applyNumberFormat="1">
      <alignment horizontal="left" vertical="center" wrapText="1"/>
      <protection locked="0"/>
    </xf>
    <xf numFmtId="168" fontId="0" fillId="40" borderId="13"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5" borderId="15" xfId="0" applyFont="1" applyFill="1" applyBorder="1" applyNumberFormat="1">
      <alignment horizontal="left" vertical="top" wrapText="1" indent="1"/>
    </xf>
    <xf numFmtId="0" fontId="22" fillId="35" borderId="14" xfId="0" applyFont="1" applyFill="1" applyBorder="1" applyNumberFormat="1">
      <alignment horizontal="left" vertical="top" wrapText="1" indent="1"/>
    </xf>
    <xf numFmtId="0" fontId="22" fillId="35" borderId="15" xfId="0" applyFont="1" applyFill="1" applyBorder="1" applyNumberFormat="1">
      <alignment horizontal="left" vertical="top" wrapText="1" indent="1"/>
    </xf>
    <xf numFmtId="0" fontId="22" fillId="35" borderId="14" xfId="0" applyFont="1" applyFill="1" applyBorder="1" applyNumberFormat="1">
      <alignment horizontal="left" vertical="top" wrapText="1" indent="1"/>
    </xf>
    <xf numFmtId="0" fontId="22" fillId="0" borderId="16" xfId="0" applyFont="1" applyBorder="1" applyNumberFormat="1">
      <alignment horizontal="right" vertical="center" wrapText="1" indent="1"/>
    </xf>
    <xf numFmtId="0" fontId="22" fillId="0" borderId="14" xfId="0" applyFont="1" applyBorder="1" applyNumberFormat="1">
      <alignment horizontal="righ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35" fillId="0" borderId="0" xfId="0" applyFont="1" applyNumberFormat="1">
      <alignment horizontal="center" vertical="center" wrapText="1"/>
    </xf>
    <xf numFmtId="0" fontId="35"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0" borderId="14" xfId="0" applyFont="1" applyBorder="1" applyNumberFormat="1">
      <alignment horizontal="center"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38" borderId="20" xfId="0" applyFont="1" applyFill="1" applyBorder="1" applyNumberFormat="1">
      <alignment vertical="center" wrapText="1"/>
    </xf>
    <xf numFmtId="0" fontId="22" fillId="38" borderId="16" xfId="0" applyFont="1" applyFill="1" applyBorder="1" applyNumberFormat="1">
      <alignment vertical="center" wrapText="1"/>
    </xf>
    <xf numFmtId="0" fontId="22" fillId="0" borderId="16" xfId="0" applyFont="1" applyBorder="1" applyNumberFormat="1">
      <alignment horizontal="center" vertical="center" wrapText="1"/>
    </xf>
    <xf numFmtId="49" fontId="22" fillId="41" borderId="13" xfId="0" applyFont="1" applyFill="1" applyBorder="1" applyNumberFormat="1">
      <alignment horizontal="center" vertical="center" wrapText="1"/>
    </xf>
    <xf numFmtId="49" fontId="22" fillId="41" borderId="13" xfId="0" applyFont="1" applyFill="1" applyBorder="1" applyNumberFormat="1">
      <alignment horizontal="center" vertical="center" wrapText="1"/>
    </xf>
    <xf numFmtId="49" fontId="22" fillId="41" borderId="13" xfId="0" applyFont="1" applyFill="1" applyBorder="1" applyNumberFormat="1">
      <alignment horizontal="center" vertical="center" wrapText="1"/>
    </xf>
    <xf numFmtId="49" fontId="22" fillId="41" borderId="13" xfId="0" applyFont="1" applyFill="1" applyBorder="1" applyNumberFormat="1">
      <alignment horizontal="center"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38" borderId="20" xfId="0" applyFont="1" applyFill="1" applyBorder="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22" fillId="38" borderId="16" xfId="0" applyFont="1" applyFill="1" applyBorder="1" applyNumberFormat="1">
      <alignment vertical="center" wrapText="1"/>
    </xf>
    <xf numFmtId="0" fontId="22" fillId="38" borderId="28" xfId="0" applyFont="1" applyFill="1" applyBorder="1" applyNumberFormat="1">
      <alignment vertical="center" wrapText="1"/>
    </xf>
    <xf numFmtId="0" fontId="35" fillId="0" borderId="0" xfId="0" applyFont="1" applyNumberFormat="1">
      <alignment horizontal="center" vertical="center" wrapText="1"/>
    </xf>
    <xf numFmtId="0" fontId="81" fillId="0" borderId="0" xfId="0" applyFont="1" applyNumberFormat="1">
      <alignment vertical="center" wrapText="1"/>
    </xf>
    <xf numFmtId="49" fontId="45" fillId="0" borderId="0" xfId="0" applyFont="1" applyNumberFormat="1">
      <alignment horizontal="center" vertical="center" wrapText="1"/>
    </xf>
    <xf numFmtId="0" fontId="22" fillId="0" borderId="0" xfId="0" applyFont="1" applyNumberFormat="1">
      <alignment vertical="center" wrapText="1"/>
    </xf>
    <xf numFmtId="49" fontId="45" fillId="0" borderId="0" xfId="0" applyFont="1" applyNumberFormat="1">
      <alignment horizontal="center" vertical="center" wrapText="1"/>
    </xf>
    <xf numFmtId="0" fontId="22" fillId="0" borderId="0" xfId="0" applyFont="1" applyNumberFormat="1">
      <alignment vertical="center" wrapText="1"/>
    </xf>
    <xf numFmtId="49" fontId="45" fillId="0" borderId="0" xfId="0" applyFont="1" applyNumberFormat="1">
      <alignment horizontal="center" vertical="center" wrapText="1"/>
    </xf>
    <xf numFmtId="49" fontId="96" fillId="0" borderId="0" xfId="0" applyFont="1" applyNumberFormat="1">
      <alignment horizontal="center" vertical="center" wrapText="1"/>
    </xf>
    <xf numFmtId="0" fontId="0" fillId="36" borderId="18" xfId="0" applyFont="1" applyFill="1" applyBorder="1" applyNumberFormat="1">
      <alignment horizontal="center" vertical="center" wrapText="1"/>
    </xf>
    <xf numFmtId="0" fontId="22"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46" fillId="0" borderId="0" xfId="0" applyFont="1" applyNumberFormat="1">
      <alignment horizontal="center" vertical="center" wrapText="1"/>
    </xf>
    <xf numFmtId="49" fontId="4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2" fillId="0" borderId="13" xfId="0" applyFont="1" applyBorder="1" applyNumberFormat="1">
      <alignment horizontal="left" vertical="center" wrapText="1"/>
    </xf>
    <xf numFmtId="49" fontId="46" fillId="0" borderId="0" xfId="0" applyFont="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top" wrapText="1"/>
    </xf>
    <xf numFmtId="0" fontId="0" fillId="35" borderId="13" xfId="0" applyFont="1" applyFill="1" applyBorder="1" applyNumberFormat="1">
      <alignment horizontal="left" vertical="top" wrapText="1" indent="1"/>
    </xf>
    <xf numFmtId="49" fontId="22" fillId="41" borderId="18" xfId="0" applyFont="1" applyFill="1" applyBorder="1" applyNumberFormat="1">
      <alignment horizontal="center" vertical="top" wrapText="1"/>
    </xf>
    <xf numFmtId="168" fontId="0" fillId="40" borderId="13" xfId="0" applyFont="1" applyFill="1" applyBorder="1" applyNumberFormat="1">
      <alignment horizontal="center" vertical="top" wrapText="1"/>
      <protection locked="0"/>
    </xf>
    <xf numFmtId="168" fontId="0" fillId="37" borderId="13" xfId="0" applyFont="1" applyFill="1" applyBorder="1" applyNumberFormat="1">
      <alignment horizontal="center" vertical="top" wrapText="1"/>
      <protection locked="0"/>
    </xf>
    <xf numFmtId="49" fontId="22" fillId="41" borderId="13" xfId="0" applyFont="1" applyFill="1" applyBorder="1" applyNumberFormat="1">
      <alignment horizontal="left" vertical="top" wrapText="1"/>
    </xf>
    <xf numFmtId="49" fontId="22" fillId="40" borderId="13" xfId="0" applyFont="1" applyFill="1" applyBorder="1" applyNumberFormat="1">
      <alignment horizontal="left" vertical="top" wrapText="1"/>
      <protection locked="0"/>
    </xf>
    <xf numFmtId="49" fontId="0" fillId="35" borderId="13" xfId="0" applyFont="1" applyFill="1" applyBorder="1" applyNumberFormat="1">
      <alignment horizontal="center" vertical="top" wrapText="1"/>
    </xf>
    <xf numFmtId="0" fontId="22" fillId="35" borderId="13" xfId="0" applyFont="1" applyFill="1" applyBorder="1" applyNumberFormat="1">
      <alignment horizontal="center" vertical="top" wrapText="1"/>
    </xf>
    <xf numFmtId="0" fontId="22" fillId="37" borderId="13" xfId="0" applyFont="1" applyFill="1" applyBorder="1" applyNumberFormat="1">
      <alignment horizontal="left" vertical="top" wrapText="1"/>
      <protection locked="0"/>
    </xf>
    <xf numFmtId="49" fontId="22" fillId="41" borderId="13" xfId="0" applyFont="1" applyFill="1" applyBorder="1" applyNumberFormat="1">
      <alignment horizontal="center" vertical="top" wrapText="1"/>
    </xf>
    <xf numFmtId="0" fontId="22" fillId="0" borderId="37" xfId="0" applyFont="1" applyBorder="1" applyNumberFormat="1">
      <alignment horizontal="center" vertical="center" wrapText="1"/>
    </xf>
    <xf numFmtId="0" fontId="22" fillId="0" borderId="13" xfId="0" applyFont="1" applyBorder="1" applyNumberFormat="1">
      <alignment horizontal="center" vertical="center" wrapText="1"/>
    </xf>
    <xf numFmtId="49" fontId="22" fillId="40" borderId="18" xfId="0" applyFont="1" applyFill="1" applyBorder="1" applyNumberFormat="1">
      <alignment horizontal="left" vertical="center" wrapText="1" indent="1"/>
      <protection locked="0"/>
    </xf>
    <xf numFmtId="0" fontId="22" fillId="0" borderId="25" xfId="0" applyFont="1" applyBorder="1" applyNumberFormat="1">
      <alignment vertical="top" wrapText="1"/>
    </xf>
    <xf numFmtId="49" fontId="22" fillId="41" borderId="24" xfId="0" applyFont="1" applyFill="1" applyBorder="1" applyNumberFormat="1">
      <alignment horizontal="center" vertical="top" wrapText="1"/>
    </xf>
    <xf numFmtId="49" fontId="0" fillId="40" borderId="13" xfId="0" applyFont="1" applyFill="1" applyBorder="1" applyNumberFormat="1">
      <alignment horizontal="center" vertical="top" wrapText="1"/>
      <protection locked="0"/>
    </xf>
    <xf numFmtId="49" fontId="0" fillId="37" borderId="13" xfId="0" applyFont="1" applyFill="1" applyBorder="1" applyNumberFormat="1">
      <alignment horizontal="center" vertical="top" wrapText="1"/>
      <protection locked="0"/>
    </xf>
    <xf numFmtId="49" fontId="22" fillId="41" borderId="15" xfId="0" applyFont="1" applyFill="1" applyBorder="1" applyNumberFormat="1">
      <alignment horizontal="center" vertical="top" wrapText="1"/>
    </xf>
    <xf numFmtId="49" fontId="39" fillId="38" borderId="15" xfId="0" applyFont="1" applyFill="1" applyBorder="1" applyNumberFormat="1">
      <alignment horizontal="left" vertical="center" indent="1"/>
    </xf>
    <xf numFmtId="0" fontId="22" fillId="38" borderId="30" xfId="0" applyFont="1" applyFill="1" applyBorder="1" applyNumberFormat="1">
      <alignment vertical="center" wrapText="1"/>
    </xf>
    <xf numFmtId="0" fontId="45" fillId="0" borderId="0" xfId="0" applyFont="1" applyNumberFormat="1">
      <alignment vertical="center" wrapText="1"/>
    </xf>
    <xf numFmtId="0" fontId="45" fillId="0" borderId="0" xfId="0" applyFont="1" applyNumberFormat="1">
      <alignment vertical="center" wrapText="1"/>
    </xf>
    <xf numFmtId="0" fontId="45" fillId="0" borderId="0" xfId="0" applyFont="1" applyNumberFormat="1">
      <alignment vertical="center" wrapText="1"/>
    </xf>
    <xf numFmtId="0" fontId="31" fillId="0" borderId="0" xfId="0" applyFont="1" applyNumberFormat="1">
      <alignment vertical="center" wrapText="1"/>
    </xf>
    <xf numFmtId="0" fontId="31" fillId="0" borderId="0" xfId="0" applyFont="1" applyNumberFormat="1">
      <alignment vertical="center" wrapText="1"/>
    </xf>
    <xf numFmtId="0" fontId="31" fillId="0" borderId="0" xfId="0" applyFont="1" applyNumberFormat="1">
      <alignment vertical="center" wrapText="1"/>
    </xf>
    <xf numFmtId="0" fontId="22" fillId="36" borderId="0" xfId="0" applyFont="1" applyFill="1" applyNumberFormat="1">
      <alignment vertical="center" wrapText="1"/>
    </xf>
    <xf numFmtId="0" fontId="22" fillId="36" borderId="40" xfId="0" applyFont="1" applyFill="1" applyBorder="1" applyNumberFormat="1">
      <alignment vertical="center" wrapText="1"/>
    </xf>
    <xf numFmtId="0" fontId="22" fillId="36" borderId="40" xfId="0" applyFont="1" applyFill="1" applyBorder="1" applyNumberFormat="1">
      <alignment vertical="center" wrapText="1"/>
    </xf>
    <xf numFmtId="49" fontId="71" fillId="0" borderId="40" xfId="0" applyFont="1" applyBorder="1" applyNumberFormat="1">
      <alignment vertical="top"/>
    </xf>
    <xf numFmtId="49" fontId="71" fillId="0" borderId="40" xfId="0" applyFont="1" applyBorder="1" applyNumberFormat="1">
      <alignment vertical="top"/>
    </xf>
    <xf numFmtId="0" fontId="48" fillId="36" borderId="40" xfId="0" applyFont="1" applyFill="1" applyBorder="1" applyNumberFormat="1">
      <alignment horizontal="center" wrapText="1"/>
    </xf>
    <xf numFmtId="0" fontId="48" fillId="36" borderId="40" xfId="0" applyFont="1" applyFill="1" applyBorder="1" applyNumberFormat="1">
      <alignment horizontal="center" wrapText="1"/>
    </xf>
    <xf numFmtId="0" fontId="22" fillId="36" borderId="40" xfId="0" applyFont="1" applyFill="1" applyBorder="1" applyNumberFormat="1">
      <alignment vertical="center" wrapText="1"/>
    </xf>
    <xf numFmtId="0" fontId="22" fillId="36" borderId="40" xfId="0" applyFont="1" applyFill="1" applyBorder="1" applyNumberFormat="1">
      <alignment vertical="center" wrapText="1"/>
    </xf>
    <xf numFmtId="49" fontId="22" fillId="0" borderId="0" xfId="0" applyFont="1" applyNumberFormat="1">
      <alignment vertical="top"/>
    </xf>
    <xf numFmtId="0" fontId="22" fillId="0" borderId="1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9" xfId="0" applyFont="1" applyBorder="1" applyNumberFormat="1">
      <alignment vertical="center" wrapText="1"/>
    </xf>
    <xf numFmtId="0" fontId="22" fillId="0" borderId="0" xfId="0" applyFont="1" applyNumberFormat="1">
      <alignment vertical="center" wrapText="1"/>
    </xf>
    <xf numFmtId="0" fontId="22" fillId="36" borderId="0" xfId="0" applyFont="1" applyFill="1" applyNumberFormat="1">
      <alignment vertical="center" wrapText="1"/>
    </xf>
    <xf numFmtId="49" fontId="22" fillId="0" borderId="0" xfId="0" applyFont="1" applyNumberFormat="1">
      <alignment vertical="top"/>
    </xf>
    <xf numFmtId="49" fontId="96" fillId="0" borderId="0" xfId="0" applyFont="1" applyNumberFormat="1">
      <alignment horizontal="center" vertical="center" wrapText="1"/>
    </xf>
    <xf numFmtId="0" fontId="22" fillId="36"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22" fillId="36" borderId="30"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6"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6" borderId="0" xfId="0" applyFont="1" applyFill="1" applyNumberFormat="1">
      <alignment vertical="center" wrapText="1"/>
    </xf>
    <xf numFmtId="0" fontId="101" fillId="0" borderId="49" xfId="0" applyFont="1" applyBorder="1" applyNumberFormat="1">
      <alignment horizontal="left" vertical="center" indent="1"/>
    </xf>
    <xf numFmtId="0" fontId="101"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2" fillId="0" borderId="50" xfId="0" applyFont="1" applyBorder="1" applyNumberFormat="1">
      <alignment vertical="center" wrapText="1"/>
    </xf>
    <xf numFmtId="0" fontId="22" fillId="0" borderId="54" xfId="0" applyFont="1" applyBorder="1" applyNumberFormat="1">
      <alignment vertical="center" wrapText="1"/>
    </xf>
    <xf numFmtId="0" fontId="22" fillId="0" borderId="55" xfId="0" applyFont="1" applyBorder="1" applyNumberFormat="1">
      <alignment vertical="center" wrapText="1"/>
    </xf>
    <xf numFmtId="0" fontId="22" fillId="0" borderId="23" xfId="0" applyFont="1" applyBorder="1" applyNumberFormat="1">
      <alignment vertical="center" wrapText="1"/>
    </xf>
    <xf numFmtId="49" fontId="22" fillId="0" borderId="0" xfId="0" applyFont="1" applyNumberFormat="1">
      <alignment vertical="top"/>
    </xf>
    <xf numFmtId="49" fontId="22" fillId="35" borderId="13"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45" fillId="0" borderId="14" xfId="0" applyFont="1" applyBorder="1" applyNumberFormat="1">
      <alignment horizontal="center" vertical="center" wrapText="1"/>
    </xf>
    <xf numFmtId="49" fontId="45" fillId="0" borderId="14" xfId="0" applyFont="1" applyBorder="1" applyNumberFormat="1">
      <alignment horizontal="left" vertical="center" wrapText="1"/>
    </xf>
    <xf numFmtId="49" fontId="45" fillId="0" borderId="13" xfId="0" applyFont="1" applyBorder="1" applyNumberFormat="1">
      <alignment horizontal="left" vertical="center" wrapText="1"/>
    </xf>
    <xf numFmtId="49" fontId="45" fillId="0" borderId="15" xfId="0" applyFont="1" applyBorder="1" applyNumberFormat="1">
      <alignment horizontal="center" vertical="center" wrapText="1"/>
    </xf>
    <xf numFmtId="49" fontId="92" fillId="0" borderId="44" xfId="0" applyFont="1" applyBorder="1" applyNumberFormat="1">
      <alignment horizontal="left" vertical="center" indent="1"/>
    </xf>
    <xf numFmtId="49" fontId="92" fillId="0" borderId="44" xfId="0" applyFont="1" applyBorder="1" applyNumberFormat="1">
      <alignment horizontal="center" vertical="center"/>
    </xf>
    <xf numFmtId="3" fontId="45" fillId="0" borderId="13" xfId="0" applyFont="1" applyBorder="1" applyNumberFormat="1">
      <alignment horizontal="center" vertical="center" wrapText="1"/>
    </xf>
    <xf numFmtId="49" fontId="123" fillId="0" borderId="14" xfId="0" applyFont="1" applyBorder="1" applyNumberFormat="1">
      <alignment horizontal="center" vertical="center" wrapText="1"/>
    </xf>
    <xf numFmtId="0" fontId="92" fillId="0" borderId="13" xfId="0" applyFont="1" applyBorder="1" applyNumberFormat="1">
      <alignment horizontal="center" vertical="center"/>
    </xf>
    <xf numFmtId="49" fontId="45" fillId="0" borderId="18" xfId="0" applyFont="1" applyBorder="1" applyNumberFormat="1">
      <alignment horizontal="left" vertical="center" wrapText="1" indent="1"/>
    </xf>
    <xf numFmtId="49" fontId="92" fillId="0" borderId="15" xfId="0" applyFont="1" applyBorder="1" applyNumberFormat="1">
      <alignment horizontal="left" vertical="center" indent="1"/>
    </xf>
    <xf numFmtId="49" fontId="92" fillId="0" borderId="16" xfId="0" applyFont="1" applyBorder="1" applyNumberFormat="1">
      <alignment horizontal="left" vertical="center" indent="1"/>
    </xf>
    <xf numFmtId="49" fontId="92" fillId="0" borderId="16" xfId="0" applyFont="1" applyBorder="1" applyNumberFormat="1">
      <alignment vertical="top" wrapText="1"/>
    </xf>
    <xf numFmtId="49" fontId="92" fillId="0" borderId="14" xfId="0" applyFont="1" applyBorder="1" applyNumberFormat="1">
      <alignment vertical="top" wrapText="1"/>
    </xf>
    <xf numFmtId="49" fontId="45" fillId="0" borderId="37" xfId="0" applyFont="1" applyBorder="1" applyNumberFormat="1">
      <alignment horizontal="left" vertical="center" wrapText="1" indent="1"/>
    </xf>
    <xf numFmtId="49" fontId="123" fillId="0" borderId="0" xfId="0" applyFont="1" applyNumberFormat="1">
      <alignment horizontal="center" vertical="top" wrapText="1"/>
    </xf>
    <xf numFmtId="0" fontId="92" fillId="0" borderId="13" xfId="0" applyFont="1" applyBorder="1" applyNumberFormat="1">
      <alignment horizontal="center" vertical="center"/>
    </xf>
    <xf numFmtId="0" fontId="92" fillId="0" borderId="13" xfId="0" applyFont="1" applyBorder="1" applyNumberFormat="1">
      <alignment horizontal="left" vertical="center" wrapText="1" indent="1"/>
    </xf>
    <xf numFmtId="4" fontId="45" fillId="0" borderId="32" xfId="0" applyFont="1" applyBorder="1" applyNumberFormat="1">
      <alignment horizontal="right" vertical="center" wrapText="1"/>
    </xf>
    <xf numFmtId="49" fontId="45" fillId="0" borderId="24" xfId="0" applyFont="1" applyBorder="1" applyNumberFormat="1">
      <alignment horizontal="left" vertical="center" wrapText="1" indent="1"/>
    </xf>
    <xf numFmtId="49" fontId="45" fillId="0" borderId="16" xfId="0" applyFont="1" applyBorder="1" applyNumberFormat="1">
      <alignment horizontal="left" vertical="center" indent="1"/>
    </xf>
    <xf numFmtId="49" fontId="92" fillId="0" borderId="53" xfId="0" applyFont="1" applyBorder="1" applyNumberFormat="1">
      <alignment vertical="top" wrapText="1"/>
    </xf>
    <xf numFmtId="49" fontId="92" fillId="0" borderId="53" xfId="0" applyFont="1" applyBorder="1" applyNumberFormat="1">
      <alignment horizontal="left" vertical="center" indent="1"/>
    </xf>
    <xf numFmtId="49" fontId="22" fillId="35" borderId="73" xfId="0" applyFont="1" applyFill="1" applyBorder="1" applyNumberFormat="1">
      <alignment horizontal="center" vertical="center" wrapText="1"/>
    </xf>
    <xf numFmtId="0" fontId="0" fillId="38" borderId="51" xfId="0" applyFont="1" applyFill="1" applyBorder="1" applyNumberFormat="1">
      <alignment horizontal="left" vertical="center"/>
    </xf>
    <xf numFmtId="49" fontId="39" fillId="38" borderId="52" xfId="0" applyFont="1" applyFill="1" applyBorder="1" applyNumberFormat="1">
      <alignment horizontal="left" vertical="center" indent="1"/>
    </xf>
    <xf numFmtId="0" fontId="22" fillId="38" borderId="51" xfId="0" applyFont="1" applyFill="1" applyBorder="1" applyNumberFormat="1">
      <alignment vertical="center" wrapText="1"/>
    </xf>
    <xf numFmtId="0" fontId="22" fillId="38" borderId="52" xfId="0" applyFont="1" applyFill="1" applyBorder="1" applyNumberFormat="1">
      <alignment vertical="center" wrapText="1"/>
    </xf>
    <xf numFmtId="49" fontId="22" fillId="35" borderId="18" xfId="0" applyFont="1" applyFill="1" applyBorder="1" applyNumberFormat="1">
      <alignment horizontal="center" vertical="center" wrapText="1"/>
    </xf>
    <xf numFmtId="49" fontId="22" fillId="41" borderId="14" xfId="0" applyFont="1" applyFill="1" applyBorder="1" applyNumberFormat="1">
      <alignment horizontal="left" vertical="center" wrapText="1"/>
    </xf>
    <xf numFmtId="49" fontId="22" fillId="41" borderId="13" xfId="0" applyFont="1" applyFill="1" applyBorder="1" applyNumberFormat="1">
      <alignment horizontal="left" vertical="center" wrapText="1"/>
    </xf>
    <xf numFmtId="49" fontId="22" fillId="40" borderId="13" xfId="0" applyFont="1" applyFill="1" applyBorder="1" applyNumberFormat="1">
      <alignment horizontal="left" vertical="center" wrapText="1"/>
      <protection locked="0"/>
    </xf>
    <xf numFmtId="49" fontId="22" fillId="41" borderId="15" xfId="0" applyFont="1" applyFill="1" applyBorder="1" applyNumberFormat="1">
      <alignment horizontal="center" vertical="center" wrapText="1"/>
    </xf>
    <xf numFmtId="49" fontId="103" fillId="38" borderId="44" xfId="0" applyFont="1" applyFill="1" applyBorder="1" applyNumberFormat="1">
      <alignment horizontal="left" vertical="center" indent="1"/>
    </xf>
    <xf numFmtId="49" fontId="92" fillId="38" borderId="44" xfId="0" applyFont="1" applyFill="1" applyBorder="1" applyNumberFormat="1">
      <alignment horizontal="center" vertical="center"/>
    </xf>
    <xf numFmtId="3" fontId="22" fillId="40" borderId="13" xfId="0" applyFont="1" applyFill="1" applyBorder="1" applyNumberFormat="1">
      <alignment horizontal="center" vertical="center" wrapText="1"/>
      <protection locked="0"/>
    </xf>
    <xf numFmtId="49" fontId="0" fillId="0" borderId="37" xfId="0" applyFont="1" applyBorder="1" applyNumberFormat="1">
      <alignment vertical="top"/>
    </xf>
    <xf numFmtId="49" fontId="121" fillId="0" borderId="14" xfId="0" applyFont="1" applyBorder="1" applyNumberFormat="1">
      <alignment horizontal="center" vertical="center" wrapText="1"/>
    </xf>
    <xf numFmtId="0" fontId="44" fillId="0" borderId="13" xfId="0" applyFont="1" applyBorder="1" applyNumberFormat="1">
      <alignment horizontal="center" vertical="center"/>
    </xf>
    <xf numFmtId="49" fontId="22" fillId="41" borderId="18" xfId="0" applyFont="1" applyFill="1" applyBorder="1" applyNumberFormat="1">
      <alignment horizontal="left" vertical="center" wrapText="1" indent="1"/>
    </xf>
    <xf numFmtId="49" fontId="103" fillId="38" borderId="15" xfId="0" applyFont="1" applyFill="1" applyBorder="1" applyNumberFormat="1">
      <alignment horizontal="left" vertical="center" indent="1"/>
    </xf>
    <xf numFmtId="49" fontId="103" fillId="38" borderId="16" xfId="0" applyFont="1" applyFill="1" applyBorder="1" applyNumberFormat="1">
      <alignment horizontal="left" vertical="center" indent="1"/>
    </xf>
    <xf numFmtId="49" fontId="44" fillId="38" borderId="16" xfId="0" applyFont="1" applyFill="1" applyBorder="1" applyNumberFormat="1">
      <alignment vertical="top" wrapText="1"/>
    </xf>
    <xf numFmtId="49" fontId="44" fillId="38" borderId="14" xfId="0" applyFont="1" applyFill="1" applyBorder="1" applyNumberFormat="1">
      <alignment vertical="top" wrapText="1"/>
    </xf>
    <xf numFmtId="49" fontId="22" fillId="41" borderId="37" xfId="0" applyFont="1" applyFill="1" applyBorder="1" applyNumberFormat="1">
      <alignment horizontal="left" vertical="center" wrapText="1" indent="1"/>
    </xf>
    <xf numFmtId="49" fontId="22" fillId="35" borderId="13" xfId="0" applyFont="1" applyFill="1" applyBorder="1" applyNumberFormat="1">
      <alignment horizontal="left" vertical="center" wrapText="1"/>
    </xf>
    <xf numFmtId="49" fontId="121" fillId="0" borderId="0" xfId="0" applyFont="1" applyNumberFormat="1">
      <alignment horizontal="center" vertical="top" wrapText="1"/>
    </xf>
    <xf numFmtId="0" fontId="44" fillId="0" borderId="13" xfId="0" applyFont="1" applyBorder="1" applyNumberFormat="1">
      <alignment horizontal="center" vertical="center"/>
    </xf>
    <xf numFmtId="0" fontId="44" fillId="41" borderId="13" xfId="0" applyFont="1" applyFill="1" applyBorder="1" applyNumberFormat="1">
      <alignment horizontal="left" vertical="center" wrapText="1" indent="1"/>
    </xf>
    <xf numFmtId="0" fontId="44" fillId="0" borderId="14" xfId="0" applyFont="1" applyBorder="1" applyNumberFormat="1">
      <alignment horizontal="center" vertical="center"/>
    </xf>
    <xf numFmtId="49" fontId="0" fillId="40" borderId="37" xfId="0" applyFont="1" applyFill="1" applyBorder="1" applyNumberFormat="1">
      <alignment vertical="top"/>
      <protection locked="0"/>
    </xf>
    <xf numFmtId="14" fontId="22" fillId="41" borderId="37" xfId="0" applyFont="1" applyFill="1" applyBorder="1" applyNumberFormat="1">
      <alignment horizontal="left" vertical="center" wrapText="1" indent="1"/>
    </xf>
    <xf numFmtId="14" fontId="22" fillId="41" borderId="23" xfId="0" applyFont="1" applyFill="1" applyBorder="1" applyNumberFormat="1">
      <alignment horizontal="left" vertical="center" wrapText="1" indent="1"/>
    </xf>
    <xf numFmtId="49" fontId="22" fillId="41" borderId="24" xfId="0" applyFont="1" applyFill="1" applyBorder="1" applyNumberFormat="1">
      <alignment horizontal="left" vertical="center" wrapText="1" indent="1"/>
    </xf>
    <xf numFmtId="49" fontId="39" fillId="38" borderId="16" xfId="0" applyFont="1" applyFill="1" applyBorder="1" applyNumberFormat="1">
      <alignment horizontal="left" vertical="center" indent="1"/>
    </xf>
    <xf numFmtId="49" fontId="44" fillId="38" borderId="53" xfId="0" applyFont="1" applyFill="1" applyBorder="1" applyNumberFormat="1">
      <alignment vertical="top" wrapText="1"/>
    </xf>
    <xf numFmtId="49" fontId="103" fillId="38" borderId="53" xfId="0" applyFont="1" applyFill="1" applyBorder="1" applyNumberFormat="1">
      <alignment horizontal="left" vertical="center" indent="1"/>
    </xf>
    <xf numFmtId="49" fontId="103" fillId="38" borderId="43" xfId="0" applyFont="1" applyFill="1" applyBorder="1" applyNumberFormat="1">
      <alignment horizontal="left" vertical="center" indent="1"/>
    </xf>
    <xf numFmtId="49" fontId="121" fillId="0" borderId="13" xfId="0" applyFont="1" applyBorder="1" applyNumberFormat="1">
      <alignment horizontal="center" vertical="center" wrapText="1"/>
    </xf>
    <xf numFmtId="0" fontId="44" fillId="0" borderId="14" xfId="0" applyFont="1" applyBorder="1" applyNumberFormat="1">
      <alignment horizontal="center" vertical="center"/>
    </xf>
    <xf numFmtId="49" fontId="22" fillId="36" borderId="13" xfId="0" applyFont="1" applyFill="1" applyBorder="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6" borderId="20" xfId="0" applyFont="1" applyFill="1" applyBorder="1" applyNumberFormat="1">
      <alignment vertical="center" wrapText="1"/>
    </xf>
    <xf numFmtId="49" fontId="22" fillId="0" borderId="0" xfId="0" applyFont="1" applyNumberFormat="1">
      <alignment vertical="top"/>
    </xf>
    <xf numFmtId="49" fontId="46" fillId="0" borderId="0" xfId="0" applyFont="1" applyNumberFormat="1">
      <alignment vertical="top"/>
    </xf>
    <xf numFmtId="0" fontId="46" fillId="0" borderId="40" xfId="0" applyFont="1" applyBorder="1" applyNumberFormat="1">
      <alignment vertical="center" wrapText="1"/>
    </xf>
    <xf numFmtId="0" fontId="22" fillId="0" borderId="74" xfId="0" applyFont="1" applyBorder="1" applyNumberFormat="1">
      <alignment horizontal="center" vertical="center"/>
    </xf>
    <xf numFmtId="0" fontId="22" fillId="0" borderId="44" xfId="0" applyFont="1" applyBorder="1" applyNumberFormat="1">
      <alignment horizontal="center" vertical="center"/>
    </xf>
    <xf numFmtId="0" fontId="22" fillId="0" borderId="44" xfId="0" applyFont="1" applyBorder="1" applyNumberFormat="1">
      <alignment horizontal="center" vertical="center"/>
    </xf>
    <xf numFmtId="0" fontId="22"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22" fillId="0" borderId="23" xfId="0" applyFont="1" applyBorder="1" applyNumberFormat="1">
      <alignment vertical="top"/>
    </xf>
    <xf numFmtId="49" fontId="0" fillId="0" borderId="37" xfId="0" applyFont="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5" borderId="13" xfId="0" applyFont="1" applyFill="1" applyBorder="1" applyNumberFormat="1">
      <alignment horizontal="center" vertical="center"/>
    </xf>
    <xf numFmtId="49" fontId="0" fillId="0" borderId="13" xfId="0" applyFont="1" applyBorder="1" applyNumberFormat="1">
      <alignment horizontal="center" vertical="center"/>
    </xf>
    <xf numFmtId="0" fontId="22"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5" borderId="13" xfId="0" applyFont="1" applyFill="1" applyBorder="1" applyNumberFormat="1">
      <alignment horizontal="righ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indent="2"/>
    </xf>
    <xf numFmtId="4" fontId="0" fillId="37"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44" fillId="0" borderId="0" xfId="0" applyFont="1" applyNumberFormat="1">
      <alignment vertical="center"/>
    </xf>
    <xf numFmtId="49" fontId="97"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97"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vertical="center" wrapText="1"/>
    </xf>
    <xf numFmtId="49" fontId="22" fillId="0" borderId="0" xfId="0" applyFont="1" applyNumberFormat="1">
      <alignment horizontal="center" vertical="top" wrapText="1"/>
    </xf>
    <xf numFmtId="49" fontId="31" fillId="0" borderId="0" xfId="0" applyFont="1" applyNumberFormat="1">
      <alignment horizontal="center" vertical="top" wrapText="1"/>
    </xf>
    <xf numFmtId="49" fontId="22" fillId="36" borderId="0" xfId="0" applyFont="1" applyFill="1" applyNumberFormat="1">
      <alignment horizontal="center" vertical="top" wrapText="1"/>
    </xf>
    <xf numFmtId="0" fontId="22" fillId="0" borderId="21"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1" fillId="0" borderId="0" xfId="0" applyFont="1" applyNumberFormat="1">
      <alignment horizontal="center" vertical="center" wrapText="1"/>
    </xf>
    <xf numFmtId="49" fontId="22" fillId="36" borderId="0" xfId="0" applyFont="1" applyFill="1" applyNumberFormat="1">
      <alignment horizontal="center" vertical="center" wrapText="1"/>
    </xf>
    <xf numFmtId="49" fontId="22" fillId="0" borderId="0" xfId="0" applyFont="1" applyNumberFormat="1">
      <alignment horizontal="center" vertical="center" wrapText="1"/>
    </xf>
    <xf numFmtId="49" fontId="44" fillId="0" borderId="0" xfId="0" applyFont="1" applyNumberFormat="1">
      <alignment horizontal="center" vertical="center" wrapText="1"/>
    </xf>
    <xf numFmtId="49" fontId="97" fillId="0" borderId="0" xfId="0" applyFont="1" applyNumberFormat="1">
      <alignment horizontal="center" vertical="center" wrapText="1"/>
    </xf>
    <xf numFmtId="0" fontId="44" fillId="0" borderId="0" xfId="0" applyFont="1" applyNumberFormat="1">
      <alignment horizontal="center" vertical="center" wrapText="1"/>
    </xf>
    <xf numFmtId="49" fontId="44" fillId="0" borderId="0" xfId="0" applyFont="1" applyNumberFormat="1">
      <alignment horizontal="center" vertical="center" wrapText="1"/>
    </xf>
    <xf numFmtId="49" fontId="97"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6" borderId="15" xfId="0" applyFont="1" applyFill="1" applyBorder="1" applyNumberFormat="1">
      <alignment horizontal="center" vertical="center" wrapText="1"/>
    </xf>
    <xf numFmtId="0" fontId="22" fillId="46" borderId="16" xfId="0" applyFont="1" applyFill="1" applyBorder="1" applyNumberFormat="1">
      <alignment horizontal="center" vertical="center" wrapText="1"/>
    </xf>
    <xf numFmtId="0" fontId="22" fillId="46" borderId="14" xfId="0" applyFont="1" applyFill="1" applyBorder="1" applyNumberFormat="1">
      <alignment horizontal="center" vertical="center" wrapText="1"/>
    </xf>
    <xf numFmtId="49" fontId="45" fillId="44" borderId="15" xfId="0" applyFont="1" applyFill="1" applyBorder="1" applyNumberFormat="1">
      <alignment horizontal="center" vertical="center" wrapText="1"/>
    </xf>
    <xf numFmtId="49" fontId="45" fillId="44" borderId="16" xfId="0" applyFont="1" applyFill="1" applyBorder="1" applyNumberFormat="1">
      <alignment horizontal="center" vertical="center" wrapText="1"/>
    </xf>
    <xf numFmtId="49" fontId="45" fillId="44" borderId="14" xfId="0" applyFont="1" applyFill="1" applyBorder="1" applyNumberFormat="1">
      <alignment horizontal="center" vertical="center" wrapText="1"/>
    </xf>
    <xf numFmtId="49" fontId="45" fillId="47" borderId="15" xfId="0" applyFont="1" applyFill="1" applyBorder="1" applyNumberFormat="1">
      <alignment horizontal="center" vertical="center" wrapText="1"/>
    </xf>
    <xf numFmtId="49" fontId="45" fillId="47" borderId="16" xfId="0" applyFont="1" applyFill="1" applyBorder="1" applyNumberFormat="1">
      <alignment horizontal="center" vertical="center" wrapText="1"/>
    </xf>
    <xf numFmtId="49" fontId="45" fillId="47" borderId="14" xfId="0" applyFont="1" applyFill="1" applyBorder="1" applyNumberFormat="1">
      <alignment horizontal="center" vertical="center" wrapText="1"/>
    </xf>
    <xf numFmtId="49" fontId="22" fillId="48" borderId="15" xfId="0" applyFont="1" applyFill="1" applyBorder="1" applyNumberFormat="1">
      <alignment horizontal="center" vertical="center" wrapText="1"/>
    </xf>
    <xf numFmtId="49" fontId="22" fillId="48" borderId="16" xfId="0" applyFont="1" applyFill="1" applyBorder="1" applyNumberFormat="1">
      <alignment horizontal="center" vertical="center" wrapText="1"/>
    </xf>
    <xf numFmtId="49" fontId="22" fillId="42" borderId="20" xfId="0" applyFont="1" applyFill="1" applyBorder="1" applyNumberFormat="1">
      <alignment horizontal="center" vertical="center" wrapText="1"/>
    </xf>
    <xf numFmtId="49" fontId="44" fillId="0" borderId="0" xfId="0" applyFont="1" applyNumberFormat="1">
      <alignment horizontal="center" vertical="center" wrapText="1"/>
    </xf>
    <xf numFmtId="49" fontId="22" fillId="42" borderId="0" xfId="0" applyFont="1" applyFill="1" applyNumberFormat="1">
      <alignment horizontal="center" vertical="center" wrapText="1"/>
    </xf>
    <xf numFmtId="49" fontId="22" fillId="0" borderId="16" xfId="0" applyFont="1" applyBorder="1" applyNumberFormat="1">
      <alignment horizontal="center" vertical="center" wrapText="1"/>
    </xf>
    <xf numFmtId="49" fontId="44" fillId="36" borderId="0" xfId="0" applyFont="1" applyFill="1" applyNumberFormat="1">
      <alignment vertical="center" wrapText="1"/>
    </xf>
    <xf numFmtId="49" fontId="22" fillId="42" borderId="13" xfId="0" applyFont="1" applyFill="1" applyBorder="1" applyNumberFormat="1">
      <alignment horizontal="center" vertical="center" wrapText="1"/>
    </xf>
    <xf numFmtId="0" fontId="22" fillId="42" borderId="13" xfId="0" applyFont="1" applyFill="1" applyBorder="1" applyNumberFormat="1">
      <alignment horizontal="center" vertical="center" wrapText="1"/>
    </xf>
    <xf numFmtId="0" fontId="22" fillId="42" borderId="15" xfId="0" applyFont="1" applyFill="1" applyBorder="1" applyNumberFormat="1">
      <alignment horizontal="center" vertical="center" wrapText="1"/>
    </xf>
    <xf numFmtId="0" fontId="22" fillId="36" borderId="14" xfId="0" applyFont="1" applyFill="1" applyBorder="1" applyNumberFormat="1">
      <alignment horizontal="center" vertical="center" wrapText="1"/>
    </xf>
    <xf numFmtId="0" fontId="22" fillId="42" borderId="14" xfId="0" applyFont="1" applyFill="1" applyBorder="1" applyNumberFormat="1">
      <alignment horizontal="center" vertical="center" wrapText="1"/>
    </xf>
    <xf numFmtId="49" fontId="22" fillId="0" borderId="0" xfId="0" applyFont="1" applyNumberFormat="1">
      <alignment vertical="center" wrapText="1"/>
    </xf>
    <xf numFmtId="49" fontId="44" fillId="0" borderId="0" xfId="0" applyFont="1" applyNumberFormat="1">
      <alignment vertical="top"/>
    </xf>
    <xf numFmtId="0" fontId="22" fillId="36" borderId="13" xfId="0" applyFont="1" applyFill="1" applyBorder="1" applyNumberFormat="1">
      <alignment horizontal="center" vertical="center" wrapText="1"/>
    </xf>
    <xf numFmtId="49" fontId="22" fillId="42" borderId="28" xfId="0" applyFont="1" applyFill="1" applyBorder="1" applyNumberFormat="1">
      <alignment horizontal="center" vertical="center" wrapText="1"/>
    </xf>
    <xf numFmtId="49" fontId="44" fillId="36" borderId="0" xfId="0" applyFont="1" applyFill="1" applyNumberFormat="1">
      <alignment vertical="center"/>
    </xf>
    <xf numFmtId="49" fontId="35" fillId="0" borderId="13" xfId="0" applyFont="1" applyBorder="1" applyNumberFormat="1">
      <alignment horizontal="center" vertical="center"/>
    </xf>
    <xf numFmtId="49" fontId="35" fillId="42" borderId="13" xfId="0" applyFont="1" applyFill="1" applyBorder="1" applyNumberFormat="1">
      <alignment horizontal="center" vertical="center"/>
    </xf>
    <xf numFmtId="0" fontId="35" fillId="0" borderId="13" xfId="0" applyFont="1" applyBorder="1" applyNumberFormat="1">
      <alignment horizontal="center" vertical="center"/>
    </xf>
    <xf numFmtId="49" fontId="35" fillId="0" borderId="24" xfId="0" applyFont="1" applyBorder="1" applyNumberFormat="1">
      <alignment horizontal="center" vertical="center"/>
    </xf>
    <xf numFmtId="49" fontId="22" fillId="0" borderId="0" xfId="0" applyFont="1" applyNumberFormat="1">
      <alignment vertical="center"/>
    </xf>
    <xf numFmtId="49" fontId="97" fillId="0" borderId="0" xfId="0" applyFont="1" applyNumberFormat="1">
      <alignment vertical="center"/>
    </xf>
    <xf numFmtId="49" fontId="45" fillId="0" borderId="18" xfId="0" applyFont="1" applyBorder="1" applyNumberFormat="1">
      <alignment horizontal="center" vertical="center"/>
    </xf>
    <xf numFmtId="49" fontId="22" fillId="0" borderId="18" xfId="0" applyFont="1" applyBorder="1" applyNumberFormat="1">
      <alignment horizontal="center" vertical="center"/>
    </xf>
    <xf numFmtId="0" fontId="22" fillId="0" borderId="18" xfId="0" applyFont="1" applyBorder="1" applyNumberFormat="1">
      <alignment horizontal="right" vertical="center"/>
    </xf>
    <xf numFmtId="0" fontId="22" fillId="0" borderId="18" xfId="0" applyFont="1" applyBorder="1" applyNumberFormat="1">
      <alignment horizontal="center" vertical="center"/>
    </xf>
    <xf numFmtId="0" fontId="22" fillId="0" borderId="13" xfId="0" applyFont="1" applyBorder="1" applyNumberFormat="1">
      <alignment horizontal="right" vertical="center"/>
    </xf>
    <xf numFmtId="49" fontId="22" fillId="0" borderId="0" xfId="0" applyFont="1" applyNumberFormat="1">
      <alignment vertical="center"/>
    </xf>
    <xf numFmtId="0" fontId="101" fillId="0" borderId="48" xfId="0" applyFont="1" applyBorder="1" applyNumberFormat="1">
      <alignment horizontal="left" vertical="center" indent="1"/>
    </xf>
    <xf numFmtId="49" fontId="22" fillId="0" borderId="56" xfId="0" applyFont="1" applyBorder="1" applyNumberFormat="1">
      <alignment horizontal="center" vertical="center"/>
    </xf>
    <xf numFmtId="0" fontId="22" fillId="0" borderId="56" xfId="0" applyFont="1" applyBorder="1" applyNumberFormat="1">
      <alignment horizontal="right" vertical="center"/>
    </xf>
    <xf numFmtId="0" fontId="22" fillId="0" borderId="56" xfId="0" applyFont="1" applyBorder="1" applyNumberFormat="1">
      <alignment horizontal="center" vertical="center"/>
    </xf>
    <xf numFmtId="0" fontId="22" fillId="0" borderId="16" xfId="0" applyFont="1" applyBorder="1" applyNumberFormat="1">
      <alignment horizontal="right" vertical="center"/>
    </xf>
    <xf numFmtId="0" fontId="22" fillId="0" borderId="14" xfId="0" applyFont="1" applyBorder="1" applyNumberFormat="1">
      <alignment horizontal="right" vertical="center"/>
    </xf>
    <xf numFmtId="49" fontId="44" fillId="0" borderId="0" xfId="0" applyFont="1" applyNumberFormat="1">
      <alignment vertical="center"/>
    </xf>
    <xf numFmtId="0" fontId="22" fillId="36" borderId="13" xfId="0" applyFont="1" applyFill="1" applyBorder="1" applyNumberFormat="1">
      <alignment horizontal="center" vertical="center"/>
    </xf>
    <xf numFmtId="0" fontId="22" fillId="41" borderId="13" xfId="0" applyFont="1" applyFill="1" applyBorder="1" applyNumberFormat="1">
      <alignment horizontal="left" vertical="center" wrapText="1" indent="1"/>
    </xf>
    <xf numFmtId="49" fontId="22" fillId="37" borderId="13" xfId="0" applyFont="1" applyFill="1" applyBorder="1" applyNumberFormat="1">
      <alignment horizontal="left" vertical="center" indent="1"/>
      <protection locked="0"/>
    </xf>
    <xf numFmtId="0" fontId="22" fillId="42" borderId="13" xfId="0" applyFont="1" applyFill="1" applyBorder="1" applyNumberFormat="1">
      <alignment horizontal="right" vertical="center"/>
    </xf>
    <xf numFmtId="4" fontId="22" fillId="37" borderId="13" xfId="0" applyFont="1" applyFill="1" applyBorder="1" applyNumberFormat="1">
      <alignment horizontal="right" vertical="center"/>
      <protection locked="0"/>
    </xf>
    <xf numFmtId="49" fontId="39" fillId="38" borderId="57"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49" borderId="14" xfId="0" applyFont="1" applyFill="1" applyBorder="1" applyNumberFormat="1">
      <alignment horizontal="left" vertical="center" indent="1"/>
    </xf>
    <xf numFmtId="49" fontId="44" fillId="0" borderId="0" xfId="0" applyFont="1" applyNumberFormat="1">
      <alignment vertical="top"/>
    </xf>
    <xf numFmtId="49" fontId="44" fillId="0" borderId="0" xfId="0" applyFont="1" applyNumberFormat="1">
      <alignment vertical="top"/>
    </xf>
    <xf numFmtId="4" fontId="44" fillId="36" borderId="0" xfId="0" applyFont="1" applyFill="1" applyNumberFormat="1">
      <alignment vertical="center"/>
    </xf>
    <xf numFmtId="49" fontId="44" fillId="0" borderId="0" xfId="0" applyFont="1" applyNumberFormat="1">
      <alignment vertical="center" wrapText="1"/>
    </xf>
    <xf numFmtId="49" fontId="92" fillId="0" borderId="0" xfId="0" applyFont="1" applyNumberFormat="1">
      <alignment vertical="center" wrapText="1"/>
    </xf>
    <xf numFmtId="49" fontId="44" fillId="0" borderId="0" xfId="0" applyFont="1" applyNumberFormat="1">
      <alignment vertical="center" wrapText="1"/>
    </xf>
    <xf numFmtId="49" fontId="97" fillId="0" borderId="0" xfId="0" applyFont="1" applyNumberFormat="1">
      <alignment vertical="center" wrapText="1"/>
    </xf>
    <xf numFmtId="49" fontId="97" fillId="0" borderId="0" xfId="0" applyFont="1" applyNumberFormat="1">
      <alignment vertical="center" wrapText="1"/>
    </xf>
    <xf numFmtId="0" fontId="35" fillId="0" borderId="0" xfId="0" applyFont="1" applyNumberFormat="1">
      <alignment horizontal="center" vertical="center" wrapText="1"/>
    </xf>
    <xf numFmtId="0" fontId="22" fillId="0" borderId="13"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5" borderId="15" xfId="0" applyFont="1" applyFill="1" applyBorder="1" applyNumberFormat="1">
      <alignment horizontal="left" vertical="top" wrapText="1" indent="1"/>
    </xf>
    <xf numFmtId="0" fontId="22" fillId="35" borderId="15" xfId="0" applyFont="1" applyFill="1" applyBorder="1" applyNumberFormat="1">
      <alignment horizontal="left" vertical="top" wrapText="1" indent="1"/>
    </xf>
    <xf numFmtId="0" fontId="22" fillId="0" borderId="15" xfId="0" applyFont="1" applyBorder="1" applyNumberFormat="1">
      <alignment horizontal="center" vertical="center" wrapText="1"/>
    </xf>
    <xf numFmtId="0" fontId="22" fillId="0" borderId="13" xfId="0" applyFont="1" applyBorder="1" applyNumberFormat="1">
      <alignment horizontal="left" vertical="top" wrapText="1"/>
    </xf>
    <xf numFmtId="3" fontId="22" fillId="40" borderId="15" xfId="0" applyFont="1" applyFill="1" applyBorder="1" applyNumberFormat="1">
      <alignment vertical="center" wrapText="1"/>
      <protection locked="0"/>
    </xf>
    <xf numFmtId="3" fontId="22" fillId="40" borderId="15"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3" xfId="0" applyFont="1" applyBorder="1" applyNumberFormat="1">
      <alignment horizontal="left" vertical="top" wrapText="1"/>
    </xf>
    <xf numFmtId="4" fontId="22" fillId="35" borderId="15" xfId="0" applyFont="1" applyFill="1" applyBorder="1" applyNumberFormat="1">
      <alignment horizontal="right" vertical="center" wrapText="1"/>
    </xf>
    <xf numFmtId="4" fontId="22" fillId="35" borderId="15" xfId="0" applyFont="1" applyFill="1" applyBorder="1" applyNumberFormat="1">
      <alignment horizontal="right" vertical="center" wrapText="1"/>
    </xf>
    <xf numFmtId="0" fontId="45" fillId="0" borderId="13" xfId="0" applyFont="1" applyBorder="1" applyNumberFormat="1">
      <alignment vertical="top" wrapText="1"/>
    </xf>
    <xf numFmtId="49" fontId="22" fillId="40" borderId="13" xfId="0" applyFont="1" applyFill="1" applyBorder="1" applyNumberFormat="1">
      <alignment horizontal="left" vertical="center" wrapText="1" indent="1"/>
      <protection locked="0"/>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22" fillId="38" borderId="16" xfId="0" applyFont="1" applyFill="1" applyBorder="1" applyNumberFormat="1">
      <alignment vertical="center" wrapText="1"/>
    </xf>
    <xf numFmtId="0" fontId="38" fillId="36" borderId="0" xfId="0" applyFont="1" applyFill="1" applyNumberFormat="1">
      <alignment vertical="center" wrapText="1"/>
    </xf>
    <xf numFmtId="0" fontId="22" fillId="36" borderId="0" xfId="0" applyFont="1" applyFill="1" applyNumberFormat="1">
      <alignment vertical="center" wrapText="1"/>
    </xf>
    <xf numFmtId="49" fontId="22" fillId="0" borderId="0" xfId="0" applyFont="1" applyNumberFormat="1">
      <alignment vertical="center" wrapText="1"/>
    </xf>
    <xf numFmtId="0" fontId="22" fillId="36" borderId="0" xfId="0" applyFont="1" applyFill="1" applyNumberFormat="1">
      <alignment horizontal="center" vertical="center" wrapText="1"/>
    </xf>
    <xf numFmtId="49" fontId="22" fillId="0" borderId="0" xfId="0" applyFont="1" applyNumberFormat="1">
      <alignment vertical="center" wrapText="1"/>
    </xf>
    <xf numFmtId="0" fontId="22" fillId="36" borderId="0" xfId="0" applyFont="1" applyFill="1" applyNumberFormat="1">
      <alignment horizontal="center" vertical="center" wrapText="1"/>
    </xf>
    <xf numFmtId="0" fontId="22"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35" fillId="36" borderId="0" xfId="0" applyFont="1" applyFill="1" applyNumberFormat="1">
      <alignment horizontal="center" vertical="center" wrapText="1"/>
    </xf>
    <xf numFmtId="49" fontId="22"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2"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0" borderId="13" xfId="0" applyFont="1" applyFill="1" applyBorder="1" applyNumberFormat="1">
      <alignment horizontal="left" vertical="center" wrapText="1" indent="2"/>
      <protection locked="0"/>
    </xf>
    <xf numFmtId="49" fontId="51" fillId="40" borderId="13" xfId="0" applyFont="1" applyFill="1" applyBorder="1" applyNumberFormat="1">
      <alignment horizontal="left" vertical="center" wrapText="1"/>
      <protection locked="0"/>
    </xf>
    <xf numFmtId="0" fontId="22" fillId="38" borderId="15" xfId="0" applyFont="1" applyFill="1" applyBorder="1" applyNumberFormat="1">
      <alignment vertical="center" wrapText="1"/>
    </xf>
    <xf numFmtId="49" fontId="39" fillId="38" borderId="16" xfId="0" applyFont="1" applyFill="1" applyBorder="1" applyNumberFormat="1">
      <alignment horizontal="left" vertical="center" indent="2"/>
    </xf>
    <xf numFmtId="49" fontId="43" fillId="38" borderId="14" xfId="0" applyFont="1" applyFill="1" applyBorder="1" applyNumberFormat="1">
      <alignment horizontal="center" vertical="top"/>
    </xf>
    <xf numFmtId="0" fontId="45" fillId="0" borderId="0" xfId="0" applyFont="1" applyNumberFormat="1">
      <alignment vertical="center" wrapText="1"/>
    </xf>
    <xf numFmtId="0" fontId="38" fillId="36" borderId="0" xfId="0" applyFont="1" applyFill="1" applyNumberFormat="1">
      <alignment vertical="center" wrapText="1"/>
    </xf>
    <xf numFmtId="49" fontId="43" fillId="38" borderId="16" xfId="0" applyFont="1" applyFill="1" applyBorder="1" applyNumberFormat="1">
      <alignment horizontal="center" vertical="top"/>
    </xf>
    <xf numFmtId="0" fontId="46" fillId="0" borderId="0" xfId="0" applyFont="1" applyNumberFormat="1">
      <alignment vertical="center"/>
    </xf>
    <xf numFmtId="0" fontId="22" fillId="0" borderId="0" xfId="0" applyFont="1" applyNumberFormat="1">
      <alignment vertical="center"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65" fillId="0" borderId="13" xfId="0" applyFont="1" applyBorder="1" applyNumberFormat="1">
      <alignment horizontal="center" vertical="center" wrapText="1"/>
    </xf>
    <xf numFmtId="0" fontId="65" fillId="0" borderId="13" xfId="0" applyFont="1" applyBorder="1" applyNumberFormat="1">
      <alignment horizontal="left" vertical="center" wrapText="1" indent="2"/>
    </xf>
    <xf numFmtId="49" fontId="68" fillId="0" borderId="15" xfId="0" applyFont="1" applyBorder="1" applyNumberFormat="1">
      <alignment horizontal="left" vertical="center" wrapText="1"/>
    </xf>
    <xf numFmtId="0" fontId="22" fillId="0" borderId="18" xfId="0" applyFont="1" applyBorder="1" applyNumberFormat="1">
      <alignment vertical="top" wrapText="1"/>
    </xf>
    <xf numFmtId="49" fontId="39" fillId="38" borderId="16" xfId="0" applyFont="1" applyFill="1" applyBorder="1" applyNumberFormat="1">
      <alignment horizontal="left" vertical="center" indent="1"/>
    </xf>
    <xf numFmtId="0" fontId="22"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left" vertical="center" wrapText="1" indent="2"/>
      <protection locked="0"/>
    </xf>
    <xf numFmtId="49" fontId="51" fillId="37" borderId="15" xfId="0" applyFont="1" applyFill="1" applyBorder="1" applyNumberFormat="1">
      <alignment horizontal="left" vertical="center" wrapText="1"/>
      <protection locked="0"/>
    </xf>
    <xf numFmtId="49" fontId="22" fillId="0" borderId="0" xfId="0" applyFont="1" applyNumberFormat="1">
      <alignment vertical="top"/>
    </xf>
    <xf numFmtId="0" fontId="3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46" fillId="0" borderId="0" xfId="0" applyFont="1" applyNumberFormat="1">
      <alignment vertical="center"/>
    </xf>
    <xf numFmtId="0" fontId="0" fillId="0" borderId="13" xfId="0" applyFont="1" applyBorder="1" applyNumberFormat="1">
      <alignment horizontal="left" vertical="center" wrapText="1" indent="1"/>
    </xf>
    <xf numFmtId="0" fontId="22" fillId="0" borderId="18" xfId="0" applyFont="1" applyBorder="1" applyNumberFormat="1">
      <alignment vertical="center" wrapText="1"/>
    </xf>
    <xf numFmtId="0" fontId="0" fillId="40" borderId="13" xfId="0" applyFont="1" applyFill="1" applyBorder="1" applyNumberFormat="1">
      <alignment horizontal="left" vertical="center" wrapText="1" indent="2"/>
      <protection locked="0"/>
    </xf>
    <xf numFmtId="49" fontId="51" fillId="40" borderId="15" xfId="0" applyFont="1" applyFill="1" applyBorder="1" applyNumberFormat="1">
      <alignment horizontal="left" vertical="center" wrapText="1"/>
      <protection locked="0"/>
    </xf>
    <xf numFmtId="0" fontId="22" fillId="0" borderId="18" xfId="0" applyFont="1" applyBorder="1" applyNumberFormat="1">
      <alignment horizontal="left" vertical="top" wrapText="1"/>
    </xf>
    <xf numFmtId="0" fontId="22" fillId="38" borderId="15" xfId="0" applyFont="1" applyFill="1" applyBorder="1" applyNumberFormat="1">
      <alignment vertical="center" wrapText="1"/>
    </xf>
    <xf numFmtId="49" fontId="39" fillId="38" borderId="16" xfId="0" applyFont="1" applyFill="1" applyBorder="1" applyNumberFormat="1">
      <alignment horizontal="left" vertical="center" indent="2"/>
    </xf>
    <xf numFmtId="49" fontId="43" fillId="38" borderId="16" xfId="0" applyFont="1" applyFill="1" applyBorder="1" applyNumberFormat="1">
      <alignment horizontal="center" vertical="top"/>
    </xf>
    <xf numFmtId="0" fontId="22" fillId="0" borderId="24"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8" fillId="0" borderId="0" xfId="0" applyFont="1" applyNumberFormat="1">
      <alignment vertical="center" wrapText="1"/>
    </xf>
    <xf numFmtId="49" fontId="45" fillId="0" borderId="0" xfId="0" applyFont="1" applyNumberFormat="1">
      <alignment vertical="top"/>
    </xf>
    <xf numFmtId="0" fontId="0" fillId="40" borderId="13" xfId="0" applyFont="1" applyFill="1" applyBorder="1" applyNumberFormat="1">
      <alignment horizontal="left" vertical="center" wrapText="1" indent="1"/>
      <protection locked="0"/>
    </xf>
    <xf numFmtId="49" fontId="51" fillId="40"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0"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2" fillId="41" borderId="13" xfId="0" applyFont="1" applyFill="1" applyBorder="1" applyNumberFormat="1">
      <alignment horizontal="left" vertical="center" wrapText="1"/>
    </xf>
    <xf numFmtId="0" fontId="0" fillId="0" borderId="13" xfId="0" applyFont="1" applyBorder="1" applyNumberFormat="1">
      <alignment horizontal="left" vertical="center" wrapText="1"/>
    </xf>
    <xf numFmtId="168" fontId="0" fillId="40" borderId="13" xfId="0" applyFont="1" applyFill="1" applyBorder="1" applyNumberFormat="1">
      <alignment horizontal="left" vertical="center" wrapText="1"/>
      <protection locked="0"/>
    </xf>
    <xf numFmtId="0" fontId="22"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2" fillId="0" borderId="13" xfId="0" applyFont="1" applyBorder="1" applyNumberFormat="1">
      <alignment horizontal="left" vertical="center" wrapText="1"/>
    </xf>
    <xf numFmtId="0" fontId="22" fillId="0" borderId="13" xfId="0" applyFont="1" applyBorder="1" applyNumberFormat="1">
      <alignment vertical="top" wrapText="1"/>
    </xf>
    <xf numFmtId="49" fontId="39" fillId="38" borderId="16" xfId="0" applyFont="1" applyFill="1" applyBorder="1" applyNumberFormat="1">
      <alignment horizontal="left" vertical="center" indent="2"/>
    </xf>
    <xf numFmtId="49" fontId="39" fillId="38" borderId="16" xfId="0" applyFont="1" applyFill="1" applyBorder="1" applyNumberFormat="1">
      <alignment horizontal="left" vertical="center" indent="3"/>
    </xf>
    <xf numFmtId="49" fontId="22" fillId="41" borderId="13" xfId="0" applyFont="1" applyFill="1" applyBorder="1" applyNumberFormat="1">
      <alignment horizontal="left" vertical="center" wrapText="1"/>
    </xf>
    <xf numFmtId="49" fontId="22" fillId="0" borderId="0" xfId="0" applyFont="1" applyNumberFormat="1">
      <alignment vertical="top"/>
    </xf>
    <xf numFmtId="49" fontId="46"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4" xfId="0" applyFont="1" applyBorder="1" applyNumberFormat="1">
      <alignment horizontal="center" vertical="center" wrapText="1"/>
    </xf>
    <xf numFmtId="168" fontId="0" fillId="40" borderId="14" xfId="0" applyFont="1" applyFill="1" applyBorder="1" applyNumberFormat="1">
      <alignment horizontal="left" vertical="center" wrapText="1"/>
      <protection locked="0"/>
    </xf>
    <xf numFmtId="168" fontId="0" fillId="40" borderId="15" xfId="0" applyFont="1" applyFill="1" applyBorder="1" applyNumberFormat="1">
      <alignment horizontal="left" vertical="center" wrapText="1"/>
      <protection locked="0"/>
    </xf>
    <xf numFmtId="0" fontId="22" fillId="41"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0" fontId="0" fillId="0" borderId="14"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3" xfId="0" applyFont="1" applyBorder="1" applyNumberFormat="1">
      <alignment horizontal="center" vertical="center" wrapText="1"/>
    </xf>
    <xf numFmtId="0" fontId="22" fillId="0" borderId="16" xfId="0" applyFont="1" applyBorder="1" applyNumberFormat="1">
      <alignment horizontal="left" vertical="top" wrapText="1" indent="1"/>
    </xf>
    <xf numFmtId="0" fontId="30" fillId="0" borderId="0" xfId="0" applyFont="1" applyNumberFormat="1">
      <alignment vertical="center" wrapText="1"/>
    </xf>
    <xf numFmtId="0" fontId="0" fillId="36" borderId="15" xfId="0" applyFont="1" applyFill="1" applyBorder="1" applyNumberFormat="1">
      <alignment horizontal="right" vertical="center" wrapText="1" indent="1"/>
    </xf>
    <xf numFmtId="0" fontId="69" fillId="0" borderId="0" xfId="0" applyFont="1" applyNumberFormat="1">
      <alignment vertical="center" wrapText="1"/>
    </xf>
    <xf numFmtId="49" fontId="35" fillId="36" borderId="0" xfId="0" applyFont="1" applyFill="1" applyNumberFormat="1">
      <alignment horizontal="center" vertical="center" wrapText="1"/>
    </xf>
    <xf numFmtId="49" fontId="35" fillId="36" borderId="20"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22" fillId="0" borderId="13" xfId="0" applyFont="1" applyBorder="1" applyNumberFormat="1">
      <alignment horizontal="left" vertical="center" wrapText="1"/>
    </xf>
    <xf numFmtId="0" fontId="38" fillId="36" borderId="0" xfId="0" applyFont="1" applyFill="1" applyNumberFormat="1">
      <alignment horizontal="center" vertical="top" wrapText="1"/>
    </xf>
    <xf numFmtId="0" fontId="0" fillId="35"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39" fillId="38" borderId="28" xfId="0" applyFont="1" applyFill="1" applyBorder="1" applyNumberFormat="1">
      <alignment horizontal="left" vertical="center" indent="2"/>
    </xf>
    <xf numFmtId="49" fontId="39" fillId="38" borderId="16" xfId="0" applyFont="1" applyFill="1" applyBorder="1" applyNumberFormat="1">
      <alignment horizontal="left" vertical="center"/>
    </xf>
    <xf numFmtId="0" fontId="38" fillId="36" borderId="25" xfId="0" applyFont="1" applyFill="1" applyBorder="1" applyNumberFormat="1">
      <alignment horizontal="center" vertical="top" wrapText="1"/>
    </xf>
    <xf numFmtId="49" fontId="0" fillId="36" borderId="24" xfId="0" applyFont="1" applyFill="1" applyBorder="1" applyNumberFormat="1">
      <alignment horizontal="center" vertical="center" wrapText="1"/>
    </xf>
    <xf numFmtId="0" fontId="0" fillId="35" borderId="24" xfId="0" applyFont="1" applyFill="1" applyBorder="1" applyNumberFormat="1">
      <alignment horizontal="left" vertical="center" wrapText="1" indent="1"/>
    </xf>
    <xf numFmtId="0" fontId="0" fillId="0" borderId="14" xfId="0" applyFont="1" applyBorder="1" applyNumberFormat="1">
      <alignment horizontal="center" vertical="center" wrapText="1"/>
    </xf>
    <xf numFmtId="49" fontId="0" fillId="36" borderId="15" xfId="0" applyFont="1" applyFill="1" applyBorder="1" applyNumberFormat="1">
      <alignment horizontal="center" vertical="center" wrapText="1"/>
    </xf>
    <xf numFmtId="0" fontId="22" fillId="0" borderId="37" xfId="0" applyFont="1" applyBorder="1" applyNumberFormat="1">
      <alignment horizontal="left" vertical="top" wrapText="1"/>
    </xf>
    <xf numFmtId="49" fontId="22" fillId="0" borderId="0" xfId="0" applyFont="1" applyNumberFormat="1">
      <alignment vertical="top"/>
    </xf>
    <xf numFmtId="49" fontId="22" fillId="0" borderId="20" xfId="0" applyFont="1" applyBorder="1" applyNumberFormat="1">
      <alignment vertical="top"/>
    </xf>
    <xf numFmtId="0" fontId="30"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0" fontId="22" fillId="36" borderId="13" xfId="0" applyFont="1" applyFill="1" applyBorder="1" applyNumberFormat="1">
      <alignment horizontal="center" vertical="center" wrapText="1"/>
    </xf>
    <xf numFmtId="0" fontId="36" fillId="36" borderId="0" xfId="0" applyFont="1" applyFill="1" applyNumberFormat="1">
      <alignment horizontal="center" vertical="center" wrapText="1"/>
    </xf>
    <xf numFmtId="0" fontId="0" fillId="0" borderId="13" xfId="0" applyFont="1" applyBorder="1" applyNumberFormat="1">
      <alignment horizontal="left" vertical="center" wrapText="1"/>
    </xf>
    <xf numFmtId="0" fontId="22" fillId="0" borderId="20" xfId="0" applyFont="1" applyBorder="1" applyNumberFormat="1">
      <alignment vertical="center" wrapText="1"/>
    </xf>
    <xf numFmtId="0" fontId="22" fillId="0" borderId="20"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1" fillId="0" borderId="0" xfId="0" applyFont="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left" vertical="center" wrapText="1"/>
    </xf>
    <xf numFmtId="3" fontId="22" fillId="0" borderId="15" xfId="0" applyFont="1" applyBorder="1" applyNumberFormat="1">
      <alignment vertical="center" wrapText="1"/>
    </xf>
    <xf numFmtId="3" fontId="22" fillId="0" borderId="15" xfId="0" applyFont="1" applyBorder="1" applyNumberFormat="1">
      <alignment vertical="center" wrapText="1"/>
    </xf>
    <xf numFmtId="0" fontId="22" fillId="0" borderId="13"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8" xfId="0" applyFont="1" applyBorder="1" applyNumberFormat="1">
      <alignment horizontal="center" vertical="center" wrapText="1"/>
    </xf>
    <xf numFmtId="0" fontId="22" fillId="0" borderId="13" xfId="0" applyFont="1" applyBorder="1" applyNumberFormat="1">
      <alignment horizontal="left" vertical="center" wrapText="1" indent="1"/>
    </xf>
    <xf numFmtId="49" fontId="22" fillId="0" borderId="13" xfId="0" applyFont="1" applyBorder="1" applyNumberFormat="1">
      <alignment horizontal="center" vertical="center" wrapText="1"/>
    </xf>
    <xf numFmtId="4" fontId="22" fillId="0" borderId="15" xfId="0" applyFont="1" applyBorder="1" applyNumberFormat="1">
      <alignment horizontal="right" vertical="center" wrapText="1"/>
    </xf>
    <xf numFmtId="4" fontId="22" fillId="0" borderId="31" xfId="0" applyFont="1" applyBorder="1" applyNumberFormat="1">
      <alignment horizontal="right" vertical="center" wrapText="1"/>
    </xf>
    <xf numFmtId="4" fontId="22" fillId="0" borderId="15" xfId="0" applyFont="1" applyBorder="1" applyNumberFormat="1">
      <alignment horizontal="right" vertical="center" wrapText="1"/>
    </xf>
    <xf numFmtId="4" fontId="22" fillId="0" borderId="31" xfId="0" applyFont="1" applyBorder="1" applyNumberFormat="1">
      <alignment horizontal="right" vertical="center" wrapText="1"/>
    </xf>
    <xf numFmtId="0" fontId="51" fillId="0" borderId="0" xfId="0" applyFont="1" applyNumberFormat="1">
      <alignment vertical="center" wrapText="1"/>
    </xf>
    <xf numFmtId="49" fontId="22" fillId="0" borderId="0" xfId="0" applyFont="1" applyNumberFormat="1">
      <alignment horizontal="center" vertical="top"/>
    </xf>
    <xf numFmtId="49" fontId="31" fillId="44" borderId="0" xfId="0" applyFont="1" applyFill="1" applyNumberFormat="1">
      <alignment horizontal="center" vertical="center"/>
    </xf>
    <xf numFmtId="49" fontId="22" fillId="0" borderId="13" xfId="0" applyFont="1" applyBorder="1" applyNumberFormat="1">
      <alignment horizontal="center" vertical="top"/>
    </xf>
    <xf numFmtId="49" fontId="45" fillId="44" borderId="0" xfId="0" applyFont="1" applyFill="1" applyNumberFormat="1">
      <alignment horizontal="center" vertical="center" wrapText="1"/>
    </xf>
    <xf numFmtId="0" fontId="0" fillId="46" borderId="13" xfId="0" applyFont="1" applyFill="1" applyBorder="1" applyNumberFormat="1">
      <alignment horizontal="center" vertical="center"/>
    </xf>
    <xf numFmtId="49" fontId="0" fillId="0" borderId="0" xfId="0" applyFont="1" applyNumberFormat="1">
      <alignment vertical="center"/>
    </xf>
    <xf numFmtId="49" fontId="45" fillId="44" borderId="13" xfId="0" applyFont="1" applyFill="1" applyBorder="1" applyNumberFormat="1">
      <alignment horizontal="center" vertical="center"/>
    </xf>
    <xf numFmtId="49" fontId="45" fillId="47" borderId="13" xfId="0" applyFont="1" applyFill="1" applyBorder="1" applyNumberFormat="1">
      <alignment horizontal="center" vertical="center"/>
    </xf>
    <xf numFmtId="49" fontId="0" fillId="48" borderId="13" xfId="0" applyFont="1" applyFill="1" applyBorder="1" applyNumberFormat="1">
      <alignment horizontal="center" vertical="center"/>
    </xf>
    <xf numFmtId="49" fontId="22" fillId="0" borderId="0" xfId="0" applyFont="1" applyNumberFormat="1">
      <alignment vertical="top"/>
    </xf>
    <xf numFmtId="0" fontId="22"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2" fillId="0" borderId="15" xfId="0" applyFont="1" applyBorder="1" applyNumberFormat="1">
      <alignment horizontal="left" vertical="center"/>
    </xf>
    <xf numFmtId="49" fontId="22" fillId="0" borderId="45" xfId="0" applyFont="1" applyBorder="1" applyNumberFormat="1">
      <alignment vertical="center"/>
    </xf>
    <xf numFmtId="49" fontId="22" fillId="0" borderId="46" xfId="0" applyFont="1" applyBorder="1" applyNumberFormat="1">
      <alignment vertical="top"/>
    </xf>
    <xf numFmtId="49" fontId="22"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2" fillId="0" borderId="14" xfId="0" applyFont="1" applyBorder="1" applyNumberFormat="1">
      <alignment vertical="center"/>
    </xf>
    <xf numFmtId="49" fontId="22" fillId="0" borderId="13" xfId="0" applyFont="1" applyBorder="1" applyNumberFormat="1">
      <alignment vertical="center"/>
    </xf>
    <xf numFmtId="0" fontId="0" fillId="0" borderId="0" xfId="0" applyFont="1" applyNumberFormat="1">
      <alignment vertical="top"/>
    </xf>
    <xf numFmtId="0" fontId="22" fillId="0" borderId="13" xfId="0" applyFont="1" applyBorder="1" applyNumberFormat="1">
      <alignment vertical="top"/>
    </xf>
    <xf numFmtId="0" fontId="0" fillId="45" borderId="0" xfId="0" applyFont="1" applyFill="1" applyNumberFormat="1">
      <alignment horizontal="right" vertical="center"/>
    </xf>
    <xf numFmtId="49" fontId="31" fillId="0" borderId="0" xfId="0" applyFont="1" applyNumberFormat="1">
      <alignment horizontal="center" vertical="center"/>
    </xf>
    <xf numFmtId="49" fontId="0" fillId="0" borderId="0" xfId="0" applyFont="1" applyNumberFormat="1">
      <alignment vertical="top"/>
    </xf>
    <xf numFmtId="49" fontId="31" fillId="44" borderId="0" xfId="0" applyFont="1" applyFill="1" applyNumberFormat="1">
      <alignment horizontal="center" vertical="center"/>
    </xf>
    <xf numFmtId="0" fontId="22" fillId="0" borderId="0" xfId="0" applyFont="1" applyNumberFormat="1">
      <alignment vertical="center"/>
    </xf>
    <xf numFmtId="0" fontId="0" fillId="45" borderId="0" xfId="0" applyFont="1" applyFill="1" applyNumberFormat="1">
      <alignment horizontal="right" vertical="center"/>
    </xf>
    <xf numFmtId="0" fontId="0" fillId="45"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5" xfId="0" applyFont="1" applyBorder="1" applyNumberFormat="1">
      <alignment vertical="top"/>
    </xf>
    <xf numFmtId="0" fontId="0" fillId="45" borderId="0" xfId="0" applyFont="1" applyFill="1" applyNumberFormat="1">
      <alignment horizontal="right" vertical="center"/>
    </xf>
    <xf numFmtId="0" fontId="0" fillId="0" borderId="0" xfId="0" applyFont="1" applyNumberFormat="1">
      <alignment horizontal="left" vertical="center"/>
    </xf>
    <xf numFmtId="0" fontId="0" fillId="45" borderId="0" xfId="0" applyFont="1" applyFill="1" applyNumberFormat="1">
      <alignment horizontal="right" vertical="center"/>
    </xf>
    <xf numFmtId="0" fontId="0" fillId="45" borderId="0" xfId="0" applyFont="1" applyFill="1" applyNumberFormat="1">
      <alignment horizontal="left" vertical="center"/>
    </xf>
    <xf numFmtId="0" fontId="52" fillId="45"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2" fillId="0" borderId="0" xfId="0" applyFont="1" applyNumberFormat="1">
      <alignment horizontal="left" vertical="center"/>
    </xf>
    <xf numFmtId="49" fontId="0" fillId="0" borderId="15" xfId="0" applyFont="1" applyBorder="1" applyNumberFormat="1">
      <alignment vertical="top"/>
    </xf>
    <xf numFmtId="49" fontId="22" fillId="0" borderId="13" xfId="0" applyFont="1" applyBorder="1" applyNumberFormat="1">
      <alignment horizontal="right" vertical="top"/>
    </xf>
    <xf numFmtId="0" fontId="0" fillId="0" borderId="15" xfId="0" applyFont="1" applyBorder="1" applyNumberFormat="1">
      <alignment horizontal="left" vertical="center"/>
    </xf>
    <xf numFmtId="0" fontId="52" fillId="45" borderId="0" xfId="0" applyFont="1" applyFill="1" applyNumberFormat="1">
      <alignment horizontal="left" vertical="center"/>
    </xf>
    <xf numFmtId="49" fontId="22" fillId="0" borderId="18" xfId="0" applyFont="1" applyBorder="1" applyNumberFormat="1">
      <alignment horizontal="right" vertical="top"/>
    </xf>
    <xf numFmtId="0" fontId="0" fillId="0" borderId="18" xfId="0" applyFont="1" applyBorder="1" applyNumberFormat="1">
      <alignment vertical="top"/>
    </xf>
    <xf numFmtId="0" fontId="22" fillId="0" borderId="18" xfId="0" applyFont="1" applyBorder="1" applyNumberFormat="1">
      <alignment vertical="center"/>
    </xf>
    <xf numFmtId="49" fontId="22" fillId="0" borderId="32" xfId="0" applyFont="1" applyBorder="1" applyNumberFormat="1">
      <alignment horizontal="center" vertical="center"/>
    </xf>
    <xf numFmtId="49" fontId="22" fillId="0" borderId="13" xfId="0" applyFont="1" applyBorder="1" applyNumberFormat="1">
      <alignment horizontal="right" vertical="center"/>
    </xf>
    <xf numFmtId="49" fontId="22" fillId="0" borderId="13" xfId="0" applyFont="1" applyBorder="1" applyNumberFormat="1">
      <alignment vertical="top"/>
    </xf>
    <xf numFmtId="49" fontId="0" fillId="0" borderId="0" xfId="0" applyFont="1" applyNumberFormat="1">
      <alignment vertical="center"/>
    </xf>
    <xf numFmtId="0" fontId="22" fillId="45" borderId="0" xfId="0" applyFont="1" applyFill="1" applyNumberFormat="1">
      <alignment horizontal="left" vertical="center"/>
    </xf>
    <xf numFmtId="0" fontId="0" fillId="45" borderId="11" xfId="0" applyFont="1" applyFill="1" applyBorder="1" applyNumberFormat="1">
      <alignment horizontal="center"/>
    </xf>
    <xf numFmtId="49" fontId="102" fillId="0" borderId="17" xfId="0" applyFont="1" applyBorder="1" applyNumberFormat="1">
      <alignment vertical="top"/>
    </xf>
    <xf numFmtId="49" fontId="0" fillId="0" borderId="0" xfId="0" applyFont="1" applyNumberFormat="1">
      <alignment vertical="center"/>
    </xf>
    <xf numFmtId="49" fontId="44" fillId="51" borderId="0" xfId="0" applyFont="1" applyFill="1" applyNumberFormat="1">
      <alignment vertical="center" wrapText="1"/>
    </xf>
    <xf numFmtId="0" fontId="0" fillId="0" borderId="11" xfId="0" applyFont="1" applyBorder="1" applyNumberFormat="1">
      <alignment horizontal="center"/>
    </xf>
    <xf numFmtId="49" fontId="31" fillId="44" borderId="0" xfId="0" applyFont="1" applyFill="1" applyNumberFormat="1">
      <alignment horizontal="center" vertical="center" wrapText="1"/>
    </xf>
    <xf numFmtId="49" fontId="22" fillId="45" borderId="0" xfId="0" applyFont="1" applyFill="1" applyNumberFormat="1">
      <alignment horizontal="center" vertical="center"/>
    </xf>
    <xf numFmtId="49" fontId="22" fillId="0" borderId="0" xfId="0" applyFont="1" applyNumberFormat="1">
      <alignment vertical="top"/>
    </xf>
    <xf numFmtId="49" fontId="0" fillId="37"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5"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0" fillId="0" borderId="47" xfId="0" applyFont="1" applyBorder="1" applyNumberFormat="1">
      <alignment horizontal="center" vertical="center"/>
    </xf>
    <xf numFmtId="0" fontId="0" fillId="0" borderId="47" xfId="0" applyFont="1" applyBorder="1" applyNumberFormat="1">
      <alignment horizontal="center" vertical="center"/>
    </xf>
    <xf numFmtId="49" fontId="31" fillId="44" borderId="13" xfId="0" applyFont="1" applyFill="1" applyBorder="1" applyNumberFormat="1">
      <alignment horizontal="right" vertical="center"/>
    </xf>
    <xf numFmtId="49" fontId="22" fillId="37" borderId="38" xfId="0" applyFont="1" applyFill="1" applyBorder="1" applyNumberFormat="1">
      <alignment vertical="top"/>
      <protection locked="0"/>
    </xf>
    <xf numFmtId="0" fontId="22" fillId="0" borderId="13" xfId="0" applyFont="1" applyBorder="1" applyNumberFormat="1">
      <alignment vertical="top"/>
    </xf>
    <xf numFmtId="0" fontId="0" fillId="42" borderId="13" xfId="0" applyFont="1" applyFill="1" applyBorder="1" applyNumberFormat="1">
      <alignment horizontal="right" vertical="center"/>
    </xf>
    <xf numFmtId="49" fontId="22" fillId="42" borderId="24" xfId="0" applyFont="1" applyFill="1" applyBorder="1" applyNumberFormat="1">
      <alignment vertical="top"/>
    </xf>
    <xf numFmtId="49" fontId="22" fillId="42" borderId="13" xfId="0" applyFont="1" applyFill="1" applyBorder="1" applyNumberFormat="1">
      <alignment vertical="top"/>
    </xf>
    <xf numFmtId="49" fontId="22" fillId="0" borderId="15" xfId="0" applyFont="1" applyBorder="1" applyNumberFormat="1">
      <alignment horizontal="center" vertical="top"/>
    </xf>
    <xf numFmtId="49" fontId="22" fillId="0" borderId="14" xfId="0" applyFont="1" applyBorder="1" applyNumberFormat="1">
      <alignment horizontal="center" vertical="top"/>
    </xf>
    <xf numFmtId="0" fontId="22" fillId="35" borderId="31" xfId="0" applyFont="1" applyFill="1" applyBorder="1" applyNumberFormat="1">
      <alignment horizontal="center" vertical="top"/>
    </xf>
    <xf numFmtId="0" fontId="22" fillId="35"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2" fillId="0" borderId="13" xfId="0" applyFont="1" applyBorder="1" applyNumberFormat="1">
      <alignment horizontal="left" vertical="top"/>
    </xf>
    <xf numFmtId="49" fontId="22" fillId="0" borderId="0" xfId="0" applyFont="1" applyNumberFormat="1">
      <alignment horizontal="left" vertical="top"/>
    </xf>
    <xf numFmtId="0" fontId="0" fillId="0" borderId="34" xfId="0" applyFont="1" applyBorder="1" applyNumberFormat="1">
      <alignment horizontal="center" vertical="center"/>
    </xf>
    <xf numFmtId="49" fontId="31" fillId="44" borderId="15" xfId="0" applyFont="1" applyFill="1" applyBorder="1" applyNumberFormat="1">
      <alignment horizontal="right" vertical="center"/>
    </xf>
    <xf numFmtId="49" fontId="22"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5"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6" borderId="13" xfId="0" applyFont="1" applyFill="1" applyBorder="1" applyNumberFormat="1">
      <alignment horizontal="center" vertical="center"/>
    </xf>
    <xf numFmtId="49" fontId="22" fillId="40" borderId="13" xfId="0" applyFont="1" applyFill="1" applyBorder="1" applyNumberFormat="1">
      <alignment horizontal="left" vertical="center" wrapText="1"/>
      <protection locked="0"/>
    </xf>
    <xf numFmtId="0" fontId="22" fillId="40" borderId="13" xfId="0" applyFont="1" applyFill="1" applyBorder="1" applyNumberFormat="1">
      <alignment horizontal="center" vertical="center" wrapText="1"/>
      <protection locked="0"/>
    </xf>
    <xf numFmtId="0" fontId="45" fillId="36" borderId="0" xfId="0" applyFont="1" applyFill="1" applyNumberFormat="1"/>
    <xf numFmtId="49" fontId="22"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2" fillId="35" borderId="13" xfId="0" applyFont="1" applyFill="1" applyBorder="1" applyNumberFormat="1">
      <alignment horizontal="left" vertical="center" wrapText="1"/>
    </xf>
    <xf numFmtId="0" fontId="66" fillId="36" borderId="0" xfId="0" applyFont="1" applyFill="1" applyNumberFormat="1"/>
    <xf numFmtId="0" fontId="22" fillId="36" borderId="13" xfId="0" applyFont="1" applyFill="1" applyBorder="1" applyNumberFormat="1">
      <alignment horizontal="left" vertical="center" wrapText="1"/>
    </xf>
    <xf numFmtId="0" fontId="22" fillId="0" borderId="13" xfId="0" applyFont="1" applyBorder="1" applyNumberFormat="1">
      <alignment horizontal="center" vertical="center" wrapText="1"/>
    </xf>
    <xf numFmtId="49" fontId="22" fillId="0" borderId="13" xfId="0" applyFont="1" applyBorder="1" applyNumberFormat="1">
      <alignment horizontal="center" vertical="center"/>
    </xf>
    <xf numFmtId="49" fontId="22" fillId="37"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0" fontId="22"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65" fillId="36" borderId="0" xfId="0" applyFont="1" applyFill="1" applyNumberFormat="1"/>
    <xf numFmtId="0" fontId="70" fillId="36" borderId="0" xfId="0" applyFont="1" applyFill="1" applyNumberFormat="1">
      <alignment vertical="center" wrapText="1"/>
    </xf>
    <xf numFmtId="0" fontId="4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65" fillId="36" borderId="0" xfId="0" applyFont="1" applyFill="1" applyNumberFormat="1"/>
    <xf numFmtId="0" fontId="0" fillId="36" borderId="24" xfId="0" applyFont="1" applyFill="1" applyBorder="1" applyNumberFormat="1">
      <alignment horizontal="left" vertical="top" wrapText="1"/>
    </xf>
    <xf numFmtId="0" fontId="82" fillId="36" borderId="0" xfId="0" applyFont="1" applyFill="1" applyNumberFormat="1"/>
    <xf numFmtId="0" fontId="22" fillId="36" borderId="13" xfId="0" applyFont="1" applyFill="1" applyBorder="1" applyNumberFormat="1">
      <alignment horizontal="left" vertical="top" wrapText="1"/>
    </xf>
    <xf numFmtId="49" fontId="51" fillId="37" borderId="24" xfId="0" applyFont="1" applyFill="1" applyBorder="1" applyNumberFormat="1">
      <alignment horizontal="left" vertical="center" wrapText="1"/>
      <protection locked="0"/>
    </xf>
    <xf numFmtId="0" fontId="22" fillId="36" borderId="13" xfId="0" applyFont="1" applyFill="1" applyBorder="1" applyNumberFormat="1">
      <alignment vertical="top" wrapText="1"/>
    </xf>
    <xf numFmtId="0" fontId="22" fillId="0" borderId="13" xfId="0" applyFont="1" applyBorder="1" applyNumberFormat="1">
      <alignment horizontal="center" vertical="center" wrapText="1"/>
    </xf>
    <xf numFmtId="49" fontId="22" fillId="41" borderId="13" xfId="0" applyFont="1" applyFill="1" applyBorder="1" applyNumberFormat="1">
      <alignment horizontal="left" vertical="center" wrapText="1"/>
    </xf>
    <xf numFmtId="14" fontId="22" fillId="40" borderId="15" xfId="0" applyFont="1" applyFill="1" applyBorder="1" applyNumberFormat="1">
      <alignment horizontal="left" vertical="center" wrapText="1" indent="1"/>
      <protection locked="0"/>
    </xf>
    <xf numFmtId="0" fontId="45" fillId="0" borderId="37" xfId="0" applyFont="1" applyBorder="1" applyNumberFormat="1">
      <alignment horizontal="left" vertical="center" wrapText="1" indent="1"/>
    </xf>
    <xf numFmtId="0" fontId="110" fillId="0" borderId="0" xfId="0" applyFont="1" applyNumberFormat="1">
      <alignment vertical="center"/>
    </xf>
    <xf numFmtId="0" fontId="36" fillId="0" borderId="0" xfId="0" applyFont="1" applyNumberFormat="1">
      <alignment horizontal="center" vertical="center" wrapText="1"/>
    </xf>
    <xf numFmtId="4" fontId="22" fillId="0" borderId="18" xfId="0" applyFont="1" applyBorder="1" applyNumberFormat="1">
      <alignment horizontal="center" vertical="center" wrapText="1"/>
    </xf>
    <xf numFmtId="169" fontId="22" fillId="0" borderId="38" xfId="0" applyFont="1" applyBorder="1" applyNumberFormat="1">
      <alignment horizontal="center" vertical="center" wrapText="1"/>
    </xf>
    <xf numFmtId="169" fontId="22" fillId="0" borderId="18" xfId="0" applyFont="1" applyBorder="1" applyNumberFormat="1">
      <alignment horizontal="center" vertical="center" wrapText="1"/>
    </xf>
    <xf numFmtId="4" fontId="22" fillId="0" borderId="24" xfId="0" applyFont="1" applyBorder="1" applyNumberFormat="1">
      <alignment horizontal="center" vertical="center" wrapText="1"/>
    </xf>
    <xf numFmtId="14" fontId="22" fillId="41" borderId="13" xfId="0" applyFont="1" applyFill="1" applyBorder="1" applyNumberFormat="1">
      <alignment horizontal="left" vertical="center" wrapText="1"/>
    </xf>
    <xf numFmtId="14" fontId="22" fillId="40" borderId="13" xfId="0" applyFont="1" applyFill="1" applyBorder="1" applyNumberFormat="1">
      <alignment horizontal="left" vertical="center" wrapText="1" indent="1"/>
      <protection locked="0"/>
    </xf>
    <xf numFmtId="49" fontId="48" fillId="38" borderId="31" xfId="0" applyFont="1" applyFill="1" applyBorder="1" applyNumberFormat="1">
      <alignment horizontal="right" vertical="center" wrapText="1"/>
    </xf>
    <xf numFmtId="49" fontId="0" fillId="38" borderId="28" xfId="0" applyFont="1" applyFill="1" applyBorder="1" applyNumberFormat="1">
      <alignment horizontal="right" vertical="center" wrapText="1"/>
    </xf>
    <xf numFmtId="49" fontId="0" fillId="38" borderId="30" xfId="0" applyFont="1" applyFill="1" applyBorder="1" applyNumberFormat="1">
      <alignment horizontal="right" vertical="center" wrapText="1"/>
    </xf>
    <xf numFmtId="0" fontId="110" fillId="0" borderId="0" xfId="0" applyFont="1" applyNumberFormat="1">
      <alignment vertical="center" wrapText="1"/>
    </xf>
    <xf numFmtId="49" fontId="0" fillId="0" borderId="0" xfId="0" applyFont="1" applyNumberFormat="1">
      <alignment vertical="top"/>
    </xf>
    <xf numFmtId="0" fontId="22" fillId="0" borderId="15" xfId="0" applyFont="1" applyBorder="1" applyNumberFormat="1">
      <alignment horizontal="center" vertical="center" wrapText="1"/>
    </xf>
    <xf numFmtId="0" fontId="22" fillId="35" borderId="13" xfId="0" applyFont="1" applyFill="1" applyBorder="1" applyNumberFormat="1">
      <alignment horizontal="left" vertical="center" wrapText="1" indent="1"/>
    </xf>
    <xf numFmtId="168" fontId="0" fillId="40" borderId="16" xfId="0" applyFont="1" applyFill="1" applyBorder="1" applyNumberFormat="1">
      <alignment horizontal="left" vertical="center" wrapText="1" indent="1"/>
      <protection locked="0"/>
    </xf>
    <xf numFmtId="170" fontId="22" fillId="40" borderId="13" xfId="0" applyFont="1" applyFill="1" applyBorder="1" applyNumberFormat="1">
      <alignment horizontal="left" vertical="center" wrapText="1" indent="1"/>
      <protection locked="0"/>
    </xf>
    <xf numFmtId="168" fontId="46" fillId="0" borderId="0" xfId="0" applyFont="1" applyNumberFormat="1">
      <alignment horizontal="center" vertical="center" wrapText="1"/>
    </xf>
    <xf numFmtId="169" fontId="22" fillId="0" borderId="18" xfId="0" applyFont="1" applyBorder="1" applyNumberFormat="1">
      <alignment horizontal="center" vertical="center" wrapText="1"/>
    </xf>
    <xf numFmtId="169" fontId="22" fillId="0" borderId="15" xfId="0" applyFont="1" applyBorder="1" applyNumberFormat="1">
      <alignment horizontal="center" vertical="center" wrapText="1"/>
    </xf>
    <xf numFmtId="169" fontId="22" fillId="0" borderId="16" xfId="0" applyFont="1" applyBorder="1" applyNumberFormat="1">
      <alignment horizontal="center" vertical="center" wrapText="1"/>
    </xf>
    <xf numFmtId="169" fontId="22" fillId="0" borderId="14" xfId="0" applyFont="1" applyBorder="1" applyNumberFormat="1">
      <alignment horizontal="center" vertical="center" wrapText="1"/>
    </xf>
    <xf numFmtId="4" fontId="22" fillId="0" borderId="37" xfId="0" applyFont="1" applyBorder="1" applyNumberFormat="1">
      <alignment horizontal="center" vertical="center" wrapText="1"/>
    </xf>
    <xf numFmtId="169" fontId="22" fillId="0" borderId="24" xfId="0" applyFont="1" applyBorder="1" applyNumberFormat="1">
      <alignment horizontal="center" vertical="center" wrapText="1"/>
    </xf>
    <xf numFmtId="169" fontId="22" fillId="0" borderId="24" xfId="0" applyFont="1" applyBorder="1" applyNumberFormat="1">
      <alignment horizontal="center" vertical="center" wrapText="1"/>
    </xf>
    <xf numFmtId="0" fontId="22" fillId="0" borderId="24" xfId="0" applyFont="1" applyBorder="1" applyNumberFormat="1">
      <alignment horizontal="center" vertical="center" wrapText="1"/>
    </xf>
    <xf numFmtId="0" fontId="22" fillId="35" borderId="24" xfId="0" applyFont="1" applyFill="1" applyBorder="1" applyNumberFormat="1">
      <alignment horizontal="left" vertical="center" wrapText="1" indent="1"/>
    </xf>
    <xf numFmtId="14" fontId="22" fillId="40" borderId="24" xfId="0" applyFont="1" applyFill="1" applyBorder="1" applyNumberFormat="1">
      <alignment horizontal="left" vertical="center" wrapText="1" indent="1"/>
      <protection locked="0"/>
    </xf>
    <xf numFmtId="0" fontId="22" fillId="0" borderId="30" xfId="0" applyFont="1" applyBorder="1" applyNumberFormat="1">
      <alignment horizontal="left" vertical="top" wrapText="1"/>
    </xf>
    <xf numFmtId="0" fontId="22" fillId="0" borderId="13" xfId="0" applyFont="1" applyBorder="1" applyNumberFormat="1">
      <alignment horizontal="center" vertical="center" wrapText="1"/>
    </xf>
    <xf numFmtId="0" fontId="22" fillId="35" borderId="13" xfId="0" applyFont="1" applyFill="1" applyBorder="1" applyNumberFormat="1">
      <alignment horizontal="left" vertical="center" wrapText="1" indent="1"/>
    </xf>
    <xf numFmtId="0" fontId="46"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69" fontId="22" fillId="0" borderId="24" xfId="0" applyFont="1" applyBorder="1" applyNumberFormat="1">
      <alignment horizontal="center" vertical="center" wrapText="1"/>
    </xf>
    <xf numFmtId="0" fontId="22" fillId="0" borderId="24" xfId="0" applyFont="1" applyBorder="1" applyNumberFormat="1">
      <alignment horizontal="left" vertical="center" wrapText="1" indent="1"/>
    </xf>
    <xf numFmtId="14" fontId="22" fillId="0" borderId="24" xfId="0" applyFont="1" applyBorder="1" applyNumberFormat="1">
      <alignment horizontal="left" vertical="center" wrapText="1" indent="1"/>
    </xf>
    <xf numFmtId="14" fontId="22" fillId="41" borderId="13" xfId="0" applyFont="1" applyFill="1" applyBorder="1" applyNumberFormat="1">
      <alignment horizontal="left" vertical="center" wrapText="1"/>
    </xf>
    <xf numFmtId="49" fontId="22" fillId="41" borderId="15" xfId="0" applyFont="1" applyFill="1" applyBorder="1" applyNumberFormat="1">
      <alignment horizontal="left" vertical="center" wrapText="1"/>
    </xf>
    <xf numFmtId="0" fontId="22" fillId="0" borderId="15" xfId="0" applyFont="1" applyBorder="1" applyNumberFormat="1">
      <alignment horizontal="center" vertical="center" wrapText="1"/>
    </xf>
    <xf numFmtId="49" fontId="22" fillId="40" borderId="13" xfId="0" applyFont="1" applyFill="1" applyBorder="1" applyNumberFormat="1">
      <alignment horizontal="left" vertical="center" wrapText="1"/>
      <protection locked="0"/>
    </xf>
    <xf numFmtId="49" fontId="51" fillId="38" borderId="28" xfId="0" applyFont="1" applyFill="1" applyBorder="1" applyNumberFormat="1">
      <alignment horizontal="left" vertical="center" wrapText="1"/>
    </xf>
    <xf numFmtId="49" fontId="51" fillId="38" borderId="30" xfId="0" applyFont="1" applyFill="1" applyBorder="1" applyNumberFormat="1">
      <alignment horizontal="left" vertical="center" wrapText="1"/>
    </xf>
    <xf numFmtId="0" fontId="22" fillId="36" borderId="37" xfId="0" applyFont="1" applyFill="1" applyBorder="1" applyNumberFormat="1">
      <alignment vertical="center" wrapText="1"/>
    </xf>
    <xf numFmtId="0" fontId="46" fillId="0" borderId="0" xfId="0" applyFont="1" applyNumberFormat="1">
      <alignment horizontal="center" vertical="center" wrapText="1"/>
    </xf>
    <xf numFmtId="0" fontId="46" fillId="0" borderId="28" xfId="0" applyFont="1" applyBorder="1" applyNumberFormat="1">
      <alignment horizontal="center" vertical="center" wrapText="1"/>
    </xf>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2" fillId="36" borderId="23" xfId="0" applyFont="1" applyFill="1" applyBorder="1" applyNumberFormat="1">
      <alignment vertical="center" wrapText="1"/>
    </xf>
    <xf numFmtId="0" fontId="35" fillId="0" borderId="13" xfId="0" applyFont="1" applyBorder="1" applyNumberFormat="1">
      <alignment horizontal="center" vertical="center" wrapText="1"/>
    </xf>
    <xf numFmtId="0" fontId="22" fillId="0" borderId="16" xfId="0" applyFont="1" applyBorder="1" applyNumberFormat="1">
      <alignment horizontal="center" vertical="center" wrapText="1"/>
    </xf>
    <xf numFmtId="0" fontId="22" fillId="0" borderId="16" xfId="0" applyFont="1" applyBorder="1" applyNumberFormat="1">
      <alignment horizontal="left" vertical="center" wrapText="1"/>
    </xf>
    <xf numFmtId="0" fontId="41" fillId="0" borderId="0" xfId="0" applyFont="1" applyNumberFormat="1">
      <alignment horizontal="center" vertical="center" wrapText="1"/>
    </xf>
    <xf numFmtId="0" fontId="22" fillId="0" borderId="0" xfId="0" applyFont="1" applyNumberFormat="1">
      <alignment horizontal="center" vertical="center" wrapText="1"/>
    </xf>
    <xf numFmtId="169" fontId="44" fillId="0" borderId="20" xfId="0" applyFont="1" applyBorder="1" applyNumberFormat="1">
      <alignment horizontal="center" vertical="center" wrapText="1"/>
    </xf>
    <xf numFmtId="169" fontId="44" fillId="0" borderId="20" xfId="0" applyFont="1" applyBorder="1" applyNumberFormat="1">
      <alignment horizontal="center" vertical="center" wrapText="1"/>
    </xf>
    <xf numFmtId="169" fontId="44" fillId="0" borderId="21" xfId="0" applyFont="1" applyBorder="1" applyNumberFormat="1">
      <alignment horizontal="center" vertical="center" wrapText="1"/>
    </xf>
    <xf numFmtId="0" fontId="46" fillId="0" borderId="0" xfId="0" applyFont="1" applyNumberFormat="1">
      <alignment horizontal="center" vertical="center"/>
    </xf>
    <xf numFmtId="0" fontId="41" fillId="0" borderId="0" xfId="0" applyFont="1" applyNumberFormat="1">
      <alignment horizontal="center" vertical="center" wrapText="1"/>
    </xf>
    <xf numFmtId="169" fontId="22" fillId="0" borderId="13" xfId="0" applyFont="1" applyBorder="1" applyNumberFormat="1">
      <alignment horizontal="center" vertical="center" wrapText="1"/>
    </xf>
    <xf numFmtId="169" fontId="22" fillId="0" borderId="37" xfId="0" applyFont="1" applyBorder="1" applyNumberFormat="1">
      <alignment horizontal="center" vertical="center" wrapText="1"/>
    </xf>
    <xf numFmtId="169" fontId="22" fillId="0" borderId="13" xfId="0" applyFont="1" applyBorder="1" applyNumberFormat="1">
      <alignment horizontal="center" vertical="center" wrapText="1"/>
    </xf>
    <xf numFmtId="0" fontId="22" fillId="35" borderId="30" xfId="0" applyFont="1" applyFill="1" applyBorder="1" applyNumberFormat="1">
      <alignment horizontal="left" vertical="center" wrapText="1"/>
    </xf>
    <xf numFmtId="14" fontId="22" fillId="41" borderId="24" xfId="0" applyFont="1" applyFill="1" applyBorder="1" applyNumberFormat="1">
      <alignment horizontal="left" vertical="center" wrapText="1"/>
    </xf>
    <xf numFmtId="49" fontId="22" fillId="41" borderId="31" xfId="0" applyFont="1" applyFill="1" applyBorder="1" applyNumberFormat="1">
      <alignment horizontal="left" vertical="center" wrapText="1"/>
    </xf>
    <xf numFmtId="0" fontId="22" fillId="0" borderId="24" xfId="0" applyFont="1" applyBorder="1" applyNumberFormat="1">
      <alignment horizontal="center" vertical="center" wrapText="1"/>
    </xf>
    <xf numFmtId="49" fontId="22" fillId="40" borderId="28" xfId="0" applyFont="1" applyFill="1" applyBorder="1" applyNumberFormat="1">
      <alignment horizontal="left" vertical="center" wrapText="1"/>
      <protection locked="0"/>
    </xf>
    <xf numFmtId="49" fontId="22" fillId="40" borderId="31" xfId="0" applyFont="1" applyFill="1" applyBorder="1" applyNumberFormat="1">
      <alignment horizontal="left" vertical="center" wrapText="1"/>
      <protection locked="0"/>
    </xf>
    <xf numFmtId="49" fontId="22" fillId="0" borderId="13" xfId="0" applyFont="1" applyBorder="1" applyNumberFormat="1">
      <alignment horizontal="left" vertical="top" wrapText="1"/>
    </xf>
    <xf numFmtId="49" fontId="22" fillId="41" borderId="24" xfId="0" applyFont="1" applyFill="1" applyBorder="1" applyNumberFormat="1">
      <alignment horizontal="left" vertical="center" wrapText="1"/>
    </xf>
    <xf numFmtId="49" fontId="125" fillId="0" borderId="13" xfId="0" applyFont="1" applyBorder="1" applyNumberFormat="1">
      <alignment horizontal="left" vertical="top" wrapText="1"/>
    </xf>
    <xf numFmtId="49" fontId="22" fillId="0" borderId="0" xfId="0" applyFont="1" applyNumberFormat="1">
      <alignment vertical="top"/>
    </xf>
    <xf numFmtId="0" fontId="31" fillId="0" borderId="0" xfId="0" applyFont="1" applyNumberFormat="1">
      <alignment vertical="center" wrapText="1"/>
    </xf>
    <xf numFmtId="0" fontId="36" fillId="36" borderId="0" xfId="0" applyFont="1" applyFill="1" applyNumberFormat="1">
      <alignment horizontal="center" vertical="center" wrapText="1"/>
    </xf>
    <xf numFmtId="0" fontId="22" fillId="36" borderId="0" xfId="0" applyFont="1" applyFill="1" applyNumberFormat="1"/>
    <xf numFmtId="49" fontId="22" fillId="0" borderId="0" xfId="0" applyFont="1" applyNumberFormat="1">
      <alignment vertical="top"/>
    </xf>
    <xf numFmtId="49" fontId="36" fillId="0" borderId="0" xfId="0" applyFont="1" applyNumberFormat="1">
      <alignment horizontal="center" vertical="center"/>
    </xf>
    <xf numFmtId="0" fontId="42" fillId="36" borderId="0" xfId="0" applyFont="1" applyFill="1" applyNumberFormat="1">
      <alignment horizontal="center" vertical="center" wrapText="1"/>
    </xf>
    <xf numFmtId="0" fontId="31" fillId="36" borderId="0" xfId="0" applyFont="1" applyFill="1" applyNumberFormat="1"/>
    <xf numFmtId="49" fontId="31" fillId="0" borderId="0" xfId="0" applyFont="1" applyNumberFormat="1">
      <alignment vertical="top"/>
    </xf>
    <xf numFmtId="0" fontId="22" fillId="36" borderId="13" xfId="0" applyFont="1" applyFill="1" applyBorder="1" applyNumberFormat="1">
      <alignment horizontal="center" vertical="center" wrapText="1"/>
    </xf>
    <xf numFmtId="49" fontId="45"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protection locked="0"/>
    </xf>
    <xf numFmtId="0" fontId="46" fillId="0" borderId="0" xfId="0" applyFont="1" applyNumberFormat="1">
      <alignment vertical="top"/>
    </xf>
    <xf numFmtId="49" fontId="46" fillId="0" borderId="0" xfId="0" applyFont="1" applyNumberFormat="1">
      <alignment vertical="top"/>
    </xf>
    <xf numFmtId="49" fontId="22" fillId="0" borderId="0" xfId="0" applyFont="1" applyNumberFormat="1">
      <alignment vertical="top"/>
    </xf>
    <xf numFmtId="49" fontId="39" fillId="38" borderId="16" xfId="0" applyFont="1" applyFill="1" applyBorder="1" applyNumberFormat="1">
      <alignment horizontal="left" vertical="center"/>
    </xf>
    <xf numFmtId="49" fontId="43" fillId="38" borderId="16" xfId="0" applyFont="1" applyFill="1" applyBorder="1" applyNumberFormat="1">
      <alignment horizontal="center" vertical="top"/>
    </xf>
    <xf numFmtId="49" fontId="22" fillId="0" borderId="0" xfId="0" applyFont="1" applyNumberFormat="1">
      <alignment horizontal="left" vertical="top" wrapText="1"/>
    </xf>
    <xf numFmtId="49" fontId="36" fillId="0" borderId="0" xfId="0" applyFont="1" applyNumberFormat="1">
      <alignment horizontal="center" vertical="center"/>
    </xf>
    <xf numFmtId="0" fontId="22" fillId="0" borderId="0" xfId="0" applyFont="1" applyNumberFormat="1"/>
    <xf numFmtId="0" fontId="36" fillId="36" borderId="0" xfId="0" applyFont="1" applyFill="1" applyNumberFormat="1">
      <alignment horizontal="center" vertical="center"/>
    </xf>
    <xf numFmtId="0" fontId="22" fillId="36" borderId="0" xfId="0" applyFont="1" applyFill="1" applyNumberFormat="1"/>
    <xf numFmtId="0" fontId="22" fillId="0" borderId="14" xfId="0" applyFont="1" applyBorder="1" applyNumberFormat="1">
      <alignment horizontal="left" vertical="center" wrapText="1" indent="1"/>
    </xf>
    <xf numFmtId="0" fontId="22" fillId="0" borderId="15" xfId="0" applyFont="1" applyBorder="1" applyNumberFormat="1">
      <alignment horizontal="left" vertical="center" wrapText="1" indent="1"/>
    </xf>
    <xf numFmtId="0" fontId="62" fillId="0" borderId="0" xfId="0" applyFont="1" applyNumberFormat="1"/>
    <xf numFmtId="0" fontId="22" fillId="0" borderId="13" xfId="0" applyFont="1" applyBorder="1" applyNumberFormat="1">
      <alignment horizontal="center" vertical="center" wrapText="1"/>
    </xf>
    <xf numFmtId="0" fontId="22" fillId="36" borderId="18" xfId="0" applyFont="1" applyFill="1" applyBorder="1" applyNumberFormat="1">
      <alignment horizontal="center" vertical="center"/>
    </xf>
    <xf numFmtId="49" fontId="22" fillId="0" borderId="18" xfId="0" applyFont="1" applyBorder="1" applyNumberFormat="1">
      <alignment horizontal="left" vertical="center" wrapText="1"/>
    </xf>
    <xf numFmtId="0" fontId="36" fillId="36" borderId="0" xfId="0" applyFont="1" applyFill="1" applyNumberFormat="1">
      <alignment horizontal="center" vertical="center" wrapText="1"/>
    </xf>
    <xf numFmtId="0" fontId="22" fillId="36" borderId="13" xfId="0" applyFont="1" applyFill="1" applyBorder="1" applyNumberFormat="1">
      <alignment horizontal="center" vertical="center"/>
    </xf>
    <xf numFmtId="49" fontId="22" fillId="40" borderId="13" xfId="0" applyFont="1" applyFill="1" applyBorder="1" applyNumberFormat="1">
      <alignment horizontal="left" vertical="center" wrapText="1"/>
      <protection locked="0"/>
    </xf>
    <xf numFmtId="49" fontId="48" fillId="38" borderId="15" xfId="0" applyFont="1" applyFill="1" applyBorder="1" applyNumberFormat="1">
      <alignment horizontal="center" vertical="center"/>
    </xf>
    <xf numFmtId="49" fontId="39" fillId="38" borderId="14" xfId="0" applyFont="1" applyFill="1" applyBorder="1" applyNumberFormat="1">
      <alignment horizontal="left" vertical="center"/>
    </xf>
    <xf numFmtId="49" fontId="44" fillId="0" borderId="0" xfId="0" applyFont="1" applyNumberFormat="1">
      <alignment horizontal="right" vertical="top"/>
    </xf>
    <xf numFmtId="49" fontId="44" fillId="0" borderId="0" xfId="0" applyFont="1" applyNumberFormat="1">
      <alignment vertical="top"/>
    </xf>
    <xf numFmtId="0" fontId="36" fillId="0" borderId="0" xfId="0" applyFont="1" applyNumberFormat="1">
      <alignment horizontal="center" vertical="center"/>
    </xf>
    <xf numFmtId="0" fontId="22" fillId="0" borderId="0" xfId="0" applyFont="1" applyNumberFormat="1"/>
    <xf numFmtId="0" fontId="36" fillId="0" borderId="0" xfId="0" applyFont="1" applyNumberFormat="1">
      <alignment horizontal="center" vertical="center"/>
    </xf>
    <xf numFmtId="49" fontId="22" fillId="0" borderId="13" xfId="0" applyFont="1" applyBorder="1" applyNumberFormat="1">
      <alignment horizontal="left" vertical="center" wrapText="1"/>
    </xf>
    <xf numFmtId="0" fontId="22" fillId="0" borderId="0" xfId="0" applyFont="1" applyNumberFormat="1"/>
    <xf numFmtId="0" fontId="36" fillId="36" borderId="0" xfId="0" applyFont="1" applyFill="1" applyNumberFormat="1">
      <alignment horizontal="center"/>
    </xf>
    <xf numFmtId="49" fontId="22" fillId="37" borderId="13" xfId="0" applyFont="1" applyFill="1" applyBorder="1" applyNumberFormat="1">
      <alignment horizontal="left" vertical="center" wrapText="1"/>
      <protection locked="0"/>
    </xf>
    <xf numFmtId="49" fontId="39" fillId="38" borderId="14" xfId="0" applyFont="1" applyFill="1" applyBorder="1" applyNumberFormat="1">
      <alignment horizontal="left" vertical="center"/>
    </xf>
    <xf numFmtId="49" fontId="0" fillId="0" borderId="0" xfId="0" applyFont="1" applyNumberFormat="1">
      <alignment vertical="top"/>
    </xf>
    <xf numFmtId="49" fontId="0" fillId="0" borderId="16" xfId="0" applyFont="1" applyBorder="1" applyNumberFormat="1">
      <alignment horizontal="left" vertical="center" indent="1"/>
    </xf>
    <xf numFmtId="49" fontId="63" fillId="0" borderId="0" xfId="0" applyFont="1" applyNumberFormat="1">
      <alignment vertical="top"/>
    </xf>
    <xf numFmtId="49" fontId="0" fillId="0" borderId="26" xfId="0" applyFont="1" applyBorder="1" applyNumberFormat="1">
      <alignment horizontal="center" vertical="center"/>
    </xf>
    <xf numFmtId="49" fontId="0" fillId="0" borderId="26" xfId="0" applyFont="1" applyBorder="1" applyNumberFormat="1">
      <alignment horizontal="center" vertical="center"/>
    </xf>
    <xf numFmtId="49" fontId="0" fillId="39" borderId="0" xfId="0" applyFont="1" applyFill="1" applyNumberFormat="1">
      <alignment vertical="top"/>
    </xf>
    <xf numFmtId="49" fontId="0" fillId="39" borderId="0" xfId="0" applyFont="1" applyFill="1" applyNumberFormat="1">
      <alignment vertical="top"/>
    </xf>
    <xf numFmtId="0" fontId="36" fillId="36" borderId="0" xfId="0" applyFont="1" applyFill="1" applyNumberFormat="1">
      <alignment horizontal="center" vertical="center" wrapText="1"/>
    </xf>
    <xf numFmtId="0" fontId="45" fillId="0" borderId="0" xfId="0" applyFont="1" applyNumberFormat="1">
      <alignment horizontal="center" vertical="center" wrapText="1"/>
    </xf>
    <xf numFmtId="49" fontId="50" fillId="39" borderId="0" xfId="0" applyFont="1" applyFill="1" applyNumberFormat="1">
      <alignment vertical="top"/>
    </xf>
    <xf numFmtId="49" fontId="50" fillId="0" borderId="0" xfId="0" applyFont="1" applyNumberFormat="1">
      <alignment vertical="top"/>
    </xf>
    <xf numFmtId="49" fontId="22" fillId="36" borderId="0" xfId="0" applyFont="1" applyFill="1" applyNumberFormat="1">
      <alignment horizontal="center" vertical="center" wrapText="1"/>
    </xf>
    <xf numFmtId="0" fontId="22" fillId="36" borderId="0" xfId="0" applyFont="1" applyFill="1" applyNumberFormat="1">
      <alignment horizontal="center" vertical="top" wrapText="1"/>
    </xf>
    <xf numFmtId="49" fontId="22" fillId="41"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0" borderId="13" xfId="0" applyFont="1" applyFill="1" applyBorder="1" applyNumberFormat="1">
      <alignment horizontal="left" vertical="center" wrapText="1"/>
      <protection locked="0"/>
    </xf>
    <xf numFmtId="0" fontId="36" fillId="36" borderId="0" xfId="0" applyFont="1" applyFill="1" applyNumberFormat="1">
      <alignment vertical="top" wrapText="1"/>
    </xf>
    <xf numFmtId="0" fontId="22" fillId="36" borderId="15" xfId="0" applyFont="1" applyFill="1" applyBorder="1" applyNumberFormat="1">
      <alignment horizontal="center" vertical="center" wrapText="1"/>
    </xf>
    <xf numFmtId="0" fontId="46" fillId="36" borderId="13" xfId="0" applyFont="1" applyFill="1" applyBorder="1" applyNumberFormat="1">
      <alignment horizontal="center" vertical="center" wrapText="1"/>
    </xf>
    <xf numFmtId="14" fontId="22" fillId="41" borderId="30" xfId="0" applyFont="1" applyFill="1" applyBorder="1" applyNumberFormat="1">
      <alignment horizontal="left" vertical="center" wrapText="1"/>
    </xf>
    <xf numFmtId="49" fontId="120" fillId="40"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2" fillId="41"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36" fillId="0" borderId="0" xfId="0" applyFont="1" applyNumberFormat="1">
      <alignment horizontal="center" vertical="center" wrapText="1"/>
    </xf>
    <xf numFmtId="168" fontId="0" fillId="40" borderId="13" xfId="0" applyFont="1" applyFill="1" applyBorder="1" applyNumberFormat="1">
      <alignment horizontal="center" vertical="center" wrapText="1"/>
      <protection locked="0"/>
    </xf>
    <xf numFmtId="49" fontId="0" fillId="40" borderId="13" xfId="0" applyFont="1" applyFill="1" applyBorder="1" applyNumberFormat="1">
      <alignment horizontal="center" vertical="center" wrapText="1"/>
      <protection locked="0"/>
    </xf>
    <xf numFmtId="49" fontId="0" fillId="36" borderId="13" xfId="0" applyFont="1" applyFill="1" applyBorder="1" applyNumberFormat="1">
      <alignment horizontal="center" vertical="center" wrapText="1"/>
    </xf>
    <xf numFmtId="0" fontId="0" fillId="40" borderId="15" xfId="0" applyFont="1" applyFill="1" applyBorder="1" applyNumberFormat="1">
      <alignment horizontal="left" vertical="center" wrapText="1" indent="2"/>
      <protection locked="0"/>
    </xf>
    <xf numFmtId="0" fontId="36" fillId="0" borderId="25" xfId="0" applyFont="1" applyBorder="1" applyNumberFormat="1">
      <alignment horizontal="center" vertical="center" wrapText="1"/>
    </xf>
    <xf numFmtId="0" fontId="22" fillId="0" borderId="25" xfId="0" applyFont="1" applyBorder="1" applyNumberFormat="1">
      <alignment vertical="top" wrapText="1"/>
    </xf>
    <xf numFmtId="49" fontId="22" fillId="0" borderId="37" xfId="0" applyFont="1" applyBorder="1" applyNumberFormat="1">
      <alignment horizontal="center" vertical="top" wrapText="1"/>
    </xf>
    <xf numFmtId="0" fontId="0" fillId="35" borderId="37" xfId="0" applyFont="1" applyFill="1" applyBorder="1" applyNumberFormat="1">
      <alignment horizontal="left" vertical="top" wrapText="1" indent="1"/>
    </xf>
    <xf numFmtId="49" fontId="22" fillId="41" borderId="37" xfId="0" applyFont="1" applyFill="1" applyBorder="1" applyNumberFormat="1">
      <alignment horizontal="center" vertical="top" wrapText="1"/>
    </xf>
    <xf numFmtId="49" fontId="0" fillId="40" borderId="37" xfId="0" applyFont="1" applyFill="1" applyBorder="1" applyNumberFormat="1">
      <alignment horizontal="center" vertical="top" wrapText="1"/>
      <protection locked="0"/>
    </xf>
    <xf numFmtId="49" fontId="0" fillId="37" borderId="37" xfId="0" applyFont="1" applyFill="1" applyBorder="1" applyNumberFormat="1">
      <alignment horizontal="center" vertical="top" wrapText="1"/>
      <protection locked="0"/>
    </xf>
    <xf numFmtId="49" fontId="22" fillId="41" borderId="37" xfId="0" applyFont="1" applyFill="1" applyBorder="1" applyNumberFormat="1">
      <alignment horizontal="left" vertical="top" wrapText="1"/>
    </xf>
    <xf numFmtId="49" fontId="22" fillId="40" borderId="37" xfId="0" applyFont="1" applyFill="1" applyBorder="1" applyNumberFormat="1">
      <alignment horizontal="left" vertical="top" wrapText="1"/>
      <protection locked="0"/>
    </xf>
    <xf numFmtId="49" fontId="0" fillId="35" borderId="37" xfId="0" applyFont="1" applyFill="1" applyBorder="1" applyNumberFormat="1">
      <alignment horizontal="center" vertical="top" wrapText="1"/>
    </xf>
    <xf numFmtId="0" fontId="22" fillId="35" borderId="37" xfId="0" applyFont="1" applyFill="1" applyBorder="1" applyNumberFormat="1">
      <alignment horizontal="center" vertical="top" wrapText="1"/>
    </xf>
    <xf numFmtId="0" fontId="22" fillId="37" borderId="37" xfId="0" applyFont="1" applyFill="1" applyBorder="1" applyNumberFormat="1">
      <alignment horizontal="left" vertical="top" wrapText="1"/>
      <protection locked="0"/>
    </xf>
    <xf numFmtId="49" fontId="0" fillId="35" borderId="37" xfId="0" applyFont="1" applyFill="1" applyBorder="1" applyNumberFormat="1">
      <alignment vertical="top"/>
    </xf>
    <xf numFmtId="49" fontId="0" fillId="0" borderId="37" xfId="0" applyFont="1" applyBorder="1" applyNumberFormat="1">
      <alignment vertical="top"/>
    </xf>
    <xf numFmtId="49" fontId="22" fillId="41" borderId="18" xfId="0" applyFont="1" applyFill="1" applyBorder="1" applyNumberFormat="1">
      <alignment vertical="center" wrapText="1"/>
    </xf>
    <xf numFmtId="49" fontId="0" fillId="40" borderId="37" xfId="0" applyFont="1" applyFill="1" applyBorder="1" applyNumberFormat="1">
      <alignment vertical="top"/>
      <protection locked="0"/>
    </xf>
    <xf numFmtId="49" fontId="0" fillId="40" borderId="18" xfId="0" applyFont="1" applyFill="1" applyBorder="1" applyNumberFormat="1">
      <alignment vertical="top"/>
      <protection locked="0"/>
    </xf>
    <xf numFmtId="14" fontId="22" fillId="41" borderId="37" xfId="0" applyFont="1" applyFill="1" applyBorder="1" applyNumberFormat="1">
      <alignment horizontal="left" vertical="center" wrapText="1" indent="1"/>
    </xf>
    <xf numFmtId="14" fontId="22" fillId="41" borderId="23" xfId="0" applyFont="1" applyFill="1" applyBorder="1" applyNumberFormat="1">
      <alignment horizontal="left" vertical="center" wrapText="1" indent="1"/>
    </xf>
    <xf numFmtId="49" fontId="22" fillId="41" borderId="37" xfId="0" applyFont="1" applyFill="1" applyBorder="1" applyNumberFormat="1">
      <alignment vertical="center" wrapText="1"/>
    </xf>
    <xf numFmtId="0" fontId="44" fillId="0" borderId="13" xfId="0" applyFont="1" applyBorder="1" applyNumberFormat="1">
      <alignment horizontal="center" vertical="center"/>
    </xf>
    <xf numFmtId="49" fontId="22" fillId="41" borderId="24" xfId="0" applyFont="1" applyFill="1" applyBorder="1" applyNumberFormat="1">
      <alignment vertical="center" wrapText="1"/>
    </xf>
    <xf numFmtId="49" fontId="0" fillId="40" borderId="24" xfId="0" applyFont="1" applyFill="1" applyBorder="1" applyNumberFormat="1">
      <alignment vertical="top"/>
      <protection locked="0"/>
    </xf>
    <xf numFmtId="49" fontId="121" fillId="0" borderId="37" xfId="0" applyFont="1" applyBorder="1" applyNumberFormat="1">
      <alignment horizontal="center" vertical="top" wrapText="1"/>
    </xf>
    <xf numFmtId="0" fontId="44" fillId="0" borderId="14" xfId="0" applyFont="1" applyBorder="1" applyNumberFormat="1">
      <alignment horizontal="center" vertical="center"/>
    </xf>
    <xf numFmtId="49" fontId="0" fillId="0" borderId="0" xfId="0" applyFont="1" applyNumberFormat="1">
      <alignment vertical="top"/>
    </xf>
    <xf numFmtId="0" fontId="22" fillId="36" borderId="13" xfId="0" applyFont="1" applyFill="1" applyBorder="1" applyNumberFormat="1">
      <alignment horizontal="center" vertical="center"/>
    </xf>
    <xf numFmtId="0" fontId="22" fillId="41" borderId="13" xfId="0" applyFont="1" applyFill="1" applyBorder="1" applyNumberFormat="1">
      <alignment horizontal="left" vertical="center" wrapText="1" indent="1"/>
    </xf>
    <xf numFmtId="49" fontId="39" fillId="38" borderId="57"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38" borderId="52" xfId="0" applyFont="1" applyFill="1" applyBorder="1" applyNumberFormat="1">
      <alignment horizontal="left" vertical="center" indent="1"/>
    </xf>
    <xf numFmtId="49" fontId="39" fillId="49" borderId="14" xfId="0" applyFont="1" applyFill="1" applyBorder="1" applyNumberFormat="1">
      <alignment horizontal="left" vertical="center" indent="1"/>
    </xf>
    <xf numFmtId="49" fontId="22" fillId="0" borderId="0" xfId="0" applyFont="1" applyNumberFormat="1">
      <alignment vertical="top"/>
    </xf>
    <xf numFmtId="0" fontId="45" fillId="0" borderId="0" xfId="0" applyFont="1" applyNumberFormat="1">
      <alignment horizontal="center" vertical="top"/>
    </xf>
    <xf numFmtId="49" fontId="0" fillId="0" borderId="20" xfId="0" applyFont="1" applyBorder="1" applyNumberFormat="1">
      <alignment vertical="top"/>
    </xf>
    <xf numFmtId="49" fontId="36" fillId="0" borderId="18" xfId="0" applyFont="1" applyBorder="1" applyNumberFormat="1">
      <alignment horizontal="center" vertical="top" wrapText="1"/>
    </xf>
    <xf numFmtId="49" fontId="22" fillId="40"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4" fontId="0" fillId="35" borderId="13" xfId="0" applyFont="1" applyFill="1" applyBorder="1" applyNumberFormat="1">
      <alignment horizontal="right" vertical="center" wrapText="1"/>
    </xf>
    <xf numFmtId="49" fontId="22" fillId="0" borderId="37" xfId="0" applyFont="1" applyBorder="1" applyNumberFormat="1">
      <alignment horizontal="center" vertical="top" wrapText="1"/>
    </xf>
    <xf numFmtId="0" fontId="0" fillId="40" borderId="13" xfId="0" applyFont="1" applyFill="1" applyBorder="1" applyNumberFormat="1">
      <alignment horizontal="left" vertical="center" wrapText="1"/>
      <protection locked="0"/>
    </xf>
    <xf numFmtId="49" fontId="0" fillId="40"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0" borderId="13" xfId="0" applyFont="1" applyFill="1" applyBorder="1" applyNumberFormat="1">
      <alignment horizontal="left" vertical="center" wrapText="1"/>
      <protection locked="0"/>
    </xf>
    <xf numFmtId="4" fontId="0" fillId="40" borderId="13" xfId="0" applyFont="1" applyFill="1" applyBorder="1" applyNumberFormat="1">
      <alignment horizontal="right" vertical="center" wrapText="1"/>
      <protection locked="0"/>
    </xf>
    <xf numFmtId="49" fontId="0" fillId="40" borderId="13" xfId="0" applyFont="1" applyFill="1" applyBorder="1" applyNumberFormat="1">
      <alignment horizontal="center" vertical="center" wrapText="1"/>
      <protection locked="0"/>
    </xf>
    <xf numFmtId="4" fontId="45" fillId="0" borderId="13" xfId="0" applyFont="1" applyBorder="1" applyNumberFormat="1">
      <alignment horizontal="right" vertical="center" wrapText="1"/>
    </xf>
    <xf numFmtId="49" fontId="0" fillId="40" borderId="13" xfId="0" applyFont="1" applyFill="1" applyBorder="1" applyNumberFormat="1">
      <alignment horizontal="left" vertical="center" wrapText="1"/>
      <protection locked="0"/>
    </xf>
    <xf numFmtId="49" fontId="0" fillId="38" borderId="31" xfId="0" applyFont="1" applyFill="1" applyBorder="1" applyNumberFormat="1">
      <alignment horizontal="center" vertical="center"/>
    </xf>
    <xf numFmtId="49" fontId="0" fillId="38" borderId="16" xfId="0" applyFont="1" applyFill="1" applyBorder="1" applyNumberFormat="1">
      <alignment horizontal="center" vertical="center"/>
    </xf>
    <xf numFmtId="49" fontId="39" fillId="38" borderId="16" xfId="0" applyFont="1" applyFill="1" applyBorder="1" applyNumberFormat="1">
      <alignment horizontal="left" vertical="center"/>
    </xf>
    <xf numFmtId="49" fontId="39" fillId="38" borderId="14" xfId="0" applyFont="1" applyFill="1" applyBorder="1" applyNumberFormat="1">
      <alignment horizontal="left" vertical="center" indent="1"/>
    </xf>
    <xf numFmtId="49" fontId="22" fillId="0" borderId="24" xfId="0" applyFont="1" applyBorder="1" applyNumberFormat="1">
      <alignment horizontal="center" vertical="top" wrapText="1"/>
    </xf>
    <xf numFmtId="49" fontId="22" fillId="40"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6" fillId="0" borderId="0" xfId="0" applyFont="1" applyNumberFormat="1">
      <alignment horizontal="center" vertical="center" wrapText="1"/>
    </xf>
    <xf numFmtId="0" fontId="0" fillId="0" borderId="13" xfId="0" applyFont="1" applyBorder="1" applyNumberFormat="1">
      <alignment horizontal="center" vertical="center"/>
    </xf>
    <xf numFmtId="0" fontId="22" fillId="41" borderId="13" xfId="0" applyFont="1" applyFill="1" applyBorder="1" applyNumberFormat="1">
      <alignment horizontal="left" vertical="top" wrapText="1"/>
    </xf>
    <xf numFmtId="49" fontId="22" fillId="37" borderId="13" xfId="0" applyFont="1" applyFill="1" applyBorder="1" applyNumberFormat="1">
      <alignment horizontal="left" vertical="center" wrapText="1"/>
      <protection locked="0"/>
    </xf>
    <xf numFmtId="0" fontId="0" fillId="41" borderId="13"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0" fillId="40" borderId="13" xfId="0" applyFont="1" applyFill="1" applyBorder="1" applyNumberFormat="1">
      <alignment horizontal="left" vertical="center" wrapText="1"/>
      <protection locked="0"/>
    </xf>
    <xf numFmtId="49" fontId="22" fillId="37"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9" fillId="38" borderId="15" xfId="0" applyFont="1" applyFill="1" applyBorder="1" applyNumberFormat="1">
      <alignment horizontal="left" vertical="center"/>
    </xf>
    <xf numFmtId="0" fontId="39" fillId="38" borderId="16" xfId="0" applyFont="1" applyFill="1" applyBorder="1" applyNumberFormat="1">
      <alignment horizontal="left" vertical="center"/>
    </xf>
    <xf numFmtId="0" fontId="39" fillId="38" borderId="14" xfId="0" applyFont="1" applyFill="1" applyBorder="1" applyNumberFormat="1">
      <alignment horizontal="left" vertical="center"/>
    </xf>
    <xf numFmtId="49" fontId="0" fillId="41" borderId="13" xfId="0" applyFont="1" applyFill="1" applyBorder="1" applyNumberFormat="1">
      <alignment horizontal="left" vertical="top"/>
    </xf>
    <xf numFmtId="49" fontId="0" fillId="37" borderId="13" xfId="0" applyFont="1" applyFill="1" applyBorder="1" applyNumberFormat="1">
      <alignment horizontal="left" vertical="top"/>
      <protection locked="0"/>
    </xf>
    <xf numFmtId="49" fontId="0" fillId="41" borderId="13" xfId="0" applyFont="1" applyFill="1" applyBorder="1" applyNumberFormat="1">
      <alignment horizontal="left" vertical="center" wrapText="1"/>
    </xf>
    <xf numFmtId="0" fontId="0" fillId="38" borderId="16" xfId="0" applyFont="1" applyFill="1" applyBorder="1" applyNumberFormat="1">
      <alignment vertical="center"/>
    </xf>
    <xf numFmtId="49" fontId="0" fillId="0" borderId="37" xfId="0" applyFont="1" applyBorder="1" applyNumberFormat="1">
      <alignment horizontal="left" vertical="top"/>
    </xf>
    <xf numFmtId="0" fontId="22" fillId="41" borderId="37" xfId="0" applyFont="1" applyFill="1" applyBorder="1" applyNumberFormat="1">
      <alignment horizontal="center" vertical="top" wrapText="1"/>
    </xf>
    <xf numFmtId="49" fontId="0" fillId="41" borderId="37" xfId="0" applyFont="1" applyFill="1" applyBorder="1" applyNumberFormat="1">
      <alignment horizontal="left" vertical="top"/>
    </xf>
    <xf numFmtId="49" fontId="0" fillId="37" borderId="37" xfId="0" applyFont="1" applyFill="1" applyBorder="1" applyNumberFormat="1">
      <alignment horizontal="left" vertical="top"/>
      <protection locked="0"/>
    </xf>
    <xf numFmtId="49" fontId="22" fillId="41" borderId="0" xfId="0" applyFont="1" applyFill="1" applyNumberFormat="1">
      <alignment horizontal="center" vertical="center" wrapText="1"/>
    </xf>
    <xf numFmtId="0" fontId="39" fillId="0" borderId="37" xfId="0" applyFont="1" applyBorder="1" applyNumberFormat="1">
      <alignment horizontal="left" vertical="center"/>
    </xf>
    <xf numFmtId="49" fontId="0" fillId="41" borderId="37" xfId="0" applyFont="1" applyFill="1" applyBorder="1" applyNumberFormat="1">
      <alignment horizontal="left" vertical="center" wrapText="1"/>
    </xf>
    <xf numFmtId="49" fontId="22" fillId="41" borderId="37" xfId="0" applyFont="1" applyFill="1" applyBorder="1" applyNumberFormat="1">
      <alignment horizontal="center" vertical="center" wrapText="1"/>
    </xf>
    <xf numFmtId="0" fontId="39" fillId="37" borderId="37" xfId="0" applyFont="1" applyFill="1" applyBorder="1" applyNumberFormat="1">
      <alignment horizontal="left" vertical="center"/>
      <protection locked="0"/>
    </xf>
    <xf numFmtId="0" fontId="39" fillId="40" borderId="37" xfId="0" applyFont="1" applyFill="1" applyBorder="1" applyNumberFormat="1">
      <alignment horizontal="left" vertical="center"/>
      <protection locked="0"/>
    </xf>
    <xf numFmtId="49" fontId="46" fillId="0" borderId="13" xfId="0" applyFont="1" applyBorder="1" applyNumberFormat="1">
      <alignment horizontal="center" vertical="center" wrapText="1"/>
    </xf>
    <xf numFmtId="49" fontId="46" fillId="0" borderId="15" xfId="0" applyFont="1" applyBorder="1" applyNumberFormat="1">
      <alignment horizontal="left" vertical="center" wrapText="1"/>
    </xf>
    <xf numFmtId="0" fontId="46" fillId="0" borderId="15" xfId="0" applyFont="1" applyBorder="1" applyNumberFormat="1">
      <alignment horizontal="left" vertical="center"/>
    </xf>
    <xf numFmtId="0" fontId="46" fillId="0" borderId="16" xfId="0" applyFont="1" applyBorder="1" applyNumberFormat="1">
      <alignment horizontal="left" vertical="center"/>
    </xf>
    <xf numFmtId="0" fontId="39" fillId="38" borderId="30" xfId="0" applyFont="1" applyFill="1" applyBorder="1" applyNumberFormat="1">
      <alignment horizontal="left" vertical="center"/>
    </xf>
    <xf numFmtId="49" fontId="0" fillId="37" borderId="37" xfId="0" applyFont="1" applyFill="1" applyBorder="1" applyNumberFormat="1">
      <alignment vertical="top"/>
      <protection locked="0"/>
    </xf>
    <xf numFmtId="0" fontId="0" fillId="0" borderId="0" xfId="0" applyFont="1" applyNumberFormat="1">
      <alignment vertical="center"/>
    </xf>
    <xf numFmtId="49" fontId="22"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2" fillId="0" borderId="37" xfId="0" applyFont="1" applyBorder="1" applyNumberFormat="1">
      <alignment horizontal="center" vertical="center"/>
    </xf>
    <xf numFmtId="49" fontId="22" fillId="0" borderId="37" xfId="0" applyFont="1" applyBorder="1" applyNumberFormat="1">
      <alignment vertical="center" wrapText="1"/>
    </xf>
    <xf numFmtId="0" fontId="22" fillId="0" borderId="25" xfId="0" applyFont="1" applyBorder="1" applyNumberFormat="1">
      <alignment horizontal="center" vertical="center"/>
    </xf>
    <xf numFmtId="49" fontId="22" fillId="0" borderId="18" xfId="0" applyFont="1" applyBorder="1" applyNumberFormat="1">
      <alignment horizontal="left" vertical="center" wrapText="1"/>
    </xf>
    <xf numFmtId="49" fontId="22" fillId="0" borderId="18" xfId="0" applyFont="1" applyBorder="1" applyNumberFormat="1">
      <alignment horizontal="left" vertical="center" wrapText="1"/>
    </xf>
    <xf numFmtId="49" fontId="36" fillId="0" borderId="37" xfId="0" applyFont="1" applyBorder="1" applyNumberFormat="1">
      <alignment vertical="center" wrapText="1"/>
    </xf>
    <xf numFmtId="0" fontId="22" fillId="41" borderId="18" xfId="0" applyFont="1" applyFill="1" applyBorder="1" applyNumberFormat="1">
      <alignment horizontal="left" vertical="center" wrapText="1"/>
    </xf>
    <xf numFmtId="49" fontId="22" fillId="0" borderId="18" xfId="0" applyFont="1" applyBorder="1" applyNumberFormat="1">
      <alignment horizontal="center" vertical="center" wrapText="1"/>
    </xf>
    <xf numFmtId="49" fontId="22" fillId="41" borderId="18" xfId="0" applyFont="1" applyFill="1" applyBorder="1" applyNumberFormat="1">
      <alignment horizontal="left" vertical="center" wrapText="1"/>
    </xf>
    <xf numFmtId="0" fontId="22" fillId="0" borderId="18" xfId="0" applyFont="1" applyBorder="1" applyNumberFormat="1">
      <alignment horizontal="left" vertical="center" wrapText="1"/>
    </xf>
    <xf numFmtId="49" fontId="22" fillId="0" borderId="18" xfId="0" applyFont="1" applyBorder="1" applyNumberFormat="1">
      <alignment horizontal="center" vertical="center" wrapText="1"/>
    </xf>
    <xf numFmtId="49" fontId="22" fillId="41" borderId="18" xfId="0" applyFont="1" applyFill="1" applyBorder="1" applyNumberFormat="1">
      <alignment vertical="center" wrapText="1"/>
    </xf>
    <xf numFmtId="0" fontId="22" fillId="0" borderId="37" xfId="0" applyFont="1" applyBorder="1" applyNumberFormat="1">
      <alignment horizontal="left" vertical="center" wrapText="1"/>
    </xf>
    <xf numFmtId="49" fontId="22" fillId="0" borderId="37" xfId="0" applyFont="1" applyBorder="1" applyNumberFormat="1">
      <alignment horizontal="left" vertical="center" wrapText="1"/>
    </xf>
    <xf numFmtId="0" fontId="22" fillId="41" borderId="37" xfId="0" applyFont="1" applyFill="1" applyBorder="1" applyNumberFormat="1">
      <alignment horizontal="left" vertical="center" wrapText="1"/>
    </xf>
    <xf numFmtId="49" fontId="22" fillId="0" borderId="37" xfId="0" applyFont="1" applyBorder="1" applyNumberFormat="1">
      <alignment horizontal="center" vertical="center" wrapText="1"/>
    </xf>
    <xf numFmtId="0" fontId="22" fillId="0" borderId="24" xfId="0" applyFont="1" applyBorder="1" applyNumberFormat="1">
      <alignment horizontal="left" vertical="center" wrapText="1"/>
    </xf>
    <xf numFmtId="0" fontId="39" fillId="0" borderId="24" xfId="0" applyFont="1" applyBorder="1" applyNumberFormat="1">
      <alignment horizontal="left" vertical="center"/>
    </xf>
    <xf numFmtId="0" fontId="39" fillId="38" borderId="15" xfId="0" applyFont="1" applyFill="1" applyBorder="1" applyNumberFormat="1">
      <alignment horizontal="left" vertical="center"/>
    </xf>
    <xf numFmtId="0" fontId="39" fillId="38" borderId="16" xfId="0" applyFont="1" applyFill="1" applyBorder="1" applyNumberFormat="1">
      <alignment horizontal="left" vertical="center"/>
    </xf>
    <xf numFmtId="0" fontId="39" fillId="38" borderId="14" xfId="0" applyFont="1" applyFill="1" applyBorder="1" applyNumberFormat="1">
      <alignment horizontal="left" vertical="center"/>
    </xf>
    <xf numFmtId="49" fontId="22" fillId="0" borderId="37" xfId="0" applyFont="1" applyBorder="1" applyNumberFormat="1">
      <alignment horizontal="center" vertical="center" wrapText="1"/>
    </xf>
    <xf numFmtId="0" fontId="39" fillId="38" borderId="38" xfId="0" applyFont="1" applyFill="1" applyBorder="1" applyNumberFormat="1">
      <alignment horizontal="left" vertical="center"/>
    </xf>
    <xf numFmtId="0" fontId="39" fillId="38" borderId="20" xfId="0" applyFont="1" applyFill="1" applyBorder="1" applyNumberFormat="1">
      <alignment horizontal="left" vertical="center"/>
    </xf>
    <xf numFmtId="0" fontId="39" fillId="38" borderId="21" xfId="0" applyFont="1" applyFill="1" applyBorder="1" applyNumberFormat="1">
      <alignment horizontal="left" vertical="center"/>
    </xf>
    <xf numFmtId="49" fontId="22" fillId="40" borderId="18" xfId="0" applyFont="1" applyFill="1" applyBorder="1" applyNumberFormat="1">
      <alignment horizontal="left" vertical="center" wrapText="1"/>
      <protection locked="0"/>
    </xf>
    <xf numFmtId="49" fontId="36" fillId="0" borderId="37" xfId="0" applyFont="1" applyBorder="1" applyNumberFormat="1">
      <alignment horizontal="center" vertical="center" wrapText="1"/>
    </xf>
    <xf numFmtId="0" fontId="39" fillId="38" borderId="38" xfId="0" applyFont="1" applyFill="1" applyBorder="1" applyNumberFormat="1">
      <alignment vertical="center"/>
    </xf>
    <xf numFmtId="0" fontId="39" fillId="0" borderId="37" xfId="0" applyFont="1" applyBorder="1" applyNumberFormat="1">
      <alignment horizontal="left" vertical="center"/>
    </xf>
    <xf numFmtId="49" fontId="22" fillId="37" borderId="18" xfId="0" applyFont="1" applyFill="1" applyBorder="1" applyNumberFormat="1">
      <alignment horizontal="left" vertical="center" wrapText="1"/>
      <protection locked="0"/>
    </xf>
    <xf numFmtId="49" fontId="65" fillId="38" borderId="15" xfId="0" applyFont="1" applyFill="1" applyBorder="1" applyNumberFormat="1">
      <alignment vertical="top"/>
    </xf>
    <xf numFmtId="49" fontId="65" fillId="38" borderId="16" xfId="0" applyFont="1" applyFill="1" applyBorder="1" applyNumberFormat="1">
      <alignment vertical="top"/>
    </xf>
    <xf numFmtId="49" fontId="22" fillId="0" borderId="20" xfId="0" applyFont="1" applyBorder="1" applyNumberFormat="1">
      <alignment horizontal="left" vertical="center" wrapText="1"/>
    </xf>
    <xf numFmtId="49" fontId="22" fillId="0" borderId="20" xfId="0" applyFont="1" applyBorder="1" applyNumberFormat="1">
      <alignment horizontal="left" vertical="center" wrapText="1"/>
    </xf>
    <xf numFmtId="49" fontId="36" fillId="0" borderId="20" xfId="0" applyFont="1" applyBorder="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0" fontId="39" fillId="0" borderId="0" xfId="0" applyFont="1" applyNumberFormat="1">
      <alignment horizontal="left" vertical="center"/>
    </xf>
    <xf numFmtId="49" fontId="36" fillId="0" borderId="0" xfId="0" applyFont="1" applyNumberFormat="1">
      <alignment horizontal="center" vertical="center" wrapText="1"/>
    </xf>
    <xf numFmtId="49" fontId="93" fillId="0" borderId="13" xfId="0" applyFont="1" applyBorder="1" applyNumberFormat="1">
      <alignment vertical="top" wrapText="1"/>
    </xf>
    <xf numFmtId="49" fontId="89" fillId="0" borderId="13" xfId="0" applyFont="1" applyBorder="1" applyNumberFormat="1">
      <alignment horizontal="center" vertical="top" wrapText="1"/>
    </xf>
    <xf numFmtId="49" fontId="89" fillId="42" borderId="13" xfId="0" applyFont="1" applyFill="1" applyBorder="1" applyNumberFormat="1">
      <alignment horizontal="center" vertical="top"/>
    </xf>
    <xf numFmtId="49" fontId="89" fillId="0" borderId="13" xfId="0" applyFont="1" applyBorder="1" applyNumberFormat="1">
      <alignment vertical="top" wrapText="1"/>
    </xf>
    <xf numFmtId="0" fontId="89" fillId="0" borderId="13" xfId="0" applyFont="1" applyBorder="1" applyNumberFormat="1">
      <alignment vertical="top" wrapText="1"/>
    </xf>
    <xf numFmtId="49" fontId="89" fillId="0" borderId="13" xfId="0" applyFont="1" applyBorder="1" applyNumberFormat="1">
      <alignment vertical="top"/>
    </xf>
    <xf numFmtId="49" fontId="93" fillId="0" borderId="13" xfId="0" applyFont="1" applyBorder="1" applyNumberFormat="1">
      <alignment vertical="top"/>
    </xf>
    <xf numFmtId="0" fontId="93" fillId="0" borderId="13" xfId="0" applyFont="1" applyBorder="1" applyNumberFormat="1">
      <alignment vertical="top" wrapText="1"/>
    </xf>
    <xf numFmtId="49" fontId="93" fillId="0" borderId="0" xfId="0" applyFont="1" applyNumberFormat="1">
      <alignment vertical="top" wrapText="1"/>
    </xf>
    <xf numFmtId="49" fontId="93" fillId="0" borderId="0" xfId="0" applyFont="1" applyNumberFormat="1">
      <alignment vertical="top"/>
    </xf>
    <xf numFmtId="49" fontId="93" fillId="0" borderId="0" xfId="0" applyFont="1" applyNumberFormat="1">
      <alignment horizontal="center" vertical="top" wrapText="1"/>
    </xf>
    <xf numFmtId="49" fontId="93" fillId="0" borderId="13" xfId="0" applyFont="1" applyBorder="1" applyNumberFormat="1">
      <alignment horizontal="center" vertical="top" wrapText="1"/>
    </xf>
    <xf numFmtId="49" fontId="93" fillId="0" borderId="13" xfId="0" applyFont="1" applyBorder="1" applyNumberFormat="1">
      <alignment horizontal="center" vertical="top" wrapText="1"/>
    </xf>
    <xf numFmtId="49" fontId="93" fillId="42" borderId="13" xfId="0" applyFont="1" applyFill="1" applyBorder="1" applyNumberFormat="1">
      <alignment horizontal="center" vertical="top" wrapText="1"/>
    </xf>
    <xf numFmtId="49" fontId="89" fillId="42" borderId="13" xfId="0" applyFont="1" applyFill="1" applyBorder="1" applyNumberFormat="1">
      <alignment horizontal="center" vertical="top" wrapText="1"/>
    </xf>
    <xf numFmtId="49" fontId="93" fillId="0" borderId="13" xfId="0" applyFont="1" applyBorder="1" applyNumberFormat="1">
      <alignment horizontal="left" vertical="top" wrapText="1"/>
    </xf>
    <xf numFmtId="0" fontId="89" fillId="42" borderId="13" xfId="0" applyFont="1" applyFill="1" applyBorder="1" applyNumberFormat="1">
      <alignment horizontal="center" vertical="top" wrapText="1"/>
    </xf>
    <xf numFmtId="0" fontId="93" fillId="42" borderId="13" xfId="0" applyFont="1" applyFill="1" applyBorder="1" applyNumberFormat="1">
      <alignment horizontal="right" vertical="center" wrapText="1"/>
    </xf>
    <xf numFmtId="49" fontId="93" fillId="0" borderId="15" xfId="0" applyFont="1" applyBorder="1" applyNumberFormat="1">
      <alignment horizontal="center" vertical="top" wrapText="1"/>
    </xf>
    <xf numFmtId="49" fontId="93" fillId="0" borderId="16" xfId="0" applyFont="1" applyBorder="1" applyNumberFormat="1">
      <alignment horizontal="center" vertical="top" wrapText="1"/>
    </xf>
    <xf numFmtId="49" fontId="93" fillId="0" borderId="14" xfId="0" applyFont="1" applyBorder="1" applyNumberFormat="1">
      <alignment horizontal="center" vertical="top" wrapText="1"/>
    </xf>
    <xf numFmtId="0" fontId="93" fillId="0" borderId="13" xfId="0" applyFont="1" applyBorder="1" applyNumberFormat="1">
      <alignment horizontal="left" vertical="top" wrapText="1"/>
    </xf>
    <xf numFmtId="49" fontId="93" fillId="42" borderId="13" xfId="0" applyFont="1" applyFill="1" applyBorder="1" applyNumberFormat="1">
      <alignment horizontal="left" vertical="top" wrapText="1"/>
    </xf>
    <xf numFmtId="0" fontId="93" fillId="42" borderId="13" xfId="0" applyFont="1" applyFill="1" applyBorder="1" applyNumberFormat="1">
      <alignment horizontal="center" vertical="center" wrapText="1"/>
    </xf>
    <xf numFmtId="0" fontId="93" fillId="42" borderId="13" xfId="0" applyFont="1" applyFill="1" applyBorder="1" applyNumberFormat="1">
      <alignment horizontal="center" vertical="center" wrapText="1"/>
    </xf>
    <xf numFmtId="49" fontId="93" fillId="0" borderId="18" xfId="0" applyFont="1" applyBorder="1" applyNumberFormat="1">
      <alignment horizontal="center" vertical="top" wrapText="1"/>
    </xf>
    <xf numFmtId="49" fontId="93" fillId="0" borderId="37" xfId="0" applyFont="1" applyBorder="1" applyNumberFormat="1">
      <alignment horizontal="center" vertical="top" wrapText="1"/>
    </xf>
    <xf numFmtId="49" fontId="93" fillId="0" borderId="18" xfId="0" applyFont="1" applyBorder="1" applyNumberFormat="1">
      <alignment horizontal="center" vertical="top" wrapText="1"/>
    </xf>
    <xf numFmtId="0" fontId="93" fillId="0" borderId="18" xfId="0" applyFont="1" applyBorder="1" applyNumberFormat="1">
      <alignment horizontal="left" vertical="top" wrapText="1"/>
    </xf>
    <xf numFmtId="49" fontId="93" fillId="0" borderId="38" xfId="0" applyFont="1" applyBorder="1" applyNumberFormat="1">
      <alignment horizontal="center" vertical="top" wrapText="1"/>
    </xf>
    <xf numFmtId="49" fontId="93" fillId="0" borderId="38" xfId="0" applyFont="1" applyBorder="1" applyNumberFormat="1">
      <alignment horizontal="center" vertical="top" wrapText="1"/>
    </xf>
    <xf numFmtId="0" fontId="93" fillId="0" borderId="14" xfId="0" applyFont="1" applyBorder="1" applyNumberFormat="1">
      <alignment horizontal="left" vertical="top" wrapText="1"/>
    </xf>
    <xf numFmtId="49" fontId="93" fillId="0" borderId="24" xfId="0" applyFont="1" applyBorder="1" applyNumberFormat="1">
      <alignment horizontal="center" vertical="top" wrapText="1"/>
    </xf>
    <xf numFmtId="49" fontId="93" fillId="0" borderId="31" xfId="0" applyFont="1" applyBorder="1" applyNumberFormat="1">
      <alignment horizontal="center" vertical="top" wrapText="1"/>
    </xf>
    <xf numFmtId="49" fontId="93" fillId="0" borderId="23" xfId="0" applyFont="1" applyBorder="1" applyNumberFormat="1">
      <alignment horizontal="center" vertical="top" wrapText="1"/>
    </xf>
    <xf numFmtId="0" fontId="93" fillId="0" borderId="18" xfId="0" applyFont="1" applyBorder="1" applyNumberFormat="1">
      <alignment vertical="top" wrapText="1"/>
    </xf>
    <xf numFmtId="49" fontId="89" fillId="0" borderId="13" xfId="0" applyFont="1" applyBorder="1" applyNumberFormat="1">
      <alignment horizontal="left" vertical="top" wrapText="1"/>
    </xf>
    <xf numFmtId="0" fontId="89" fillId="0" borderId="15" xfId="0" applyFont="1" applyBorder="1" applyNumberFormat="1">
      <alignment horizontal="center" vertical="center" wrapText="1"/>
    </xf>
    <xf numFmtId="0" fontId="89" fillId="0" borderId="15" xfId="0" applyFont="1" applyBorder="1" applyNumberFormat="1">
      <alignment horizontal="center" vertical="center"/>
    </xf>
    <xf numFmtId="49" fontId="89" fillId="0" borderId="13" xfId="0" applyFont="1" applyBorder="1" applyNumberFormat="1">
      <alignment horizontal="center" vertical="center" wrapText="1"/>
    </xf>
    <xf numFmtId="0" fontId="89" fillId="0" borderId="13" xfId="0" applyFont="1" applyBorder="1" applyNumberFormat="1">
      <alignment vertical="center" wrapText="1"/>
    </xf>
    <xf numFmtId="49" fontId="93" fillId="0" borderId="15" xfId="0" applyFont="1" applyBorder="1" applyNumberFormat="1">
      <alignment horizontal="left" vertical="top" wrapText="1"/>
    </xf>
    <xf numFmtId="0" fontId="89" fillId="0" borderId="13" xfId="0" applyFont="1" applyBorder="1" applyNumberFormat="1">
      <alignment horizontal="center" vertical="center" wrapText="1"/>
    </xf>
    <xf numFmtId="0" fontId="89" fillId="0" borderId="18" xfId="0" applyFont="1" applyBorder="1" applyNumberFormat="1">
      <alignment vertical="center" wrapText="1"/>
    </xf>
    <xf numFmtId="0" fontId="89" fillId="0" borderId="24" xfId="0" applyFont="1" applyBorder="1" applyNumberFormat="1">
      <alignment vertical="center" wrapText="1"/>
    </xf>
    <xf numFmtId="49" fontId="93" fillId="0" borderId="31" xfId="0" applyFont="1" applyBorder="1" applyNumberFormat="1">
      <alignment horizontal="left" vertical="top" wrapText="1"/>
    </xf>
    <xf numFmtId="49" fontId="93" fillId="0" borderId="14" xfId="0" applyFont="1" applyBorder="1" applyNumberFormat="1">
      <alignment horizontal="left" vertical="top" wrapText="1"/>
    </xf>
    <xf numFmtId="49" fontId="89" fillId="0" borderId="18" xfId="0" applyFont="1" applyBorder="1" applyNumberFormat="1">
      <alignment horizontal="center" vertical="center" wrapText="1"/>
    </xf>
    <xf numFmtId="49" fontId="89" fillId="0" borderId="24" xfId="0" applyFont="1" applyBorder="1" applyNumberFormat="1">
      <alignment horizontal="center" vertical="center" wrapText="1"/>
    </xf>
    <xf numFmtId="0" fontId="89" fillId="0" borderId="18" xfId="0" applyFont="1" applyBorder="1" applyNumberFormat="1">
      <alignment horizontal="center" vertical="center" wrapText="1"/>
    </xf>
    <xf numFmtId="49" fontId="93" fillId="0" borderId="37" xfId="0" applyFont="1" applyBorder="1" applyNumberFormat="1">
      <alignment horizontal="left" vertical="top" wrapText="1"/>
    </xf>
    <xf numFmtId="0" fontId="93" fillId="0" borderId="37" xfId="0" applyFont="1" applyBorder="1" applyNumberFormat="1">
      <alignment horizontal="left" vertical="top" wrapText="1"/>
    </xf>
    <xf numFmtId="49" fontId="93" fillId="0" borderId="0" xfId="0" applyFont="1" applyNumberFormat="1">
      <alignment horizontal="left" vertical="top" wrapText="1"/>
    </xf>
    <xf numFmtId="49" fontId="93" fillId="42" borderId="0" xfId="0" applyFont="1" applyFill="1" applyNumberFormat="1">
      <alignment horizontal="left" vertical="top" wrapText="1"/>
    </xf>
    <xf numFmtId="0" fontId="93" fillId="0" borderId="0" xfId="0" applyFont="1" applyNumberFormat="1">
      <alignment vertical="top" wrapText="1"/>
    </xf>
    <xf numFmtId="0" fontId="30" fillId="0" borderId="20" xfId="0" applyFont="1" applyBorder="1" applyNumberFormat="1">
      <alignment horizontal="left" vertical="center" wrapText="1" indent="1"/>
    </xf>
    <xf numFmtId="0" fontId="30" fillId="0" borderId="28" xfId="0" applyFont="1" applyBorder="1" applyNumberFormat="1">
      <alignment horizontal="left" vertical="center" wrapText="1" inden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3" xfId="0" applyFont="1" applyBorder="1" applyNumberFormat="1">
      <alignment horizontal="center" vertical="center" wrapText="1"/>
    </xf>
    <xf numFmtId="0" fontId="78" fillId="36" borderId="20" xfId="0" applyFont="1" applyFill="1" applyBorder="1" applyNumberFormat="1">
      <alignment horizontal="center" vertical="center" wrapText="1"/>
    </xf>
    <xf numFmtId="0" fontId="22" fillId="36" borderId="13" xfId="0" applyFont="1" applyFill="1" applyBorder="1" applyNumberFormat="1">
      <alignment horizontal="left" vertical="center" wrapText="1"/>
    </xf>
    <xf numFmtId="4" fontId="22" fillId="35" borderId="13" xfId="0" applyFont="1" applyFill="1" applyBorder="1" applyNumberFormat="1">
      <alignment horizontal="left" vertical="center" wrapText="1"/>
    </xf>
    <xf numFmtId="0" fontId="22" fillId="0" borderId="0" xfId="0" applyFont="1" applyNumberFormat="1">
      <alignment horizontal="center" vertical="center" wrapText="1"/>
    </xf>
    <xf numFmtId="0" fontId="46" fillId="0" borderId="0" xfId="0" applyFont="1" applyNumberFormat="1">
      <alignment horizontal="center" vertical="center" wrapText="1"/>
    </xf>
    <xf numFmtId="49" fontId="22" fillId="0" borderId="13" xfId="0" applyFont="1" applyBorder="1" applyNumberFormat="1">
      <alignment horizontal="left" vertical="center" wrapText="1"/>
    </xf>
    <xf numFmtId="49" fontId="99" fillId="38" borderId="15" xfId="0" applyFont="1" applyFill="1" applyBorder="1" applyNumberFormat="1">
      <alignment horizontal="left" vertical="center"/>
    </xf>
    <xf numFmtId="49" fontId="107" fillId="38" borderId="16" xfId="0" applyFont="1" applyFill="1" applyBorder="1" applyNumberFormat="1">
      <alignment horizontal="left" vertical="center" indent="3"/>
    </xf>
    <xf numFmtId="49" fontId="70" fillId="38" borderId="16" xfId="0" applyFont="1" applyFill="1" applyBorder="1" applyNumberFormat="1">
      <alignment horizontal="center" vertical="center" wrapText="1"/>
    </xf>
    <xf numFmtId="49" fontId="65" fillId="38" borderId="16" xfId="0" applyFont="1" applyFill="1" applyBorder="1" applyNumberFormat="1">
      <alignment horizontal="center" vertical="center" wrapText="1"/>
    </xf>
    <xf numFmtId="49" fontId="65" fillId="38" borderId="14" xfId="0" applyFont="1" applyFill="1" applyBorder="1" applyNumberFormat="1">
      <alignment horizontal="center" vertical="center" wrapText="1"/>
    </xf>
    <xf numFmtId="49" fontId="45" fillId="0" borderId="0" xfId="0" applyFont="1" applyNumberFormat="1">
      <alignment horizontal="left" vertical="center"/>
    </xf>
    <xf numFmtId="49" fontId="31" fillId="0" borderId="0" xfId="0" applyFont="1" applyNumberFormat="1">
      <alignment vertical="top"/>
    </xf>
    <xf numFmtId="49" fontId="0" fillId="0" borderId="25" xfId="0" applyFont="1" applyBorder="1" applyNumberFormat="1">
      <alignment vertical="top"/>
    </xf>
    <xf numFmtId="49" fontId="107" fillId="38" borderId="16" xfId="0" applyFont="1" applyFill="1" applyBorder="1" applyNumberFormat="1">
      <alignment horizontal="left" vertical="center" indent="2"/>
    </xf>
    <xf numFmtId="49" fontId="107" fillId="38" borderId="16" xfId="0" applyFont="1" applyFill="1" applyBorder="1" applyNumberFormat="1">
      <alignment horizontal="left" vertical="center" indent="1"/>
    </xf>
    <xf numFmtId="49" fontId="45" fillId="0" borderId="0" xfId="0" applyFont="1" applyNumberFormat="1">
      <alignment horizontal="left" vertical="center"/>
    </xf>
    <xf numFmtId="49" fontId="45" fillId="0" borderId="0" xfId="0" applyFont="1" applyNumberFormat="1">
      <alignment horizontal="left" vertical="top"/>
    </xf>
    <xf numFmtId="49" fontId="65" fillId="38" borderId="15" xfId="0" applyFont="1" applyFill="1" applyBorder="1" applyNumberFormat="1">
      <alignment horizontal="left" vertical="top"/>
    </xf>
    <xf numFmtId="49" fontId="107" fillId="38" borderId="16" xfId="0" applyFont="1" applyFill="1" applyBorder="1" applyNumberFormat="1">
      <alignment horizontal="left" vertical="center"/>
    </xf>
    <xf numFmtId="49" fontId="46"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53" borderId="18" xfId="0" applyFont="1" applyFill="1" applyBorder="1" applyNumberFormat="1">
      <alignment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0" borderId="15" xfId="0" applyFont="1" applyBorder="1" applyNumberFormat="1">
      <alignment vertical="top"/>
    </xf>
    <xf numFmtId="49" fontId="0" fillId="54"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0" borderId="16" xfId="0" applyFont="1" applyBorder="1" applyNumberFormat="1">
      <alignment horizontal="center" vertical="top"/>
    </xf>
    <xf numFmtId="49" fontId="0" fillId="55"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49" fontId="0" fillId="36" borderId="0" xfId="0" applyFont="1" applyFill="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49" fontId="22" fillId="35" borderId="11" xfId="0" applyFont="1" applyFill="1" applyBorder="1" applyNumberFormat="1">
      <alignment horizontal="center" vertical="top"/>
    </xf>
    <xf numFmtId="49" fontId="37" fillId="0" borderId="12" xfId="0" applyFont="1" applyBorder="1" applyNumberFormat="1">
      <alignment vertical="top" wrapText="1"/>
    </xf>
    <xf numFmtId="0" fontId="0" fillId="0" borderId="12" xfId="0" applyFont="1" applyBorder="1" applyNumberFormat="1">
      <alignment vertical="top" wrapText="1"/>
    </xf>
    <xf numFmtId="0" fontId="30"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48" fillId="0" borderId="12" xfId="0" applyFont="1" applyBorder="1" applyNumberFormat="1">
      <alignment vertical="center" wrapText="1"/>
    </xf>
    <xf numFmtId="0" fontId="30" fillId="0" borderId="0" xfId="0" applyFont="1" applyNumberFormat="1">
      <alignment vertical="top" wrapText="1"/>
    </xf>
    <xf numFmtId="0" fontId="22" fillId="0" borderId="12" xfId="0" applyFont="1" applyBorder="1" applyNumberFormat="1">
      <alignment vertical="center" wrapText="1"/>
    </xf>
  </cellXfs>
  <cellStyles count="7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Normal1" xfId="56"/>
    <cellStyle name="Normal2" xfId="52"/>
    <cellStyle name="Percent1" xfId="52"/>
    <cellStyle name="Обычный 10" xfId="57"/>
    <cellStyle name="Обычный 16" xfId="58"/>
    <cellStyle name="Обычный 2" xfId="59"/>
    <cellStyle name="Обычный_BALANCE.WARM.2007YEAR(FACT)" xfId="60"/>
    <cellStyle name="Обычный_PRIL1.ELECTR" xfId="60"/>
    <cellStyle name="Открывавшаяся гиперссылка" xfId="6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9716</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b06e2e7-77b0-4897-b534-c34f22742186" TargetMode="External"/><Relationship Id="rId2" Type="http://schemas.openxmlformats.org/officeDocument/2006/relationships/hyperlink" Target="https://portal.eias.ru/Portal/DownloadPage.aspx?type=12&amp;guid=1b06e2e7-77b0-4897-b534-c34f22742186" TargetMode="External"/><Relationship Id="rId3" Type="http://schemas.openxmlformats.org/officeDocument/2006/relationships/hyperlink" Target="https://portal.eias.ru/Portal/DownloadPage.aspx?type=12&amp;guid=1b06e2e7-77b0-4897-b534-c34f2274218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B4A77-A98E-E90F-E704-7ABB0AB6AC0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188" width="5.421875" customWidth="1"/>
    <col min="2" max="2" style="10188" width="9.140625" customWidth="1"/>
    <col min="3" max="3" style="10188" width="16.421875" customWidth="1"/>
    <col min="4" max="25" style="10188" width="6.28125" customWidth="1"/>
    <col min="26" max="28" style="10188" width="11.00390625"/>
  </cols>
  <sheetData>
    <row customHeight="1" ht="15.75">
      <c r="A1" s="1796"/>
      <c r="B1" s="1797"/>
      <c r="C1" s="1797"/>
      <c r="D1" s="1797"/>
      <c r="E1" s="1797"/>
      <c r="F1" s="1797"/>
      <c r="G1" s="1797"/>
      <c r="H1" s="1797"/>
      <c r="I1" s="1797"/>
      <c r="J1" s="1797"/>
      <c r="K1" s="1797"/>
      <c r="L1" s="1797"/>
      <c r="M1" s="1797"/>
      <c r="N1" s="1797"/>
      <c r="O1" s="1797"/>
      <c r="P1" s="1797"/>
      <c r="Q1" s="1797"/>
      <c r="R1" s="1797"/>
      <c r="S1" s="1797"/>
      <c r="T1" s="1797"/>
      <c r="U1" s="1797"/>
      <c r="V1" s="1797"/>
      <c r="W1" s="1797"/>
      <c r="X1" s="1797"/>
      <c r="Y1" s="1798"/>
      <c r="Z1" s="1797"/>
      <c r="AA1" s="1799" t="s">
        <v>0</v>
      </c>
      <c r="AB1" s="1797"/>
    </row>
    <row customHeight="1" ht="17.25">
      <c r="A2" s="1797"/>
      <c r="B2" s="2950" t="s">
        <v>1</v>
      </c>
      <c r="C2" s="2950"/>
      <c r="D2" s="2950"/>
      <c r="E2" s="2950"/>
      <c r="F2" s="2950"/>
      <c r="G2" s="2950"/>
      <c r="H2" s="2950"/>
      <c r="I2" s="2950"/>
      <c r="J2" s="2950"/>
      <c r="K2" s="2950"/>
      <c r="L2" s="2950"/>
      <c r="M2" s="2950"/>
      <c r="N2" s="2950"/>
      <c r="O2" s="2950"/>
      <c r="P2" s="2950"/>
      <c r="Q2" s="1801"/>
      <c r="R2" s="1801"/>
      <c r="S2" s="1801"/>
      <c r="T2" s="1801"/>
      <c r="U2" s="1801"/>
      <c r="V2" s="1802"/>
      <c r="W2" s="1801"/>
      <c r="X2" s="1801"/>
      <c r="Y2" s="1798"/>
      <c r="Z2" s="1797"/>
      <c r="AA2" s="1799"/>
      <c r="AB2" s="1797"/>
    </row>
    <row customHeight="1" ht="15.75">
      <c r="A3" s="1797"/>
      <c r="B3" s="2951" t="s">
        <v>2</v>
      </c>
      <c r="C3" s="2951"/>
      <c r="D3" s="2951"/>
      <c r="E3" s="2951"/>
      <c r="F3" s="2951"/>
      <c r="G3" s="2951"/>
      <c r="H3" s="2951"/>
      <c r="I3" s="2951"/>
      <c r="J3" s="2951"/>
      <c r="K3" s="2951"/>
      <c r="L3" s="2951"/>
      <c r="M3" s="2951"/>
      <c r="N3" s="2951"/>
      <c r="O3" s="2951"/>
      <c r="P3" s="2951"/>
      <c r="Q3" s="1802"/>
      <c r="R3" s="1802"/>
      <c r="S3" s="1801"/>
      <c r="T3" s="1801"/>
      <c r="U3" s="1801"/>
      <c r="V3" s="1802"/>
      <c r="W3" s="1802"/>
      <c r="X3" s="1802"/>
      <c r="Y3" s="1802"/>
      <c r="Z3" s="1797"/>
      <c r="AA3" s="1799"/>
      <c r="AB3" s="1797"/>
    </row>
    <row customHeight="1" ht="17.25">
      <c r="A4" s="1797"/>
      <c r="B4" s="1803"/>
      <c r="C4" s="1797"/>
      <c r="D4" s="1802"/>
      <c r="E4" s="1802"/>
      <c r="F4" s="1802"/>
      <c r="G4" s="1802"/>
      <c r="H4" s="1802"/>
      <c r="I4" s="1802"/>
      <c r="J4" s="1802"/>
      <c r="K4" s="1802"/>
      <c r="L4" s="1802"/>
      <c r="M4" s="1802"/>
      <c r="N4" s="1802"/>
      <c r="O4" s="1802"/>
      <c r="P4" s="1802"/>
      <c r="Q4" s="1802"/>
      <c r="R4" s="1802"/>
      <c r="S4" s="1802"/>
      <c r="T4" s="1802"/>
      <c r="U4" s="1802"/>
      <c r="V4" s="1802"/>
      <c r="W4" s="1802"/>
      <c r="X4" s="1802"/>
      <c r="Y4" s="1802"/>
      <c r="Z4" s="1797"/>
      <c r="AA4" s="1799"/>
      <c r="AB4" s="1797"/>
    </row>
    <row customHeight="1" ht="22.5">
      <c r="A5" s="1804"/>
      <c r="B5" s="295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953"/>
      <c r="D5" s="2953"/>
      <c r="E5" s="2953"/>
      <c r="F5" s="2953"/>
      <c r="G5" s="2953"/>
      <c r="H5" s="2953"/>
      <c r="I5" s="2953"/>
      <c r="J5" s="2953"/>
      <c r="K5" s="2953"/>
      <c r="L5" s="2953"/>
      <c r="M5" s="2953"/>
      <c r="N5" s="2953"/>
      <c r="O5" s="2953"/>
      <c r="P5" s="2953"/>
      <c r="Q5" s="2953"/>
      <c r="R5" s="2953"/>
      <c r="S5" s="2953"/>
      <c r="T5" s="2953"/>
      <c r="U5" s="2953"/>
      <c r="V5" s="2953"/>
      <c r="W5" s="2953"/>
      <c r="X5" s="2953"/>
      <c r="Y5" s="2954"/>
      <c r="Z5" s="1804"/>
      <c r="AA5" s="1799"/>
      <c r="AB5" s="1804"/>
    </row>
    <row customHeight="1" ht="15">
      <c r="A6" s="1805"/>
      <c r="B6" s="2942" t="s">
        <v>3</v>
      </c>
      <c r="C6" s="2945"/>
      <c r="D6" s="1806"/>
      <c r="E6" s="1806"/>
      <c r="F6" s="1806"/>
      <c r="G6" s="1806"/>
      <c r="H6" s="1806"/>
      <c r="I6" s="1806"/>
      <c r="J6" s="1806"/>
      <c r="K6" s="1806"/>
      <c r="L6" s="1806"/>
      <c r="M6" s="1806"/>
      <c r="N6" s="1806"/>
      <c r="O6" s="1806"/>
      <c r="P6" s="1806"/>
      <c r="Q6" s="1806"/>
      <c r="R6" s="1806"/>
      <c r="S6" s="1806"/>
      <c r="T6" s="1806"/>
      <c r="U6" s="1806"/>
      <c r="V6" s="1806"/>
      <c r="W6" s="1806"/>
      <c r="X6" s="1806"/>
      <c r="Y6" s="1807"/>
      <c r="Z6" s="1808"/>
      <c r="AA6" s="1809"/>
      <c r="AB6" s="1809"/>
    </row>
    <row customHeight="1" ht="15">
      <c r="A7" s="1805"/>
      <c r="B7" s="2942"/>
      <c r="C7" s="2945"/>
      <c r="D7" s="1806"/>
      <c r="E7" s="1806"/>
      <c r="F7" s="1810"/>
      <c r="G7" s="1810"/>
      <c r="H7" s="1810"/>
      <c r="I7" s="1810"/>
      <c r="J7" s="1810"/>
      <c r="K7" s="1810"/>
      <c r="L7" s="1810"/>
      <c r="M7" s="1810"/>
      <c r="N7" s="1810"/>
      <c r="O7" s="1806"/>
      <c r="P7" s="1810"/>
      <c r="Q7" s="1810"/>
      <c r="R7" s="1810"/>
      <c r="S7" s="1810"/>
      <c r="T7" s="1810"/>
      <c r="U7" s="1810"/>
      <c r="V7" s="1810"/>
      <c r="W7" s="1810"/>
      <c r="X7" s="1810"/>
      <c r="Y7" s="1807"/>
      <c r="Z7" s="1808"/>
      <c r="AA7" s="1809"/>
      <c r="AB7" s="1809"/>
    </row>
    <row customHeight="1" ht="15">
      <c r="A8" s="1805"/>
      <c r="B8" s="2942"/>
      <c r="C8" s="2945"/>
      <c r="D8" s="1811"/>
      <c r="E8" s="1812" t="s">
        <v>4</v>
      </c>
      <c r="F8" s="2955" t="s">
        <v>5</v>
      </c>
      <c r="G8" s="2944"/>
      <c r="H8" s="2944"/>
      <c r="I8" s="2944"/>
      <c r="J8" s="2944"/>
      <c r="K8" s="2944"/>
      <c r="L8" s="2944"/>
      <c r="M8" s="2944"/>
      <c r="N8" s="1811"/>
      <c r="O8" s="1813" t="s">
        <v>4</v>
      </c>
      <c r="P8" s="2956" t="s">
        <v>6</v>
      </c>
      <c r="Q8" s="2957"/>
      <c r="R8" s="2957"/>
      <c r="S8" s="2957"/>
      <c r="T8" s="2957"/>
      <c r="U8" s="2957"/>
      <c r="V8" s="2957"/>
      <c r="W8" s="2957"/>
      <c r="X8" s="2957"/>
      <c r="Y8" s="1807"/>
      <c r="Z8" s="1808"/>
      <c r="AA8" s="1809"/>
      <c r="AB8" s="1809"/>
    </row>
    <row customHeight="1" ht="15">
      <c r="A9" s="1805"/>
      <c r="B9" s="2942"/>
      <c r="C9" s="2945"/>
      <c r="D9" s="1811"/>
      <c r="E9" s="1814" t="s">
        <v>4</v>
      </c>
      <c r="F9" s="2955" t="s">
        <v>7</v>
      </c>
      <c r="G9" s="2944"/>
      <c r="H9" s="2944"/>
      <c r="I9" s="2944"/>
      <c r="J9" s="2944"/>
      <c r="K9" s="2944"/>
      <c r="L9" s="2944"/>
      <c r="M9" s="2944"/>
      <c r="N9" s="1811"/>
      <c r="O9" s="1815" t="s">
        <v>4</v>
      </c>
      <c r="P9" s="2956" t="s">
        <v>8</v>
      </c>
      <c r="Q9" s="2957"/>
      <c r="R9" s="2957"/>
      <c r="S9" s="2957"/>
      <c r="T9" s="2957"/>
      <c r="U9" s="2957"/>
      <c r="V9" s="2957"/>
      <c r="W9" s="2957"/>
      <c r="X9" s="2957"/>
      <c r="Y9" s="1807"/>
      <c r="Z9" s="1808"/>
      <c r="AA9" s="1809"/>
      <c r="AB9" s="1809"/>
    </row>
    <row customHeight="1" ht="30">
      <c r="A10" s="1805"/>
      <c r="B10" s="2942"/>
      <c r="C10" s="2943"/>
      <c r="D10" s="1816"/>
      <c r="E10" s="1817"/>
      <c r="F10" s="1810"/>
      <c r="G10" s="1810"/>
      <c r="H10" s="1810"/>
      <c r="I10" s="1810"/>
      <c r="J10" s="1810"/>
      <c r="K10" s="1810"/>
      <c r="L10" s="1810"/>
      <c r="M10" s="1810"/>
      <c r="N10" s="1810"/>
      <c r="O10" s="1817"/>
      <c r="P10" s="1810"/>
      <c r="Q10" s="1810"/>
      <c r="R10" s="1810"/>
      <c r="S10" s="1810"/>
      <c r="T10" s="1810"/>
      <c r="U10" s="1810"/>
      <c r="V10" s="1810"/>
      <c r="W10" s="1810"/>
      <c r="X10" s="1810"/>
      <c r="Y10" s="1807"/>
      <c r="Z10" s="1808"/>
      <c r="AA10" s="1809"/>
      <c r="AB10" s="1809"/>
    </row>
    <row customHeight="1" ht="19.5">
      <c r="A11" s="1805"/>
      <c r="B11" s="173" t="s">
        <v>9</v>
      </c>
      <c r="C11" s="2941"/>
      <c r="D11" s="1811"/>
      <c r="E11" s="1818"/>
      <c r="F11" s="1818"/>
      <c r="G11" s="1818"/>
      <c r="H11" s="1818"/>
      <c r="I11" s="1818"/>
      <c r="J11" s="1818"/>
      <c r="K11" s="1818"/>
      <c r="L11" s="1818"/>
      <c r="M11" s="1818"/>
      <c r="N11" s="1818"/>
      <c r="O11" s="1818"/>
      <c r="P11" s="1818"/>
      <c r="Q11" s="1818"/>
      <c r="R11" s="1818"/>
      <c r="S11" s="1818"/>
      <c r="T11" s="1818"/>
      <c r="U11" s="1818"/>
      <c r="V11" s="1818"/>
      <c r="W11" s="1818"/>
      <c r="X11" s="1818"/>
      <c r="Y11" s="1807"/>
      <c r="Z11" s="1808"/>
      <c r="AA11" s="1809"/>
      <c r="AB11" s="1809"/>
    </row>
    <row customHeight="1" ht="69">
      <c r="A12" s="1805"/>
      <c r="B12" s="2942"/>
      <c r="C12" s="2943"/>
      <c r="D12" s="1819"/>
      <c r="E12" s="2944" t="s">
        <v>10</v>
      </c>
      <c r="F12" s="2944"/>
      <c r="G12" s="2944"/>
      <c r="H12" s="2944"/>
      <c r="I12" s="2944"/>
      <c r="J12" s="2944"/>
      <c r="K12" s="2944"/>
      <c r="L12" s="2944"/>
      <c r="M12" s="2944"/>
      <c r="N12" s="2944"/>
      <c r="O12" s="2944"/>
      <c r="P12" s="2944"/>
      <c r="Q12" s="2944"/>
      <c r="R12" s="2944"/>
      <c r="S12" s="2944"/>
      <c r="T12" s="2944"/>
      <c r="U12" s="2944"/>
      <c r="V12" s="2944"/>
      <c r="W12" s="2944"/>
      <c r="X12" s="2944"/>
      <c r="Y12" s="1807"/>
      <c r="Z12" s="1808"/>
      <c r="AA12" s="1809"/>
      <c r="AB12" s="1809"/>
    </row>
    <row customHeight="1" ht="15">
      <c r="A13" s="1805"/>
      <c r="B13" s="173" t="s">
        <v>11</v>
      </c>
      <c r="C13" s="2941"/>
      <c r="D13" s="1806"/>
      <c r="E13" s="1818"/>
      <c r="F13" s="1818"/>
      <c r="G13" s="1818"/>
      <c r="H13" s="1818"/>
      <c r="I13" s="1818"/>
      <c r="J13" s="1818"/>
      <c r="K13" s="1818"/>
      <c r="L13" s="1818"/>
      <c r="M13" s="1818"/>
      <c r="N13" s="1818"/>
      <c r="O13" s="1818"/>
      <c r="P13" s="1818"/>
      <c r="Q13" s="1818"/>
      <c r="R13" s="1818"/>
      <c r="S13" s="1818"/>
      <c r="T13" s="1818"/>
      <c r="U13" s="1818"/>
      <c r="V13" s="1818"/>
      <c r="W13" s="1818"/>
      <c r="X13" s="1818"/>
      <c r="Y13" s="1807"/>
      <c r="Z13" s="1808"/>
      <c r="AA13" s="1809"/>
      <c r="AB13" s="1809"/>
    </row>
    <row customHeight="1" ht="57">
      <c r="A14" s="1805"/>
      <c r="B14" s="2942"/>
      <c r="C14" s="2945"/>
      <c r="D14" s="1811"/>
      <c r="E14" s="2948" t="s">
        <v>12</v>
      </c>
      <c r="F14" s="2948"/>
      <c r="G14" s="2948"/>
      <c r="H14" s="2948"/>
      <c r="I14" s="2948"/>
      <c r="J14" s="2948"/>
      <c r="K14" s="2948"/>
      <c r="L14" s="2948"/>
      <c r="M14" s="2948"/>
      <c r="N14" s="2948"/>
      <c r="O14" s="2948"/>
      <c r="P14" s="2948"/>
      <c r="Q14" s="2948"/>
      <c r="R14" s="2948"/>
      <c r="S14" s="2948"/>
      <c r="T14" s="2948"/>
      <c r="U14" s="2948"/>
      <c r="V14" s="2948"/>
      <c r="W14" s="2948"/>
      <c r="X14" s="2948"/>
      <c r="Y14" s="1807"/>
      <c r="Z14" s="1808"/>
      <c r="AA14" s="1809"/>
      <c r="AB14" s="1809"/>
    </row>
    <row customHeight="1" ht="16.5">
      <c r="A15" s="1805"/>
      <c r="B15" s="2946"/>
      <c r="C15" s="2947"/>
      <c r="D15" s="1820"/>
      <c r="E15" s="1821"/>
      <c r="F15" s="1821"/>
      <c r="G15" s="1821"/>
      <c r="H15" s="1821"/>
      <c r="I15" s="1821"/>
      <c r="J15" s="1821"/>
      <c r="K15" s="1821"/>
      <c r="L15" s="1821"/>
      <c r="M15" s="1821"/>
      <c r="N15" s="1821"/>
      <c r="O15" s="1821"/>
      <c r="P15" s="1821"/>
      <c r="Q15" s="1821"/>
      <c r="R15" s="1821"/>
      <c r="S15" s="1821"/>
      <c r="T15" s="1821"/>
      <c r="U15" s="1821"/>
      <c r="V15" s="1821"/>
      <c r="W15" s="1821"/>
      <c r="X15" s="1821"/>
      <c r="Y15" s="1822"/>
      <c r="Z15" s="1808"/>
      <c r="AA15" s="1823"/>
      <c r="AB15" s="1809"/>
    </row>
    <row customHeight="1" ht="95.25">
      <c r="A16" s="1797"/>
      <c r="B16" s="2948"/>
      <c r="C16" s="2949"/>
      <c r="D16" s="2949"/>
      <c r="E16" s="2949"/>
      <c r="F16" s="2949"/>
      <c r="G16" s="2949"/>
      <c r="H16" s="2949"/>
      <c r="I16" s="2949"/>
      <c r="J16" s="2949"/>
      <c r="K16" s="2949"/>
      <c r="L16" s="2949"/>
      <c r="M16" s="2949"/>
      <c r="N16" s="2949"/>
      <c r="O16" s="2949"/>
      <c r="P16" s="2949"/>
      <c r="Q16" s="2949"/>
      <c r="R16" s="2949"/>
      <c r="S16" s="2949"/>
      <c r="T16" s="2949"/>
      <c r="U16" s="2949"/>
      <c r="V16" s="2949"/>
      <c r="W16" s="2949"/>
      <c r="X16" s="2949"/>
      <c r="Y16" s="2949"/>
      <c r="Z16" s="1797"/>
      <c r="AA16" s="1799"/>
      <c r="AB16" s="1797"/>
    </row>
    <row customHeight="1" ht="14.25">
      <c r="A17" s="1797"/>
      <c r="B17" s="1797"/>
      <c r="C17" s="1797"/>
      <c r="D17" s="1797"/>
      <c r="E17" s="1797"/>
      <c r="F17" s="1797"/>
      <c r="G17" s="1797"/>
      <c r="H17" s="1797"/>
      <c r="I17" s="1797"/>
      <c r="J17" s="1797"/>
      <c r="K17" s="1797"/>
      <c r="L17" s="1797"/>
      <c r="M17" s="1797"/>
      <c r="N17" s="1797"/>
      <c r="O17" s="1797"/>
      <c r="P17" s="1797"/>
      <c r="Q17" s="1797"/>
      <c r="R17" s="1797"/>
      <c r="S17" s="1797"/>
      <c r="T17" s="1797"/>
      <c r="U17" s="1797"/>
      <c r="V17" s="1797"/>
      <c r="W17" s="1797"/>
      <c r="X17" s="1797"/>
      <c r="Y17" s="1798"/>
      <c r="Z17" s="1797"/>
      <c r="AA17" s="1799"/>
      <c r="AB17" s="1797"/>
    </row>
    <row customHeight="1" ht="14.25">
      <c r="A18" s="1797"/>
      <c r="B18" s="1797"/>
      <c r="C18" s="1797"/>
      <c r="D18" s="1797"/>
      <c r="E18" s="1797"/>
      <c r="F18" s="1797"/>
      <c r="G18" s="1797"/>
      <c r="H18" s="1797"/>
      <c r="I18" s="1797"/>
      <c r="J18" s="1797"/>
      <c r="K18" s="1797"/>
      <c r="L18" s="1797"/>
      <c r="M18" s="1797"/>
      <c r="N18" s="1797"/>
      <c r="O18" s="1797"/>
      <c r="P18" s="1797"/>
      <c r="Q18" s="1797"/>
      <c r="R18" s="1797"/>
      <c r="S18" s="1797"/>
      <c r="T18" s="1797"/>
      <c r="U18" s="1797"/>
      <c r="V18" s="1797"/>
      <c r="W18" s="1797"/>
      <c r="X18" s="1797"/>
      <c r="Y18" s="1798"/>
      <c r="Z18" s="1797"/>
      <c r="AA18" s="1799"/>
      <c r="AB18" s="1797"/>
    </row>
    <row customHeight="1" ht="14.25">
      <c r="A19" s="1797"/>
      <c r="B19" s="1797"/>
      <c r="C19" s="1797"/>
      <c r="D19" s="1797"/>
      <c r="E19" s="1797"/>
      <c r="F19" s="1797"/>
      <c r="G19" s="1797"/>
      <c r="H19" s="1797"/>
      <c r="I19" s="1797"/>
      <c r="J19" s="1797"/>
      <c r="K19" s="1797"/>
      <c r="L19" s="1797"/>
      <c r="M19" s="1797"/>
      <c r="N19" s="1797"/>
      <c r="O19" s="1797"/>
      <c r="P19" s="1797"/>
      <c r="Q19" s="1797"/>
      <c r="R19" s="1797"/>
      <c r="S19" s="1797"/>
      <c r="T19" s="1797"/>
      <c r="U19" s="1797"/>
      <c r="V19" s="1797"/>
      <c r="W19" s="1797"/>
      <c r="X19" s="1797"/>
      <c r="Y19" s="1798"/>
      <c r="Z19" s="1797"/>
      <c r="AA19" s="1799"/>
      <c r="AB19" s="1797"/>
    </row>
    <row customHeight="1" ht="14.25">
      <c r="A20" s="1797"/>
      <c r="B20" s="1797"/>
      <c r="C20" s="1797"/>
      <c r="D20" s="1797"/>
      <c r="E20" s="1797"/>
      <c r="F20" s="1797"/>
      <c r="G20" s="1797"/>
      <c r="H20" s="1797"/>
      <c r="I20" s="1797"/>
      <c r="J20" s="1797"/>
      <c r="K20" s="1797"/>
      <c r="L20" s="1797"/>
      <c r="M20" s="1797"/>
      <c r="N20" s="1797"/>
      <c r="O20" s="1797"/>
      <c r="P20" s="1797"/>
      <c r="Q20" s="1797"/>
      <c r="R20" s="1797"/>
      <c r="S20" s="1797"/>
      <c r="T20" s="1797"/>
      <c r="U20" s="1797"/>
      <c r="V20" s="1797"/>
      <c r="W20" s="1797"/>
      <c r="X20" s="1797"/>
      <c r="Y20" s="1798"/>
      <c r="Z20" s="1797"/>
      <c r="AA20" s="1799"/>
      <c r="AB20" s="1797"/>
    </row>
    <row customHeight="1" ht="14.25">
      <c r="A21" s="1797"/>
      <c r="B21" s="1797"/>
      <c r="C21" s="1797"/>
      <c r="D21" s="1797"/>
      <c r="E21" s="1797"/>
      <c r="F21" s="1797"/>
      <c r="G21" s="1797"/>
      <c r="H21" s="1797"/>
      <c r="I21" s="1797"/>
      <c r="J21" s="1797"/>
      <c r="K21" s="1797"/>
      <c r="L21" s="1797"/>
      <c r="M21" s="1797"/>
      <c r="N21" s="1797"/>
      <c r="O21" s="1797"/>
      <c r="P21" s="1797"/>
      <c r="Q21" s="1797"/>
      <c r="R21" s="1797"/>
      <c r="S21" s="1797"/>
      <c r="T21" s="1797"/>
      <c r="U21" s="1797"/>
      <c r="V21" s="1797"/>
      <c r="W21" s="1797"/>
      <c r="X21" s="1797"/>
      <c r="Y21" s="1798"/>
      <c r="Z21" s="1797"/>
      <c r="AA21" s="1799"/>
      <c r="AB21" s="1797"/>
    </row>
  </sheetData>
  <sheetProtection formatColumns="0" formatRows="0" autoFilter="0" sort="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79215E-D4B5-A851-5387-B89B18DF33F6}" mc:Ignorable="x14ac xr xr2 xr3">
  <sheetPr>
    <tabColor rgb="FFCCCCFF"/>
  </sheetPr>
  <dimension ref="A1:Q79"/>
  <sheetViews>
    <sheetView topLeftCell="A1" showGridLines="0" zoomScale="90" workbookViewId="0">
      <selection activeCell="I59" sqref="I59"/>
    </sheetView>
  </sheetViews>
  <sheetFormatPr defaultColWidth="9.140625" customHeight="1" defaultRowHeight="11.25"/>
  <cols>
    <col min="1" max="1" style="10301" width="10.7109375" hidden="1" customWidth="1"/>
    <col min="2" max="2" style="10302" width="10.7109375" hidden="1" customWidth="1"/>
    <col min="3" max="3" style="10303" width="3.00390625" customWidth="1"/>
    <col min="4" max="4" style="10232" width="1.00390625" customWidth="1"/>
    <col min="5" max="6" style="10232" width="55.00390625" customWidth="1"/>
    <col min="7" max="7" style="10304" width="1.00390625" customWidth="1"/>
    <col min="8" max="8" style="10232" width="18.00390625" hidden="1" customWidth="1"/>
    <col min="9" max="9" style="10305" width="59.00390625" customWidth="1"/>
    <col min="10" max="10" style="10306" width="52.140625" hidden="1" customWidth="1"/>
    <col min="11" max="11" style="10232" width="8.00390625" customWidth="1"/>
    <col min="12" max="12" style="10232" width="77.00390625" customWidth="1"/>
    <col min="13" max="16" style="10232" width="8.00390625" customWidth="1"/>
    <col min="17" max="17" style="10232" width="12.00390625" hidden="1" customWidth="1"/>
  </cols>
  <sheetData>
    <row s="10189" customFormat="1" customHeight="1" ht="3">
      <c r="A1" s="884"/>
      <c r="B1" s="349"/>
      <c r="F1" s="350" t="s">
        <v>13</v>
      </c>
      <c r="G1" s="518"/>
      <c r="H1" s="182"/>
      <c r="I1" s="518"/>
      <c r="J1" s="972"/>
      <c r="Q1" s="350" t="s">
        <v>14</v>
      </c>
    </row>
    <row s="10196" customFormat="1" customHeight="1" ht="14.25">
      <c r="A2" s="884"/>
      <c r="B2" s="209"/>
      <c r="E2" s="1836" t="str">
        <f>code</f>
        <v>Код отчёта: PP110.OPEN.INFO.BALANCE.HEAT.EIAS</v>
      </c>
      <c r="F2" s="377"/>
      <c r="G2" s="353"/>
      <c r="H2" s="353"/>
      <c r="I2" s="353"/>
      <c r="J2" s="973"/>
      <c r="K2" s="353"/>
      <c r="Q2" s="182">
        <v>14</v>
      </c>
    </row>
    <row customHeight="1" ht="14.699999999999998">
      <c r="E3" s="354" t="str">
        <f>version</f>
        <v>Версия отчёта: 1.1.4</v>
      </c>
      <c r="F3" s="377"/>
      <c r="G3" s="872"/>
      <c r="H3" s="872"/>
      <c r="I3" s="872"/>
      <c r="J3" s="974"/>
      <c r="K3" s="199"/>
      <c r="Q3" s="185">
        <v>14</v>
      </c>
    </row>
    <row s="10207" customFormat="1" customHeight="1" ht="6.3">
      <c r="A4" s="885"/>
      <c r="B4" s="340"/>
      <c r="C4" s="341"/>
      <c r="D4" s="342"/>
      <c r="E4" s="351"/>
      <c r="F4" s="352"/>
      <c r="G4" s="873"/>
      <c r="H4" s="516"/>
      <c r="I4" s="518"/>
      <c r="J4" s="975"/>
      <c r="Q4" s="344">
        <v>6</v>
      </c>
    </row>
    <row customHeight="1" ht="39.75">
      <c r="D5" s="186"/>
      <c r="E5" s="295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959"/>
      <c r="G5" s="874"/>
      <c r="J5" s="976"/>
      <c r="Q5" s="185">
        <v>38</v>
      </c>
    </row>
    <row s="10207" customFormat="1" customHeight="1" ht="6.3">
      <c r="A6" s="885"/>
      <c r="B6" s="340"/>
      <c r="C6" s="341"/>
      <c r="D6" s="342"/>
      <c r="E6" s="345"/>
      <c r="F6" s="346"/>
      <c r="G6" s="874"/>
      <c r="H6" s="516"/>
      <c r="I6" s="518"/>
      <c r="J6" s="975"/>
      <c r="Q6" s="344">
        <v>6</v>
      </c>
    </row>
    <row customHeight="1" ht="21">
      <c r="D7" s="186"/>
      <c r="E7" s="498" t="s">
        <v>15</v>
      </c>
      <c r="F7" s="323" t="s">
        <v>16</v>
      </c>
      <c r="G7" s="874"/>
      <c r="Q7" s="185">
        <v>20</v>
      </c>
    </row>
    <row s="10207" customFormat="1" customHeight="1" ht="6.3">
      <c r="A8" s="886"/>
      <c r="B8" s="340"/>
      <c r="C8" s="341"/>
      <c r="D8" s="347"/>
      <c r="E8" s="345"/>
      <c r="F8" s="348"/>
      <c r="G8" s="188"/>
      <c r="H8" s="516"/>
      <c r="I8" s="518"/>
      <c r="J8" s="978"/>
      <c r="Q8" s="344">
        <v>6</v>
      </c>
    </row>
    <row s="10232" customFormat="1" customHeight="1" ht="19.5" hidden="1">
      <c r="A9" s="885"/>
      <c r="B9" s="209"/>
      <c r="C9" s="515"/>
      <c r="D9" s="517"/>
      <c r="E9" s="1261" t="s">
        <v>17</v>
      </c>
      <c r="F9" s="2015"/>
      <c r="G9" s="874"/>
      <c r="I9" s="1994" t="str">
        <f>IF(TITLE_STRUCTURE_INFO_ROIV="","","раскрывается "&amp;INDEX(ROIV_INFO_COMMENT,MATCH(TITLE_STRUCTURE_INFO_ROIV,ROIV_INFO_LIST,0)))</f>
        <v/>
      </c>
      <c r="J9" s="977"/>
      <c r="Q9" s="516">
        <v>0</v>
      </c>
    </row>
    <row s="10207" customFormat="1" customHeight="1" ht="24" hidden="1">
      <c r="A10" s="886"/>
      <c r="B10" s="533"/>
      <c r="C10" s="534"/>
      <c r="D10" s="347"/>
      <c r="E10" s="1261" t="s">
        <v>18</v>
      </c>
      <c r="F10" s="2157" t="s">
        <v>19</v>
      </c>
      <c r="G10" s="188"/>
      <c r="H10" s="516"/>
      <c r="I10" s="518"/>
      <c r="J10" s="978"/>
      <c r="Q10" s="537">
        <v>24</v>
      </c>
    </row>
    <row customHeight="1" ht="22.5" hidden="1">
      <c r="A11" s="2961" t="s">
        <v>20</v>
      </c>
      <c r="D11" s="186"/>
      <c r="E11" s="1261" t="s">
        <v>21</v>
      </c>
      <c r="F11" s="1828" t="s">
        <v>22</v>
      </c>
      <c r="G11" s="188"/>
      <c r="H11" s="875" t="s">
        <v>23</v>
      </c>
      <c r="J11" s="977" t="s">
        <v>24</v>
      </c>
      <c r="Q11" s="185">
        <v>0</v>
      </c>
    </row>
    <row customHeight="1" ht="22.5" hidden="1">
      <c r="A12" s="2961"/>
      <c r="D12" s="186"/>
      <c r="E12" s="1261" t="s">
        <v>25</v>
      </c>
      <c r="F12" s="1828"/>
      <c r="G12" s="184"/>
      <c r="J12" s="977" t="s">
        <v>26</v>
      </c>
      <c r="Q12" s="185">
        <v>0</v>
      </c>
    </row>
    <row s="10232" customFormat="1" customHeight="1" ht="22.5" hidden="1">
      <c r="A13" s="889" t="s">
        <v>27</v>
      </c>
      <c r="B13" s="209"/>
      <c r="C13" s="515"/>
      <c r="D13" s="517"/>
      <c r="E13" s="1870" t="s">
        <v>28</v>
      </c>
      <c r="F13" s="1828" t="s">
        <v>22</v>
      </c>
      <c r="G13" s="188"/>
      <c r="H13" s="872"/>
      <c r="I13" s="518"/>
      <c r="J13" s="1871" t="s">
        <v>29</v>
      </c>
      <c r="Q13" s="516">
        <v>0</v>
      </c>
    </row>
    <row s="10232" customFormat="1" customHeight="1" ht="27">
      <c r="A14" s="889" t="s">
        <v>30</v>
      </c>
      <c r="B14" s="209"/>
      <c r="C14" s="515"/>
      <c r="D14" s="517"/>
      <c r="E14" s="1261" t="s">
        <v>31</v>
      </c>
      <c r="F14" s="1863">
        <v>2023</v>
      </c>
      <c r="G14" s="188"/>
      <c r="H14" s="872"/>
      <c r="I14" s="518"/>
      <c r="J14" s="977" t="s">
        <v>32</v>
      </c>
      <c r="Q14" s="516">
        <v>0</v>
      </c>
    </row>
    <row s="10232" customFormat="1" customHeight="1" ht="19.5" hidden="1">
      <c r="A15" s="889" t="s">
        <v>33</v>
      </c>
      <c r="B15" s="209"/>
      <c r="C15" s="515"/>
      <c r="D15" s="517"/>
      <c r="E15" s="1261" t="s">
        <v>34</v>
      </c>
      <c r="F15" s="1863"/>
      <c r="G15" s="188"/>
      <c r="H15" s="872"/>
      <c r="I15" s="518"/>
      <c r="J15" s="977" t="s">
        <v>35</v>
      </c>
      <c r="Q15" s="516">
        <v>0</v>
      </c>
    </row>
    <row s="10207" customFormat="1" customHeight="1" ht="6.3">
      <c r="A16" s="886"/>
      <c r="B16" s="340"/>
      <c r="C16" s="341"/>
      <c r="D16" s="347"/>
      <c r="E16" s="345"/>
      <c r="F16" s="348"/>
      <c r="G16" s="188"/>
      <c r="H16" s="516"/>
      <c r="I16" s="518"/>
      <c r="J16" s="975"/>
      <c r="Q16" s="344">
        <v>6</v>
      </c>
    </row>
    <row customHeight="1" ht="21">
      <c r="D17" s="186"/>
      <c r="E17" s="498" t="s">
        <v>36</v>
      </c>
      <c r="F17" s="324" t="s">
        <v>37</v>
      </c>
      <c r="G17" s="184"/>
      <c r="H17" s="875" t="s">
        <v>23</v>
      </c>
      <c r="Q17" s="185">
        <v>20</v>
      </c>
    </row>
    <row customHeight="1" ht="25.5" hidden="1">
      <c r="D18" s="186"/>
      <c r="E18" s="1870" t="s">
        <v>38</v>
      </c>
      <c r="F18" s="1829"/>
      <c r="G18" s="184"/>
      <c r="I18" s="876"/>
      <c r="J18" s="2960" t="s">
        <v>39</v>
      </c>
      <c r="Q18" s="185">
        <v>0</v>
      </c>
    </row>
    <row customHeight="1" ht="25.5" hidden="1">
      <c r="D19" s="186"/>
      <c r="E19" s="12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9"/>
      <c r="G19" s="184"/>
      <c r="I19" s="876"/>
      <c r="J19" s="2960"/>
      <c r="Q19" s="185">
        <v>0</v>
      </c>
    </row>
    <row customHeight="1" ht="22.5" hidden="1">
      <c r="D20" s="186"/>
      <c r="E20" s="187"/>
      <c r="F20" s="378" t="str">
        <f>"Первичное "&amp;IF(TEMPLATE_GROUP="P","установление тарифов","предложение по тарифам")</f>
        <v>Первичное предложение по тарифам</v>
      </c>
      <c r="G20" s="184"/>
      <c r="I20" s="501"/>
      <c r="J20" s="976" t="s">
        <v>40</v>
      </c>
      <c r="Q20" s="185">
        <v>0</v>
      </c>
    </row>
    <row customHeight="1" ht="19.5" hidden="1">
      <c r="D21" s="186"/>
      <c r="E21" s="498" t="str">
        <f>"Дата "&amp;IF(TEMPLATE_GROUP="P","документа","подачи заявления")&amp;" об утверждении тарифов"</f>
        <v>Дата подачи заявления об утверждении тарифов</v>
      </c>
      <c r="F21" s="1828"/>
      <c r="G21" s="184"/>
      <c r="I21" s="877"/>
      <c r="Q21" s="185">
        <v>0</v>
      </c>
    </row>
    <row customHeight="1" ht="19.5" hidden="1">
      <c r="D22" s="186"/>
      <c r="E22" s="498" t="str">
        <f>"Номер "&amp;IF(TEMPLATE_GROUP="P","документа","подачи заявления")&amp;" об утверждении тарифов"</f>
        <v>Номер подачи заявления об утверждении тарифов</v>
      </c>
      <c r="F22" s="324"/>
      <c r="G22" s="184"/>
      <c r="I22" s="877"/>
      <c r="Q22" s="185">
        <v>0</v>
      </c>
    </row>
    <row customHeight="1" ht="22.5" hidden="1">
      <c r="D23" s="186"/>
      <c r="E23" s="498" t="s">
        <v>41</v>
      </c>
      <c r="F23" s="324"/>
      <c r="G23" s="184"/>
      <c r="Q23" s="185">
        <v>0</v>
      </c>
    </row>
    <row customHeight="1" ht="19.5" hidden="1">
      <c r="D24" s="186"/>
      <c r="E24" s="498" t="s">
        <v>42</v>
      </c>
      <c r="F24" s="324"/>
      <c r="G24" s="184"/>
      <c r="Q24" s="185">
        <v>0</v>
      </c>
    </row>
    <row customHeight="1" ht="22.5" hidden="1">
      <c r="D25" s="186"/>
      <c r="E25" s="187"/>
      <c r="F25" s="378" t="str">
        <f>"Изменение "&amp;IF(TEMPLATE_GROUP="P","тарифов","предложения по тарифам")</f>
        <v>Изменение предложения по тарифам</v>
      </c>
      <c r="G25" s="184"/>
      <c r="J25" s="976" t="s">
        <v>43</v>
      </c>
      <c r="Q25" s="185">
        <v>0</v>
      </c>
    </row>
    <row customHeight="1" ht="19.5" hidden="1">
      <c r="D26" s="186"/>
      <c r="E26" s="498" t="str">
        <f>"Дата "&amp;IF(TEMPLATE_GROUP="P","принятия решения","подачи заявления")&amp;" об изменении тарифов"</f>
        <v>Дата подачи заявления об изменении тарифов</v>
      </c>
      <c r="F26" s="1829"/>
      <c r="G26" s="184"/>
      <c r="Q26" s="185">
        <v>0</v>
      </c>
    </row>
    <row customHeight="1" ht="19.5" hidden="1">
      <c r="D27" s="186"/>
      <c r="E27" s="1261" t="str">
        <f>"Номер "&amp;IF(TEMPLATE_GROUP="P","принятия решения","заявления")&amp;" об изменении тарифов"</f>
        <v>Номер заявления об изменении тарифов</v>
      </c>
      <c r="F27" s="326"/>
      <c r="G27" s="184"/>
      <c r="Q27" s="185">
        <v>0</v>
      </c>
    </row>
    <row customHeight="1" ht="24.75" hidden="1">
      <c r="D28" s="186"/>
      <c r="E28" s="498" t="s">
        <v>44</v>
      </c>
      <c r="F28" s="326"/>
      <c r="G28" s="184"/>
      <c r="Q28" s="185">
        <v>0</v>
      </c>
    </row>
    <row customHeight="1" ht="19.5" hidden="1">
      <c r="D29" s="186"/>
      <c r="E29" s="498" t="s">
        <v>42</v>
      </c>
      <c r="F29" s="326"/>
      <c r="G29" s="184"/>
      <c r="Q29" s="185">
        <v>0</v>
      </c>
    </row>
    <row s="10207" customFormat="1" customHeight="1" ht="6.3">
      <c r="A30" s="886"/>
      <c r="B30" s="340"/>
      <c r="C30" s="341"/>
      <c r="D30" s="347"/>
      <c r="E30" s="345"/>
      <c r="F30" s="348"/>
      <c r="G30" s="188"/>
      <c r="H30" s="516"/>
      <c r="I30" s="518"/>
      <c r="J30" s="975"/>
      <c r="Q30" s="344">
        <v>6</v>
      </c>
    </row>
    <row customHeight="1" ht="21">
      <c r="C31" s="189"/>
      <c r="D31" s="190"/>
      <c r="E31" s="498" t="str">
        <f>"Наименование "&amp;IF(TEMPLATE_GROUP="ROIV","органа тарифного регулирования","ЮЛ / ИП")</f>
        <v>Наименование ЮЛ / ИП</v>
      </c>
      <c r="F31" s="325" t="s">
        <v>45</v>
      </c>
      <c r="G31" s="878"/>
      <c r="Q31" s="185">
        <v>20</v>
      </c>
    </row>
    <row customHeight="1" ht="21" hidden="1">
      <c r="C32" s="189"/>
      <c r="D32" s="190"/>
      <c r="E32" s="499" t="s">
        <v>46</v>
      </c>
      <c r="F32" s="325"/>
      <c r="G32" s="878"/>
      <c r="Q32" s="185">
        <v>20</v>
      </c>
    </row>
    <row customHeight="1" ht="21">
      <c r="C33" s="189"/>
      <c r="D33" s="190"/>
      <c r="E33" s="498" t="s">
        <v>47</v>
      </c>
      <c r="F33" s="325" t="s">
        <v>48</v>
      </c>
      <c r="G33" s="878"/>
      <c r="Q33" s="185">
        <v>20</v>
      </c>
    </row>
    <row customHeight="1" ht="21">
      <c r="C34" s="189"/>
      <c r="D34" s="190"/>
      <c r="E34" s="498" t="s">
        <v>49</v>
      </c>
      <c r="F34" s="325" t="s">
        <v>50</v>
      </c>
      <c r="G34" s="878"/>
      <c r="H34" s="191"/>
      <c r="Q34" s="185">
        <v>20</v>
      </c>
    </row>
    <row s="10207" customFormat="1" customHeight="1" ht="11.549999999999999">
      <c r="A35" s="886"/>
      <c r="B35" s="340"/>
      <c r="C35" s="341"/>
      <c r="D35" s="347"/>
      <c r="E35" s="345"/>
      <c r="F35" s="348"/>
      <c r="G35" s="188"/>
      <c r="H35" s="516"/>
      <c r="I35" s="518"/>
      <c r="J35" s="975"/>
      <c r="Q35" s="344">
        <v>11</v>
      </c>
    </row>
    <row customHeight="1" ht="19.5">
      <c r="A36" s="980"/>
      <c r="D36" s="190"/>
      <c r="E36" s="498" t="s">
        <v>51</v>
      </c>
      <c r="F36" s="1306" t="s">
        <v>52</v>
      </c>
      <c r="G36" s="188"/>
      <c r="Q36" s="185">
        <v>0</v>
      </c>
    </row>
    <row customHeight="1" ht="21">
      <c r="A37" s="980"/>
      <c r="D37" s="190"/>
      <c r="E37" s="498" t="s">
        <v>53</v>
      </c>
      <c r="F37" s="1306" t="s">
        <v>54</v>
      </c>
      <c r="G37" s="188"/>
      <c r="Q37" s="185">
        <v>20</v>
      </c>
    </row>
    <row s="10207" customFormat="1" customHeight="1" ht="6.3">
      <c r="A38" s="886"/>
      <c r="B38" s="340"/>
      <c r="C38" s="341"/>
      <c r="D38" s="342"/>
      <c r="E38" s="343"/>
      <c r="F38" s="1153"/>
      <c r="G38" s="184"/>
      <c r="H38" s="516"/>
      <c r="I38" s="518"/>
      <c r="J38" s="977"/>
      <c r="Q38" s="344">
        <v>6</v>
      </c>
    </row>
    <row customHeight="1" ht="36.75">
      <c r="A39" s="886"/>
      <c r="D39" s="186"/>
      <c r="E39" s="498" t="s">
        <v>55</v>
      </c>
      <c r="F39" s="817" t="s">
        <v>19</v>
      </c>
      <c r="G39" s="184"/>
      <c r="H39" s="875" t="s">
        <v>23</v>
      </c>
      <c r="Q39" s="185">
        <v>35</v>
      </c>
    </row>
    <row s="10207" customFormat="1" customHeight="1" ht="6.75" hidden="1">
      <c r="A40" s="885"/>
      <c r="B40" s="533"/>
      <c r="C40" s="534"/>
      <c r="D40" s="535"/>
      <c r="E40" s="536"/>
      <c r="F40" s="1153"/>
      <c r="G40" s="184"/>
      <c r="H40" s="516"/>
      <c r="I40" s="518"/>
      <c r="J40" s="977"/>
      <c r="Q40" s="537">
        <v>6</v>
      </c>
    </row>
    <row s="10232" customFormat="1" customHeight="1" ht="26.25" hidden="1">
      <c r="A41" s="889" t="s">
        <v>27</v>
      </c>
      <c r="B41" s="520"/>
      <c r="C41" s="515"/>
      <c r="D41" s="517"/>
      <c r="E41" s="49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17" t="s">
        <v>19</v>
      </c>
      <c r="G41" s="184"/>
      <c r="I41" s="518"/>
      <c r="J41" s="977"/>
      <c r="Q41" s="516">
        <v>0</v>
      </c>
    </row>
    <row s="10207" customFormat="1" customHeight="1" ht="6" hidden="1">
      <c r="A42" s="885"/>
      <c r="B42" s="533"/>
      <c r="C42" s="534"/>
      <c r="D42" s="535"/>
      <c r="E42" s="536"/>
      <c r="F42" s="1153"/>
      <c r="G42" s="184"/>
      <c r="H42" s="516"/>
      <c r="I42" s="518"/>
      <c r="J42" s="975"/>
      <c r="Q42" s="537">
        <v>0</v>
      </c>
    </row>
    <row s="10232" customFormat="1" customHeight="1" ht="27" hidden="1">
      <c r="A43" s="885"/>
      <c r="B43" s="520"/>
      <c r="C43" s="515"/>
      <c r="D43" s="517"/>
      <c r="E43" s="498" t="s">
        <v>56</v>
      </c>
      <c r="F43" s="817" t="s">
        <v>19</v>
      </c>
      <c r="G43" s="184"/>
      <c r="I43" s="518"/>
      <c r="J43" s="977"/>
      <c r="Q43" s="516">
        <v>0</v>
      </c>
    </row>
    <row s="10232" customFormat="1" customHeight="1" ht="27" hidden="1">
      <c r="A44" s="885"/>
      <c r="B44" s="520"/>
      <c r="C44" s="515"/>
      <c r="D44" s="517"/>
      <c r="E44" s="1261" t="s">
        <v>57</v>
      </c>
      <c r="F44" s="1982"/>
      <c r="G44" s="184"/>
      <c r="I44" s="518"/>
      <c r="J44" s="977"/>
      <c r="Q44" s="516">
        <v>0</v>
      </c>
    </row>
    <row s="10207" customFormat="1" customHeight="1" ht="6" hidden="1">
      <c r="A45" s="885"/>
      <c r="B45" s="533"/>
      <c r="C45" s="534"/>
      <c r="D45" s="535"/>
      <c r="E45" s="536"/>
      <c r="F45" s="1153"/>
      <c r="G45" s="184"/>
      <c r="H45" s="516"/>
      <c r="I45" s="518"/>
      <c r="J45" s="977"/>
      <c r="Q45" s="537">
        <v>0</v>
      </c>
    </row>
    <row s="10207" customFormat="1" customHeight="1" ht="24.75" hidden="1">
      <c r="A46" s="885"/>
      <c r="B46" s="533"/>
      <c r="C46" s="534"/>
      <c r="D46" s="535"/>
      <c r="E46" s="1261" t="s">
        <v>58</v>
      </c>
      <c r="F46" s="817" t="s">
        <v>19</v>
      </c>
      <c r="G46" s="184"/>
      <c r="H46" s="516"/>
      <c r="I46" s="518"/>
      <c r="J46" s="977"/>
      <c r="Q46" s="537">
        <v>0</v>
      </c>
    </row>
    <row s="10232" customFormat="1" customHeight="1" ht="24.75" hidden="1">
      <c r="A47" s="885"/>
      <c r="B47" s="520"/>
      <c r="C47" s="515"/>
      <c r="D47" s="517"/>
      <c r="E47" s="1261" t="s">
        <v>59</v>
      </c>
      <c r="F47" s="817" t="s">
        <v>19</v>
      </c>
      <c r="G47" s="184"/>
      <c r="I47" s="518"/>
      <c r="J47" s="977"/>
      <c r="Q47" s="516">
        <v>0</v>
      </c>
    </row>
    <row s="10207" customFormat="1" customHeight="1" ht="6" hidden="1">
      <c r="A48" s="885"/>
      <c r="B48" s="340"/>
      <c r="C48" s="341"/>
      <c r="D48" s="342"/>
      <c r="E48" s="343"/>
      <c r="F48" s="1153"/>
      <c r="G48" s="184"/>
      <c r="H48" s="516"/>
      <c r="I48" s="518"/>
      <c r="J48" s="977"/>
      <c r="Q48" s="344">
        <v>0</v>
      </c>
    </row>
    <row customHeight="1" ht="29.25" hidden="1">
      <c r="B49" s="256"/>
      <c r="D49" s="186"/>
      <c r="E49" s="49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17"/>
      <c r="G49" s="184"/>
      <c r="Q49" s="185">
        <v>0</v>
      </c>
    </row>
    <row s="10207" customFormat="1" customHeight="1" ht="6">
      <c r="A50" s="886"/>
      <c r="B50" s="533"/>
      <c r="C50" s="534"/>
      <c r="D50" s="347"/>
      <c r="E50" s="345"/>
      <c r="F50" s="348"/>
      <c r="G50" s="188"/>
      <c r="H50" s="516"/>
      <c r="I50" s="518"/>
      <c r="J50" s="977"/>
      <c r="Q50" s="537">
        <v>0</v>
      </c>
    </row>
    <row s="10232" customFormat="1" customHeight="1" ht="28.5">
      <c r="A51" s="887"/>
      <c r="B51" s="520"/>
      <c r="C51" s="637"/>
      <c r="D51" s="638"/>
      <c r="E51" s="498" t="s">
        <v>60</v>
      </c>
      <c r="F51" s="817" t="s">
        <v>19</v>
      </c>
      <c r="G51" s="639"/>
      <c r="I51" s="641"/>
      <c r="J51" s="979"/>
      <c r="P51" s="642"/>
      <c r="Q51" s="640">
        <v>0</v>
      </c>
    </row>
    <row s="10207" customFormat="1" customHeight="1" ht="6">
      <c r="A52" s="886"/>
      <c r="B52" s="533"/>
      <c r="C52" s="534"/>
      <c r="D52" s="347"/>
      <c r="E52" s="345"/>
      <c r="F52" s="348"/>
      <c r="G52" s="188"/>
      <c r="H52" s="516"/>
      <c r="I52" s="518"/>
      <c r="J52" s="975"/>
      <c r="Q52" s="537">
        <v>0</v>
      </c>
    </row>
    <row s="10232" customFormat="1" customHeight="1" ht="27">
      <c r="A53" s="887"/>
      <c r="B53" s="520"/>
      <c r="C53" s="637"/>
      <c r="D53" s="638"/>
      <c r="E53" s="498" t="s">
        <v>61</v>
      </c>
      <c r="F53" s="1148" t="s">
        <v>62</v>
      </c>
      <c r="G53" s="639"/>
      <c r="I53" s="641"/>
      <c r="J53" s="979"/>
      <c r="P53" s="642"/>
      <c r="Q53" s="640">
        <v>0</v>
      </c>
    </row>
    <row s="10232" customFormat="1" customHeight="1" ht="27">
      <c r="A54" s="887"/>
      <c r="B54" s="520"/>
      <c r="C54" s="637"/>
      <c r="D54" s="638"/>
      <c r="E54" s="498" t="s">
        <v>63</v>
      </c>
      <c r="F54" s="2212">
        <v>45364.58131944444</v>
      </c>
      <c r="G54" s="639"/>
      <c r="I54" s="641"/>
      <c r="J54" s="979"/>
      <c r="P54" s="642"/>
      <c r="Q54" s="640">
        <v>0</v>
      </c>
    </row>
    <row s="10207" customFormat="1" customHeight="1" ht="6">
      <c r="A55" s="886"/>
      <c r="B55" s="533"/>
      <c r="C55" s="534"/>
      <c r="D55" s="347"/>
      <c r="E55" s="345"/>
      <c r="F55" s="348"/>
      <c r="G55" s="188"/>
      <c r="H55" s="516"/>
      <c r="I55" s="518"/>
      <c r="J55" s="975"/>
      <c r="Q55" s="537">
        <v>0</v>
      </c>
    </row>
    <row s="10232" customFormat="1" customHeight="1" ht="25.5">
      <c r="A56" s="887"/>
      <c r="B56" s="520"/>
      <c r="C56" s="637"/>
      <c r="D56" s="638"/>
      <c r="E56" s="498" t="s">
        <v>64</v>
      </c>
      <c r="F56" s="1148" t="s">
        <v>19</v>
      </c>
      <c r="G56" s="639"/>
      <c r="I56" s="641"/>
      <c r="J56" s="979"/>
      <c r="P56" s="642"/>
      <c r="Q56" s="640">
        <v>0</v>
      </c>
    </row>
    <row s="10207" customFormat="1" customHeight="1" ht="6">
      <c r="A57" s="886"/>
      <c r="B57" s="533"/>
      <c r="C57" s="534"/>
      <c r="D57" s="347"/>
      <c r="E57" s="345"/>
      <c r="F57" s="348"/>
      <c r="G57" s="188"/>
      <c r="H57" s="516"/>
      <c r="I57" s="518"/>
      <c r="J57" s="975"/>
      <c r="Q57" s="537">
        <v>0</v>
      </c>
    </row>
    <row s="10232" customFormat="1" customHeight="1" ht="15">
      <c r="A58" s="887"/>
      <c r="B58" s="520"/>
      <c r="C58" s="637"/>
      <c r="D58" s="638"/>
      <c r="E58" s="498" t="s">
        <v>65</v>
      </c>
      <c r="F58" s="1148" t="s">
        <v>62</v>
      </c>
      <c r="G58" s="639"/>
      <c r="I58" s="641"/>
      <c r="J58" s="979"/>
      <c r="P58" s="642"/>
      <c r="Q58" s="640">
        <v>0</v>
      </c>
    </row>
    <row s="10232" customFormat="1" customHeight="1" ht="75">
      <c r="A59" s="887"/>
      <c r="B59" s="520"/>
      <c r="C59" s="637"/>
      <c r="D59" s="638"/>
      <c r="E59" s="49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85" t="s">
        <v>62</v>
      </c>
      <c r="G59" s="639"/>
      <c r="I59" s="641"/>
      <c r="J59" s="979"/>
      <c r="P59" s="642"/>
      <c r="Q59" s="640">
        <v>0</v>
      </c>
    </row>
    <row s="10232" customFormat="1" customHeight="1" ht="15">
      <c r="A60" s="887"/>
      <c r="B60" s="520"/>
      <c r="C60" s="637"/>
      <c r="D60" s="638"/>
      <c r="E60" s="1261" t="s">
        <v>66</v>
      </c>
      <c r="F60" s="1306" t="s">
        <v>67</v>
      </c>
      <c r="G60" s="639"/>
      <c r="I60" s="641"/>
      <c r="J60" s="979"/>
      <c r="P60" s="642"/>
      <c r="Q60" s="640">
        <v>0</v>
      </c>
    </row>
    <row s="10207" customFormat="1" customHeight="1" ht="6" hidden="1">
      <c r="A61" s="886"/>
      <c r="B61" s="533"/>
      <c r="C61" s="534"/>
      <c r="D61" s="535"/>
      <c r="E61" s="536"/>
      <c r="F61" s="1153"/>
      <c r="G61" s="184"/>
      <c r="H61" s="516"/>
      <c r="I61" s="518"/>
      <c r="J61" s="977"/>
      <c r="Q61" s="537">
        <v>0</v>
      </c>
    </row>
    <row s="10232" customFormat="1" customHeight="1" ht="33.75" hidden="1">
      <c r="A62" s="886"/>
      <c r="B62" s="209"/>
      <c r="C62" s="515"/>
      <c r="D62" s="517"/>
      <c r="E62" s="1261" t="s">
        <v>68</v>
      </c>
      <c r="F62" s="1767" t="s">
        <v>62</v>
      </c>
      <c r="G62" s="184"/>
      <c r="H62" s="875" t="s">
        <v>23</v>
      </c>
      <c r="I62" s="518"/>
      <c r="J62" s="977"/>
      <c r="Q62" s="516">
        <v>0</v>
      </c>
    </row>
    <row s="10207" customFormat="1" customHeight="1" ht="6.3">
      <c r="A63" s="886"/>
      <c r="B63" s="340"/>
      <c r="C63" s="341"/>
      <c r="D63" s="347"/>
      <c r="E63" s="345"/>
      <c r="F63" s="348"/>
      <c r="G63" s="188"/>
      <c r="H63" s="516"/>
      <c r="I63" s="518"/>
      <c r="J63" s="975"/>
      <c r="Q63" s="344">
        <v>6</v>
      </c>
    </row>
    <row customHeight="1" ht="21">
      <c r="B64" s="210"/>
      <c r="D64" s="193"/>
      <c r="E64" s="498" t="s">
        <v>69</v>
      </c>
      <c r="F64" s="2213" t="s">
        <v>70</v>
      </c>
      <c r="G64" s="188"/>
      <c r="Q64" s="185">
        <v>20</v>
      </c>
    </row>
    <row customHeight="1" ht="21">
      <c r="B65" s="210"/>
      <c r="D65" s="193"/>
      <c r="E65" s="498" t="s">
        <v>71</v>
      </c>
      <c r="F65" s="2213" t="s">
        <v>72</v>
      </c>
      <c r="G65" s="188"/>
      <c r="Q65" s="185">
        <v>20</v>
      </c>
    </row>
    <row customHeight="1" ht="36.75">
      <c r="D66" s="186"/>
      <c r="E66" s="500" t="s">
        <v>73</v>
      </c>
      <c r="F66" s="1154"/>
      <c r="G66" s="184"/>
      <c r="Q66" s="185">
        <v>35</v>
      </c>
    </row>
    <row customHeight="1" ht="21">
      <c r="D67" s="517"/>
      <c r="E67" s="498" t="s">
        <v>74</v>
      </c>
      <c r="F67" s="379" t="s">
        <v>75</v>
      </c>
      <c r="G67" s="188"/>
      <c r="Q67" s="185">
        <v>20</v>
      </c>
    </row>
    <row customHeight="1" ht="21">
      <c r="B68" s="210"/>
      <c r="D68" s="193"/>
      <c r="E68" s="498" t="s">
        <v>76</v>
      </c>
      <c r="F68" s="379" t="s">
        <v>77</v>
      </c>
      <c r="G68" s="188"/>
      <c r="Q68" s="185">
        <v>20</v>
      </c>
    </row>
    <row customHeight="1" ht="21">
      <c r="B69" s="210"/>
      <c r="D69" s="193"/>
      <c r="E69" s="498" t="s">
        <v>78</v>
      </c>
      <c r="F69" s="379" t="s">
        <v>79</v>
      </c>
      <c r="G69" s="188"/>
      <c r="Q69" s="185">
        <v>20</v>
      </c>
    </row>
    <row customHeight="1" ht="21">
      <c r="D70" s="517"/>
      <c r="E70" s="498" t="s">
        <v>80</v>
      </c>
      <c r="F70" s="379" t="s">
        <v>81</v>
      </c>
      <c r="G70" s="184"/>
      <c r="Q70" s="185">
        <v>20</v>
      </c>
    </row>
    <row customHeight="1" ht="21">
      <c r="D71" s="184"/>
      <c r="F71" s="242"/>
      <c r="G71" s="188"/>
      <c r="Q71" s="185">
        <v>20</v>
      </c>
    </row>
    <row customHeight="1" ht="21">
      <c r="B72" s="210"/>
      <c r="D72" s="193"/>
      <c r="E72" s="192"/>
      <c r="F72" s="1133" t="s">
        <v>13</v>
      </c>
      <c r="G72" s="188"/>
      <c r="Q72" s="185">
        <v>20</v>
      </c>
    </row>
    <row customHeight="1" ht="21">
      <c r="B73" s="210"/>
      <c r="D73" s="193"/>
      <c r="E73" s="192"/>
      <c r="F73" s="243"/>
      <c r="G73" s="188"/>
      <c r="Q73" s="185">
        <v>20</v>
      </c>
    </row>
    <row customHeight="1" ht="21">
      <c r="B74" s="210"/>
      <c r="D74" s="193"/>
      <c r="E74" s="197"/>
      <c r="F74" s="243"/>
      <c r="G74" s="188"/>
      <c r="Q74" s="185">
        <v>20</v>
      </c>
    </row>
    <row customHeight="1" ht="21">
      <c r="B75" s="210"/>
      <c r="D75" s="193"/>
      <c r="E75" s="192"/>
      <c r="F75" s="243"/>
      <c r="G75" s="188"/>
      <c r="Q75" s="185">
        <v>20</v>
      </c>
    </row>
    <row customHeight="1" ht="11.549999999999999">
      <c r="Q76" s="185">
        <v>11</v>
      </c>
    </row>
    <row customHeight="1" ht="11.549999999999999">
      <c r="Q77" s="185">
        <v>11</v>
      </c>
    </row>
    <row customHeight="1" ht="11.549999999999999">
      <c r="E78" s="497"/>
      <c r="F78" s="497"/>
      <c r="G78" s="497"/>
      <c r="H78" s="497"/>
      <c r="I78" s="497"/>
      <c r="Q78" s="185">
        <v>11</v>
      </c>
    </row>
    <row customHeight="1" ht="11.25" hidden="1">
      <c r="A79" s="885" t="s">
        <v>82</v>
      </c>
      <c r="B79" s="209">
        <v>0</v>
      </c>
      <c r="C79" s="183">
        <v>3</v>
      </c>
      <c r="D79" s="185">
        <v>1</v>
      </c>
      <c r="E79" s="185">
        <v>55</v>
      </c>
      <c r="F79" s="185">
        <v>54</v>
      </c>
      <c r="G79" s="873">
        <v>1</v>
      </c>
      <c r="H79" s="516">
        <v>0</v>
      </c>
      <c r="I79" s="518">
        <v>59</v>
      </c>
      <c r="J79" s="977">
        <v>0</v>
      </c>
      <c r="K79" s="185">
        <v>8</v>
      </c>
      <c r="L79" s="185">
        <v>77</v>
      </c>
      <c r="M79" s="185">
        <v>8</v>
      </c>
      <c r="N79" s="185">
        <v>8</v>
      </c>
      <c r="O79" s="185">
        <v>8</v>
      </c>
      <c r="P79" s="185">
        <v>8</v>
      </c>
      <c r="Q79" s="185">
        <v>11</v>
      </c>
    </row>
  </sheetData>
  <sheetProtection formatColumns="0" formatRows="0" autoFilter="0" sort="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023E75F-3D4A-210C-F67B-E2483AD99E46}"/>
    <hyperlink ref="H17" location="Титульный!H9" display="Как заполнить?" tooltip="Помощь по работе с полями отчётной формы" xr:uid="{8809EDA9-F0AC-241E-59D2-9F3663E4A4C8}"/>
    <hyperlink ref="H39" location="Титульный!H9" display="Как заполнить?" tooltip="Помощь по работе с полями отчётной формы" xr:uid="{C7A278CE-8F9F-DEEC-6FF8-01182CF3B025}"/>
    <hyperlink ref="H62" location="Титульный!H9" display="Как заполнить?" tooltip="Помощь по работе с полями отчётной формы" xr:uid="{F9C5A971-E71E-FDB5-74F8-C06FD68251D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A115B-9A4F-C4FB-6E13-6616F658C9C3}" mc:Ignorable="x14ac xr xr2 xr3">
  <sheetPr>
    <tabColor rgb="FFCCCCFF"/>
    <pageSetUpPr fitToPage="1"/>
  </sheetPr>
  <dimension ref="A1:AC51"/>
  <sheetViews>
    <sheetView topLeftCell="A1" showGridLines="0" zoomScale="90" workbookViewId="0">
      <selection activeCell="G34" sqref="G34"/>
    </sheetView>
  </sheetViews>
  <sheetFormatPr defaultColWidth="9.140625" customHeight="1" defaultRowHeight="14.25"/>
  <cols>
    <col min="1" max="1" style="10232" width="8.00390625" hidden="1" customWidth="1"/>
    <col min="2" max="2" style="10306" width="6.00390625" hidden="1" customWidth="1"/>
    <col min="3" max="3" style="10232" width="3.00390625" customWidth="1"/>
    <col min="4" max="4" style="10409" width="3.00390625" customWidth="1"/>
    <col min="5" max="5" style="10232" width="6.00390625" customWidth="1"/>
    <col min="6" max="6" style="10232" width="2.7109375" hidden="1" customWidth="1"/>
    <col min="7" max="7" style="10232" width="46.7109375" customWidth="1"/>
    <col min="8" max="8" style="10232" width="42.00390625" customWidth="1"/>
    <col min="9" max="9" style="10232" width="14.00390625" customWidth="1"/>
    <col min="10" max="10" style="10410" width="3.00390625" customWidth="1"/>
    <col min="11" max="13" style="10410" width="9.140625" hidden="1"/>
    <col min="14" max="14" style="10410" width="25.7109375" hidden="1" customWidth="1"/>
    <col min="15" max="15" style="10410" width="14.421875" hidden="1" customWidth="1"/>
    <col min="16" max="19" style="10411" width="9.140625" hidden="1"/>
    <col min="20" max="27" style="10232" width="9.140625" hidden="1"/>
    <col min="28" max="28" style="10232" width="8.00390625" customWidth="1"/>
    <col min="29" max="29" style="10232" width="9.140625" hidden="1"/>
  </cols>
  <sheetData>
    <row s="10307" customFormat="1" customHeight="1" ht="5.25" hidden="1">
      <c r="A1" s="603"/>
      <c r="B1" s="618"/>
      <c r="C1" s="618"/>
      <c r="D1" s="329"/>
      <c r="F1" s="618"/>
      <c r="G1" s="355" t="s">
        <v>83</v>
      </c>
      <c r="H1" s="601" t="s">
        <v>84</v>
      </c>
      <c r="I1" s="335" t="s">
        <v>85</v>
      </c>
      <c r="J1" s="355" t="s">
        <v>83</v>
      </c>
      <c r="K1" s="355"/>
      <c r="L1" s="355"/>
      <c r="M1" s="355"/>
      <c r="N1" s="356"/>
      <c r="O1" s="355"/>
      <c r="P1" s="355"/>
      <c r="Q1" s="355"/>
      <c r="R1" s="355"/>
      <c r="S1" s="355"/>
      <c r="T1" s="335"/>
      <c r="U1" s="335"/>
      <c r="V1" s="335"/>
      <c r="W1" s="335"/>
      <c r="X1" s="335"/>
      <c r="Y1" s="335"/>
      <c r="Z1" s="335"/>
      <c r="AA1" s="335"/>
      <c r="AB1" s="335"/>
      <c r="AC1" s="260" t="s">
        <v>14</v>
      </c>
    </row>
    <row s="10316" customFormat="1" customHeight="1" ht="11.25">
      <c r="A2" s="932"/>
      <c r="B2" s="336"/>
      <c r="C2" s="336"/>
      <c r="D2" s="337"/>
      <c r="E2" s="336"/>
      <c r="F2" s="336"/>
      <c r="G2" s="336"/>
      <c r="H2" s="336"/>
      <c r="I2" s="336"/>
      <c r="J2" s="355"/>
      <c r="K2" s="355"/>
      <c r="L2" s="355"/>
      <c r="M2" s="355"/>
      <c r="N2" s="356"/>
      <c r="O2" s="355"/>
      <c r="P2" s="338"/>
      <c r="Q2" s="338"/>
      <c r="R2" s="338"/>
      <c r="S2" s="338"/>
      <c r="T2" s="337"/>
      <c r="U2" s="337"/>
      <c r="V2" s="337"/>
      <c r="W2" s="337"/>
      <c r="X2" s="337"/>
      <c r="Y2" s="337"/>
      <c r="Z2" s="337"/>
      <c r="AA2" s="337"/>
      <c r="AB2" s="337"/>
      <c r="AC2" s="339">
        <v>11</v>
      </c>
    </row>
    <row s="10322" customFormat="1" customHeight="1" ht="3">
      <c r="A3" s="863"/>
      <c r="B3" s="524"/>
      <c r="C3" s="863"/>
      <c r="D3" s="272"/>
      <c r="E3" s="213"/>
      <c r="F3" s="616"/>
      <c r="G3" s="213"/>
      <c r="H3" s="213"/>
      <c r="I3" s="274"/>
      <c r="J3" s="355"/>
      <c r="K3" s="263"/>
      <c r="L3" s="263"/>
      <c r="M3" s="263"/>
      <c r="N3" s="334"/>
      <c r="O3" s="263"/>
      <c r="P3" s="333"/>
      <c r="Q3" s="333"/>
      <c r="R3" s="333"/>
      <c r="S3" s="333"/>
      <c r="AC3" s="226">
        <v>3</v>
      </c>
    </row>
    <row s="10322" customFormat="1" customHeight="1" ht="27.299999999999997">
      <c r="A4" s="863"/>
      <c r="B4" s="524"/>
      <c r="C4" s="863"/>
      <c r="D4" s="272"/>
      <c r="E4" s="2964" t="str">
        <f>NameTemplatesInListMO</f>
        <v>Перечень муниципальных районов и муниципальных образований (территорий оказания услуг)</v>
      </c>
      <c r="F4" s="2964"/>
      <c r="G4" s="2964"/>
      <c r="H4" s="2964"/>
      <c r="I4" s="2964"/>
      <c r="J4" s="355"/>
      <c r="K4" s="263"/>
      <c r="L4" s="263"/>
      <c r="M4" s="263"/>
      <c r="N4" s="334"/>
      <c r="O4" s="263"/>
      <c r="P4" s="333"/>
      <c r="Q4" s="333"/>
      <c r="R4" s="333"/>
      <c r="S4" s="333"/>
      <c r="AC4" s="226">
        <v>26</v>
      </c>
    </row>
    <row s="10322" customFormat="1" customHeight="1" ht="3">
      <c r="A5" s="863"/>
      <c r="B5" s="524"/>
      <c r="C5" s="863"/>
      <c r="D5" s="272"/>
      <c r="E5" s="213"/>
      <c r="F5" s="616"/>
      <c r="G5" s="275"/>
      <c r="H5" s="275"/>
      <c r="I5" s="276"/>
      <c r="J5" s="263"/>
      <c r="K5" s="263"/>
      <c r="L5" s="263"/>
      <c r="M5" s="263"/>
      <c r="N5" s="334"/>
      <c r="O5" s="263"/>
      <c r="P5" s="333"/>
      <c r="Q5" s="333"/>
      <c r="R5" s="333"/>
      <c r="S5" s="333"/>
      <c r="AC5" s="226">
        <v>3</v>
      </c>
    </row>
    <row s="10322" customFormat="1" customHeight="1" ht="20.25" hidden="1">
      <c r="A6" s="938"/>
      <c r="B6" s="934"/>
      <c r="C6" s="277"/>
      <c r="D6" s="272"/>
      <c r="E6" s="881"/>
      <c r="F6" s="881"/>
      <c r="G6" s="275"/>
      <c r="H6" s="278"/>
      <c r="I6" s="278"/>
      <c r="J6" s="263"/>
      <c r="K6" s="263"/>
      <c r="L6" s="263"/>
      <c r="M6" s="263"/>
      <c r="N6" s="334"/>
      <c r="O6" s="263"/>
      <c r="P6" s="333"/>
      <c r="Q6" s="333"/>
      <c r="R6" s="333"/>
      <c r="S6" s="333"/>
      <c r="AC6" s="226">
        <v>0</v>
      </c>
    </row>
    <row customHeight="1" ht="25.5" hidden="1">
      <c r="AC7" s="194">
        <v>0</v>
      </c>
    </row>
    <row s="10322" customFormat="1" customHeight="1" ht="14.699999999999998">
      <c r="A8" s="863"/>
      <c r="B8" s="524"/>
      <c r="C8" s="863"/>
      <c r="D8" s="272"/>
      <c r="E8" s="2959" t="s">
        <v>86</v>
      </c>
      <c r="F8" s="2965"/>
      <c r="G8" s="2958"/>
      <c r="H8" s="2966" t="s">
        <v>87</v>
      </c>
      <c r="I8" s="2966"/>
      <c r="J8" s="263"/>
      <c r="K8" s="263"/>
      <c r="L8" s="263"/>
      <c r="M8" s="263"/>
      <c r="N8" s="334"/>
      <c r="O8" s="263"/>
      <c r="P8" s="333"/>
      <c r="Q8" s="333"/>
      <c r="R8" s="333"/>
      <c r="S8" s="333"/>
      <c r="AC8" s="226">
        <v>14</v>
      </c>
    </row>
    <row s="10322" customFormat="1" customHeight="1" ht="21">
      <c r="A9" s="863"/>
      <c r="B9" s="524"/>
      <c r="C9" s="863"/>
      <c r="D9" s="272"/>
      <c r="E9" s="879" t="s">
        <v>88</v>
      </c>
      <c r="F9" s="879"/>
      <c r="G9" s="280" t="s">
        <v>89</v>
      </c>
      <c r="H9" s="280" t="s">
        <v>89</v>
      </c>
      <c r="I9" s="280" t="s">
        <v>85</v>
      </c>
      <c r="J9" s="263"/>
      <c r="K9" s="263"/>
      <c r="L9" s="263"/>
      <c r="M9" s="263"/>
      <c r="N9" s="334"/>
      <c r="O9" s="263"/>
      <c r="P9" s="333"/>
      <c r="Q9" s="333"/>
      <c r="R9" s="333"/>
      <c r="S9" s="333"/>
      <c r="AC9" s="226">
        <v>20</v>
      </c>
    </row>
    <row customHeight="1" ht="11.549999999999999">
      <c r="D10" s="284"/>
      <c r="E10" s="880" t="s">
        <v>90</v>
      </c>
      <c r="F10" s="880"/>
      <c r="G10" s="331" t="s">
        <v>91</v>
      </c>
      <c r="H10" s="331" t="s">
        <v>92</v>
      </c>
      <c r="I10" s="331" t="s">
        <v>93</v>
      </c>
      <c r="J10" s="294"/>
      <c r="K10" s="294"/>
      <c r="L10" s="294"/>
      <c r="M10" s="294"/>
      <c r="N10" s="279"/>
      <c r="O10" s="294"/>
      <c r="P10" s="332"/>
      <c r="Q10" s="332"/>
      <c r="R10" s="332"/>
      <c r="S10" s="332"/>
      <c r="AC10" s="194">
        <v>11</v>
      </c>
    </row>
    <row s="10322" customFormat="1" customHeight="1" ht="1.05">
      <c r="A11" s="863"/>
      <c r="B11" s="524"/>
      <c r="C11" s="863"/>
      <c r="D11" s="272"/>
      <c r="E11" s="891"/>
      <c r="F11" s="891"/>
      <c r="G11" s="281"/>
      <c r="H11" s="281"/>
      <c r="I11" s="283"/>
      <c r="J11" s="357" t="s">
        <v>94</v>
      </c>
      <c r="K11" s="263"/>
      <c r="L11" s="263"/>
      <c r="M11" s="263" t="s">
        <v>95</v>
      </c>
      <c r="N11" s="334" t="s">
        <v>96</v>
      </c>
      <c r="O11" s="263" t="s">
        <v>97</v>
      </c>
      <c r="P11" s="333"/>
      <c r="Q11" s="333"/>
      <c r="R11" s="333"/>
      <c r="S11" s="333"/>
      <c r="AC11" s="226">
        <v>1</v>
      </c>
    </row>
    <row s="10322" customFormat="1" customHeight="1" ht="15">
      <c r="A12" s="2962">
        <v>1</v>
      </c>
      <c r="B12" s="524"/>
      <c r="C12" s="863"/>
      <c r="D12" s="883"/>
      <c r="E12" s="327">
        <f>A12</f>
        <v>1</v>
      </c>
      <c r="F12" s="903" t="s">
        <v>98</v>
      </c>
      <c r="G12" s="647" t="str">
        <f>"Территория "&amp;E12</f>
        <v>Территория 1</v>
      </c>
      <c r="H12" s="893"/>
      <c r="I12" s="893"/>
      <c r="J12" s="890"/>
      <c r="K12" s="607"/>
      <c r="L12" s="607"/>
      <c r="M12" s="607"/>
      <c r="N12" s="334"/>
      <c r="O12" s="607"/>
      <c r="P12" s="333"/>
      <c r="Q12" s="333"/>
      <c r="R12" s="333"/>
      <c r="S12" s="333"/>
      <c r="AC12" s="614">
        <v>14</v>
      </c>
    </row>
    <row s="10365" customFormat="1" customHeight="1" ht="15.75">
      <c r="A13" s="2962"/>
      <c r="B13" s="524">
        <v>1</v>
      </c>
      <c r="C13" s="524"/>
      <c r="D13" s="901"/>
      <c r="E13" s="882" t="str">
        <f>A12&amp;"."&amp;B13</f>
        <v>1.1</v>
      </c>
      <c r="F13" s="896" t="s">
        <v>99</v>
      </c>
      <c r="G13" s="894" t="s">
        <v>100</v>
      </c>
      <c r="H13" s="894" t="s">
        <v>100</v>
      </c>
      <c r="I13" s="892" t="s">
        <v>101</v>
      </c>
      <c r="J13" s="607">
        <f>MERGEVALUE(G13)</f>
      </c>
      <c r="K13" s="618"/>
      <c r="L13" s="618"/>
      <c r="M13" s="607" t="str">
        <f t="array" ref="M13:M13">IF(ISERROR(MATCH(MID(N13,1,250),MID(note_ter,1,250),0)),"n","y")</f>
        <v>n</v>
      </c>
      <c r="N13" s="618"/>
      <c r="O13" s="607" t="str">
        <f>H13&amp;"("&amp;I13&amp;")"</f>
        <v>Город Хабаровск(08701000)</v>
      </c>
      <c r="P13" s="524"/>
      <c r="Q13" s="524"/>
      <c r="R13" s="527"/>
      <c r="S13" s="524"/>
      <c r="T13" s="524"/>
      <c r="U13" s="524"/>
      <c r="V13" s="529"/>
      <c r="W13" s="529"/>
      <c r="X13" s="526"/>
      <c r="Y13" s="526"/>
      <c r="Z13" s="526"/>
      <c r="AA13" s="526"/>
      <c r="AB13" s="526"/>
      <c r="AC13" s="530">
        <v>15</v>
      </c>
    </row>
    <row customHeight="1" ht="15">
      <c r="A14" s="2963"/>
      <c r="B14" s="1462" t="s">
        <v>102</v>
      </c>
      <c r="C14" s="1462"/>
      <c r="D14" s="901" t="s">
        <v>103</v>
      </c>
      <c r="E14" s="1972" t="str">
        <f>A12&amp;"."&amp;B14</f>
        <v>1.2</v>
      </c>
      <c r="F14" s="1977" t="s">
        <v>104</v>
      </c>
      <c r="G14" s="1981" t="s">
        <v>105</v>
      </c>
      <c r="H14" s="1981" t="s">
        <v>105</v>
      </c>
      <c r="I14" s="1979" t="s">
        <v>106</v>
      </c>
      <c r="K14" s="1732"/>
      <c r="L14" s="1732"/>
      <c r="M14" s="1720" t="str">
        <f t="array" ref="M14:M14">IF(ISERROR(MATCH(MID(N14,1,250),MID(note_ter,1,250),0)),"n","y")</f>
        <v>n</v>
      </c>
      <c r="N14" s="1732"/>
      <c r="O14" s="1720" t="str">
        <f>H14&amp;"("&amp;I14&amp;")"</f>
        <v>Хабаровский муниципальный район(08655000)</v>
      </c>
      <c r="P14" s="1462"/>
      <c r="Q14" s="1462"/>
      <c r="R14" s="527"/>
      <c r="S14" s="1462"/>
      <c r="T14" s="1462"/>
      <c r="U14" s="1462"/>
      <c r="V14" s="934"/>
      <c r="W14" s="934"/>
      <c r="X14" s="734"/>
      <c r="Y14" s="734"/>
      <c r="Z14" s="734"/>
      <c r="AA14" s="734"/>
      <c r="AB14" s="734"/>
      <c r="AC14" s="734"/>
    </row>
    <row s="10365" customFormat="1" customHeight="1" ht="15.75">
      <c r="A15" s="2962"/>
      <c r="B15" s="524"/>
      <c r="C15" s="519"/>
      <c r="D15" s="902"/>
      <c r="E15" s="528"/>
      <c r="F15" s="285"/>
      <c r="G15" s="522" t="s">
        <v>107</v>
      </c>
      <c r="H15" s="295"/>
      <c r="I15" s="531"/>
      <c r="J15" s="618"/>
      <c r="K15" s="618"/>
      <c r="L15" s="618"/>
      <c r="M15" s="618"/>
      <c r="N15" s="607"/>
      <c r="O15" s="618"/>
      <c r="P15" s="524"/>
      <c r="Q15" s="524"/>
      <c r="R15" s="527"/>
      <c r="S15" s="524"/>
      <c r="T15" s="524"/>
      <c r="U15" s="524"/>
      <c r="V15" s="529"/>
      <c r="W15" s="529"/>
      <c r="X15" s="526"/>
      <c r="Y15" s="526"/>
      <c r="Z15" s="526"/>
      <c r="AA15" s="526"/>
      <c r="AB15" s="526"/>
      <c r="AC15" s="530">
        <v>15</v>
      </c>
    </row>
    <row customHeight="1" ht="15">
      <c r="A16" s="2963" t="s">
        <v>102</v>
      </c>
      <c r="B16" s="1256"/>
      <c r="C16" s="902" t="s">
        <v>103</v>
      </c>
      <c r="D16" s="1913"/>
      <c r="E16" s="1900" t="str">
        <f>A16</f>
        <v>2</v>
      </c>
      <c r="F16" s="905" t="s">
        <v>108</v>
      </c>
      <c r="G16" s="647" t="str">
        <f>"Территория "&amp;E16</f>
        <v>Территория 2</v>
      </c>
      <c r="H16" s="893"/>
      <c r="I16" s="893"/>
      <c r="J16" s="890"/>
      <c r="N16" s="334"/>
      <c r="T16" s="1914"/>
      <c r="U16" s="1914"/>
      <c r="V16" s="1914"/>
      <c r="W16" s="1914"/>
      <c r="X16" s="1914"/>
      <c r="Y16" s="1914"/>
      <c r="Z16" s="1914"/>
      <c r="AA16" s="1914"/>
      <c r="AB16" s="1914"/>
      <c r="AC16" s="1914"/>
    </row>
    <row customHeight="1" ht="15">
      <c r="A17" s="2963"/>
      <c r="B17" s="1256">
        <v>1</v>
      </c>
      <c r="C17" s="1256"/>
      <c r="D17" s="901"/>
      <c r="E17" s="1908" t="str">
        <f>A16&amp;"."&amp;B17</f>
        <v>2.1</v>
      </c>
      <c r="F17" s="904" t="s">
        <v>109</v>
      </c>
      <c r="G17" s="894" t="s">
        <v>110</v>
      </c>
      <c r="H17" s="894" t="s">
        <v>110</v>
      </c>
      <c r="I17" s="892" t="s">
        <v>111</v>
      </c>
      <c r="K17" s="1732"/>
      <c r="L17" s="1732"/>
      <c r="M17" s="1720" t="str">
        <f t="array" ref="M17:M17">IF(ISERROR(MATCH(MID(N17,1,250),MID(note_ter,1,250),0)),"n","y")</f>
        <v>n</v>
      </c>
      <c r="N17" s="1732"/>
      <c r="O17" s="1720" t="str">
        <f>H17&amp;"("&amp;I17&amp;")"</f>
        <v>Город Комсомольск-на-Амуре(08709000)</v>
      </c>
      <c r="P17" s="1256"/>
      <c r="Q17" s="1256"/>
      <c r="R17" s="527"/>
      <c r="S17" s="1256"/>
      <c r="T17" s="1256"/>
      <c r="U17" s="1256"/>
      <c r="V17" s="529"/>
      <c r="W17" s="529"/>
      <c r="X17" s="526"/>
      <c r="Y17" s="526"/>
      <c r="Z17" s="526"/>
      <c r="AA17" s="526"/>
      <c r="AB17" s="526"/>
      <c r="AC17" s="526"/>
    </row>
    <row customHeight="1" ht="15">
      <c r="A18" s="2963"/>
      <c r="B18" s="1256"/>
      <c r="C18" s="519"/>
      <c r="D18" s="902"/>
      <c r="E18" s="528"/>
      <c r="F18" s="285"/>
      <c r="G18" s="522" t="s">
        <v>107</v>
      </c>
      <c r="H18" s="295"/>
      <c r="I18" s="531"/>
      <c r="J18" s="1732"/>
      <c r="K18" s="1732"/>
      <c r="L18" s="1732"/>
      <c r="M18" s="1732"/>
      <c r="O18" s="1732"/>
      <c r="P18" s="1256"/>
      <c r="Q18" s="1256"/>
      <c r="R18" s="527"/>
      <c r="S18" s="1256"/>
      <c r="T18" s="1256"/>
      <c r="U18" s="1256"/>
      <c r="V18" s="529"/>
      <c r="W18" s="529"/>
      <c r="X18" s="526"/>
      <c r="Y18" s="526"/>
      <c r="Z18" s="526"/>
      <c r="AA18" s="526"/>
      <c r="AB18" s="526"/>
      <c r="AC18" s="526"/>
    </row>
    <row customHeight="1" ht="15">
      <c r="A19" s="2963" t="s">
        <v>90</v>
      </c>
      <c r="B19" s="1256"/>
      <c r="C19" s="902" t="s">
        <v>103</v>
      </c>
      <c r="D19" s="1913"/>
      <c r="E19" s="1900" t="str">
        <f>A19</f>
        <v>3</v>
      </c>
      <c r="F19" s="905" t="s">
        <v>112</v>
      </c>
      <c r="G19" s="647" t="str">
        <f>"Территория "&amp;E19</f>
        <v>Территория 3</v>
      </c>
      <c r="H19" s="893"/>
      <c r="I19" s="893"/>
      <c r="J19" s="890"/>
      <c r="N19" s="334"/>
      <c r="T19" s="1914"/>
      <c r="U19" s="1914"/>
      <c r="V19" s="1914"/>
      <c r="W19" s="1914"/>
      <c r="X19" s="1914"/>
      <c r="Y19" s="1914"/>
      <c r="Z19" s="1914"/>
      <c r="AA19" s="1914"/>
      <c r="AB19" s="1914"/>
      <c r="AC19" s="1914"/>
    </row>
    <row customHeight="1" ht="15">
      <c r="A20" s="2963"/>
      <c r="B20" s="1256">
        <v>1</v>
      </c>
      <c r="C20" s="1256"/>
      <c r="D20" s="901"/>
      <c r="E20" s="1908" t="str">
        <f>A19&amp;"."&amp;B20</f>
        <v>3.1</v>
      </c>
      <c r="F20" s="904" t="s">
        <v>91</v>
      </c>
      <c r="G20" s="894" t="s">
        <v>113</v>
      </c>
      <c r="H20" s="894" t="s">
        <v>114</v>
      </c>
      <c r="I20" s="892" t="s">
        <v>115</v>
      </c>
      <c r="K20" s="1732"/>
      <c r="L20" s="1732"/>
      <c r="M20" s="1720" t="str">
        <f t="array" ref="M20:M20">IF(ISERROR(MATCH(MID(N20,1,250),MID(note_ter,1,250),0)),"n","y")</f>
        <v>n</v>
      </c>
      <c r="N20" s="1732"/>
      <c r="O20" s="1720" t="str">
        <f>H20&amp;"("&amp;I20&amp;")"</f>
        <v>Город Амурск(08603101)</v>
      </c>
      <c r="P20" s="1256"/>
      <c r="Q20" s="1256"/>
      <c r="R20" s="527"/>
      <c r="S20" s="1256"/>
      <c r="T20" s="1256"/>
      <c r="U20" s="1256"/>
      <c r="V20" s="529"/>
      <c r="W20" s="529"/>
      <c r="X20" s="526"/>
      <c r="Y20" s="526"/>
      <c r="Z20" s="526"/>
      <c r="AA20" s="526"/>
      <c r="AB20" s="526"/>
      <c r="AC20" s="526"/>
    </row>
    <row customHeight="1" ht="15">
      <c r="A21" s="2963"/>
      <c r="B21" s="1256"/>
      <c r="C21" s="519"/>
      <c r="D21" s="902"/>
      <c r="E21" s="528"/>
      <c r="F21" s="285"/>
      <c r="G21" s="522" t="s">
        <v>107</v>
      </c>
      <c r="H21" s="295"/>
      <c r="I21" s="531"/>
      <c r="J21" s="1732"/>
      <c r="K21" s="1732"/>
      <c r="L21" s="1732"/>
      <c r="M21" s="1732"/>
      <c r="O21" s="1732"/>
      <c r="P21" s="1256"/>
      <c r="Q21" s="1256"/>
      <c r="R21" s="527"/>
      <c r="S21" s="1256"/>
      <c r="T21" s="1256"/>
      <c r="U21" s="1256"/>
      <c r="V21" s="529"/>
      <c r="W21" s="529"/>
      <c r="X21" s="526"/>
      <c r="Y21" s="526"/>
      <c r="Z21" s="526"/>
      <c r="AA21" s="526"/>
      <c r="AB21" s="526"/>
      <c r="AC21" s="526"/>
    </row>
    <row customHeight="1" ht="15">
      <c r="A22" s="2963" t="s">
        <v>91</v>
      </c>
      <c r="B22" s="1256"/>
      <c r="C22" s="902" t="s">
        <v>103</v>
      </c>
      <c r="D22" s="1913"/>
      <c r="E22" s="1900" t="str">
        <f>A22</f>
        <v>4</v>
      </c>
      <c r="F22" s="905" t="s">
        <v>116</v>
      </c>
      <c r="G22" s="647" t="str">
        <f>"Территория "&amp;E22</f>
        <v>Территория 4</v>
      </c>
      <c r="H22" s="893"/>
      <c r="I22" s="893"/>
      <c r="J22" s="890"/>
      <c r="N22" s="334"/>
      <c r="T22" s="1914"/>
      <c r="U22" s="1914"/>
      <c r="V22" s="1914"/>
      <c r="W22" s="1914"/>
      <c r="X22" s="1914"/>
      <c r="Y22" s="1914"/>
      <c r="Z22" s="1914"/>
      <c r="AA22" s="1914"/>
      <c r="AB22" s="1914"/>
      <c r="AC22" s="1914"/>
    </row>
    <row customHeight="1" ht="15">
      <c r="A23" s="2963"/>
      <c r="B23" s="1256">
        <v>1</v>
      </c>
      <c r="C23" s="1256"/>
      <c r="D23" s="901"/>
      <c r="E23" s="1908" t="str">
        <f>A22&amp;"."&amp;B23</f>
        <v>4.1</v>
      </c>
      <c r="F23" s="904" t="s">
        <v>117</v>
      </c>
      <c r="G23" s="894" t="s">
        <v>118</v>
      </c>
      <c r="H23" s="894" t="s">
        <v>119</v>
      </c>
      <c r="I23" s="892" t="s">
        <v>120</v>
      </c>
      <c r="K23" s="1732"/>
      <c r="L23" s="1732"/>
      <c r="M23" s="1720" t="str">
        <f t="array" ref="M23:M23">IF(ISERROR(MATCH(MID(N23,1,250),MID(note_ter,1,250),0)),"n","y")</f>
        <v>n</v>
      </c>
      <c r="N23" s="1732"/>
      <c r="O23" s="1720" t="str">
        <f>H23&amp;"("&amp;I23&amp;")"</f>
        <v>Поселок Майский(08642165)</v>
      </c>
      <c r="P23" s="1256"/>
      <c r="Q23" s="1256"/>
      <c r="R23" s="527"/>
      <c r="S23" s="1256"/>
      <c r="T23" s="1256"/>
      <c r="U23" s="1256"/>
      <c r="V23" s="529"/>
      <c r="W23" s="529"/>
      <c r="X23" s="526"/>
      <c r="Y23" s="526"/>
      <c r="Z23" s="526"/>
      <c r="AA23" s="526"/>
      <c r="AB23" s="526"/>
      <c r="AC23" s="526"/>
    </row>
    <row customHeight="1" ht="15">
      <c r="A24" s="2963"/>
      <c r="B24" s="1256"/>
      <c r="C24" s="519"/>
      <c r="D24" s="902"/>
      <c r="E24" s="528"/>
      <c r="F24" s="285"/>
      <c r="G24" s="522" t="s">
        <v>107</v>
      </c>
      <c r="H24" s="295"/>
      <c r="I24" s="531"/>
      <c r="J24" s="1732"/>
      <c r="K24" s="1732"/>
      <c r="L24" s="1732"/>
      <c r="M24" s="1732"/>
      <c r="O24" s="1732"/>
      <c r="P24" s="1256"/>
      <c r="Q24" s="1256"/>
      <c r="R24" s="527"/>
      <c r="S24" s="1256"/>
      <c r="T24" s="1256"/>
      <c r="U24" s="1256"/>
      <c r="V24" s="529"/>
      <c r="W24" s="529"/>
      <c r="X24" s="526"/>
      <c r="Y24" s="526"/>
      <c r="Z24" s="526"/>
      <c r="AA24" s="526"/>
      <c r="AB24" s="526"/>
      <c r="AC24" s="526"/>
    </row>
    <row customHeight="1" ht="15">
      <c r="A25" s="2963" t="s">
        <v>121</v>
      </c>
      <c r="B25" s="1256"/>
      <c r="C25" s="902" t="s">
        <v>103</v>
      </c>
      <c r="D25" s="1913"/>
      <c r="E25" s="1900" t="str">
        <f>A25</f>
        <v>5</v>
      </c>
      <c r="F25" s="905" t="s">
        <v>122</v>
      </c>
      <c r="G25" s="647" t="str">
        <f>"Территория "&amp;E25</f>
        <v>Территория 5</v>
      </c>
      <c r="H25" s="893"/>
      <c r="I25" s="893"/>
      <c r="J25" s="890"/>
      <c r="N25" s="334"/>
      <c r="T25" s="1914"/>
      <c r="U25" s="1914"/>
      <c r="V25" s="1914"/>
      <c r="W25" s="1914"/>
      <c r="X25" s="1914"/>
      <c r="Y25" s="1914"/>
      <c r="Z25" s="1914"/>
      <c r="AA25" s="1914"/>
      <c r="AB25" s="1914"/>
      <c r="AC25" s="1914"/>
    </row>
    <row customHeight="1" ht="15">
      <c r="A26" s="2963"/>
      <c r="B26" s="1256">
        <v>1</v>
      </c>
      <c r="C26" s="1256"/>
      <c r="D26" s="901"/>
      <c r="E26" s="1908" t="str">
        <f>A25&amp;"."&amp;B26</f>
        <v>5.1</v>
      </c>
      <c r="F26" s="904" t="s">
        <v>123</v>
      </c>
      <c r="G26" s="894" t="s">
        <v>124</v>
      </c>
      <c r="H26" s="894" t="s">
        <v>125</v>
      </c>
      <c r="I26" s="892" t="s">
        <v>126</v>
      </c>
      <c r="K26" s="1732"/>
      <c r="L26" s="1732"/>
      <c r="M26" s="1720" t="str">
        <f t="array" ref="M26:M26">IF(ISERROR(MATCH(MID(N26,1,250),MID(note_ter,1,250),0)),"n","y")</f>
        <v>n</v>
      </c>
      <c r="N26" s="1732"/>
      <c r="O26" s="1720" t="str">
        <f>H26&amp;"("&amp;I26&amp;")"</f>
        <v>Город Николаевск-на-Амуре(08631101)</v>
      </c>
      <c r="P26" s="1256"/>
      <c r="Q26" s="1256"/>
      <c r="R26" s="527"/>
      <c r="S26" s="1256"/>
      <c r="T26" s="1256"/>
      <c r="U26" s="1256"/>
      <c r="V26" s="529"/>
      <c r="W26" s="529"/>
      <c r="X26" s="526"/>
      <c r="Y26" s="526"/>
      <c r="Z26" s="526"/>
      <c r="AA26" s="526"/>
      <c r="AB26" s="526"/>
      <c r="AC26" s="526"/>
    </row>
    <row customHeight="1" ht="15">
      <c r="A27" s="2963"/>
      <c r="B27" s="1256"/>
      <c r="C27" s="519"/>
      <c r="D27" s="902"/>
      <c r="E27" s="528"/>
      <c r="F27" s="285"/>
      <c r="G27" s="522" t="s">
        <v>107</v>
      </c>
      <c r="H27" s="295"/>
      <c r="I27" s="531"/>
      <c r="J27" s="1732"/>
      <c r="K27" s="1732"/>
      <c r="L27" s="1732"/>
      <c r="M27" s="1732"/>
      <c r="O27" s="1732"/>
      <c r="P27" s="1256"/>
      <c r="Q27" s="1256"/>
      <c r="R27" s="527"/>
      <c r="S27" s="1256"/>
      <c r="T27" s="1256"/>
      <c r="U27" s="1256"/>
      <c r="V27" s="529"/>
      <c r="W27" s="529"/>
      <c r="X27" s="526"/>
      <c r="Y27" s="526"/>
      <c r="Z27" s="526"/>
      <c r="AA27" s="526"/>
      <c r="AB27" s="526"/>
      <c r="AC27" s="526"/>
    </row>
    <row customHeight="1" ht="15">
      <c r="A28" s="2963" t="s">
        <v>92</v>
      </c>
      <c r="B28" s="1256"/>
      <c r="C28" s="902" t="s">
        <v>103</v>
      </c>
      <c r="D28" s="1913"/>
      <c r="E28" s="1900" t="str">
        <f>A28</f>
        <v>6</v>
      </c>
      <c r="F28" s="905" t="s">
        <v>127</v>
      </c>
      <c r="G28" s="647" t="str">
        <f>"Территория "&amp;E28</f>
        <v>Территория 6</v>
      </c>
      <c r="H28" s="893"/>
      <c r="I28" s="893"/>
      <c r="J28" s="890"/>
      <c r="N28" s="334"/>
      <c r="T28" s="1914"/>
      <c r="U28" s="1914"/>
      <c r="V28" s="1914"/>
      <c r="W28" s="1914"/>
      <c r="X28" s="1914"/>
      <c r="Y28" s="1914"/>
      <c r="Z28" s="1914"/>
      <c r="AA28" s="1914"/>
      <c r="AB28" s="1914"/>
      <c r="AC28" s="1914"/>
    </row>
    <row customHeight="1" ht="15">
      <c r="A29" s="2963"/>
      <c r="B29" s="1256">
        <v>1</v>
      </c>
      <c r="C29" s="1256"/>
      <c r="D29" s="901"/>
      <c r="E29" s="1908" t="str">
        <f>A28&amp;"."&amp;B29</f>
        <v>6.1</v>
      </c>
      <c r="F29" s="904" t="s">
        <v>128</v>
      </c>
      <c r="G29" s="894" t="s">
        <v>129</v>
      </c>
      <c r="H29" s="894" t="s">
        <v>130</v>
      </c>
      <c r="I29" s="892" t="s">
        <v>131</v>
      </c>
      <c r="K29" s="1732"/>
      <c r="L29" s="1732"/>
      <c r="M29" s="1720" t="str">
        <f t="array" ref="M29:M29">IF(ISERROR(MATCH(MID(N29,1,250),MID(note_ter,1,250),0)),"n","y")</f>
        <v>n</v>
      </c>
      <c r="N29" s="1732"/>
      <c r="O29" s="1720" t="str">
        <f>H29&amp;"("&amp;I29&amp;")"</f>
        <v>Поселок Чегдомын(08614151)</v>
      </c>
      <c r="P29" s="1256"/>
      <c r="Q29" s="1256"/>
      <c r="R29" s="527"/>
      <c r="S29" s="1256"/>
      <c r="T29" s="1256"/>
      <c r="U29" s="1256"/>
      <c r="V29" s="529"/>
      <c r="W29" s="529"/>
      <c r="X29" s="526"/>
      <c r="Y29" s="526"/>
      <c r="Z29" s="526"/>
      <c r="AA29" s="526"/>
      <c r="AB29" s="526"/>
      <c r="AC29" s="526"/>
    </row>
    <row customHeight="1" ht="15">
      <c r="A30" s="2963"/>
      <c r="B30" s="1256"/>
      <c r="C30" s="519"/>
      <c r="D30" s="902"/>
      <c r="E30" s="528"/>
      <c r="F30" s="285"/>
      <c r="G30" s="522" t="s">
        <v>107</v>
      </c>
      <c r="H30" s="295"/>
      <c r="I30" s="531"/>
      <c r="J30" s="1732"/>
      <c r="K30" s="1732"/>
      <c r="L30" s="1732"/>
      <c r="M30" s="1732"/>
      <c r="O30" s="1732"/>
      <c r="P30" s="1256"/>
      <c r="Q30" s="1256"/>
      <c r="R30" s="527"/>
      <c r="S30" s="1256"/>
      <c r="T30" s="1256"/>
      <c r="U30" s="1256"/>
      <c r="V30" s="529"/>
      <c r="W30" s="529"/>
      <c r="X30" s="526"/>
      <c r="Y30" s="526"/>
      <c r="Z30" s="526"/>
      <c r="AA30" s="526"/>
      <c r="AB30" s="526"/>
      <c r="AC30" s="526"/>
    </row>
    <row customHeight="1" ht="15">
      <c r="A31" s="2963" t="s">
        <v>93</v>
      </c>
      <c r="B31" s="1256"/>
      <c r="C31" s="902" t="s">
        <v>103</v>
      </c>
      <c r="D31" s="1913"/>
      <c r="E31" s="1900" t="str">
        <f>A31</f>
        <v>7</v>
      </c>
      <c r="F31" s="905" t="s">
        <v>132</v>
      </c>
      <c r="G31" s="647" t="str">
        <f>"Территория "&amp;E31</f>
        <v>Территория 7</v>
      </c>
      <c r="H31" s="893"/>
      <c r="I31" s="893"/>
      <c r="J31" s="890"/>
      <c r="N31" s="334"/>
      <c r="T31" s="1914"/>
      <c r="U31" s="1914"/>
      <c r="V31" s="1914"/>
      <c r="W31" s="1914"/>
      <c r="X31" s="1914"/>
      <c r="Y31" s="1914"/>
      <c r="Z31" s="1914"/>
      <c r="AA31" s="1914"/>
      <c r="AB31" s="1914"/>
      <c r="AC31" s="1914"/>
    </row>
    <row customHeight="1" ht="15">
      <c r="A32" s="2963"/>
      <c r="B32" s="1256">
        <v>1</v>
      </c>
      <c r="C32" s="1256"/>
      <c r="D32" s="901"/>
      <c r="E32" s="1908" t="str">
        <f>A31&amp;"."&amp;B32</f>
        <v>7.1</v>
      </c>
      <c r="F32" s="904" t="s">
        <v>133</v>
      </c>
      <c r="G32" s="894" t="s">
        <v>118</v>
      </c>
      <c r="H32" s="894" t="s">
        <v>134</v>
      </c>
      <c r="I32" s="892" t="s">
        <v>135</v>
      </c>
      <c r="K32" s="1732"/>
      <c r="L32" s="1732"/>
      <c r="M32" s="1720" t="str">
        <f t="array" ref="M32:M32">IF(ISERROR(MATCH(MID(N32,1,250),MID(note_ter,1,250),0)),"n","y")</f>
        <v>n</v>
      </c>
      <c r="N32" s="1732"/>
      <c r="O32" s="1720" t="str">
        <f>H32&amp;"("&amp;I32&amp;")"</f>
        <v>Город Советская Гавань(08642101)</v>
      </c>
      <c r="P32" s="1256"/>
      <c r="Q32" s="1256"/>
      <c r="R32" s="527"/>
      <c r="S32" s="1256"/>
      <c r="T32" s="1256"/>
      <c r="U32" s="1256"/>
      <c r="V32" s="529"/>
      <c r="W32" s="529"/>
      <c r="X32" s="526"/>
      <c r="Y32" s="526"/>
      <c r="Z32" s="526"/>
      <c r="AA32" s="526"/>
      <c r="AB32" s="526"/>
      <c r="AC32" s="526"/>
    </row>
    <row customHeight="1" ht="15">
      <c r="A33" s="2963"/>
      <c r="B33" s="1256"/>
      <c r="C33" s="519"/>
      <c r="D33" s="902"/>
      <c r="E33" s="528"/>
      <c r="F33" s="285"/>
      <c r="G33" s="522" t="s">
        <v>107</v>
      </c>
      <c r="H33" s="295"/>
      <c r="I33" s="531"/>
      <c r="J33" s="1732"/>
      <c r="K33" s="1732"/>
      <c r="L33" s="1732"/>
      <c r="M33" s="1732"/>
      <c r="O33" s="1732"/>
      <c r="P33" s="1256"/>
      <c r="Q33" s="1256"/>
      <c r="R33" s="527"/>
      <c r="S33" s="1256"/>
      <c r="T33" s="1256"/>
      <c r="U33" s="1256"/>
      <c r="V33" s="529"/>
      <c r="W33" s="529"/>
      <c r="X33" s="526"/>
      <c r="Y33" s="526"/>
      <c r="Z33" s="526"/>
      <c r="AA33" s="526"/>
      <c r="AB33" s="526"/>
      <c r="AC33" s="526"/>
    </row>
    <row customHeight="1" ht="15">
      <c r="A34" s="2963" t="s">
        <v>136</v>
      </c>
      <c r="B34" s="1256"/>
      <c r="C34" s="902" t="s">
        <v>103</v>
      </c>
      <c r="D34" s="1913"/>
      <c r="E34" s="1900" t="str">
        <f>A34</f>
        <v>8</v>
      </c>
      <c r="F34" s="905" t="s">
        <v>137</v>
      </c>
      <c r="G34" s="647" t="str">
        <f>"Территория "&amp;E34</f>
        <v>Территория 8</v>
      </c>
      <c r="H34" s="893"/>
      <c r="I34" s="893"/>
      <c r="J34" s="890"/>
      <c r="N34" s="334"/>
      <c r="T34" s="1914"/>
      <c r="U34" s="1914"/>
      <c r="V34" s="1914"/>
      <c r="W34" s="1914"/>
      <c r="X34" s="1914"/>
      <c r="Y34" s="1914"/>
      <c r="Z34" s="1914"/>
      <c r="AA34" s="1914"/>
      <c r="AB34" s="1914"/>
      <c r="AC34" s="1914"/>
    </row>
    <row customHeight="1" ht="15">
      <c r="A35" s="2963"/>
      <c r="B35" s="1256">
        <v>1</v>
      </c>
      <c r="C35" s="1256"/>
      <c r="D35" s="901"/>
      <c r="E35" s="1908" t="str">
        <f>A34&amp;"."&amp;B35</f>
        <v>8.1</v>
      </c>
      <c r="F35" s="904" t="s">
        <v>99</v>
      </c>
      <c r="G35" s="894" t="s">
        <v>100</v>
      </c>
      <c r="H35" s="894" t="s">
        <v>100</v>
      </c>
      <c r="I35" s="892" t="s">
        <v>101</v>
      </c>
      <c r="K35" s="1732"/>
      <c r="L35" s="1732"/>
      <c r="M35" s="1720" t="str">
        <f t="array" ref="M35:M35">IF(ISERROR(MATCH(MID(N35,1,250),MID(note_ter,1,250),0)),"n","y")</f>
        <v>n</v>
      </c>
      <c r="N35" s="1732"/>
      <c r="O35" s="1720" t="str">
        <f>H35&amp;"("&amp;I35&amp;")"</f>
        <v>Город Хабаровск(08701000)</v>
      </c>
      <c r="P35" s="1256"/>
      <c r="Q35" s="1256"/>
      <c r="R35" s="527"/>
      <c r="S35" s="1256"/>
      <c r="T35" s="1256"/>
      <c r="U35" s="1256"/>
      <c r="V35" s="529"/>
      <c r="W35" s="529"/>
      <c r="X35" s="526"/>
      <c r="Y35" s="526"/>
      <c r="Z35" s="526"/>
      <c r="AA35" s="526"/>
      <c r="AB35" s="526"/>
      <c r="AC35" s="526"/>
    </row>
    <row customHeight="1" ht="15">
      <c r="A36" s="2963"/>
      <c r="B36" s="1256"/>
      <c r="C36" s="519"/>
      <c r="D36" s="902"/>
      <c r="E36" s="528"/>
      <c r="F36" s="285"/>
      <c r="G36" s="522" t="s">
        <v>107</v>
      </c>
      <c r="H36" s="295"/>
      <c r="I36" s="531"/>
      <c r="J36" s="1732"/>
      <c r="K36" s="1732"/>
      <c r="L36" s="1732"/>
      <c r="M36" s="1732"/>
      <c r="O36" s="1732"/>
      <c r="P36" s="1256"/>
      <c r="Q36" s="1256"/>
      <c r="R36" s="527"/>
      <c r="S36" s="1256"/>
      <c r="T36" s="1256"/>
      <c r="U36" s="1256"/>
      <c r="V36" s="529"/>
      <c r="W36" s="529"/>
      <c r="X36" s="526"/>
      <c r="Y36" s="526"/>
      <c r="Z36" s="526"/>
      <c r="AA36" s="526"/>
      <c r="AB36" s="526"/>
      <c r="AC36" s="526"/>
    </row>
    <row s="10322" customFormat="1" customHeight="1" ht="14.699999999999998">
      <c r="A37" s="863"/>
      <c r="B37" s="524"/>
      <c r="C37" s="863"/>
      <c r="D37" s="883"/>
      <c r="E37" s="895"/>
      <c r="F37" s="286"/>
      <c r="G37" s="523" t="s">
        <v>138</v>
      </c>
      <c r="H37" s="286"/>
      <c r="I37" s="287"/>
      <c r="J37" s="357"/>
      <c r="K37" s="263"/>
      <c r="L37" s="263"/>
      <c r="M37" s="263"/>
      <c r="N37" s="334" t="s">
        <v>139</v>
      </c>
      <c r="O37" s="263"/>
      <c r="P37" s="333"/>
      <c r="Q37" s="333"/>
      <c r="R37" s="333"/>
      <c r="S37" s="333"/>
      <c r="AC37" s="226">
        <v>14</v>
      </c>
    </row>
    <row s="10322" customFormat="1" customHeight="1" ht="22.049999999999997">
      <c r="A38" s="863"/>
      <c r="B38" s="524"/>
      <c r="C38" s="863"/>
      <c r="D38" s="273"/>
      <c r="E38" s="288"/>
      <c r="F38" s="288"/>
      <c r="G38" s="288"/>
      <c r="H38" s="288"/>
      <c r="I38" s="288"/>
      <c r="J38" s="263"/>
      <c r="K38" s="263"/>
      <c r="L38" s="263"/>
      <c r="M38" s="263"/>
      <c r="N38" s="334"/>
      <c r="O38" s="263"/>
      <c r="P38" s="333"/>
      <c r="Q38" s="333"/>
      <c r="R38" s="333"/>
      <c r="S38" s="333"/>
      <c r="AC38" s="226">
        <v>21</v>
      </c>
    </row>
    <row s="10322" customFormat="1" customHeight="1" ht="14.699999999999998">
      <c r="A39" s="863"/>
      <c r="B39" s="524"/>
      <c r="C39" s="863"/>
      <c r="D39" s="273"/>
      <c r="E39" s="194"/>
      <c r="F39" s="863"/>
      <c r="G39" s="194"/>
      <c r="H39" s="194"/>
      <c r="I39" s="194"/>
      <c r="J39" s="263"/>
      <c r="K39" s="263"/>
      <c r="L39" s="263"/>
      <c r="M39" s="263"/>
      <c r="N39" s="334"/>
      <c r="O39" s="263"/>
      <c r="P39" s="333"/>
      <c r="Q39" s="333"/>
      <c r="R39" s="333"/>
      <c r="S39" s="333"/>
      <c r="AC39" s="226">
        <v>14</v>
      </c>
    </row>
    <row s="10322" customFormat="1" customHeight="1" ht="1.05">
      <c r="A40" s="863"/>
      <c r="B40" s="524"/>
      <c r="C40" s="863"/>
      <c r="D40" s="273"/>
      <c r="E40" s="194"/>
      <c r="F40" s="863"/>
      <c r="G40" s="194"/>
      <c r="H40" s="194"/>
      <c r="I40" s="194"/>
      <c r="J40" s="263"/>
      <c r="K40" s="263"/>
      <c r="L40" s="263"/>
      <c r="M40" s="263"/>
      <c r="N40" s="334"/>
      <c r="O40" s="263"/>
      <c r="P40" s="333"/>
      <c r="Q40" s="333"/>
      <c r="R40" s="333"/>
      <c r="S40" s="333"/>
      <c r="AC40" s="226">
        <v>1</v>
      </c>
    </row>
    <row s="10404" customFormat="1" customHeight="1" ht="10.5">
      <c r="B41" s="935"/>
      <c r="D41" s="290"/>
      <c r="J41" s="263"/>
      <c r="K41" s="263"/>
      <c r="L41" s="263"/>
      <c r="M41" s="263"/>
      <c r="N41" s="334"/>
      <c r="O41" s="263"/>
      <c r="P41" s="333"/>
      <c r="Q41" s="333"/>
      <c r="R41" s="333"/>
      <c r="S41" s="333"/>
      <c r="AC41" s="289">
        <v>10</v>
      </c>
    </row>
    <row s="10404" customFormat="1" customHeight="1" ht="10.5">
      <c r="B42" s="935"/>
      <c r="D42" s="290"/>
      <c r="J42" s="263"/>
      <c r="K42" s="263"/>
      <c r="L42" s="263"/>
      <c r="M42" s="263"/>
      <c r="N42" s="334"/>
      <c r="O42" s="263"/>
      <c r="P42" s="333"/>
      <c r="Q42" s="333"/>
      <c r="R42" s="333"/>
      <c r="S42" s="333"/>
      <c r="AC42" s="289">
        <v>10</v>
      </c>
    </row>
    <row customHeight="1" ht="14.699999999999998">
      <c r="AC43" s="194">
        <v>14</v>
      </c>
    </row>
    <row customHeight="1" ht="14.699999999999998">
      <c r="AC44" s="194">
        <v>14</v>
      </c>
    </row>
    <row customHeight="1" ht="14.699999999999998">
      <c r="AC45" s="194">
        <v>14</v>
      </c>
    </row>
    <row customHeight="1" ht="14.699999999999998">
      <c r="H46" s="175"/>
      <c r="AC46" s="194">
        <v>14</v>
      </c>
    </row>
    <row customHeight="1" ht="14.699999999999998">
      <c r="AC47" s="194">
        <v>14</v>
      </c>
    </row>
    <row customHeight="1" ht="14.699999999999998">
      <c r="AC48" s="194">
        <v>14</v>
      </c>
    </row>
    <row customHeight="1" ht="14.699999999999998">
      <c r="AC49" s="194">
        <v>14</v>
      </c>
    </row>
    <row customHeight="1" ht="14.699999999999998">
      <c r="J50" s="194"/>
      <c r="K50" s="194"/>
      <c r="L50" s="194"/>
      <c r="AC50" s="194">
        <v>14</v>
      </c>
    </row>
    <row customHeight="1" ht="22.5" hidden="1">
      <c r="A51" s="863" t="s">
        <v>82</v>
      </c>
      <c r="B51" s="524">
        <v>0</v>
      </c>
      <c r="C51" s="863">
        <v>3</v>
      </c>
      <c r="D51" s="273">
        <v>3</v>
      </c>
      <c r="E51" s="194">
        <v>6</v>
      </c>
      <c r="F51" s="863">
        <v>0</v>
      </c>
      <c r="G51" s="194">
        <v>46</v>
      </c>
      <c r="H51" s="194">
        <v>42</v>
      </c>
      <c r="I51" s="194">
        <v>14</v>
      </c>
      <c r="J51" s="263">
        <v>3</v>
      </c>
      <c r="K51" s="263">
        <v>0</v>
      </c>
      <c r="L51" s="263">
        <v>0</v>
      </c>
      <c r="M51" s="263">
        <v>0</v>
      </c>
      <c r="N51" s="334">
        <v>0</v>
      </c>
      <c r="O51" s="263">
        <v>0</v>
      </c>
      <c r="P51" s="333">
        <v>0</v>
      </c>
      <c r="Q51" s="333">
        <v>0</v>
      </c>
      <c r="R51" s="333">
        <v>0</v>
      </c>
      <c r="S51" s="333">
        <v>0</v>
      </c>
      <c r="T51" s="194">
        <v>0</v>
      </c>
      <c r="U51" s="194">
        <v>0</v>
      </c>
      <c r="V51" s="194">
        <v>0</v>
      </c>
      <c r="W51" s="194">
        <v>0</v>
      </c>
      <c r="X51" s="194">
        <v>0</v>
      </c>
      <c r="Y51" s="194">
        <v>0</v>
      </c>
      <c r="Z51" s="194">
        <v>0</v>
      </c>
      <c r="AA51" s="194">
        <v>0</v>
      </c>
      <c r="AB51" s="194">
        <v>8</v>
      </c>
      <c r="AC51" s="194">
        <v>23</v>
      </c>
    </row>
  </sheetData>
  <sheetProtection formatColumns="0" formatRows="0" autoFilter="0" sort="0" insertRows="0" insertColumns="1" deleteRows="0" deleteColumns="0"/>
  <mergeCells count="11">
    <mergeCell ref="A34:A36"/>
    <mergeCell ref="A19:A21"/>
    <mergeCell ref="A22:A24"/>
    <mergeCell ref="A25:A27"/>
    <mergeCell ref="A28:A30"/>
    <mergeCell ref="A31:A33"/>
    <mergeCell ref="A12:A15"/>
    <mergeCell ref="E4:I4"/>
    <mergeCell ref="E8:G8"/>
    <mergeCell ref="H8:I8"/>
    <mergeCell ref="A16:A18"/>
  </mergeCells>
  <dataValidations count="1">
    <dataValidation type="textLength" operator="lessThanOrEqual" allowBlank="1" showInputMessage="1" showErrorMessage="1" errorTitle="Ошибка" error="Допускается ввод не более 900 символов!" sqref="G12 G34 G31 G28 G25 G22 G19 G16">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0072B-6F9E-4235-FE5F-FD732530F803}" mc:Ignorable="x14ac xr xr2 xr3">
  <sheetPr>
    <tabColor rgb="FFCCCCFF"/>
  </sheetPr>
  <dimension ref="A1:AP64"/>
  <sheetViews>
    <sheetView topLeftCell="A1" showGridLines="0" zoomScale="90" workbookViewId="0">
      <selection activeCell="E60" sqref="E60:E62"/>
    </sheetView>
  </sheetViews>
  <sheetFormatPr defaultColWidth="9.140625" customHeight="1" defaultRowHeight="11.25"/>
  <cols>
    <col min="1" max="1" style="10446" width="6.421875" hidden="1" customWidth="1"/>
    <col min="2" max="2" style="10446" width="2.00390625" hidden="1" customWidth="1"/>
    <col min="3" max="3" style="10446" width="3.00390625" customWidth="1"/>
    <col min="4" max="4" style="10446" width="4.00390625" customWidth="1"/>
    <col min="5" max="5" style="10446" width="44.00390625" customWidth="1"/>
    <col min="6" max="6" style="10446" width="6.421875" customWidth="1"/>
    <col min="7" max="7" style="10446" width="4.00390625" customWidth="1"/>
    <col min="8" max="8" style="10446" width="5.00390625" customWidth="1"/>
    <col min="9" max="9" style="10446" width="52.00390625" customWidth="1"/>
    <col min="10" max="10" style="10446" width="7.00390625" customWidth="1"/>
    <col min="11" max="11" style="10446" width="3.00390625" customWidth="1"/>
    <col min="12" max="12" style="10446" width="6.00390625" customWidth="1"/>
    <col min="13" max="13" style="10446" width="56.00390625" customWidth="1"/>
    <col min="14" max="14" style="10521" width="8.00390625" customWidth="1"/>
    <col min="15" max="20" style="10410" width="9.140625" hidden="1"/>
    <col min="21" max="24" style="10522" width="9.140625" hidden="1"/>
    <col min="25" max="37" style="10521" width="9.140625" hidden="1"/>
    <col min="38" max="38" style="10521" width="8.00390625" customWidth="1"/>
    <col min="39" max="39" style="10446" width="9.140625" hidden="1"/>
  </cols>
  <sheetData>
    <row customHeight="1" ht="11.25" hidden="1">
      <c r="AM1" s="690" t="s">
        <v>14</v>
      </c>
    </row>
    <row customHeight="1" ht="11.25" hidden="1">
      <c r="AM2" s="690">
        <v>0</v>
      </c>
    </row>
    <row customHeight="1" ht="11.549999999999999">
      <c r="AM3" s="690">
        <v>11</v>
      </c>
    </row>
    <row customHeight="1" ht="35.699999999999996">
      <c r="A4" s="692"/>
      <c r="B4" s="692"/>
      <c r="D4" s="297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972"/>
      <c r="F4" s="2972"/>
      <c r="G4" s="2972"/>
      <c r="H4" s="2972"/>
      <c r="I4" s="2973"/>
      <c r="J4" s="691"/>
      <c r="K4" s="691"/>
      <c r="L4" s="691"/>
      <c r="M4" s="691"/>
      <c r="AM4" s="690">
        <v>34</v>
      </c>
    </row>
    <row s="10418" customFormat="1" customHeight="1" ht="14.699999999999998">
      <c r="A5" s="692"/>
      <c r="B5" s="692"/>
      <c r="C5" s="692"/>
      <c r="D5" s="2974" t="str">
        <f>IF(org=0,"Не определено",org)</f>
        <v>АО "ДГК"</v>
      </c>
      <c r="E5" s="2975"/>
      <c r="F5" s="2975"/>
      <c r="G5" s="2975"/>
      <c r="H5" s="2975"/>
      <c r="I5" s="2976"/>
      <c r="J5" s="693"/>
      <c r="K5" s="693"/>
      <c r="L5" s="693"/>
      <c r="M5" s="693"/>
      <c r="N5" s="693"/>
      <c r="O5" s="971"/>
      <c r="P5" s="971"/>
      <c r="Q5" s="971"/>
      <c r="R5" s="971"/>
      <c r="S5" s="971"/>
      <c r="T5" s="971"/>
      <c r="U5" s="1357"/>
      <c r="V5" s="1357"/>
      <c r="W5" s="1357"/>
      <c r="X5" s="1357"/>
      <c r="Y5" s="693"/>
      <c r="Z5" s="693"/>
      <c r="AA5" s="693"/>
      <c r="AB5" s="693"/>
      <c r="AC5" s="693"/>
      <c r="AD5" s="693"/>
      <c r="AE5" s="693"/>
      <c r="AF5" s="693"/>
      <c r="AG5" s="693"/>
      <c r="AH5" s="693"/>
      <c r="AI5" s="693"/>
      <c r="AJ5" s="693"/>
      <c r="AK5" s="693"/>
      <c r="AL5" s="693"/>
      <c r="AM5" s="694">
        <v>14</v>
      </c>
    </row>
    <row s="10418" customFormat="1" customHeight="1" ht="6.3">
      <c r="A6" s="2962"/>
      <c r="B6" s="2962"/>
      <c r="C6" s="2962"/>
      <c r="D6" s="2962"/>
      <c r="E6" s="2962"/>
      <c r="F6" s="2962"/>
      <c r="G6" s="695"/>
      <c r="H6" s="695"/>
      <c r="I6" s="695"/>
      <c r="J6" s="695"/>
      <c r="K6" s="695"/>
      <c r="N6" s="697"/>
      <c r="O6" s="1510"/>
      <c r="P6" s="1510"/>
      <c r="Q6" s="1510"/>
      <c r="R6" s="1510"/>
      <c r="S6" s="1510"/>
      <c r="T6" s="1510"/>
      <c r="U6" s="1360"/>
      <c r="V6" s="1360"/>
      <c r="W6" s="1360"/>
      <c r="X6" s="1360"/>
      <c r="Y6" s="697"/>
      <c r="Z6" s="697"/>
      <c r="AA6" s="697"/>
      <c r="AB6" s="697"/>
      <c r="AC6" s="697"/>
      <c r="AD6" s="697"/>
      <c r="AE6" s="697"/>
      <c r="AF6" s="697"/>
      <c r="AG6" s="697"/>
      <c r="AH6" s="697"/>
      <c r="AI6" s="697"/>
      <c r="AJ6" s="697"/>
      <c r="AK6" s="697"/>
      <c r="AL6" s="697"/>
      <c r="AM6" s="696">
        <v>6</v>
      </c>
    </row>
    <row customHeight="1" ht="45.75" hidden="1">
      <c r="E7" s="298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82"/>
      <c r="G7" s="2982"/>
      <c r="H7" s="2982"/>
      <c r="I7" s="2982"/>
      <c r="J7" s="2982"/>
      <c r="K7" s="2982"/>
      <c r="L7" s="2982"/>
      <c r="M7" s="2982"/>
      <c r="AM7" s="690">
        <v>0</v>
      </c>
    </row>
    <row s="10418" customFormat="1" customHeight="1" ht="6.3">
      <c r="A8" s="698"/>
      <c r="B8" s="698"/>
      <c r="C8" s="698"/>
      <c r="D8" s="698"/>
      <c r="E8" s="698"/>
      <c r="F8" s="698"/>
      <c r="G8" s="698"/>
      <c r="H8" s="698"/>
      <c r="I8" s="698"/>
      <c r="J8" s="698"/>
      <c r="K8" s="698"/>
      <c r="L8" s="698"/>
      <c r="N8" s="693"/>
      <c r="O8" s="971"/>
      <c r="P8" s="971"/>
      <c r="Q8" s="971"/>
      <c r="R8" s="971"/>
      <c r="S8" s="971"/>
      <c r="T8" s="971"/>
      <c r="U8" s="1357"/>
      <c r="V8" s="1357"/>
      <c r="W8" s="1357"/>
      <c r="X8" s="1357"/>
      <c r="Y8" s="693"/>
      <c r="Z8" s="693"/>
      <c r="AA8" s="693"/>
      <c r="AB8" s="693"/>
      <c r="AC8" s="693"/>
      <c r="AD8" s="693"/>
      <c r="AE8" s="693"/>
      <c r="AF8" s="693"/>
      <c r="AG8" s="693"/>
      <c r="AH8" s="693"/>
      <c r="AI8" s="693"/>
      <c r="AJ8" s="693"/>
      <c r="AK8" s="693"/>
      <c r="AL8" s="693"/>
      <c r="AM8" s="694">
        <v>6</v>
      </c>
    </row>
    <row customHeight="1" ht="18.75">
      <c r="A9" s="2977"/>
      <c r="B9" s="431"/>
      <c r="C9" s="431"/>
      <c r="D9" s="2978" t="s">
        <v>140</v>
      </c>
      <c r="E9" s="2978"/>
      <c r="F9" s="2979" t="s">
        <v>141</v>
      </c>
      <c r="G9" s="2980"/>
      <c r="H9" s="2980"/>
      <c r="I9" s="2980"/>
      <c r="J9" s="2983" t="s">
        <v>142</v>
      </c>
      <c r="K9" s="2983"/>
      <c r="L9" s="2983"/>
      <c r="M9" s="2983"/>
      <c r="AM9" s="690">
        <v>18</v>
      </c>
    </row>
    <row customHeight="1" ht="24">
      <c r="A10" s="2977"/>
      <c r="B10" s="699"/>
      <c r="C10" s="632"/>
      <c r="D10" s="630" t="s">
        <v>88</v>
      </c>
      <c r="E10" s="630" t="s">
        <v>89</v>
      </c>
      <c r="F10" s="630" t="s">
        <v>143</v>
      </c>
      <c r="G10" s="2984" t="s">
        <v>88</v>
      </c>
      <c r="H10" s="2985"/>
      <c r="I10" s="630" t="s">
        <v>89</v>
      </c>
      <c r="J10" s="630" t="s">
        <v>143</v>
      </c>
      <c r="K10" s="2984" t="s">
        <v>88</v>
      </c>
      <c r="L10" s="2985"/>
      <c r="M10" s="630" t="s">
        <v>89</v>
      </c>
      <c r="N10" s="1723"/>
      <c r="AM10" s="690">
        <v>23</v>
      </c>
    </row>
    <row s="10446" customFormat="1" customHeight="1" ht="11.25" hidden="1">
      <c r="A11" s="700"/>
      <c r="B11" s="700"/>
      <c r="C11" s="700"/>
      <c r="D11" s="701" t="s">
        <v>144</v>
      </c>
      <c r="E11" s="701" t="s">
        <v>102</v>
      </c>
      <c r="F11" s="701" t="s">
        <v>90</v>
      </c>
      <c r="G11" s="2967" t="s">
        <v>91</v>
      </c>
      <c r="H11" s="2968"/>
      <c r="I11" s="701" t="s">
        <v>121</v>
      </c>
      <c r="J11" s="701" t="s">
        <v>92</v>
      </c>
      <c r="K11" s="2969" t="s">
        <v>93</v>
      </c>
      <c r="L11" s="2970"/>
      <c r="M11" s="701" t="s">
        <v>136</v>
      </c>
      <c r="N11" s="1722"/>
      <c r="O11" s="1509"/>
      <c r="P11" s="1511"/>
      <c r="Q11" s="1511"/>
      <c r="R11" s="1511"/>
      <c r="S11" s="1511"/>
      <c r="T11" s="1511"/>
      <c r="U11" s="1361"/>
      <c r="V11" s="1361"/>
      <c r="W11" s="1361"/>
      <c r="X11" s="1361"/>
      <c r="Y11" s="702"/>
      <c r="Z11" s="702"/>
      <c r="AA11" s="702"/>
      <c r="AB11" s="702"/>
      <c r="AC11" s="702"/>
      <c r="AD11" s="702"/>
      <c r="AE11" s="702"/>
      <c r="AF11" s="702"/>
      <c r="AG11" s="702"/>
      <c r="AH11" s="702"/>
      <c r="AI11" s="702"/>
      <c r="AJ11" s="702"/>
      <c r="AK11" s="702"/>
      <c r="AL11" s="702"/>
      <c r="AM11" s="703">
        <v>0</v>
      </c>
    </row>
    <row customHeight="1" ht="1.05">
      <c r="A12" s="704"/>
      <c r="B12" s="705"/>
      <c r="C12" s="705"/>
      <c r="D12" s="706"/>
      <c r="E12" s="474"/>
      <c r="F12" s="707"/>
      <c r="G12" s="1159"/>
      <c r="H12" s="1159"/>
      <c r="I12" s="707"/>
      <c r="J12" s="707"/>
      <c r="K12" s="282"/>
      <c r="L12" s="474"/>
      <c r="M12" s="708"/>
      <c r="N12" s="1723"/>
      <c r="O12" s="1509" t="s">
        <v>145</v>
      </c>
      <c r="P12" s="1509" t="s">
        <v>146</v>
      </c>
      <c r="Q12" s="1509" t="s">
        <v>147</v>
      </c>
      <c r="R12" s="1509" t="s">
        <v>148</v>
      </c>
      <c r="AM12" s="690">
        <v>1</v>
      </c>
    </row>
    <row s="10446" customFormat="1" customHeight="1" ht="15.75">
      <c r="A13" s="401"/>
      <c r="B13" s="401"/>
      <c r="C13" s="633"/>
      <c r="D13" s="2990" t="s">
        <v>144</v>
      </c>
      <c r="E13" s="299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994" t="s">
        <v>62</v>
      </c>
      <c r="G13" s="2995"/>
      <c r="H13" s="2996">
        <v>1</v>
      </c>
      <c r="I13" s="2986" t="str">
        <f>IF(U13="","",INDEX(TERRITORY_MR_LIST,MATCH(U13,TERRITORY_LIST_ID,0)))</f>
        <v>Территория 1</v>
      </c>
      <c r="J13" s="2989" t="s">
        <v>62</v>
      </c>
      <c r="K13" s="709"/>
      <c r="L13" s="634" t="s">
        <v>144</v>
      </c>
      <c r="M13" s="2214" t="s">
        <v>149</v>
      </c>
      <c r="N13" s="913"/>
      <c r="O13" s="1512" t="s">
        <v>150</v>
      </c>
      <c r="P13" s="1509" t="str">
        <f>$E$13</f>
        <v>Производство тепловой энергии. Комбинированная выработка с уст. мощностью производства электрической энергии 25 МВт и более</v>
      </c>
      <c r="Q13" s="1509" t="str">
        <f>IF($F$13="нет","без дифференциации",$I$13)</f>
        <v>Территория 1</v>
      </c>
      <c r="R13" s="1509" t="str">
        <f>IF($J$13="нет","без дифференциации",M13)</f>
        <v>Хабаровская ТЭЦ - 1</v>
      </c>
      <c r="S13" s="1512"/>
      <c r="T13" s="1512"/>
      <c r="U13" s="1362" t="s">
        <v>98</v>
      </c>
      <c r="V13" s="1362" t="s">
        <v>151</v>
      </c>
      <c r="W13" s="1362"/>
      <c r="X13" s="1362"/>
      <c r="Y13" s="711" t="s">
        <v>152</v>
      </c>
      <c r="Z13" s="711">
        <v>1705000</v>
      </c>
      <c r="AA13" s="711"/>
      <c r="AB13" s="711"/>
      <c r="AC13" s="711"/>
      <c r="AD13" s="711"/>
      <c r="AE13" s="711"/>
      <c r="AF13" s="711"/>
      <c r="AG13" s="711"/>
      <c r="AH13" s="711"/>
      <c r="AI13" s="711"/>
      <c r="AJ13" s="711"/>
      <c r="AK13" s="711"/>
      <c r="AL13" s="711"/>
      <c r="AM13" s="713">
        <v>15</v>
      </c>
    </row>
    <row customHeight="1" ht="15">
      <c r="A14" s="530"/>
      <c r="B14" s="530"/>
      <c r="C14" s="284"/>
      <c r="D14" s="2987"/>
      <c r="E14" s="2987"/>
      <c r="F14" s="2987"/>
      <c r="G14" s="2987"/>
      <c r="H14" s="2987"/>
      <c r="I14" s="2987"/>
      <c r="J14" s="2987"/>
      <c r="K14" s="1894" t="s">
        <v>103</v>
      </c>
      <c r="L14" s="1825" t="s">
        <v>102</v>
      </c>
      <c r="M14" s="912" t="s">
        <v>153</v>
      </c>
      <c r="N14" s="913"/>
      <c r="O14" s="711" t="s">
        <v>154</v>
      </c>
      <c r="P14" s="711" t="str">
        <f>$E$13</f>
        <v>Производство тепловой энергии. Комбинированная выработка с уст. мощностью производства электрической энергии 25 МВт и более</v>
      </c>
      <c r="Q14" s="711" t="str">
        <f>IF($F$13="нет","без дифференциации",$I$13)</f>
        <v>Территория 1</v>
      </c>
      <c r="R14" s="711" t="str">
        <f>IF($J$14="нет","без дифференциации",$M$14)</f>
        <v>Хабаровская ТЭЦ - 3</v>
      </c>
      <c r="S14" s="711"/>
      <c r="T14" s="711"/>
      <c r="U14" s="712"/>
      <c r="V14" s="711"/>
      <c r="W14" s="711"/>
      <c r="X14" s="702"/>
      <c r="Y14" s="702" t="s">
        <v>152</v>
      </c>
      <c r="Z14" s="702">
        <v>1705000</v>
      </c>
      <c r="AA14" s="702"/>
      <c r="AB14" s="702"/>
      <c r="AC14" s="702"/>
      <c r="AD14" s="702"/>
      <c r="AE14" s="702"/>
      <c r="AF14" s="702"/>
      <c r="AG14" s="702"/>
      <c r="AH14" s="702"/>
      <c r="AI14" s="702"/>
      <c r="AJ14" s="702"/>
      <c r="AK14" s="702"/>
      <c r="AL14" s="702"/>
    </row>
    <row s="10446" customFormat="1" customHeight="1" ht="15.75">
      <c r="A15" s="401"/>
      <c r="B15" s="401"/>
      <c r="C15" s="284"/>
      <c r="D15" s="2990"/>
      <c r="E15" s="2992"/>
      <c r="F15" s="2989"/>
      <c r="G15" s="2995"/>
      <c r="H15" s="2996"/>
      <c r="I15" s="2988"/>
      <c r="J15" s="2989"/>
      <c r="K15" s="528"/>
      <c r="L15" s="285"/>
      <c r="M15" s="714" t="s">
        <v>155</v>
      </c>
      <c r="N15" s="913"/>
      <c r="O15" s="1512"/>
      <c r="P15" s="1509"/>
      <c r="Q15" s="1509"/>
      <c r="R15" s="1509"/>
      <c r="S15" s="1512"/>
      <c r="T15" s="1512"/>
      <c r="U15" s="1362"/>
      <c r="V15" s="1362"/>
      <c r="W15" s="1362"/>
      <c r="X15" s="1362"/>
      <c r="Y15" s="711"/>
      <c r="Z15" s="711"/>
      <c r="AA15" s="711"/>
      <c r="AB15" s="711"/>
      <c r="AC15" s="711"/>
      <c r="AD15" s="711"/>
      <c r="AE15" s="711"/>
      <c r="AF15" s="711"/>
      <c r="AG15" s="711"/>
      <c r="AH15" s="711"/>
      <c r="AI15" s="711"/>
      <c r="AJ15" s="711"/>
      <c r="AK15" s="711"/>
      <c r="AL15" s="711"/>
      <c r="AM15" s="713">
        <v>15</v>
      </c>
    </row>
    <row customHeight="1" ht="15">
      <c r="A16" s="530"/>
      <c r="B16" s="530"/>
      <c r="C16" s="284"/>
      <c r="D16" s="2987"/>
      <c r="E16" s="2987"/>
      <c r="F16" s="2987"/>
      <c r="G16" s="2997" t="s">
        <v>103</v>
      </c>
      <c r="H16" s="2958" t="s">
        <v>102</v>
      </c>
      <c r="I16" s="2998" t="str">
        <f>IF(U16="","",INDEX(TERRITORY_MR_LIST,MATCH(U16,TERRITORY_LIST_ID,0)))</f>
        <v>Территория 2</v>
      </c>
      <c r="J16" s="2989" t="s">
        <v>62</v>
      </c>
      <c r="K16" s="933"/>
      <c r="L16" s="1877" t="s">
        <v>144</v>
      </c>
      <c r="M16" s="2214" t="s">
        <v>156</v>
      </c>
      <c r="N16" s="711"/>
      <c r="O16" s="711" t="s">
        <v>157</v>
      </c>
      <c r="P16" s="711" t="str">
        <f>$E$13</f>
        <v>Производство тепловой энергии. Комбинированная выработка с уст. мощностью производства электрической энергии 25 МВт и более</v>
      </c>
      <c r="Q16" s="711" t="str">
        <f>IF($F$16="нет","без дифференциации",$I$16)</f>
        <v>Территория 2</v>
      </c>
      <c r="R16" s="711" t="str">
        <f>IF($J$16="нет","без дифференциации",$M$16)</f>
        <v>Комсомольская ТЭЦ - 2</v>
      </c>
      <c r="S16" s="711"/>
      <c r="T16" s="711"/>
      <c r="U16" s="712" t="s">
        <v>108</v>
      </c>
      <c r="V16" s="711"/>
      <c r="W16" s="711"/>
      <c r="X16" s="702"/>
      <c r="Y16" s="702" t="s">
        <v>152</v>
      </c>
      <c r="Z16" s="702">
        <v>1705000</v>
      </c>
      <c r="AA16" s="702"/>
      <c r="AB16" s="702"/>
      <c r="AC16" s="702"/>
      <c r="AD16" s="702"/>
      <c r="AE16" s="702"/>
      <c r="AF16" s="702"/>
      <c r="AG16" s="702"/>
      <c r="AH16" s="702"/>
      <c r="AI16" s="702"/>
      <c r="AJ16" s="702"/>
      <c r="AK16" s="702"/>
      <c r="AL16" s="702"/>
    </row>
    <row customHeight="1" ht="15">
      <c r="A17" s="530"/>
      <c r="B17" s="530"/>
      <c r="C17" s="284"/>
      <c r="D17" s="2987"/>
      <c r="E17" s="2987"/>
      <c r="F17" s="2987"/>
      <c r="G17" s="2987"/>
      <c r="H17" s="2987"/>
      <c r="I17" s="2987"/>
      <c r="J17" s="2987"/>
      <c r="K17" s="1894" t="s">
        <v>103</v>
      </c>
      <c r="L17" s="1825" t="s">
        <v>102</v>
      </c>
      <c r="M17" s="912" t="s">
        <v>158</v>
      </c>
      <c r="N17" s="913"/>
      <c r="O17" s="711" t="s">
        <v>159</v>
      </c>
      <c r="P17" s="711" t="str">
        <f>$E$13</f>
        <v>Производство тепловой энергии. Комбинированная выработка с уст. мощностью производства электрической энергии 25 МВт и более</v>
      </c>
      <c r="Q17" s="711" t="str">
        <f>IF($F$16="нет","без дифференциации",$I$16)</f>
        <v>Территория 2</v>
      </c>
      <c r="R17" s="711" t="str">
        <f>IF($J$17="нет","без дифференциации",$M$17)</f>
        <v>Комсомольская ТЭЦ - 3</v>
      </c>
      <c r="S17" s="711"/>
      <c r="T17" s="711"/>
      <c r="U17" s="712"/>
      <c r="V17" s="711"/>
      <c r="W17" s="711"/>
      <c r="X17" s="702"/>
      <c r="Y17" s="702" t="s">
        <v>152</v>
      </c>
      <c r="Z17" s="702">
        <v>1705000</v>
      </c>
      <c r="AA17" s="702"/>
      <c r="AB17" s="702"/>
      <c r="AC17" s="702"/>
      <c r="AD17" s="702"/>
      <c r="AE17" s="702"/>
      <c r="AF17" s="702"/>
      <c r="AG17" s="702"/>
      <c r="AH17" s="702"/>
      <c r="AI17" s="702"/>
      <c r="AJ17" s="702"/>
      <c r="AK17" s="702"/>
      <c r="AL17" s="702"/>
    </row>
    <row customHeight="1" ht="15">
      <c r="A18" s="530"/>
      <c r="B18" s="530"/>
      <c r="C18" s="284"/>
      <c r="D18" s="2987"/>
      <c r="E18" s="2987"/>
      <c r="F18" s="2987"/>
      <c r="G18" s="2997"/>
      <c r="H18" s="2958"/>
      <c r="I18" s="2998"/>
      <c r="J18" s="2989"/>
      <c r="K18" s="528"/>
      <c r="L18" s="285"/>
      <c r="M18" s="714" t="s">
        <v>155</v>
      </c>
      <c r="N18" s="711"/>
      <c r="O18" s="711"/>
      <c r="P18" s="711"/>
      <c r="Q18" s="711"/>
      <c r="R18" s="711"/>
      <c r="S18" s="711"/>
      <c r="T18" s="711"/>
      <c r="U18" s="712"/>
      <c r="V18" s="711"/>
      <c r="W18" s="711"/>
      <c r="X18" s="702"/>
      <c r="Y18" s="702"/>
      <c r="Z18" s="702"/>
      <c r="AA18" s="702"/>
      <c r="AB18" s="702"/>
      <c r="AC18" s="702"/>
      <c r="AD18" s="702"/>
      <c r="AE18" s="702"/>
      <c r="AF18" s="702"/>
      <c r="AG18" s="702"/>
      <c r="AH18" s="702"/>
      <c r="AI18" s="702"/>
      <c r="AJ18" s="702"/>
      <c r="AK18" s="702"/>
      <c r="AL18" s="702"/>
    </row>
    <row customHeight="1" ht="15">
      <c r="A19" s="530"/>
      <c r="B19" s="530"/>
      <c r="C19" s="284"/>
      <c r="D19" s="2987"/>
      <c r="E19" s="2987"/>
      <c r="F19" s="2987"/>
      <c r="G19" s="2997" t="s">
        <v>103</v>
      </c>
      <c r="H19" s="2958" t="s">
        <v>90</v>
      </c>
      <c r="I19" s="2998" t="str">
        <f>IF(U19="","",INDEX(TERRITORY_MR_LIST,MATCH(U19,TERRITORY_LIST_ID,0)))</f>
        <v>Территория 3</v>
      </c>
      <c r="J19" s="2989" t="s">
        <v>62</v>
      </c>
      <c r="K19" s="933"/>
      <c r="L19" s="1877" t="s">
        <v>144</v>
      </c>
      <c r="M19" s="2214" t="s">
        <v>160</v>
      </c>
      <c r="N19" s="711"/>
      <c r="O19" s="711" t="s">
        <v>161</v>
      </c>
      <c r="P19" s="711" t="str">
        <f>$E$13</f>
        <v>Производство тепловой энергии. Комбинированная выработка с уст. мощностью производства электрической энергии 25 МВт и более</v>
      </c>
      <c r="Q19" s="711" t="str">
        <f>IF($F$19="нет","без дифференциации",$I$19)</f>
        <v>Территория 3</v>
      </c>
      <c r="R19" s="711" t="str">
        <f>IF($J$19="нет","без дифференциации",$M$19)</f>
        <v>Амурская ТЭЦ - 1</v>
      </c>
      <c r="S19" s="711"/>
      <c r="T19" s="711"/>
      <c r="U19" s="712" t="s">
        <v>112</v>
      </c>
      <c r="V19" s="711"/>
      <c r="W19" s="711"/>
      <c r="X19" s="702"/>
      <c r="Y19" s="702" t="s">
        <v>152</v>
      </c>
      <c r="Z19" s="702">
        <v>1705000</v>
      </c>
      <c r="AA19" s="702"/>
      <c r="AB19" s="702"/>
      <c r="AC19" s="702"/>
      <c r="AD19" s="702"/>
      <c r="AE19" s="702"/>
      <c r="AF19" s="702"/>
      <c r="AG19" s="702"/>
      <c r="AH19" s="702"/>
      <c r="AI19" s="702"/>
      <c r="AJ19" s="702"/>
      <c r="AK19" s="702"/>
      <c r="AL19" s="702"/>
    </row>
    <row customHeight="1" ht="15">
      <c r="A20" s="530"/>
      <c r="B20" s="530"/>
      <c r="C20" s="284"/>
      <c r="D20" s="2987"/>
      <c r="E20" s="2987"/>
      <c r="F20" s="2987"/>
      <c r="G20" s="2997"/>
      <c r="H20" s="2958"/>
      <c r="I20" s="2998"/>
      <c r="J20" s="2989"/>
      <c r="K20" s="528"/>
      <c r="L20" s="285"/>
      <c r="M20" s="714" t="s">
        <v>155</v>
      </c>
      <c r="N20" s="711"/>
      <c r="O20" s="711"/>
      <c r="P20" s="711"/>
      <c r="Q20" s="711"/>
      <c r="R20" s="711"/>
      <c r="S20" s="711"/>
      <c r="T20" s="711"/>
      <c r="U20" s="712"/>
      <c r="V20" s="711"/>
      <c r="W20" s="711"/>
      <c r="X20" s="702"/>
      <c r="Y20" s="702"/>
      <c r="Z20" s="702"/>
      <c r="AA20" s="702"/>
      <c r="AB20" s="702"/>
      <c r="AC20" s="702"/>
      <c r="AD20" s="702"/>
      <c r="AE20" s="702"/>
      <c r="AF20" s="702"/>
      <c r="AG20" s="702"/>
      <c r="AH20" s="702"/>
      <c r="AI20" s="702"/>
      <c r="AJ20" s="702"/>
      <c r="AK20" s="702"/>
      <c r="AL20" s="702"/>
    </row>
    <row customHeight="1" ht="15">
      <c r="A21" s="530"/>
      <c r="B21" s="530"/>
      <c r="C21" s="284"/>
      <c r="D21" s="2987"/>
      <c r="E21" s="2987"/>
      <c r="F21" s="2987"/>
      <c r="G21" s="2997" t="s">
        <v>103</v>
      </c>
      <c r="H21" s="2958" t="s">
        <v>91</v>
      </c>
      <c r="I21" s="2998" t="str">
        <f>IF(U21="","",INDEX(TERRITORY_MR_LIST,MATCH(U21,TERRITORY_LIST_ID,0)))</f>
        <v>Территория 4</v>
      </c>
      <c r="J21" s="2989" t="s">
        <v>62</v>
      </c>
      <c r="K21" s="933"/>
      <c r="L21" s="1877" t="s">
        <v>144</v>
      </c>
      <c r="M21" s="2214" t="s">
        <v>162</v>
      </c>
      <c r="N21" s="711"/>
      <c r="O21" s="711" t="s">
        <v>163</v>
      </c>
      <c r="P21" s="711" t="str">
        <f>$E$13</f>
        <v>Производство тепловой энергии. Комбинированная выработка с уст. мощностью производства электрической энергии 25 МВт и более</v>
      </c>
      <c r="Q21" s="711" t="str">
        <f>IF($F$21="нет","без дифференциации",$I$21)</f>
        <v>Территория 4</v>
      </c>
      <c r="R21" s="711" t="str">
        <f>IF($J$21="нет","без дифференциации",$M$21)</f>
        <v>Майская ГРЭС</v>
      </c>
      <c r="S21" s="711"/>
      <c r="T21" s="711"/>
      <c r="U21" s="712" t="s">
        <v>116</v>
      </c>
      <c r="V21" s="711"/>
      <c r="W21" s="711"/>
      <c r="X21" s="702"/>
      <c r="Y21" s="702" t="s">
        <v>152</v>
      </c>
      <c r="Z21" s="702">
        <v>1705000</v>
      </c>
      <c r="AA21" s="702"/>
      <c r="AB21" s="702"/>
      <c r="AC21" s="702"/>
      <c r="AD21" s="702"/>
      <c r="AE21" s="702"/>
      <c r="AF21" s="702"/>
      <c r="AG21" s="702"/>
      <c r="AH21" s="702"/>
      <c r="AI21" s="702"/>
      <c r="AJ21" s="702"/>
      <c r="AK21" s="702"/>
      <c r="AL21" s="702"/>
    </row>
    <row customHeight="1" ht="15">
      <c r="A22" s="530"/>
      <c r="B22" s="530"/>
      <c r="C22" s="284"/>
      <c r="D22" s="2987"/>
      <c r="E22" s="2987"/>
      <c r="F22" s="2987"/>
      <c r="G22" s="2997"/>
      <c r="H22" s="2958"/>
      <c r="I22" s="2998"/>
      <c r="J22" s="2989"/>
      <c r="K22" s="528"/>
      <c r="L22" s="285"/>
      <c r="M22" s="714" t="s">
        <v>155</v>
      </c>
      <c r="N22" s="711"/>
      <c r="O22" s="711"/>
      <c r="P22" s="711"/>
      <c r="Q22" s="711"/>
      <c r="R22" s="711"/>
      <c r="S22" s="711"/>
      <c r="T22" s="711"/>
      <c r="U22" s="712"/>
      <c r="V22" s="711"/>
      <c r="W22" s="711"/>
      <c r="X22" s="702"/>
      <c r="Y22" s="702"/>
      <c r="Z22" s="702"/>
      <c r="AA22" s="702"/>
      <c r="AB22" s="702"/>
      <c r="AC22" s="702"/>
      <c r="AD22" s="702"/>
      <c r="AE22" s="702"/>
      <c r="AF22" s="702"/>
      <c r="AG22" s="702"/>
      <c r="AH22" s="702"/>
      <c r="AI22" s="702"/>
      <c r="AJ22" s="702"/>
      <c r="AK22" s="702"/>
      <c r="AL22" s="702"/>
    </row>
    <row customHeight="1" ht="15">
      <c r="A23" s="530"/>
      <c r="B23" s="530"/>
      <c r="C23" s="284"/>
      <c r="D23" s="2987"/>
      <c r="E23" s="2987"/>
      <c r="F23" s="2987"/>
      <c r="G23" s="2997" t="s">
        <v>103</v>
      </c>
      <c r="H23" s="2958" t="s">
        <v>121</v>
      </c>
      <c r="I23" s="2998" t="str">
        <f>IF(U23="","",INDEX(TERRITORY_MR_LIST,MATCH(U23,TERRITORY_LIST_ID,0)))</f>
        <v>Территория 5</v>
      </c>
      <c r="J23" s="2989" t="s">
        <v>62</v>
      </c>
      <c r="K23" s="933"/>
      <c r="L23" s="1877" t="s">
        <v>144</v>
      </c>
      <c r="M23" s="2214" t="s">
        <v>164</v>
      </c>
      <c r="N23" s="711"/>
      <c r="O23" s="711" t="s">
        <v>165</v>
      </c>
      <c r="P23" s="711" t="str">
        <f>$E$13</f>
        <v>Производство тепловой энергии. Комбинированная выработка с уст. мощностью производства электрической энергии 25 МВт и более</v>
      </c>
      <c r="Q23" s="711" t="str">
        <f>IF($F$23="нет","без дифференциации",$I$23)</f>
        <v>Территория 5</v>
      </c>
      <c r="R23" s="711" t="str">
        <f>IF($J$23="нет","без дифференциации",$M$23)</f>
        <v>Николаевская ТЭЦ</v>
      </c>
      <c r="S23" s="711"/>
      <c r="T23" s="711"/>
      <c r="U23" s="712" t="s">
        <v>122</v>
      </c>
      <c r="V23" s="711"/>
      <c r="W23" s="711"/>
      <c r="X23" s="702"/>
      <c r="Y23" s="702" t="s">
        <v>152</v>
      </c>
      <c r="Z23" s="702">
        <v>1705000</v>
      </c>
      <c r="AA23" s="702"/>
      <c r="AB23" s="702"/>
      <c r="AC23" s="702"/>
      <c r="AD23" s="702"/>
      <c r="AE23" s="702"/>
      <c r="AF23" s="702"/>
      <c r="AG23" s="702"/>
      <c r="AH23" s="702"/>
      <c r="AI23" s="702"/>
      <c r="AJ23" s="702"/>
      <c r="AK23" s="702"/>
      <c r="AL23" s="702"/>
    </row>
    <row customHeight="1" ht="15">
      <c r="A24" s="530"/>
      <c r="B24" s="530"/>
      <c r="C24" s="284"/>
      <c r="D24" s="2987"/>
      <c r="E24" s="2987"/>
      <c r="F24" s="2987"/>
      <c r="G24" s="2997"/>
      <c r="H24" s="2958"/>
      <c r="I24" s="2998"/>
      <c r="J24" s="2989"/>
      <c r="K24" s="528"/>
      <c r="L24" s="285"/>
      <c r="M24" s="714" t="s">
        <v>155</v>
      </c>
      <c r="N24" s="711"/>
      <c r="O24" s="711"/>
      <c r="P24" s="711"/>
      <c r="Q24" s="711"/>
      <c r="R24" s="711"/>
      <c r="S24" s="711"/>
      <c r="T24" s="711"/>
      <c r="U24" s="712"/>
      <c r="V24" s="711"/>
      <c r="W24" s="711"/>
      <c r="X24" s="702"/>
      <c r="Y24" s="702"/>
      <c r="Z24" s="702"/>
      <c r="AA24" s="702"/>
      <c r="AB24" s="702"/>
      <c r="AC24" s="702"/>
      <c r="AD24" s="702"/>
      <c r="AE24" s="702"/>
      <c r="AF24" s="702"/>
      <c r="AG24" s="702"/>
      <c r="AH24" s="702"/>
      <c r="AI24" s="702"/>
      <c r="AJ24" s="702"/>
      <c r="AK24" s="702"/>
      <c r="AL24" s="702"/>
    </row>
    <row s="10446" customFormat="1" customHeight="1" ht="15.75">
      <c r="A25" s="401"/>
      <c r="B25" s="401"/>
      <c r="C25" s="284"/>
      <c r="D25" s="2990"/>
      <c r="E25" s="2993"/>
      <c r="F25" s="2989"/>
      <c r="G25" s="1160"/>
      <c r="H25" s="1161"/>
      <c r="I25" s="687" t="s">
        <v>166</v>
      </c>
      <c r="J25" s="285"/>
      <c r="K25" s="285"/>
      <c r="L25" s="285"/>
      <c r="M25" s="715"/>
      <c r="N25" s="913"/>
      <c r="O25" s="1512"/>
      <c r="P25" s="1509"/>
      <c r="Q25" s="1509"/>
      <c r="R25" s="1509"/>
      <c r="S25" s="1512"/>
      <c r="T25" s="1512"/>
      <c r="U25" s="1362"/>
      <c r="V25" s="1362"/>
      <c r="W25" s="1362"/>
      <c r="X25" s="1362"/>
      <c r="Y25" s="711"/>
      <c r="Z25" s="711"/>
      <c r="AA25" s="711"/>
      <c r="AB25" s="711"/>
      <c r="AC25" s="711"/>
      <c r="AD25" s="711"/>
      <c r="AE25" s="711"/>
      <c r="AF25" s="711"/>
      <c r="AG25" s="711"/>
      <c r="AH25" s="711"/>
      <c r="AI25" s="711"/>
      <c r="AJ25" s="711"/>
      <c r="AK25" s="711"/>
      <c r="AL25" s="711"/>
      <c r="AM25" s="713">
        <v>15</v>
      </c>
    </row>
    <row customHeight="1" ht="15">
      <c r="A26" s="530"/>
      <c r="B26" s="530"/>
      <c r="C26" s="3003" t="s">
        <v>103</v>
      </c>
      <c r="D26" s="2990" t="s">
        <v>102</v>
      </c>
      <c r="E26" s="2991" t="str">
        <f>INDEX(VD_NAME_LIST,MATCH("4190067",VD_ID_LIST,0))</f>
        <v>Производство. Теплоноситель</v>
      </c>
      <c r="F26" s="2989" t="s">
        <v>62</v>
      </c>
      <c r="G26" s="2999"/>
      <c r="H26" s="2978">
        <v>1</v>
      </c>
      <c r="I26" s="3001" t="str">
        <f>IF($U$26="","",INDEX(TERRITORY_MR_LIST,MATCH($U$26,TERRITORY_LIST_ID,0)))</f>
        <v>Территория 1</v>
      </c>
      <c r="J26" s="2989" t="s">
        <v>62</v>
      </c>
      <c r="K26" s="933"/>
      <c r="L26" s="1877" t="s">
        <v>144</v>
      </c>
      <c r="M26" s="2214" t="s">
        <v>167</v>
      </c>
      <c r="N26" s="711"/>
      <c r="O26" s="711" t="s">
        <v>168</v>
      </c>
      <c r="P26" s="711" t="str">
        <f>$E$26</f>
        <v>Производство. Теплоноситель</v>
      </c>
      <c r="Q26" s="711" t="str">
        <f>IF($F$26="нет","без дифференциации",$I$26)</f>
        <v>Территория 1</v>
      </c>
      <c r="R26" s="711" t="str">
        <f>IF($J$26="нет","без дифференциации",$M$26)</f>
        <v>г. Хабаровск, Хабаровский муниципальный район</v>
      </c>
      <c r="S26" s="711"/>
      <c r="T26" s="711"/>
      <c r="U26" s="712" t="s">
        <v>98</v>
      </c>
      <c r="V26" s="711" t="s">
        <v>169</v>
      </c>
      <c r="W26" s="711"/>
      <c r="X26" s="702"/>
      <c r="Y26" s="702" t="s">
        <v>152</v>
      </c>
      <c r="Z26" s="702">
        <v>1705000</v>
      </c>
      <c r="AA26" s="702"/>
      <c r="AB26" s="702"/>
      <c r="AC26" s="702"/>
      <c r="AD26" s="702"/>
      <c r="AE26" s="702"/>
      <c r="AF26" s="702"/>
      <c r="AG26" s="702"/>
      <c r="AH26" s="702"/>
      <c r="AI26" s="702"/>
      <c r="AJ26" s="702"/>
      <c r="AK26" s="702"/>
      <c r="AL26" s="702"/>
    </row>
    <row customHeight="1" ht="15">
      <c r="A27" s="530"/>
      <c r="B27" s="530"/>
      <c r="C27" s="3004"/>
      <c r="D27" s="2990"/>
      <c r="E27" s="2992"/>
      <c r="F27" s="2989"/>
      <c r="G27" s="3000"/>
      <c r="H27" s="2978"/>
      <c r="I27" s="3002" t="str">
        <f>IF($U$26="","",INDEX(TERRITORY_MR_LIST,MATCH($U$26,TERRITORY_LIST_ID,0)))</f>
        <v>Территория 1</v>
      </c>
      <c r="J27" s="2989"/>
      <c r="K27" s="528"/>
      <c r="L27" s="285"/>
      <c r="M27" s="714" t="s">
        <v>155</v>
      </c>
      <c r="N27" s="711"/>
      <c r="O27" s="711"/>
      <c r="P27" s="711"/>
      <c r="Q27" s="711"/>
      <c r="R27" s="711"/>
      <c r="S27" s="711"/>
      <c r="T27" s="711"/>
      <c r="U27" s="712"/>
      <c r="V27" s="711"/>
      <c r="W27" s="711"/>
      <c r="X27" s="702"/>
      <c r="Y27" s="702"/>
      <c r="Z27" s="702"/>
      <c r="AA27" s="702"/>
      <c r="AB27" s="702"/>
      <c r="AC27" s="702"/>
      <c r="AD27" s="702"/>
      <c r="AE27" s="702"/>
      <c r="AF27" s="702"/>
      <c r="AG27" s="702"/>
      <c r="AH27" s="702"/>
      <c r="AI27" s="702"/>
      <c r="AJ27" s="702"/>
      <c r="AK27" s="702"/>
      <c r="AL27" s="702"/>
    </row>
    <row customHeight="1" ht="15">
      <c r="A28" s="530"/>
      <c r="B28" s="530"/>
      <c r="C28" s="3004"/>
      <c r="D28" s="2987"/>
      <c r="E28" s="2987"/>
      <c r="F28" s="2987"/>
      <c r="G28" s="2997" t="s">
        <v>103</v>
      </c>
      <c r="H28" s="2958" t="s">
        <v>102</v>
      </c>
      <c r="I28" s="2998" t="str">
        <f>IF(U28="","",INDEX(TERRITORY_MR_LIST,MATCH(U28,TERRITORY_LIST_ID,0)))</f>
        <v>Территория 2</v>
      </c>
      <c r="J28" s="2989" t="s">
        <v>62</v>
      </c>
      <c r="K28" s="933"/>
      <c r="L28" s="1877" t="s">
        <v>144</v>
      </c>
      <c r="M28" s="2214" t="s">
        <v>170</v>
      </c>
      <c r="N28" s="711"/>
      <c r="O28" s="711" t="s">
        <v>171</v>
      </c>
      <c r="P28" s="711" t="str">
        <f>$E$26</f>
        <v>Производство. Теплоноситель</v>
      </c>
      <c r="Q28" s="711" t="str">
        <f>IF($F$28="нет","без дифференциации",$I$28)</f>
        <v>Территория 2</v>
      </c>
      <c r="R28" s="711" t="str">
        <f>IF($J$28="нет","без дифференциации",$M$28)</f>
        <v>г. Комсомольск-на-Амуре</v>
      </c>
      <c r="S28" s="711"/>
      <c r="T28" s="711"/>
      <c r="U28" s="712" t="s">
        <v>108</v>
      </c>
      <c r="V28" s="711"/>
      <c r="W28" s="711"/>
      <c r="X28" s="702"/>
      <c r="Y28" s="702" t="s">
        <v>152</v>
      </c>
      <c r="Z28" s="702">
        <v>1705000</v>
      </c>
      <c r="AA28" s="702"/>
      <c r="AB28" s="702"/>
      <c r="AC28" s="702"/>
      <c r="AD28" s="702"/>
      <c r="AE28" s="702"/>
      <c r="AF28" s="702"/>
      <c r="AG28" s="702"/>
      <c r="AH28" s="702"/>
      <c r="AI28" s="702"/>
      <c r="AJ28" s="702"/>
      <c r="AK28" s="702"/>
      <c r="AL28" s="702"/>
    </row>
    <row customHeight="1" ht="15">
      <c r="A29" s="530"/>
      <c r="B29" s="530"/>
      <c r="C29" s="3004"/>
      <c r="D29" s="2987"/>
      <c r="E29" s="2987"/>
      <c r="F29" s="2987"/>
      <c r="G29" s="2997"/>
      <c r="H29" s="2958"/>
      <c r="I29" s="2998"/>
      <c r="J29" s="2989"/>
      <c r="K29" s="528"/>
      <c r="L29" s="285"/>
      <c r="M29" s="714" t="s">
        <v>155</v>
      </c>
      <c r="N29" s="711"/>
      <c r="O29" s="711"/>
      <c r="P29" s="711"/>
      <c r="Q29" s="711"/>
      <c r="R29" s="711"/>
      <c r="S29" s="711"/>
      <c r="T29" s="711"/>
      <c r="U29" s="712"/>
      <c r="V29" s="711"/>
      <c r="W29" s="711"/>
      <c r="X29" s="702"/>
      <c r="Y29" s="702"/>
      <c r="Z29" s="702"/>
      <c r="AA29" s="702"/>
      <c r="AB29" s="702"/>
      <c r="AC29" s="702"/>
      <c r="AD29" s="702"/>
      <c r="AE29" s="702"/>
      <c r="AF29" s="702"/>
      <c r="AG29" s="702"/>
      <c r="AH29" s="702"/>
      <c r="AI29" s="702"/>
      <c r="AJ29" s="702"/>
      <c r="AK29" s="702"/>
      <c r="AL29" s="702"/>
    </row>
    <row customHeight="1" ht="15">
      <c r="A30" s="530"/>
      <c r="B30" s="530"/>
      <c r="C30" s="3004"/>
      <c r="D30" s="2987"/>
      <c r="E30" s="2987"/>
      <c r="F30" s="2987"/>
      <c r="G30" s="2997" t="s">
        <v>103</v>
      </c>
      <c r="H30" s="2958" t="s">
        <v>90</v>
      </c>
      <c r="I30" s="2998" t="str">
        <f>IF(U30="","",INDEX(TERRITORY_MR_LIST,MATCH(U30,TERRITORY_LIST_ID,0)))</f>
        <v>Территория 3</v>
      </c>
      <c r="J30" s="2989" t="s">
        <v>62</v>
      </c>
      <c r="K30" s="933"/>
      <c r="L30" s="1877" t="s">
        <v>144</v>
      </c>
      <c r="M30" s="2214" t="s">
        <v>172</v>
      </c>
      <c r="N30" s="711"/>
      <c r="O30" s="711" t="s">
        <v>173</v>
      </c>
      <c r="P30" s="711" t="str">
        <f>$E$26</f>
        <v>Производство. Теплоноситель</v>
      </c>
      <c r="Q30" s="711" t="str">
        <f>IF($F$30="нет","без дифференциации",$I$30)</f>
        <v>Территория 3</v>
      </c>
      <c r="R30" s="711" t="str">
        <f>IF($J$30="нет","без дифференциации",$M$30)</f>
        <v>г. Амурск</v>
      </c>
      <c r="S30" s="711"/>
      <c r="T30" s="711"/>
      <c r="U30" s="712" t="s">
        <v>112</v>
      </c>
      <c r="V30" s="711"/>
      <c r="W30" s="711"/>
      <c r="X30" s="702"/>
      <c r="Y30" s="702" t="s">
        <v>152</v>
      </c>
      <c r="Z30" s="702">
        <v>1705000</v>
      </c>
      <c r="AA30" s="702"/>
      <c r="AB30" s="702"/>
      <c r="AC30" s="702"/>
      <c r="AD30" s="702"/>
      <c r="AE30" s="702"/>
      <c r="AF30" s="702"/>
      <c r="AG30" s="702"/>
      <c r="AH30" s="702"/>
      <c r="AI30" s="702"/>
      <c r="AJ30" s="702"/>
      <c r="AK30" s="702"/>
      <c r="AL30" s="702"/>
    </row>
    <row customHeight="1" ht="15">
      <c r="A31" s="530"/>
      <c r="B31" s="530"/>
      <c r="C31" s="3004"/>
      <c r="D31" s="2987"/>
      <c r="E31" s="2987"/>
      <c r="F31" s="2987"/>
      <c r="G31" s="2997"/>
      <c r="H31" s="2958"/>
      <c r="I31" s="2998"/>
      <c r="J31" s="2989"/>
      <c r="K31" s="528"/>
      <c r="L31" s="285"/>
      <c r="M31" s="714" t="s">
        <v>155</v>
      </c>
      <c r="N31" s="711"/>
      <c r="O31" s="711"/>
      <c r="P31" s="711"/>
      <c r="Q31" s="711"/>
      <c r="R31" s="711"/>
      <c r="S31" s="711"/>
      <c r="T31" s="711"/>
      <c r="U31" s="712"/>
      <c r="V31" s="711"/>
      <c r="W31" s="711"/>
      <c r="X31" s="702"/>
      <c r="Y31" s="702"/>
      <c r="Z31" s="702"/>
      <c r="AA31" s="702"/>
      <c r="AB31" s="702"/>
      <c r="AC31" s="702"/>
      <c r="AD31" s="702"/>
      <c r="AE31" s="702"/>
      <c r="AF31" s="702"/>
      <c r="AG31" s="702"/>
      <c r="AH31" s="702"/>
      <c r="AI31" s="702"/>
      <c r="AJ31" s="702"/>
      <c r="AK31" s="702"/>
      <c r="AL31" s="702"/>
    </row>
    <row customHeight="1" ht="15">
      <c r="A32" s="530"/>
      <c r="B32" s="530"/>
      <c r="C32" s="3004"/>
      <c r="D32" s="2987"/>
      <c r="E32" s="2987"/>
      <c r="F32" s="2987"/>
      <c r="G32" s="2997" t="s">
        <v>103</v>
      </c>
      <c r="H32" s="2958" t="s">
        <v>91</v>
      </c>
      <c r="I32" s="2998" t="str">
        <f>IF(U32="","",INDEX(TERRITORY_MR_LIST,MATCH(U32,TERRITORY_LIST_ID,0)))</f>
        <v>Территория 4</v>
      </c>
      <c r="J32" s="2989" t="s">
        <v>62</v>
      </c>
      <c r="K32" s="933"/>
      <c r="L32" s="1877" t="s">
        <v>144</v>
      </c>
      <c r="M32" s="2214" t="s">
        <v>174</v>
      </c>
      <c r="N32" s="711"/>
      <c r="O32" s="711" t="s">
        <v>175</v>
      </c>
      <c r="P32" s="711" t="str">
        <f>$E$26</f>
        <v>Производство. Теплоноситель</v>
      </c>
      <c r="Q32" s="711" t="str">
        <f>IF($F$32="нет","без дифференциации",$I$32)</f>
        <v>Территория 4</v>
      </c>
      <c r="R32" s="711" t="str">
        <f>IF($J$32="нет","без дифференциации",$M$32)</f>
        <v>п. Майский</v>
      </c>
      <c r="S32" s="711"/>
      <c r="T32" s="711"/>
      <c r="U32" s="712" t="s">
        <v>116</v>
      </c>
      <c r="V32" s="711"/>
      <c r="W32" s="711"/>
      <c r="X32" s="702"/>
      <c r="Y32" s="702" t="s">
        <v>152</v>
      </c>
      <c r="Z32" s="702">
        <v>1705000</v>
      </c>
      <c r="AA32" s="702"/>
      <c r="AB32" s="702"/>
      <c r="AC32" s="702"/>
      <c r="AD32" s="702"/>
      <c r="AE32" s="702"/>
      <c r="AF32" s="702"/>
      <c r="AG32" s="702"/>
      <c r="AH32" s="702"/>
      <c r="AI32" s="702"/>
      <c r="AJ32" s="702"/>
      <c r="AK32" s="702"/>
      <c r="AL32" s="702"/>
    </row>
    <row customHeight="1" ht="15">
      <c r="A33" s="530"/>
      <c r="B33" s="530"/>
      <c r="C33" s="3004"/>
      <c r="D33" s="2987"/>
      <c r="E33" s="2987"/>
      <c r="F33" s="2987"/>
      <c r="G33" s="2997"/>
      <c r="H33" s="2958"/>
      <c r="I33" s="2998"/>
      <c r="J33" s="2989"/>
      <c r="K33" s="528"/>
      <c r="L33" s="285"/>
      <c r="M33" s="714" t="s">
        <v>155</v>
      </c>
      <c r="N33" s="711"/>
      <c r="O33" s="711"/>
      <c r="P33" s="711"/>
      <c r="Q33" s="711"/>
      <c r="R33" s="711"/>
      <c r="S33" s="711"/>
      <c r="T33" s="711"/>
      <c r="U33" s="712"/>
      <c r="V33" s="711"/>
      <c r="W33" s="711"/>
      <c r="X33" s="702"/>
      <c r="Y33" s="702"/>
      <c r="Z33" s="702"/>
      <c r="AA33" s="702"/>
      <c r="AB33" s="702"/>
      <c r="AC33" s="702"/>
      <c r="AD33" s="702"/>
      <c r="AE33" s="702"/>
      <c r="AF33" s="702"/>
      <c r="AG33" s="702"/>
      <c r="AH33" s="702"/>
      <c r="AI33" s="702"/>
      <c r="AJ33" s="702"/>
      <c r="AK33" s="702"/>
      <c r="AL33" s="702"/>
    </row>
    <row customHeight="1" ht="15">
      <c r="A34" s="530"/>
      <c r="B34" s="530"/>
      <c r="C34" s="3004"/>
      <c r="D34" s="2987"/>
      <c r="E34" s="2987"/>
      <c r="F34" s="2987"/>
      <c r="G34" s="2997" t="s">
        <v>103</v>
      </c>
      <c r="H34" s="2958" t="s">
        <v>121</v>
      </c>
      <c r="I34" s="2998" t="str">
        <f>IF(U34="","",INDEX(TERRITORY_MR_LIST,MATCH(U34,TERRITORY_LIST_ID,0)))</f>
        <v>Территория 5</v>
      </c>
      <c r="J34" s="2989" t="s">
        <v>62</v>
      </c>
      <c r="K34" s="933"/>
      <c r="L34" s="1877" t="s">
        <v>144</v>
      </c>
      <c r="M34" s="2214" t="s">
        <v>176</v>
      </c>
      <c r="N34" s="711"/>
      <c r="O34" s="711" t="s">
        <v>177</v>
      </c>
      <c r="P34" s="711" t="str">
        <f>$E$26</f>
        <v>Производство. Теплоноситель</v>
      </c>
      <c r="Q34" s="711" t="str">
        <f>IF($F$34="нет","без дифференциации",$I$34)</f>
        <v>Территория 5</v>
      </c>
      <c r="R34" s="711" t="str">
        <f>IF($J$34="нет","без дифференциации",$M$34)</f>
        <v>г. Николаевск-на-Амуре</v>
      </c>
      <c r="S34" s="711"/>
      <c r="T34" s="711"/>
      <c r="U34" s="712" t="s">
        <v>122</v>
      </c>
      <c r="V34" s="711"/>
      <c r="W34" s="711"/>
      <c r="X34" s="702"/>
      <c r="Y34" s="702" t="s">
        <v>152</v>
      </c>
      <c r="Z34" s="702">
        <v>1705000</v>
      </c>
      <c r="AA34" s="702"/>
      <c r="AB34" s="702"/>
      <c r="AC34" s="702"/>
      <c r="AD34" s="702"/>
      <c r="AE34" s="702"/>
      <c r="AF34" s="702"/>
      <c r="AG34" s="702"/>
      <c r="AH34" s="702"/>
      <c r="AI34" s="702"/>
      <c r="AJ34" s="702"/>
      <c r="AK34" s="702"/>
      <c r="AL34" s="702"/>
    </row>
    <row customHeight="1" ht="15">
      <c r="A35" s="530"/>
      <c r="B35" s="530"/>
      <c r="C35" s="3004"/>
      <c r="D35" s="2987"/>
      <c r="E35" s="2987"/>
      <c r="F35" s="2987"/>
      <c r="G35" s="2997"/>
      <c r="H35" s="2958"/>
      <c r="I35" s="2998"/>
      <c r="J35" s="2989"/>
      <c r="K35" s="528"/>
      <c r="L35" s="285"/>
      <c r="M35" s="714" t="s">
        <v>155</v>
      </c>
      <c r="N35" s="711"/>
      <c r="O35" s="711"/>
      <c r="P35" s="711"/>
      <c r="Q35" s="711"/>
      <c r="R35" s="711"/>
      <c r="S35" s="711"/>
      <c r="T35" s="711"/>
      <c r="U35" s="712"/>
      <c r="V35" s="711"/>
      <c r="W35" s="711"/>
      <c r="X35" s="702"/>
      <c r="Y35" s="702"/>
      <c r="Z35" s="702"/>
      <c r="AA35" s="702"/>
      <c r="AB35" s="702"/>
      <c r="AC35" s="702"/>
      <c r="AD35" s="702"/>
      <c r="AE35" s="702"/>
      <c r="AF35" s="702"/>
      <c r="AG35" s="702"/>
      <c r="AH35" s="702"/>
      <c r="AI35" s="702"/>
      <c r="AJ35" s="702"/>
      <c r="AK35" s="702"/>
      <c r="AL35" s="702"/>
    </row>
    <row customHeight="1" ht="15">
      <c r="A36" s="530"/>
      <c r="B36" s="530"/>
      <c r="C36" s="3004"/>
      <c r="D36" s="2987"/>
      <c r="E36" s="2987"/>
      <c r="F36" s="2987"/>
      <c r="G36" s="2997" t="s">
        <v>103</v>
      </c>
      <c r="H36" s="2958" t="s">
        <v>92</v>
      </c>
      <c r="I36" s="2998" t="str">
        <f>IF(U36="","",INDEX(TERRITORY_MR_LIST,MATCH(U36,TERRITORY_LIST_ID,0)))</f>
        <v>Территория 6</v>
      </c>
      <c r="J36" s="2989" t="s">
        <v>62</v>
      </c>
      <c r="K36" s="933"/>
      <c r="L36" s="1877" t="s">
        <v>144</v>
      </c>
      <c r="M36" s="2214" t="s">
        <v>178</v>
      </c>
      <c r="N36" s="711"/>
      <c r="O36" s="711" t="s">
        <v>179</v>
      </c>
      <c r="P36" s="711" t="str">
        <f>$E$26</f>
        <v>Производство. Теплоноситель</v>
      </c>
      <c r="Q36" s="711" t="str">
        <f>IF($F$36="нет","без дифференциации",$I$36)</f>
        <v>Территория 6</v>
      </c>
      <c r="R36" s="711" t="str">
        <f>IF($J$36="нет","без дифференциации",$M$36)</f>
        <v>п. Чегдомын</v>
      </c>
      <c r="S36" s="711"/>
      <c r="T36" s="711"/>
      <c r="U36" s="712" t="s">
        <v>127</v>
      </c>
      <c r="V36" s="711"/>
      <c r="W36" s="711"/>
      <c r="X36" s="702"/>
      <c r="Y36" s="702" t="s">
        <v>152</v>
      </c>
      <c r="Z36" s="702">
        <v>1705000</v>
      </c>
      <c r="AA36" s="702"/>
      <c r="AB36" s="702"/>
      <c r="AC36" s="702"/>
      <c r="AD36" s="702"/>
      <c r="AE36" s="702"/>
      <c r="AF36" s="702"/>
      <c r="AG36" s="702"/>
      <c r="AH36" s="702"/>
      <c r="AI36" s="702"/>
      <c r="AJ36" s="702"/>
      <c r="AK36" s="702"/>
      <c r="AL36" s="702"/>
    </row>
    <row customHeight="1" ht="15">
      <c r="A37" s="530"/>
      <c r="B37" s="530"/>
      <c r="C37" s="3004"/>
      <c r="D37" s="2987"/>
      <c r="E37" s="2987"/>
      <c r="F37" s="2987"/>
      <c r="G37" s="2997"/>
      <c r="H37" s="2958"/>
      <c r="I37" s="2998"/>
      <c r="J37" s="2989"/>
      <c r="K37" s="528"/>
      <c r="L37" s="285"/>
      <c r="M37" s="714" t="s">
        <v>155</v>
      </c>
      <c r="N37" s="711"/>
      <c r="O37" s="711"/>
      <c r="P37" s="711"/>
      <c r="Q37" s="711"/>
      <c r="R37" s="711"/>
      <c r="S37" s="711"/>
      <c r="T37" s="711"/>
      <c r="U37" s="712"/>
      <c r="V37" s="711"/>
      <c r="W37" s="711"/>
      <c r="X37" s="702"/>
      <c r="Y37" s="702"/>
      <c r="Z37" s="702"/>
      <c r="AA37" s="702"/>
      <c r="AB37" s="702"/>
      <c r="AC37" s="702"/>
      <c r="AD37" s="702"/>
      <c r="AE37" s="702"/>
      <c r="AF37" s="702"/>
      <c r="AG37" s="702"/>
      <c r="AH37" s="702"/>
      <c r="AI37" s="702"/>
      <c r="AJ37" s="702"/>
      <c r="AK37" s="702"/>
      <c r="AL37" s="702"/>
    </row>
    <row customHeight="1" ht="15">
      <c r="A38" s="530"/>
      <c r="B38" s="530"/>
      <c r="C38" s="3004"/>
      <c r="D38" s="2987"/>
      <c r="E38" s="2987"/>
      <c r="F38" s="2987"/>
      <c r="G38" s="2997" t="s">
        <v>103</v>
      </c>
      <c r="H38" s="2958" t="s">
        <v>93</v>
      </c>
      <c r="I38" s="2998" t="str">
        <f>IF(U38="","",INDEX(TERRITORY_MR_LIST,MATCH(U38,TERRITORY_LIST_ID,0)))</f>
        <v>Территория 7</v>
      </c>
      <c r="J38" s="2989" t="s">
        <v>62</v>
      </c>
      <c r="K38" s="933"/>
      <c r="L38" s="1877" t="s">
        <v>144</v>
      </c>
      <c r="M38" s="2214" t="s">
        <v>180</v>
      </c>
      <c r="N38" s="711"/>
      <c r="O38" s="711" t="s">
        <v>181</v>
      </c>
      <c r="P38" s="711" t="str">
        <f>$E$26</f>
        <v>Производство. Теплоноситель</v>
      </c>
      <c r="Q38" s="711" t="str">
        <f>IF($F$38="нет","без дифференциации",$I$38)</f>
        <v>Территория 7</v>
      </c>
      <c r="R38" s="711" t="str">
        <f>IF($J$38="нет","без дифференциации",$M$38)</f>
        <v>г. Советская Гавань</v>
      </c>
      <c r="S38" s="711"/>
      <c r="T38" s="711"/>
      <c r="U38" s="712" t="s">
        <v>132</v>
      </c>
      <c r="V38" s="711"/>
      <c r="W38" s="711"/>
      <c r="X38" s="702"/>
      <c r="Y38" s="702" t="s">
        <v>152</v>
      </c>
      <c r="Z38" s="702">
        <v>1705000</v>
      </c>
      <c r="AA38" s="702"/>
      <c r="AB38" s="702"/>
      <c r="AC38" s="702"/>
      <c r="AD38" s="702"/>
      <c r="AE38" s="702"/>
      <c r="AF38" s="702"/>
      <c r="AG38" s="702"/>
      <c r="AH38" s="702"/>
      <c r="AI38" s="702"/>
      <c r="AJ38" s="702"/>
      <c r="AK38" s="702"/>
      <c r="AL38" s="702"/>
    </row>
    <row customHeight="1" ht="15">
      <c r="A39" s="530"/>
      <c r="B39" s="530"/>
      <c r="C39" s="3004"/>
      <c r="D39" s="2987"/>
      <c r="E39" s="2987"/>
      <c r="F39" s="2987"/>
      <c r="G39" s="2997"/>
      <c r="H39" s="2958"/>
      <c r="I39" s="2998"/>
      <c r="J39" s="2989"/>
      <c r="K39" s="528"/>
      <c r="L39" s="285"/>
      <c r="M39" s="714" t="s">
        <v>155</v>
      </c>
      <c r="N39" s="711"/>
      <c r="O39" s="711"/>
      <c r="P39" s="711"/>
      <c r="Q39" s="711"/>
      <c r="R39" s="711"/>
      <c r="S39" s="711"/>
      <c r="T39" s="711"/>
      <c r="U39" s="712"/>
      <c r="V39" s="711"/>
      <c r="W39" s="711"/>
      <c r="X39" s="702"/>
      <c r="Y39" s="702"/>
      <c r="Z39" s="702"/>
      <c r="AA39" s="702"/>
      <c r="AB39" s="702"/>
      <c r="AC39" s="702"/>
      <c r="AD39" s="702"/>
      <c r="AE39" s="702"/>
      <c r="AF39" s="702"/>
      <c r="AG39" s="702"/>
      <c r="AH39" s="702"/>
      <c r="AI39" s="702"/>
      <c r="AJ39" s="702"/>
      <c r="AK39" s="702"/>
      <c r="AL39" s="702"/>
    </row>
    <row customHeight="1" ht="15">
      <c r="A40" s="530"/>
      <c r="B40" s="530"/>
      <c r="C40" s="3004"/>
      <c r="D40" s="2990"/>
      <c r="E40" s="2993"/>
      <c r="F40" s="2989"/>
      <c r="G40" s="528"/>
      <c r="H40" s="285"/>
      <c r="I40" s="687" t="s">
        <v>166</v>
      </c>
      <c r="J40" s="285"/>
      <c r="K40" s="285"/>
      <c r="L40" s="285"/>
      <c r="M40" s="715"/>
      <c r="N40" s="711"/>
      <c r="O40" s="711"/>
      <c r="P40" s="711"/>
      <c r="Q40" s="711"/>
      <c r="R40" s="711"/>
      <c r="S40" s="711"/>
      <c r="T40" s="711"/>
      <c r="U40" s="712"/>
      <c r="V40" s="711"/>
      <c r="W40" s="711"/>
      <c r="X40" s="702"/>
      <c r="Y40" s="702"/>
      <c r="Z40" s="702"/>
      <c r="AA40" s="702"/>
      <c r="AB40" s="702"/>
      <c r="AC40" s="702"/>
      <c r="AD40" s="702"/>
      <c r="AE40" s="702"/>
      <c r="AF40" s="702"/>
      <c r="AG40" s="702"/>
      <c r="AH40" s="702"/>
      <c r="AI40" s="702"/>
      <c r="AJ40" s="702"/>
      <c r="AK40" s="702"/>
      <c r="AL40" s="702"/>
    </row>
    <row customHeight="1" ht="15">
      <c r="A41" s="530"/>
      <c r="B41" s="530"/>
      <c r="C41" s="3003" t="s">
        <v>103</v>
      </c>
      <c r="D41" s="2990" t="s">
        <v>90</v>
      </c>
      <c r="E41" s="2991" t="str">
        <f>INDEX(VD_NAME_LIST,MATCH("4190064",VD_ID_LIST,0))</f>
        <v>Производство тепловой энергии. Некомбинированная выработка</v>
      </c>
      <c r="F41" s="2989" t="s">
        <v>19</v>
      </c>
      <c r="G41" s="2999"/>
      <c r="H41" s="2978">
        <v>1</v>
      </c>
      <c r="I41" s="3005" t="str">
        <f>IF(U41="","",INDEX(TERRITORY_MR_LIST,MATCH(U41,TERRITORY_LIST_ID,0)))</f>
        <v/>
      </c>
      <c r="J41" s="2989" t="s">
        <v>62</v>
      </c>
      <c r="K41" s="933"/>
      <c r="L41" s="1877" t="s">
        <v>144</v>
      </c>
      <c r="M41" s="2214" t="s">
        <v>182</v>
      </c>
      <c r="N41" s="711"/>
      <c r="O41" s="711" t="s">
        <v>183</v>
      </c>
      <c r="P41" s="711" t="str">
        <f>$E$41</f>
        <v>Производство тепловой энергии. Некомбинированная выработка</v>
      </c>
      <c r="Q41" s="711" t="str">
        <f>IF($F$41="нет","без дифференциации",$I$41)</f>
        <v>без дифференциации</v>
      </c>
      <c r="R41" s="711" t="str">
        <f>IF($J$41="нет","без дифференциации",$M$41)</f>
        <v>Хабаровская ТЭЦ-2</v>
      </c>
      <c r="S41" s="711"/>
      <c r="T41" s="711"/>
      <c r="U41" s="712"/>
      <c r="V41" s="711" t="s">
        <v>184</v>
      </c>
      <c r="W41" s="711"/>
      <c r="X41" s="702"/>
      <c r="Y41" s="702" t="s">
        <v>152</v>
      </c>
      <c r="Z41" s="702">
        <v>1705000</v>
      </c>
      <c r="AA41" s="702"/>
      <c r="AB41" s="702"/>
      <c r="AC41" s="702"/>
      <c r="AD41" s="702"/>
      <c r="AE41" s="702"/>
      <c r="AF41" s="702"/>
      <c r="AG41" s="702"/>
      <c r="AH41" s="702"/>
      <c r="AI41" s="702"/>
      <c r="AJ41" s="702"/>
      <c r="AK41" s="702"/>
      <c r="AL41" s="702"/>
    </row>
    <row customHeight="1" ht="15">
      <c r="A42" s="530"/>
      <c r="B42" s="530"/>
      <c r="C42" s="3004"/>
      <c r="D42" s="2987"/>
      <c r="E42" s="2987"/>
      <c r="F42" s="2987"/>
      <c r="G42" s="2987"/>
      <c r="H42" s="2987"/>
      <c r="I42" s="2987"/>
      <c r="J42" s="2987"/>
      <c r="K42" s="1894" t="s">
        <v>103</v>
      </c>
      <c r="L42" s="1825" t="s">
        <v>102</v>
      </c>
      <c r="M42" s="912" t="s">
        <v>185</v>
      </c>
      <c r="N42" s="913"/>
      <c r="O42" s="711" t="s">
        <v>186</v>
      </c>
      <c r="P42" s="711" t="str">
        <f>$E$41</f>
        <v>Производство тепловой энергии. Некомбинированная выработка</v>
      </c>
      <c r="Q42" s="711" t="str">
        <f>IF($F$41="нет","без дифференциации",$I$41)</f>
        <v>без дифференциации</v>
      </c>
      <c r="R42" s="711" t="str">
        <f>IF($J$42="нет","без дифференциации",$M$42)</f>
        <v>Некрасовская котельная</v>
      </c>
      <c r="S42" s="711"/>
      <c r="T42" s="711"/>
      <c r="U42" s="712"/>
      <c r="V42" s="711"/>
      <c r="W42" s="711"/>
      <c r="X42" s="702"/>
      <c r="Y42" s="702" t="s">
        <v>152</v>
      </c>
      <c r="Z42" s="702">
        <v>1705000</v>
      </c>
      <c r="AA42" s="702"/>
      <c r="AB42" s="702"/>
      <c r="AC42" s="702"/>
      <c r="AD42" s="702"/>
      <c r="AE42" s="702"/>
      <c r="AF42" s="702"/>
      <c r="AG42" s="702"/>
      <c r="AH42" s="702"/>
      <c r="AI42" s="702"/>
      <c r="AJ42" s="702"/>
      <c r="AK42" s="702"/>
      <c r="AL42" s="702"/>
    </row>
    <row customHeight="1" ht="15">
      <c r="A43" s="530"/>
      <c r="B43" s="530"/>
      <c r="C43" s="3004"/>
      <c r="D43" s="2987"/>
      <c r="E43" s="2987"/>
      <c r="F43" s="2987"/>
      <c r="G43" s="2987"/>
      <c r="H43" s="2987"/>
      <c r="I43" s="2987"/>
      <c r="J43" s="2987"/>
      <c r="K43" s="1894" t="s">
        <v>103</v>
      </c>
      <c r="L43" s="1825" t="s">
        <v>90</v>
      </c>
      <c r="M43" s="912" t="s">
        <v>187</v>
      </c>
      <c r="N43" s="913"/>
      <c r="O43" s="711" t="s">
        <v>188</v>
      </c>
      <c r="P43" s="711" t="str">
        <f>$E$41</f>
        <v>Производство тепловой энергии. Некомбинированная выработка</v>
      </c>
      <c r="Q43" s="711" t="str">
        <f>IF($F$41="нет","без дифференциации",$I$41)</f>
        <v>без дифференциации</v>
      </c>
      <c r="R43" s="711" t="str">
        <f>IF($J$43="нет","без дифференциации",$M$43)</f>
        <v>котельная "Дземги"</v>
      </c>
      <c r="S43" s="711"/>
      <c r="T43" s="711"/>
      <c r="U43" s="712"/>
      <c r="V43" s="711"/>
      <c r="W43" s="711"/>
      <c r="X43" s="702"/>
      <c r="Y43" s="702" t="s">
        <v>152</v>
      </c>
      <c r="Z43" s="702">
        <v>1705000</v>
      </c>
      <c r="AA43" s="702"/>
      <c r="AB43" s="702"/>
      <c r="AC43" s="702"/>
      <c r="AD43" s="702"/>
      <c r="AE43" s="702"/>
      <c r="AF43" s="702"/>
      <c r="AG43" s="702"/>
      <c r="AH43" s="702"/>
      <c r="AI43" s="702"/>
      <c r="AJ43" s="702"/>
      <c r="AK43" s="702"/>
      <c r="AL43" s="702"/>
    </row>
    <row customHeight="1" ht="15">
      <c r="A44" s="530"/>
      <c r="B44" s="530"/>
      <c r="C44" s="3004"/>
      <c r="D44" s="2987"/>
      <c r="E44" s="2987"/>
      <c r="F44" s="2987"/>
      <c r="G44" s="2987"/>
      <c r="H44" s="2987"/>
      <c r="I44" s="2987"/>
      <c r="J44" s="2987"/>
      <c r="K44" s="1894" t="s">
        <v>103</v>
      </c>
      <c r="L44" s="1825" t="s">
        <v>91</v>
      </c>
      <c r="M44" s="912" t="s">
        <v>189</v>
      </c>
      <c r="N44" s="913"/>
      <c r="O44" s="711" t="s">
        <v>190</v>
      </c>
      <c r="P44" s="711" t="str">
        <f>$E$41</f>
        <v>Производство тепловой энергии. Некомбинированная выработка</v>
      </c>
      <c r="Q44" s="711" t="str">
        <f>IF($F$41="нет","без дифференциации",$I$41)</f>
        <v>без дифференциации</v>
      </c>
      <c r="R44" s="711" t="str">
        <f>IF($J$44="нет","без дифференциации",$M$44)</f>
        <v>Майская котельная</v>
      </c>
      <c r="S44" s="711"/>
      <c r="T44" s="711"/>
      <c r="U44" s="712"/>
      <c r="V44" s="711"/>
      <c r="W44" s="711"/>
      <c r="X44" s="702"/>
      <c r="Y44" s="702" t="s">
        <v>152</v>
      </c>
      <c r="Z44" s="702">
        <v>1705000</v>
      </c>
      <c r="AA44" s="702"/>
      <c r="AB44" s="702"/>
      <c r="AC44" s="702"/>
      <c r="AD44" s="702"/>
      <c r="AE44" s="702"/>
      <c r="AF44" s="702"/>
      <c r="AG44" s="702"/>
      <c r="AH44" s="702"/>
      <c r="AI44" s="702"/>
      <c r="AJ44" s="702"/>
      <c r="AK44" s="702"/>
      <c r="AL44" s="702"/>
    </row>
    <row customHeight="1" ht="15">
      <c r="A45" s="530"/>
      <c r="B45" s="530"/>
      <c r="C45" s="3004"/>
      <c r="D45" s="2987"/>
      <c r="E45" s="2987"/>
      <c r="F45" s="2987"/>
      <c r="G45" s="2987"/>
      <c r="H45" s="2987"/>
      <c r="I45" s="2987"/>
      <c r="J45" s="2987"/>
      <c r="K45" s="1894" t="s">
        <v>103</v>
      </c>
      <c r="L45" s="1825" t="s">
        <v>121</v>
      </c>
      <c r="M45" s="912" t="s">
        <v>191</v>
      </c>
      <c r="N45" s="913"/>
      <c r="O45" s="711" t="s">
        <v>192</v>
      </c>
      <c r="P45" s="711" t="str">
        <f>$E$41</f>
        <v>Производство тепловой энергии. Некомбинированная выработка</v>
      </c>
      <c r="Q45" s="711" t="str">
        <f>IF($F$41="нет","без дифференциации",$I$41)</f>
        <v>без дифференциации</v>
      </c>
      <c r="R45" s="711" t="str">
        <f>IF($J$45="нет","без дифференциации",$M$45)</f>
        <v>Ургальская котельная</v>
      </c>
      <c r="S45" s="711"/>
      <c r="T45" s="711"/>
      <c r="U45" s="712"/>
      <c r="V45" s="711"/>
      <c r="W45" s="711"/>
      <c r="X45" s="702"/>
      <c r="Y45" s="702" t="s">
        <v>152</v>
      </c>
      <c r="Z45" s="702">
        <v>1705000</v>
      </c>
      <c r="AA45" s="702"/>
      <c r="AB45" s="702"/>
      <c r="AC45" s="702"/>
      <c r="AD45" s="702"/>
      <c r="AE45" s="702"/>
      <c r="AF45" s="702"/>
      <c r="AG45" s="702"/>
      <c r="AH45" s="702"/>
      <c r="AI45" s="702"/>
      <c r="AJ45" s="702"/>
      <c r="AK45" s="702"/>
      <c r="AL45" s="702"/>
    </row>
    <row customHeight="1" ht="15">
      <c r="A46" s="530"/>
      <c r="B46" s="530"/>
      <c r="C46" s="3004"/>
      <c r="D46" s="2990"/>
      <c r="E46" s="2992"/>
      <c r="F46" s="2989"/>
      <c r="G46" s="3000"/>
      <c r="H46" s="2978"/>
      <c r="I46" s="3006"/>
      <c r="J46" s="2989"/>
      <c r="K46" s="528"/>
      <c r="L46" s="285"/>
      <c r="M46" s="714" t="s">
        <v>155</v>
      </c>
      <c r="N46" s="711"/>
      <c r="O46" s="711"/>
      <c r="P46" s="711"/>
      <c r="Q46" s="711"/>
      <c r="R46" s="711"/>
      <c r="S46" s="711"/>
      <c r="T46" s="711"/>
      <c r="U46" s="712"/>
      <c r="V46" s="711"/>
      <c r="W46" s="711"/>
      <c r="X46" s="702"/>
      <c r="Y46" s="702"/>
      <c r="Z46" s="702"/>
      <c r="AA46" s="702"/>
      <c r="AB46" s="702"/>
      <c r="AC46" s="702"/>
      <c r="AD46" s="702"/>
      <c r="AE46" s="702"/>
      <c r="AF46" s="702"/>
      <c r="AG46" s="702"/>
      <c r="AH46" s="702"/>
      <c r="AI46" s="702"/>
      <c r="AJ46" s="702"/>
      <c r="AK46" s="702"/>
      <c r="AL46" s="702"/>
    </row>
    <row customHeight="1" ht="15">
      <c r="A47" s="530"/>
      <c r="B47" s="530"/>
      <c r="C47" s="3004"/>
      <c r="D47" s="2990"/>
      <c r="E47" s="2993"/>
      <c r="F47" s="2989"/>
      <c r="G47" s="528"/>
      <c r="H47" s="285"/>
      <c r="I47" s="687" t="s">
        <v>166</v>
      </c>
      <c r="J47" s="285"/>
      <c r="K47" s="285"/>
      <c r="L47" s="285"/>
      <c r="M47" s="715"/>
      <c r="N47" s="711"/>
      <c r="O47" s="711"/>
      <c r="P47" s="711"/>
      <c r="Q47" s="711"/>
      <c r="R47" s="711"/>
      <c r="S47" s="711"/>
      <c r="T47" s="711"/>
      <c r="U47" s="712"/>
      <c r="V47" s="711"/>
      <c r="W47" s="711"/>
      <c r="X47" s="702"/>
      <c r="Y47" s="702"/>
      <c r="Z47" s="702"/>
      <c r="AA47" s="702"/>
      <c r="AB47" s="702"/>
      <c r="AC47" s="702"/>
      <c r="AD47" s="702"/>
      <c r="AE47" s="702"/>
      <c r="AF47" s="702"/>
      <c r="AG47" s="702"/>
      <c r="AH47" s="702"/>
      <c r="AI47" s="702"/>
      <c r="AJ47" s="702"/>
      <c r="AK47" s="702"/>
      <c r="AL47" s="702"/>
    </row>
    <row customHeight="1" ht="15">
      <c r="A48" s="530"/>
      <c r="B48" s="530"/>
      <c r="C48" s="3003" t="s">
        <v>103</v>
      </c>
      <c r="D48" s="2990" t="s">
        <v>91</v>
      </c>
      <c r="E48" s="2991" t="str">
        <f>INDEX(VD_NAME_LIST,MATCH("4190068",VD_ID_LIST,0))&amp;"; "&amp;INDEX(VD_NAME_LIST,MATCH("4190069",VD_ID_LIST,0))&amp;"; "&amp;INDEX(VD_NAME_LIST,MATCH("4190070",VD_ID_LIST,0))&amp;"; "&amp;INDEX(VD_NAME_LIST,MATCH("4190071",VD_ID_LIST,0))</f>
        <v>Передача. Тепловая энергия; Передача. Теплоноситель; Сбыт. Тепловая энергия; Сбыт. Теплоноситель</v>
      </c>
      <c r="F48" s="2989" t="s">
        <v>19</v>
      </c>
      <c r="G48" s="2999"/>
      <c r="H48" s="2978">
        <v>1</v>
      </c>
      <c r="I48" s="3005" t="str">
        <f>IF(U48="","",INDEX(TERRITORY_MR_LIST,MATCH(U48,TERRITORY_LIST_ID,0)))</f>
        <v/>
      </c>
      <c r="J48" s="2989" t="s">
        <v>62</v>
      </c>
      <c r="K48" s="933"/>
      <c r="L48" s="1877" t="s">
        <v>144</v>
      </c>
      <c r="M48" s="2214" t="s">
        <v>193</v>
      </c>
      <c r="N48" s="711"/>
      <c r="O48" s="711" t="s">
        <v>194</v>
      </c>
      <c r="P48" s="711" t="str">
        <f>$E$48</f>
        <v>Передача. Тепловая энергия; Передача. Теплоноситель; Сбыт. Тепловая энергия; Сбыт. Теплоноситель</v>
      </c>
      <c r="Q48" s="711" t="str">
        <f>IF($F$48="нет","без дифференциации",$I$48)</f>
        <v>без дифференциации</v>
      </c>
      <c r="R48" s="711" t="str">
        <f>IF($J$48="нет","без дифференциации",$M$48)</f>
        <v>Комсомольские тепловые сети</v>
      </c>
      <c r="S48" s="711"/>
      <c r="T48" s="711"/>
      <c r="U48" s="712"/>
      <c r="V48" s="711" t="s">
        <v>195</v>
      </c>
      <c r="W48" s="711"/>
      <c r="X48" s="702"/>
      <c r="Y48" s="702" t="s">
        <v>152</v>
      </c>
      <c r="Z48" s="702">
        <v>1705000</v>
      </c>
      <c r="AA48" s="702"/>
      <c r="AB48" s="702"/>
      <c r="AC48" s="702"/>
      <c r="AD48" s="702"/>
      <c r="AE48" s="702"/>
      <c r="AF48" s="702"/>
      <c r="AG48" s="702"/>
      <c r="AH48" s="702"/>
      <c r="AI48" s="702"/>
      <c r="AJ48" s="702"/>
      <c r="AK48" s="702"/>
      <c r="AL48" s="702"/>
    </row>
    <row customHeight="1" ht="15">
      <c r="A49" s="530"/>
      <c r="B49" s="530"/>
      <c r="C49" s="3004"/>
      <c r="D49" s="2987"/>
      <c r="E49" s="2987"/>
      <c r="F49" s="2987"/>
      <c r="G49" s="2987"/>
      <c r="H49" s="2987"/>
      <c r="I49" s="2987"/>
      <c r="J49" s="2987"/>
      <c r="K49" s="1894" t="s">
        <v>103</v>
      </c>
      <c r="L49" s="1825" t="s">
        <v>102</v>
      </c>
      <c r="M49" s="912" t="s">
        <v>196</v>
      </c>
      <c r="N49" s="913"/>
      <c r="O49" s="711" t="s">
        <v>197</v>
      </c>
      <c r="P49" s="711" t="str">
        <f>$E$48</f>
        <v>Передача. Тепловая энергия; Передача. Теплоноситель; Сбыт. Тепловая энергия; Сбыт. Теплоноситель</v>
      </c>
      <c r="Q49" s="711" t="str">
        <f>IF($F$48="нет","без дифференциации",$I$48)</f>
        <v>без дифференциации</v>
      </c>
      <c r="R49" s="711" t="str">
        <f>IF($J$49="нет","без дифференциации",$M$49)</f>
        <v>Хабаровские тепловые сети</v>
      </c>
      <c r="S49" s="711"/>
      <c r="T49" s="711"/>
      <c r="U49" s="712"/>
      <c r="V49" s="711"/>
      <c r="W49" s="711"/>
      <c r="X49" s="702"/>
      <c r="Y49" s="702" t="s">
        <v>152</v>
      </c>
      <c r="Z49" s="702">
        <v>1705000</v>
      </c>
      <c r="AA49" s="702"/>
      <c r="AB49" s="702"/>
      <c r="AC49" s="702"/>
      <c r="AD49" s="702"/>
      <c r="AE49" s="702"/>
      <c r="AF49" s="702"/>
      <c r="AG49" s="702"/>
      <c r="AH49" s="702"/>
      <c r="AI49" s="702"/>
      <c r="AJ49" s="702"/>
      <c r="AK49" s="702"/>
      <c r="AL49" s="702"/>
    </row>
    <row customHeight="1" ht="15">
      <c r="A50" s="530"/>
      <c r="B50" s="530"/>
      <c r="C50" s="3004"/>
      <c r="D50" s="2990"/>
      <c r="E50" s="2992"/>
      <c r="F50" s="2989"/>
      <c r="G50" s="3000"/>
      <c r="H50" s="2978"/>
      <c r="I50" s="3006"/>
      <c r="J50" s="2989"/>
      <c r="K50" s="528"/>
      <c r="L50" s="285"/>
      <c r="M50" s="714" t="s">
        <v>155</v>
      </c>
      <c r="N50" s="711"/>
      <c r="O50" s="711"/>
      <c r="P50" s="711"/>
      <c r="Q50" s="711"/>
      <c r="R50" s="711"/>
      <c r="S50" s="711"/>
      <c r="T50" s="711"/>
      <c r="U50" s="712"/>
      <c r="V50" s="711"/>
      <c r="W50" s="711"/>
      <c r="X50" s="702"/>
      <c r="Y50" s="702"/>
      <c r="Z50" s="702"/>
      <c r="AA50" s="702"/>
      <c r="AB50" s="702"/>
      <c r="AC50" s="702"/>
      <c r="AD50" s="702"/>
      <c r="AE50" s="702"/>
      <c r="AF50" s="702"/>
      <c r="AG50" s="702"/>
      <c r="AH50" s="702"/>
      <c r="AI50" s="702"/>
      <c r="AJ50" s="702"/>
      <c r="AK50" s="702"/>
      <c r="AL50" s="702"/>
    </row>
    <row customHeight="1" ht="15">
      <c r="A51" s="530"/>
      <c r="B51" s="530"/>
      <c r="C51" s="3004"/>
      <c r="D51" s="2990"/>
      <c r="E51" s="2993"/>
      <c r="F51" s="2989"/>
      <c r="G51" s="528"/>
      <c r="H51" s="285"/>
      <c r="I51" s="687" t="s">
        <v>166</v>
      </c>
      <c r="J51" s="285"/>
      <c r="K51" s="285"/>
      <c r="L51" s="285"/>
      <c r="M51" s="715"/>
      <c r="N51" s="711"/>
      <c r="O51" s="711"/>
      <c r="P51" s="711"/>
      <c r="Q51" s="711"/>
      <c r="R51" s="711"/>
      <c r="S51" s="711"/>
      <c r="T51" s="711"/>
      <c r="U51" s="712"/>
      <c r="V51" s="711"/>
      <c r="W51" s="711"/>
      <c r="X51" s="702"/>
      <c r="Y51" s="702"/>
      <c r="Z51" s="702"/>
      <c r="AA51" s="702"/>
      <c r="AB51" s="702"/>
      <c r="AC51" s="702"/>
      <c r="AD51" s="702"/>
      <c r="AE51" s="702"/>
      <c r="AF51" s="702"/>
      <c r="AG51" s="702"/>
      <c r="AH51" s="702"/>
      <c r="AI51" s="702"/>
      <c r="AJ51" s="702"/>
      <c r="AK51" s="702"/>
      <c r="AL51" s="702"/>
    </row>
    <row customHeight="1" ht="21">
      <c r="A52" s="530"/>
      <c r="B52" s="530"/>
      <c r="C52" s="3003" t="s">
        <v>103</v>
      </c>
      <c r="D52" s="2990" t="s">
        <v>121</v>
      </c>
      <c r="E52" s="2991" t="str">
        <f>INDEX(VD_NAME_LIST,MATCH("4190064",VD_ID_LIST,0))&amp;"; "&amp;INDEX(VD_NAME_LIST,MATCH("4190066",VD_ID_LIST,0))&amp;";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Передача. Теплоноситель; Сбыт. Тепловая энергия; Сбыт. Теплоноситель</v>
      </c>
      <c r="F52" s="2989" t="s">
        <v>62</v>
      </c>
      <c r="G52" s="2999"/>
      <c r="H52" s="2978">
        <v>1</v>
      </c>
      <c r="I52" s="3001" t="str">
        <f>IF($U$52="","",INDEX(TERRITORY_MR_LIST,MATCH($U$52,TERRITORY_LIST_ID,0)))</f>
        <v>Территория 7</v>
      </c>
      <c r="J52" s="2989" t="s">
        <v>62</v>
      </c>
      <c r="K52" s="933"/>
      <c r="L52" s="1877" t="s">
        <v>144</v>
      </c>
      <c r="M52" s="2214" t="s">
        <v>198</v>
      </c>
      <c r="N52" s="711"/>
      <c r="O52" s="711" t="s">
        <v>199</v>
      </c>
      <c r="P52" s="711" t="str">
        <f>$E$52</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Передача. Теплоноситель; Сбыт. Тепловая энергия; Сбыт. Теплоноситель</v>
      </c>
      <c r="Q52" s="711" t="str">
        <f>IF($F$52="нет","без дифференциации",$I$52)</f>
        <v>Территория 7</v>
      </c>
      <c r="R52" s="711" t="str">
        <f>IF($J$52="нет","без дифференциации",$M$52)</f>
        <v>ТЭЦ в г. Советская Гавань</v>
      </c>
      <c r="S52" s="711"/>
      <c r="T52" s="711"/>
      <c r="U52" s="712" t="s">
        <v>132</v>
      </c>
      <c r="V52" s="711" t="s">
        <v>200</v>
      </c>
      <c r="W52" s="711"/>
      <c r="X52" s="702"/>
      <c r="Y52" s="702" t="s">
        <v>152</v>
      </c>
      <c r="Z52" s="702">
        <v>1705000</v>
      </c>
      <c r="AA52" s="702"/>
      <c r="AB52" s="702"/>
      <c r="AC52" s="702"/>
      <c r="AD52" s="702"/>
      <c r="AE52" s="702"/>
      <c r="AF52" s="702"/>
      <c r="AG52" s="702"/>
      <c r="AH52" s="702"/>
      <c r="AI52" s="702"/>
      <c r="AJ52" s="702"/>
      <c r="AK52" s="702"/>
      <c r="AL52" s="702"/>
    </row>
    <row customHeight="1" ht="18">
      <c r="A53" s="530"/>
      <c r="B53" s="530"/>
      <c r="C53" s="3004"/>
      <c r="D53" s="2990"/>
      <c r="E53" s="2992"/>
      <c r="F53" s="2989"/>
      <c r="G53" s="3000"/>
      <c r="H53" s="2978"/>
      <c r="I53" s="3002" t="str">
        <f>IF($U$52="","",INDEX(TERRITORY_MR_LIST,MATCH($U$52,TERRITORY_LIST_ID,0)))</f>
        <v>Территория 7</v>
      </c>
      <c r="J53" s="2989"/>
      <c r="K53" s="528"/>
      <c r="L53" s="285"/>
      <c r="M53" s="714" t="s">
        <v>155</v>
      </c>
      <c r="N53" s="711"/>
      <c r="O53" s="711"/>
      <c r="P53" s="711"/>
      <c r="Q53" s="711"/>
      <c r="R53" s="711"/>
      <c r="S53" s="711"/>
      <c r="T53" s="711"/>
      <c r="U53" s="712"/>
      <c r="V53" s="711"/>
      <c r="W53" s="711"/>
      <c r="X53" s="702"/>
      <c r="Y53" s="702"/>
      <c r="Z53" s="702"/>
      <c r="AA53" s="702"/>
      <c r="AB53" s="702"/>
      <c r="AC53" s="702"/>
      <c r="AD53" s="702"/>
      <c r="AE53" s="702"/>
      <c r="AF53" s="702"/>
      <c r="AG53" s="702"/>
      <c r="AH53" s="702"/>
      <c r="AI53" s="702"/>
      <c r="AJ53" s="702"/>
      <c r="AK53" s="702"/>
      <c r="AL53" s="702"/>
    </row>
    <row customHeight="1" ht="27">
      <c r="A54" s="530"/>
      <c r="B54" s="530"/>
      <c r="C54" s="3004"/>
      <c r="D54" s="2990"/>
      <c r="E54" s="2993"/>
      <c r="F54" s="2989"/>
      <c r="G54" s="528"/>
      <c r="H54" s="285"/>
      <c r="I54" s="687" t="s">
        <v>166</v>
      </c>
      <c r="J54" s="285"/>
      <c r="K54" s="285"/>
      <c r="L54" s="285"/>
      <c r="M54" s="715"/>
      <c r="N54" s="711"/>
      <c r="O54" s="711"/>
      <c r="P54" s="711"/>
      <c r="Q54" s="711"/>
      <c r="R54" s="711"/>
      <c r="S54" s="711"/>
      <c r="T54" s="711"/>
      <c r="U54" s="712"/>
      <c r="V54" s="711"/>
      <c r="W54" s="711"/>
      <c r="X54" s="702"/>
      <c r="Y54" s="702"/>
      <c r="Z54" s="702"/>
      <c r="AA54" s="702"/>
      <c r="AB54" s="702"/>
      <c r="AC54" s="702"/>
      <c r="AD54" s="702"/>
      <c r="AE54" s="702"/>
      <c r="AF54" s="702"/>
      <c r="AG54" s="702"/>
      <c r="AH54" s="702"/>
      <c r="AI54" s="702"/>
      <c r="AJ54" s="702"/>
      <c r="AK54" s="702"/>
      <c r="AL54" s="702"/>
    </row>
    <row customHeight="1" ht="15">
      <c r="A55" s="530"/>
      <c r="B55" s="530"/>
      <c r="C55" s="1824" t="s">
        <v>103</v>
      </c>
      <c r="D55" s="2990" t="s">
        <v>92</v>
      </c>
      <c r="E55" s="299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55" s="2989" t="s">
        <v>62</v>
      </c>
      <c r="G55" s="2999"/>
      <c r="H55" s="2978">
        <v>1</v>
      </c>
      <c r="I55" s="3761" t="str">
        <f>IF($U$55="","",INDEX(TERRITORY_MR_LIST,MATCH($U$55,TERRITORY_LIST_ID,0)))</f>
        <v>Территория 5</v>
      </c>
      <c r="J55" s="2989" t="s">
        <v>62</v>
      </c>
      <c r="K55" s="933"/>
      <c r="L55" s="1877" t="s">
        <v>144</v>
      </c>
      <c r="M55" s="3762" t="s">
        <v>201</v>
      </c>
      <c r="N55" s="711"/>
      <c r="O55" s="711" t="s">
        <v>202</v>
      </c>
      <c r="P55" s="711" t="str">
        <f>$E$55</f>
        <v>Производство тепловой энергии. Некомбинированная выработка; Передача. Тепловая энергия; Сбыт. Тепловая энергия</v>
      </c>
      <c r="Q55" s="711" t="str">
        <f>IF($F$55="нет","без дифференциации",$I$55)</f>
        <v>Территория 5</v>
      </c>
      <c r="R55" s="711" t="str">
        <f>IF($J$55="нет","без дифференциации",$M$55)</f>
        <v>котельная "Аэропорт"</v>
      </c>
      <c r="S55" s="711"/>
      <c r="T55" s="711"/>
      <c r="U55" s="712" t="s">
        <v>122</v>
      </c>
      <c r="V55" s="711" t="s">
        <v>203</v>
      </c>
      <c r="W55" s="711"/>
      <c r="X55" s="702"/>
      <c r="Y55" s="702" t="s">
        <v>152</v>
      </c>
      <c r="Z55" s="702">
        <v>1705000</v>
      </c>
      <c r="AA55" s="702"/>
      <c r="AB55" s="702"/>
      <c r="AC55" s="702"/>
      <c r="AD55" s="702"/>
      <c r="AE55" s="702"/>
      <c r="AF55" s="702"/>
      <c r="AG55" s="702"/>
      <c r="AH55" s="702"/>
      <c r="AI55" s="702"/>
      <c r="AJ55" s="702"/>
      <c r="AK55" s="702"/>
      <c r="AL55" s="702"/>
      <c r="AM55" s="3763"/>
      <c r="AN55" s="3763"/>
      <c r="AO55" s="3763"/>
      <c r="AP55" s="3763"/>
    </row>
    <row customHeight="1" ht="15">
      <c r="A56" s="530"/>
      <c r="B56" s="530"/>
      <c r="C56" s="284"/>
      <c r="D56" s="2990"/>
      <c r="E56" s="2992"/>
      <c r="F56" s="2989"/>
      <c r="G56" s="3000"/>
      <c r="H56" s="2978"/>
      <c r="I56" s="3764" t="str">
        <f>IF($U$55="","",INDEX(TERRITORY_MR_LIST,MATCH($U$55,TERRITORY_LIST_ID,0)))</f>
        <v>Территория 5</v>
      </c>
      <c r="J56" s="2989"/>
      <c r="K56" s="528"/>
      <c r="L56" s="285"/>
      <c r="M56" s="714" t="s">
        <v>155</v>
      </c>
      <c r="N56" s="711"/>
      <c r="O56" s="711"/>
      <c r="P56" s="711"/>
      <c r="Q56" s="711"/>
      <c r="R56" s="711"/>
      <c r="S56" s="711"/>
      <c r="T56" s="711"/>
      <c r="U56" s="712"/>
      <c r="V56" s="711"/>
      <c r="W56" s="711"/>
      <c r="X56" s="702"/>
      <c r="Y56" s="702"/>
      <c r="Z56" s="702"/>
      <c r="AA56" s="702"/>
      <c r="AB56" s="702"/>
      <c r="AC56" s="702"/>
      <c r="AD56" s="702"/>
      <c r="AE56" s="702"/>
      <c r="AF56" s="702"/>
      <c r="AG56" s="702"/>
      <c r="AH56" s="702"/>
      <c r="AI56" s="702"/>
      <c r="AJ56" s="702"/>
      <c r="AK56" s="702"/>
      <c r="AL56" s="702"/>
      <c r="AM56" s="3763"/>
      <c r="AN56" s="3763"/>
      <c r="AO56" s="3763"/>
      <c r="AP56" s="3763"/>
    </row>
    <row customHeight="1" ht="15">
      <c r="A57" s="530"/>
      <c r="B57" s="530"/>
      <c r="C57" s="284"/>
      <c r="D57" s="1915"/>
      <c r="E57" s="1915"/>
      <c r="F57" s="1915"/>
      <c r="G57" s="2997" t="s">
        <v>103</v>
      </c>
      <c r="H57" s="2958" t="s">
        <v>102</v>
      </c>
      <c r="I57" s="2998" t="str">
        <f>IF(U57="","",INDEX(TERRITORY_MR_LIST,MATCH(U57,TERRITORY_LIST_ID,0)))</f>
        <v>Территория 8</v>
      </c>
      <c r="J57" s="2989" t="s">
        <v>62</v>
      </c>
      <c r="K57" s="933"/>
      <c r="L57" s="1877" t="s">
        <v>144</v>
      </c>
      <c r="M57" s="3762" t="s">
        <v>204</v>
      </c>
      <c r="N57" s="711"/>
      <c r="O57" s="711" t="s">
        <v>205</v>
      </c>
      <c r="P57" s="711" t="str">
        <f>$E$55</f>
        <v>Производство тепловой энергии. Некомбинированная выработка; Передача. Тепловая энергия; Сбыт. Тепловая энергия</v>
      </c>
      <c r="Q57" s="711" t="str">
        <f>IF($F$57="нет","без дифференциации",$I$57)</f>
        <v>Территория 8</v>
      </c>
      <c r="R57" s="711" t="str">
        <f>IF($J$57="нет","без дифференциации",$M$57)</f>
        <v>котельная в Волочаевском городке</v>
      </c>
      <c r="S57" s="711"/>
      <c r="T57" s="711"/>
      <c r="U57" s="712" t="s">
        <v>137</v>
      </c>
      <c r="V57" s="711"/>
      <c r="W57" s="711"/>
      <c r="X57" s="702"/>
      <c r="Y57" s="702" t="s">
        <v>152</v>
      </c>
      <c r="Z57" s="702">
        <v>1705000</v>
      </c>
      <c r="AA57" s="702"/>
      <c r="AB57" s="702"/>
      <c r="AC57" s="702"/>
      <c r="AD57" s="702"/>
      <c r="AE57" s="702"/>
      <c r="AF57" s="702"/>
      <c r="AG57" s="702"/>
      <c r="AH57" s="702"/>
      <c r="AI57" s="702"/>
      <c r="AJ57" s="702"/>
      <c r="AK57" s="702"/>
      <c r="AL57" s="702"/>
      <c r="AM57" s="3763"/>
      <c r="AN57" s="3763"/>
      <c r="AO57" s="3763"/>
      <c r="AP57" s="3763"/>
    </row>
    <row customHeight="1" ht="15">
      <c r="A58" s="530"/>
      <c r="B58" s="530"/>
      <c r="C58" s="284"/>
      <c r="D58" s="1915"/>
      <c r="E58" s="1915"/>
      <c r="F58" s="1915"/>
      <c r="G58" s="2997"/>
      <c r="H58" s="2958"/>
      <c r="I58" s="2998"/>
      <c r="J58" s="2989"/>
      <c r="K58" s="528"/>
      <c r="L58" s="285"/>
      <c r="M58" s="714" t="s">
        <v>155</v>
      </c>
      <c r="N58" s="711"/>
      <c r="O58" s="711"/>
      <c r="P58" s="711"/>
      <c r="Q58" s="711"/>
      <c r="R58" s="711"/>
      <c r="S58" s="711"/>
      <c r="T58" s="711"/>
      <c r="U58" s="712"/>
      <c r="V58" s="711"/>
      <c r="W58" s="711"/>
      <c r="X58" s="702"/>
      <c r="Y58" s="702"/>
      <c r="Z58" s="702"/>
      <c r="AA58" s="702"/>
      <c r="AB58" s="702"/>
      <c r="AC58" s="702"/>
      <c r="AD58" s="702"/>
      <c r="AE58" s="702"/>
      <c r="AF58" s="702"/>
      <c r="AG58" s="702"/>
      <c r="AH58" s="702"/>
      <c r="AI58" s="702"/>
      <c r="AJ58" s="702"/>
      <c r="AK58" s="702"/>
      <c r="AL58" s="702"/>
      <c r="AM58" s="3763"/>
      <c r="AN58" s="3763"/>
      <c r="AO58" s="3763"/>
      <c r="AP58" s="3763"/>
    </row>
    <row customHeight="1" ht="15">
      <c r="A59" s="530"/>
      <c r="B59" s="530"/>
      <c r="C59" s="284"/>
      <c r="D59" s="2990"/>
      <c r="E59" s="2993"/>
      <c r="F59" s="2989"/>
      <c r="G59" s="528"/>
      <c r="H59" s="285"/>
      <c r="I59" s="687" t="s">
        <v>166</v>
      </c>
      <c r="J59" s="285"/>
      <c r="K59" s="285"/>
      <c r="L59" s="285"/>
      <c r="M59" s="715"/>
      <c r="N59" s="711"/>
      <c r="O59" s="711"/>
      <c r="P59" s="711"/>
      <c r="Q59" s="711"/>
      <c r="R59" s="711"/>
      <c r="S59" s="711"/>
      <c r="T59" s="711"/>
      <c r="U59" s="712"/>
      <c r="V59" s="711"/>
      <c r="W59" s="711"/>
      <c r="X59" s="702"/>
      <c r="Y59" s="702"/>
      <c r="Z59" s="702"/>
      <c r="AA59" s="702"/>
      <c r="AB59" s="702"/>
      <c r="AC59" s="702"/>
      <c r="AD59" s="702"/>
      <c r="AE59" s="702"/>
      <c r="AF59" s="702"/>
      <c r="AG59" s="702"/>
      <c r="AH59" s="702"/>
      <c r="AI59" s="702"/>
      <c r="AJ59" s="702"/>
      <c r="AK59" s="702"/>
      <c r="AL59" s="702"/>
      <c r="AM59" s="3763"/>
      <c r="AN59" s="3763"/>
      <c r="AO59" s="3763"/>
      <c r="AP59" s="3763"/>
    </row>
    <row customHeight="1" ht="15">
      <c r="A60" s="530"/>
      <c r="B60" s="530"/>
      <c r="C60" s="1824" t="s">
        <v>103</v>
      </c>
      <c r="D60" s="2990" t="s">
        <v>93</v>
      </c>
      <c r="E60" s="2991" t="str">
        <f>INDEX(VD_NAME_LIST,MATCH("4190072",VD_ID_LIST,0))</f>
        <v>Подключение (технологическое присоединение) к системе теплоснабжения</v>
      </c>
      <c r="F60" s="2989" t="s">
        <v>19</v>
      </c>
      <c r="G60" s="2999"/>
      <c r="H60" s="2978">
        <v>1</v>
      </c>
      <c r="I60" s="3005" t="str">
        <f>IF(U60="","",INDEX(TERRITORY_MR_LIST,MATCH(U60,TERRITORY_LIST_ID,0)))</f>
        <v/>
      </c>
      <c r="J60" s="2989" t="s">
        <v>19</v>
      </c>
      <c r="K60" s="933"/>
      <c r="L60" s="1877" t="s">
        <v>144</v>
      </c>
      <c r="M60" s="710"/>
      <c r="N60" s="711"/>
      <c r="O60" s="711" t="s">
        <v>206</v>
      </c>
      <c r="P60" s="711" t="str">
        <f>$E$60</f>
        <v>Подключение (технологическое присоединение) к системе теплоснабжения</v>
      </c>
      <c r="Q60" s="711" t="str">
        <f>IF($F$60="нет","без дифференциации",$I$60)</f>
        <v>без дифференциации</v>
      </c>
      <c r="R60" s="711" t="str">
        <f>IF($J$60="нет","без дифференциации",$M$60)</f>
        <v>без дифференциации</v>
      </c>
      <c r="S60" s="711"/>
      <c r="T60" s="711"/>
      <c r="U60" s="712"/>
      <c r="V60" s="711" t="s">
        <v>207</v>
      </c>
      <c r="W60" s="711"/>
      <c r="X60" s="702"/>
      <c r="Y60" s="702" t="s">
        <v>152</v>
      </c>
      <c r="Z60" s="702">
        <v>1705000</v>
      </c>
      <c r="AA60" s="702"/>
      <c r="AB60" s="702"/>
      <c r="AC60" s="702"/>
      <c r="AD60" s="702"/>
      <c r="AE60" s="702"/>
      <c r="AF60" s="702"/>
      <c r="AG60" s="702"/>
      <c r="AH60" s="702"/>
      <c r="AI60" s="702"/>
      <c r="AJ60" s="702"/>
      <c r="AK60" s="702"/>
      <c r="AL60" s="702"/>
      <c r="AM60" s="3763"/>
      <c r="AN60" s="3763"/>
      <c r="AO60" s="3763"/>
      <c r="AP60" s="3763"/>
    </row>
    <row customHeight="1" ht="15">
      <c r="A61" s="530"/>
      <c r="B61" s="530"/>
      <c r="C61" s="284"/>
      <c r="D61" s="2990"/>
      <c r="E61" s="2992"/>
      <c r="F61" s="2989"/>
      <c r="G61" s="3000"/>
      <c r="H61" s="2978"/>
      <c r="I61" s="3006"/>
      <c r="J61" s="2989"/>
      <c r="K61" s="528"/>
      <c r="L61" s="285"/>
      <c r="M61" s="714" t="s">
        <v>155</v>
      </c>
      <c r="N61" s="711"/>
      <c r="O61" s="711"/>
      <c r="P61" s="711"/>
      <c r="Q61" s="711"/>
      <c r="R61" s="711"/>
      <c r="S61" s="711"/>
      <c r="T61" s="711"/>
      <c r="U61" s="712"/>
      <c r="V61" s="711"/>
      <c r="W61" s="711"/>
      <c r="X61" s="702"/>
      <c r="Y61" s="702"/>
      <c r="Z61" s="702"/>
      <c r="AA61" s="702"/>
      <c r="AB61" s="702"/>
      <c r="AC61" s="702"/>
      <c r="AD61" s="702"/>
      <c r="AE61" s="702"/>
      <c r="AF61" s="702"/>
      <c r="AG61" s="702"/>
      <c r="AH61" s="702"/>
      <c r="AI61" s="702"/>
      <c r="AJ61" s="702"/>
      <c r="AK61" s="702"/>
      <c r="AL61" s="702"/>
      <c r="AM61" s="3763"/>
      <c r="AN61" s="3763"/>
      <c r="AO61" s="3763"/>
      <c r="AP61" s="3763"/>
    </row>
    <row customHeight="1" ht="15">
      <c r="A62" s="530"/>
      <c r="B62" s="530"/>
      <c r="C62" s="284"/>
      <c r="D62" s="2990"/>
      <c r="E62" s="2993"/>
      <c r="F62" s="2989"/>
      <c r="G62" s="528"/>
      <c r="H62" s="285"/>
      <c r="I62" s="687" t="s">
        <v>166</v>
      </c>
      <c r="J62" s="285"/>
      <c r="K62" s="285"/>
      <c r="L62" s="285"/>
      <c r="M62" s="715"/>
      <c r="N62" s="711"/>
      <c r="O62" s="711"/>
      <c r="P62" s="711"/>
      <c r="Q62" s="711"/>
      <c r="R62" s="711"/>
      <c r="S62" s="711"/>
      <c r="T62" s="711"/>
      <c r="U62" s="712"/>
      <c r="V62" s="711"/>
      <c r="W62" s="711"/>
      <c r="X62" s="702"/>
      <c r="Y62" s="702"/>
      <c r="Z62" s="702"/>
      <c r="AA62" s="702"/>
      <c r="AB62" s="702"/>
      <c r="AC62" s="702"/>
      <c r="AD62" s="702"/>
      <c r="AE62" s="702"/>
      <c r="AF62" s="702"/>
      <c r="AG62" s="702"/>
      <c r="AH62" s="702"/>
      <c r="AI62" s="702"/>
      <c r="AJ62" s="702"/>
      <c r="AK62" s="702"/>
      <c r="AL62" s="702"/>
      <c r="AM62" s="3763"/>
      <c r="AN62" s="3763"/>
      <c r="AO62" s="3763"/>
      <c r="AP62" s="3763"/>
    </row>
    <row customHeight="1" ht="15.75">
      <c r="A63" s="716"/>
      <c r="B63" s="244"/>
      <c r="C63" s="907"/>
      <c r="D63" s="528"/>
      <c r="E63" s="678" t="s">
        <v>208</v>
      </c>
      <c r="F63" s="285"/>
      <c r="G63" s="285"/>
      <c r="H63" s="285"/>
      <c r="I63" s="285"/>
      <c r="J63" s="285"/>
      <c r="K63" s="285" t="s">
        <v>22</v>
      </c>
      <c r="L63" s="285"/>
      <c r="M63" s="715"/>
      <c r="N63" s="1723"/>
      <c r="AM63" s="690">
        <v>15</v>
      </c>
    </row>
    <row customHeight="1" ht="11.25" hidden="1">
      <c r="A64" s="690" t="s">
        <v>82</v>
      </c>
      <c r="B64" s="690">
        <v>0</v>
      </c>
      <c r="C64" s="690">
        <v>3</v>
      </c>
      <c r="D64" s="690"/>
      <c r="E64" s="690">
        <v>44</v>
      </c>
      <c r="F64" s="690">
        <v>6</v>
      </c>
      <c r="G64" s="690">
        <v>4</v>
      </c>
      <c r="H64" s="690">
        <v>5</v>
      </c>
      <c r="I64" s="690">
        <v>52</v>
      </c>
      <c r="J64" s="690">
        <v>6</v>
      </c>
      <c r="K64" s="690">
        <v>3</v>
      </c>
      <c r="L64" s="690">
        <v>6</v>
      </c>
      <c r="M64" s="690">
        <v>56</v>
      </c>
      <c r="N64" s="691">
        <v>8</v>
      </c>
      <c r="O64" s="1509">
        <v>0</v>
      </c>
      <c r="P64" s="1509">
        <v>0</v>
      </c>
      <c r="Q64" s="1509">
        <v>0</v>
      </c>
      <c r="R64" s="1509">
        <v>0</v>
      </c>
      <c r="S64" s="1509">
        <v>0</v>
      </c>
      <c r="T64" s="1509">
        <v>0</v>
      </c>
      <c r="U64" s="1359">
        <v>0</v>
      </c>
      <c r="V64" s="1359">
        <v>0</v>
      </c>
      <c r="W64" s="1359">
        <v>0</v>
      </c>
      <c r="X64" s="1359">
        <v>0</v>
      </c>
      <c r="Y64" s="691">
        <v>0</v>
      </c>
      <c r="Z64" s="691">
        <v>0</v>
      </c>
      <c r="AA64" s="691">
        <v>0</v>
      </c>
      <c r="AB64" s="691">
        <v>0</v>
      </c>
      <c r="AC64" s="691">
        <v>0</v>
      </c>
      <c r="AD64" s="691">
        <v>0</v>
      </c>
      <c r="AE64" s="691">
        <v>0</v>
      </c>
      <c r="AF64" s="691">
        <v>0</v>
      </c>
      <c r="AG64" s="691">
        <v>0</v>
      </c>
      <c r="AH64" s="691">
        <v>0</v>
      </c>
      <c r="AI64" s="691">
        <v>0</v>
      </c>
      <c r="AJ64" s="691">
        <v>0</v>
      </c>
      <c r="AK64" s="691">
        <v>0</v>
      </c>
      <c r="AL64" s="691">
        <v>8</v>
      </c>
      <c r="AM64" s="690">
        <v>11</v>
      </c>
    </row>
  </sheetData>
  <sheetProtection formatColumns="0" formatRows="0" autoFilter="0" sort="0" insertRows="0" insertColumns="1" deleteRows="0" deleteColumns="0"/>
  <mergeCells count="111">
    <mergeCell ref="D52:D54"/>
    <mergeCell ref="E52:E54"/>
    <mergeCell ref="F52:F54"/>
    <mergeCell ref="G52:G53"/>
    <mergeCell ref="H52:H53"/>
    <mergeCell ref="I52:I53"/>
    <mergeCell ref="J52:J53"/>
    <mergeCell ref="C52:C54"/>
    <mergeCell ref="C41:C47"/>
    <mergeCell ref="D48:D51"/>
    <mergeCell ref="E48:E51"/>
    <mergeCell ref="F48:F51"/>
    <mergeCell ref="G48:G50"/>
    <mergeCell ref="H48:H50"/>
    <mergeCell ref="I48:I50"/>
    <mergeCell ref="J48:J50"/>
    <mergeCell ref="C48:C51"/>
    <mergeCell ref="G36:G37"/>
    <mergeCell ref="H36:H37"/>
    <mergeCell ref="I36:I37"/>
    <mergeCell ref="J36:J37"/>
    <mergeCell ref="G38:G39"/>
    <mergeCell ref="H38:H39"/>
    <mergeCell ref="I38:I39"/>
    <mergeCell ref="J38:J39"/>
    <mergeCell ref="D41:D47"/>
    <mergeCell ref="E41:E47"/>
    <mergeCell ref="F41:F47"/>
    <mergeCell ref="G41:G46"/>
    <mergeCell ref="H41:H46"/>
    <mergeCell ref="I41:I46"/>
    <mergeCell ref="J41:J46"/>
    <mergeCell ref="D26:D40"/>
    <mergeCell ref="E26:E40"/>
    <mergeCell ref="F26:F40"/>
    <mergeCell ref="G26:G27"/>
    <mergeCell ref="H26:H27"/>
    <mergeCell ref="I26:I27"/>
    <mergeCell ref="J26:J27"/>
    <mergeCell ref="C26:C40"/>
    <mergeCell ref="G28:G29"/>
    <mergeCell ref="H28:H29"/>
    <mergeCell ref="I28:I29"/>
    <mergeCell ref="J28:J29"/>
    <mergeCell ref="G30:G31"/>
    <mergeCell ref="H30:H31"/>
    <mergeCell ref="I30:I31"/>
    <mergeCell ref="J30:J31"/>
    <mergeCell ref="G32:G33"/>
    <mergeCell ref="H32:H33"/>
    <mergeCell ref="I32:I33"/>
    <mergeCell ref="J32:J33"/>
    <mergeCell ref="G34:G35"/>
    <mergeCell ref="H34:H35"/>
    <mergeCell ref="I34:I35"/>
    <mergeCell ref="J34:J35"/>
    <mergeCell ref="I13:I15"/>
    <mergeCell ref="J13:J15"/>
    <mergeCell ref="D13:D25"/>
    <mergeCell ref="E13:E25"/>
    <mergeCell ref="F13:F25"/>
    <mergeCell ref="G13:G15"/>
    <mergeCell ref="H13:H15"/>
    <mergeCell ref="G16:G18"/>
    <mergeCell ref="H16:H18"/>
    <mergeCell ref="I16:I18"/>
    <mergeCell ref="J16:J18"/>
    <mergeCell ref="G19:G20"/>
    <mergeCell ref="H19:H20"/>
    <mergeCell ref="I19:I20"/>
    <mergeCell ref="J19:J20"/>
    <mergeCell ref="G21:G22"/>
    <mergeCell ref="H21:H22"/>
    <mergeCell ref="I21:I22"/>
    <mergeCell ref="J21:J22"/>
    <mergeCell ref="G23:G24"/>
    <mergeCell ref="H23:H24"/>
    <mergeCell ref="I23:I24"/>
    <mergeCell ref="J23:J24"/>
    <mergeCell ref="G11:H11"/>
    <mergeCell ref="K11:L11"/>
    <mergeCell ref="D4:I4"/>
    <mergeCell ref="D5:I5"/>
    <mergeCell ref="A6:F6"/>
    <mergeCell ref="A9:A10"/>
    <mergeCell ref="D9:E9"/>
    <mergeCell ref="F9:I9"/>
    <mergeCell ref="E7:M7"/>
    <mergeCell ref="J9:M9"/>
    <mergeCell ref="G10:H10"/>
    <mergeCell ref="K10:L10"/>
    <mergeCell ref="D55:D59"/>
    <mergeCell ref="E55:E59"/>
    <mergeCell ref="F55:F59"/>
    <mergeCell ref="G55:G56"/>
    <mergeCell ref="H55:H56"/>
    <mergeCell ref="I55:I56"/>
    <mergeCell ref="J55:J56"/>
    <mergeCell ref="C55:C59"/>
    <mergeCell ref="G57:G58"/>
    <mergeCell ref="H57:H58"/>
    <mergeCell ref="I57:I58"/>
    <mergeCell ref="J57:J58"/>
    <mergeCell ref="D60:D62"/>
    <mergeCell ref="E60:E62"/>
    <mergeCell ref="F60:F62"/>
    <mergeCell ref="G60:G61"/>
    <mergeCell ref="H60:H61"/>
    <mergeCell ref="I60:I61"/>
    <mergeCell ref="J60:J61"/>
    <mergeCell ref="C60:C62"/>
  </mergeCells>
  <dataValidations count="6">
    <dataValidation type="textLength" operator="lessThanOrEqual" allowBlank="1" showInputMessage="1" showErrorMessage="1" errorTitle="Ошибка" error="Допускается ввод не более 900 символов!" sqref="M14 M49 M42:M45 M17">
      <formula1>900</formula1>
    </dataValidation>
    <dataValidation type="list" allowBlank="1" showInputMessage="1" showErrorMessage="1" sqref="I14 I49 I42:I45 I17">
      <formula1>DESCRIPTION_TERRITORY</formula1>
    </dataValidation>
    <dataValidation type="textLength" operator="lessThan" allowBlank="1" showInputMessage="1" showErrorMessage="1" error="Допускается ввод не более 900 символов!" sqref="M13 M52 M48 M41 M38 M36 M34 M32 M30 M28 M26 M23 M21 M19 M16">
      <formula1>900</formula1>
    </dataValidation>
    <dataValidation type="textLength" operator="lessThan" allowBlank="1" showInputMessage="1" showErrorMessage="1" error="Допускается ввод не более 900 символов!" sqref="M55">
      <formula1>900</formula1>
    </dataValidation>
    <dataValidation type="textLength" operator="lessThan" allowBlank="1" showInputMessage="1" showErrorMessage="1" error="Допускается ввод не более 900 символов!" sqref="M57">
      <formula1>900</formula1>
    </dataValidation>
    <dataValidation type="textLength" operator="lessThan" allowBlank="1" showInputMessage="1" showErrorMessage="1" error="Допускается ввод не более 900 символов!" sqref="M6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E23AB-86E3-4063-B7A9-F858F382D81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0410" width="3.7109375" hidden="1" customWidth="1"/>
    <col min="3" max="3" style="10446" width="3.00390625" customWidth="1"/>
    <col min="4" max="4" style="10446" width="6.00390625" customWidth="1"/>
    <col min="5" max="5" style="10446" width="42.00390625" customWidth="1"/>
    <col min="6" max="6" style="10446" width="15.00390625" customWidth="1"/>
    <col min="7" max="7" style="10446" width="42.00390625" customWidth="1"/>
    <col min="8" max="8" style="10446" width="3.00390625" customWidth="1"/>
    <col min="9" max="9" style="10446" width="5.00390625" customWidth="1"/>
    <col min="10" max="10" style="10446" width="47.00390625" customWidth="1"/>
    <col min="11" max="12" style="10446" width="3.00390625" customWidth="1"/>
    <col min="13" max="13" style="10446" width="5.00390625" customWidth="1"/>
    <col min="14" max="14" style="10446" width="28.00390625" customWidth="1"/>
    <col min="15" max="16" style="10446" width="3.00390625" customWidth="1"/>
    <col min="17" max="17" style="10446" width="5.00390625" customWidth="1"/>
    <col min="18" max="18" style="10446" width="34.00390625" customWidth="1"/>
    <col min="19" max="20" style="10446" width="3.7109375" customWidth="1"/>
    <col min="21" max="21" style="10446" width="5.7109375" customWidth="1"/>
    <col min="22" max="22" style="10446" width="34.421875" customWidth="1"/>
    <col min="23" max="23" style="10446" width="30.00390625" customWidth="1"/>
    <col min="24" max="24" style="10446" width="3.00390625" customWidth="1"/>
    <col min="25" max="28" style="10522" width="9.8515625" hidden="1" customWidth="1"/>
    <col min="29" max="29" style="10522" width="27.00390625" hidden="1" customWidth="1"/>
    <col min="30" max="30" style="10522" width="10.57421875" hidden="1" customWidth="1"/>
    <col min="31" max="31" style="10522" width="10.7109375" hidden="1" customWidth="1"/>
    <col min="32" max="32" style="10522" width="10.00390625" hidden="1" customWidth="1"/>
    <col min="33" max="33" style="10522" width="12.8515625" hidden="1" customWidth="1"/>
    <col min="34" max="34" style="10522" width="24.421875" hidden="1" customWidth="1"/>
    <col min="35" max="35" style="10522" width="15.8515625" hidden="1" customWidth="1"/>
    <col min="36" max="36" style="10522" width="19.421875" hidden="1" customWidth="1"/>
    <col min="37" max="37" style="10522" width="11.00390625" hidden="1" customWidth="1"/>
    <col min="38" max="38" style="10522" width="23.57421875" hidden="1" customWidth="1"/>
    <col min="39" max="39" style="10522" width="23.8515625" hidden="1" customWidth="1"/>
    <col min="40" max="40" style="10522" width="25.28125" hidden="1" customWidth="1"/>
    <col min="41" max="41" style="10522" width="16.8515625" hidden="1" customWidth="1"/>
    <col min="42" max="42" style="10522" width="29.57421875" hidden="1" customWidth="1"/>
    <col min="43" max="43" style="10522" width="29.8515625" hidden="1" customWidth="1"/>
    <col min="44" max="44" style="10446" width="9.140625" hidden="1"/>
  </cols>
  <sheetData>
    <row customHeight="1" ht="11.25" hidden="1">
      <c r="A1" s="264"/>
      <c r="AR1" s="214" t="s">
        <v>14</v>
      </c>
    </row>
    <row customHeight="1" ht="11.25" hidden="1">
      <c r="AR2" s="214">
        <v>0</v>
      </c>
    </row>
    <row customHeight="1" ht="11.25" hidden="1">
      <c r="AR3" s="214">
        <v>0</v>
      </c>
    </row>
    <row customHeight="1" ht="3">
      <c r="AR4" s="214">
        <v>3</v>
      </c>
    </row>
    <row s="10418" customFormat="1" customHeight="1" ht="30.45">
      <c r="A5" s="262"/>
      <c r="B5" s="262"/>
      <c r="D5" s="303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039"/>
      <c r="F5" s="3039"/>
      <c r="G5" s="3039"/>
      <c r="H5" s="3039"/>
      <c r="I5" s="3039"/>
      <c r="J5" s="3040"/>
      <c r="K5" s="373"/>
      <c r="L5" s="251"/>
      <c r="M5" s="251"/>
      <c r="N5" s="251"/>
      <c r="O5" s="251"/>
      <c r="P5" s="251"/>
      <c r="Q5" s="251"/>
      <c r="R5" s="251"/>
      <c r="S5" s="398"/>
      <c r="T5" s="398"/>
      <c r="U5" s="398"/>
      <c r="V5" s="398"/>
      <c r="W5" s="251"/>
      <c r="Y5" s="1356"/>
      <c r="Z5" s="1356"/>
      <c r="AA5" s="1356"/>
      <c r="AB5" s="1356"/>
      <c r="AC5" s="1356"/>
      <c r="AD5" s="1356"/>
      <c r="AE5" s="1356"/>
      <c r="AF5" s="1356"/>
      <c r="AG5" s="1356"/>
      <c r="AH5" s="1356"/>
      <c r="AI5" s="1356"/>
      <c r="AJ5" s="1356"/>
      <c r="AK5" s="1356"/>
      <c r="AL5" s="1356"/>
      <c r="AM5" s="1356"/>
      <c r="AN5" s="1356"/>
      <c r="AO5" s="1356"/>
      <c r="AP5" s="1356"/>
      <c r="AQ5" s="1356"/>
      <c r="AR5" s="221">
        <v>29</v>
      </c>
    </row>
    <row s="10418" customFormat="1" customHeight="1" ht="14.699999999999998">
      <c r="A6" s="692"/>
      <c r="B6" s="692"/>
      <c r="C6" s="692"/>
      <c r="D6" s="3044" t="str">
        <f>IF(org=0,"Не определено",org)</f>
        <v>АО "ДГК"</v>
      </c>
      <c r="E6" s="3044"/>
      <c r="F6" s="3044"/>
      <c r="G6" s="3044"/>
      <c r="H6" s="3044"/>
      <c r="I6" s="3044"/>
      <c r="J6" s="3044"/>
      <c r="K6" s="693"/>
      <c r="L6" s="693"/>
      <c r="M6" s="693"/>
      <c r="N6" s="693"/>
      <c r="O6" s="971"/>
      <c r="P6" s="971"/>
      <c r="Q6" s="971"/>
      <c r="R6" s="971"/>
      <c r="S6" s="971"/>
      <c r="T6" s="971"/>
      <c r="U6" s="971"/>
      <c r="V6" s="971"/>
      <c r="W6" s="971"/>
      <c r="X6" s="693"/>
      <c r="Y6" s="1357"/>
      <c r="Z6" s="1357"/>
      <c r="AA6" s="1357"/>
      <c r="AB6" s="1357"/>
      <c r="AC6" s="1357"/>
      <c r="AD6" s="1357"/>
      <c r="AE6" s="1357"/>
      <c r="AF6" s="1357"/>
      <c r="AG6" s="1357"/>
      <c r="AH6" s="1357"/>
      <c r="AI6" s="1357"/>
      <c r="AJ6" s="1357"/>
      <c r="AK6" s="1357"/>
      <c r="AL6" s="1357"/>
      <c r="AM6" s="1357"/>
      <c r="AN6" s="1357"/>
      <c r="AO6" s="1357"/>
      <c r="AP6" s="1357"/>
      <c r="AQ6" s="1357"/>
      <c r="AR6" s="694">
        <v>14</v>
      </c>
    </row>
    <row s="10535" customFormat="1" customHeight="1" ht="11.549999999999999">
      <c r="A7" s="319"/>
      <c r="B7" s="319"/>
      <c r="D7" s="3041"/>
      <c r="E7" s="3042"/>
      <c r="F7" s="3042"/>
      <c r="G7" s="3042"/>
      <c r="H7" s="3042"/>
      <c r="I7" s="3042"/>
      <c r="J7" s="3043"/>
      <c r="Y7" s="1358"/>
      <c r="Z7" s="1358"/>
      <c r="AA7" s="1358"/>
      <c r="AB7" s="1358"/>
      <c r="AC7" s="1358"/>
      <c r="AD7" s="1358"/>
      <c r="AE7" s="1358"/>
      <c r="AF7" s="1358"/>
      <c r="AG7" s="1358"/>
      <c r="AH7" s="1358"/>
      <c r="AI7" s="1358"/>
      <c r="AJ7" s="1358"/>
      <c r="AK7" s="1358"/>
      <c r="AL7" s="1358"/>
      <c r="AM7" s="1358"/>
      <c r="AN7" s="1358"/>
      <c r="AO7" s="1358"/>
      <c r="AP7" s="1358"/>
      <c r="AQ7" s="1358"/>
      <c r="AR7" s="384">
        <v>11</v>
      </c>
    </row>
    <row s="10418" customFormat="1" customHeight="1" ht="1.05">
      <c r="A8" s="262"/>
      <c r="B8" s="262"/>
      <c r="D8" s="320"/>
      <c r="E8" s="320"/>
      <c r="F8" s="320"/>
      <c r="G8" s="320"/>
      <c r="H8" s="320"/>
      <c r="I8" s="320"/>
      <c r="J8" s="320"/>
      <c r="K8" s="320"/>
      <c r="L8" s="320"/>
      <c r="M8" s="320"/>
      <c r="N8" s="320"/>
      <c r="O8" s="320"/>
      <c r="P8" s="320"/>
      <c r="Q8" s="320"/>
      <c r="R8" s="320"/>
      <c r="S8" s="320"/>
      <c r="T8" s="320"/>
      <c r="U8" s="320"/>
      <c r="V8" s="320"/>
      <c r="W8" s="320"/>
      <c r="X8" s="241"/>
      <c r="Y8" s="1356"/>
      <c r="Z8" s="1356"/>
      <c r="AA8" s="1356"/>
      <c r="AB8" s="1356"/>
      <c r="AC8" s="1356"/>
      <c r="AD8" s="1356"/>
      <c r="AE8" s="1356"/>
      <c r="AF8" s="1356"/>
      <c r="AG8" s="1356"/>
      <c r="AH8" s="1356"/>
      <c r="AI8" s="1356"/>
      <c r="AJ8" s="1356"/>
      <c r="AK8" s="1356"/>
      <c r="AL8" s="1356"/>
      <c r="AM8" s="1356"/>
      <c r="AN8" s="1356"/>
      <c r="AO8" s="1356"/>
      <c r="AP8" s="1356"/>
      <c r="AQ8" s="1356"/>
      <c r="AR8" s="221">
        <v>1</v>
      </c>
    </row>
    <row customHeight="1" ht="28.5">
      <c r="D9" s="2978" t="s">
        <v>88</v>
      </c>
      <c r="E9" s="2959" t="s">
        <v>209</v>
      </c>
      <c r="F9" s="2958"/>
      <c r="G9" s="2978" t="s">
        <v>140</v>
      </c>
      <c r="H9" s="2978" t="s">
        <v>88</v>
      </c>
      <c r="I9" s="2978"/>
      <c r="J9" s="2978" t="s">
        <v>210</v>
      </c>
      <c r="K9" s="3045" t="s">
        <v>211</v>
      </c>
      <c r="L9" s="3045"/>
      <c r="M9" s="3045"/>
      <c r="N9" s="3045"/>
      <c r="O9" s="3045" t="s">
        <v>212</v>
      </c>
      <c r="P9" s="3045"/>
      <c r="Q9" s="3045"/>
      <c r="R9" s="3045"/>
      <c r="S9" s="3045" t="s">
        <v>213</v>
      </c>
      <c r="T9" s="3045"/>
      <c r="U9" s="3045"/>
      <c r="V9" s="3045"/>
      <c r="W9" s="2978" t="s">
        <v>214</v>
      </c>
      <c r="AR9" s="214">
        <v>27</v>
      </c>
    </row>
    <row customHeight="1" ht="31.5">
      <c r="D10" s="2978"/>
      <c r="E10" s="1380" t="s">
        <v>89</v>
      </c>
      <c r="F10" s="1380" t="s">
        <v>215</v>
      </c>
      <c r="G10" s="2978"/>
      <c r="H10" s="2978"/>
      <c r="I10" s="2978"/>
      <c r="J10" s="2978"/>
      <c r="K10" s="220" t="s">
        <v>143</v>
      </c>
      <c r="L10" s="2978" t="s">
        <v>88</v>
      </c>
      <c r="M10" s="2978"/>
      <c r="N10" s="220" t="s">
        <v>216</v>
      </c>
      <c r="O10" s="220" t="s">
        <v>143</v>
      </c>
      <c r="P10" s="2978" t="s">
        <v>88</v>
      </c>
      <c r="Q10" s="2978"/>
      <c r="R10" s="220" t="s">
        <v>216</v>
      </c>
      <c r="S10" s="391" t="s">
        <v>143</v>
      </c>
      <c r="T10" s="2978" t="s">
        <v>88</v>
      </c>
      <c r="U10" s="2978"/>
      <c r="V10" s="391" t="s">
        <v>89</v>
      </c>
      <c r="W10" s="2978"/>
      <c r="Z10" s="1355" t="s">
        <v>217</v>
      </c>
      <c r="AA10" s="1355" t="s">
        <v>218</v>
      </c>
      <c r="AB10" s="1355" t="s">
        <v>219</v>
      </c>
      <c r="AC10" s="1355" t="s">
        <v>220</v>
      </c>
      <c r="AD10" s="1355" t="s">
        <v>221</v>
      </c>
      <c r="AE10" s="1355" t="s">
        <v>222</v>
      </c>
      <c r="AF10" s="1355" t="s">
        <v>223</v>
      </c>
      <c r="AG10" s="1355" t="s">
        <v>224</v>
      </c>
      <c r="AH10" s="1355" t="s">
        <v>225</v>
      </c>
      <c r="AI10" s="1355" t="s">
        <v>226</v>
      </c>
      <c r="AJ10" s="1355" t="s">
        <v>227</v>
      </c>
      <c r="AK10" s="1355" t="s">
        <v>228</v>
      </c>
      <c r="AL10" s="1355" t="s">
        <v>229</v>
      </c>
      <c r="AM10" s="1355" t="s">
        <v>230</v>
      </c>
      <c r="AN10" s="1355" t="s">
        <v>231</v>
      </c>
      <c r="AO10" s="1355" t="s">
        <v>232</v>
      </c>
      <c r="AP10" s="1355" t="s">
        <v>233</v>
      </c>
      <c r="AQ10" s="1355" t="s">
        <v>234</v>
      </c>
      <c r="AR10" s="214">
        <v>30</v>
      </c>
    </row>
    <row s="10410" customFormat="1" customHeight="1" ht="12" hidden="1">
      <c r="D11" s="1345" t="s">
        <v>144</v>
      </c>
      <c r="E11" s="1345" t="s">
        <v>102</v>
      </c>
      <c r="F11" s="1345"/>
      <c r="G11" s="1345" t="s">
        <v>90</v>
      </c>
      <c r="H11" s="3037" t="s">
        <v>121</v>
      </c>
      <c r="I11" s="3037"/>
      <c r="J11" s="1345" t="s">
        <v>92</v>
      </c>
      <c r="K11" s="1345" t="s">
        <v>93</v>
      </c>
      <c r="L11" s="3037" t="s">
        <v>136</v>
      </c>
      <c r="M11" s="3037"/>
      <c r="N11" s="1345" t="s">
        <v>235</v>
      </c>
      <c r="O11" s="1345" t="s">
        <v>236</v>
      </c>
      <c r="P11" s="3037" t="s">
        <v>237</v>
      </c>
      <c r="Q11" s="3037"/>
      <c r="R11" s="1345" t="s">
        <v>238</v>
      </c>
      <c r="S11" s="1345" t="s">
        <v>237</v>
      </c>
      <c r="T11" s="3037" t="s">
        <v>238</v>
      </c>
      <c r="U11" s="3037"/>
      <c r="V11" s="1345" t="s">
        <v>239</v>
      </c>
      <c r="W11" s="1345" t="s">
        <v>240</v>
      </c>
      <c r="Y11" s="1355"/>
      <c r="Z11" s="1355"/>
      <c r="AA11" s="1355"/>
      <c r="AB11" s="1355"/>
      <c r="AC11" s="1355"/>
      <c r="AD11" s="1355"/>
      <c r="AE11" s="1355"/>
      <c r="AF11" s="1355"/>
      <c r="AG11" s="1355"/>
      <c r="AH11" s="1355"/>
      <c r="AI11" s="1355"/>
      <c r="AJ11" s="1355"/>
      <c r="AK11" s="1355"/>
      <c r="AL11" s="1355"/>
      <c r="AM11" s="1355"/>
      <c r="AN11" s="1355"/>
      <c r="AO11" s="1355"/>
      <c r="AP11" s="1355"/>
      <c r="AQ11" s="1355"/>
      <c r="AR11" s="385">
        <v>0</v>
      </c>
    </row>
    <row customHeight="1" ht="14.25" hidden="1">
      <c r="C12" s="317"/>
      <c r="D12" s="1378">
        <v>0</v>
      </c>
      <c r="E12" s="358"/>
      <c r="F12" s="358"/>
      <c r="G12" s="358"/>
      <c r="H12" s="359"/>
      <c r="I12" s="359"/>
      <c r="J12" s="266"/>
      <c r="K12" s="222"/>
      <c r="L12" s="266"/>
      <c r="M12" s="266"/>
      <c r="N12" s="360"/>
      <c r="O12" s="222"/>
      <c r="P12" s="266"/>
      <c r="Q12" s="266"/>
      <c r="R12" s="361"/>
      <c r="S12" s="392"/>
      <c r="T12" s="400"/>
      <c r="U12" s="400"/>
      <c r="V12" s="404"/>
      <c r="W12" s="222"/>
      <c r="X12" s="250"/>
      <c r="AR12" s="214">
        <v>0</v>
      </c>
    </row>
    <row s="10446" customFormat="1" customHeight="1" ht="17.25" hidden="1">
      <c r="A13" s="429"/>
      <c r="C13" s="317"/>
      <c r="D13" s="3022">
        <v>1</v>
      </c>
      <c r="E13" s="3011" t="s">
        <v>241</v>
      </c>
      <c r="F13" s="3023" t="s">
        <v>19</v>
      </c>
      <c r="G13" s="3011"/>
      <c r="H13" s="3013"/>
      <c r="I13" s="3015"/>
      <c r="J13" s="3017"/>
      <c r="K13" s="3009"/>
      <c r="L13" s="3009"/>
      <c r="M13" s="3009"/>
      <c r="N13" s="3020"/>
      <c r="O13" s="3009"/>
      <c r="P13" s="3009"/>
      <c r="Q13" s="3009"/>
      <c r="R13" s="3007"/>
      <c r="S13" s="3009"/>
      <c r="T13" s="1516"/>
      <c r="U13" s="1516"/>
      <c r="V13" s="1515"/>
      <c r="W13" s="1392"/>
      <c r="Y13" s="1363"/>
      <c r="Z13" s="1363"/>
      <c r="AA13" s="1363"/>
      <c r="AB13" s="1363"/>
      <c r="AC13" s="1363" t="s">
        <v>242</v>
      </c>
      <c r="AD13" s="1363" t="s">
        <v>243</v>
      </c>
      <c r="AE13" s="1363" t="s">
        <v>244</v>
      </c>
      <c r="AF13" s="1363" t="s">
        <v>245</v>
      </c>
      <c r="AG13" s="1363" t="s">
        <v>246</v>
      </c>
      <c r="AH13" s="136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63" t="str">
        <f>IF($G$13=0,"",$G$13)</f>
        <v/>
      </c>
      <c r="AJ13" s="1363" t="str">
        <f>IF($J$13=0,"",$J$13)</f>
        <v/>
      </c>
      <c r="AK13" s="1363" t="str">
        <f>IF($K$13="нет","без дифференциации",IF($N$13=0,"",$N$13))</f>
        <v/>
      </c>
      <c r="AL13" s="1363" t="str">
        <f>IF($O$13="нет","без дифференциации",IF($R$13=0,"",$R$13))</f>
        <v/>
      </c>
      <c r="AM13" s="1363" t="str">
        <f>IF($S$13="нет","без дифференциации",IF($V$13=0,"",$V$13))</f>
        <v/>
      </c>
      <c r="AN13" s="1363">
        <f>$I$13</f>
        <v>0</v>
      </c>
      <c r="AO13" s="1363" t="str">
        <f>$I$13&amp;"."&amp;$M$13</f>
        <v>.</v>
      </c>
      <c r="AP13" s="1363" t="str">
        <f>$I$13&amp;"."&amp;$M$13&amp;"."&amp;$Q$13</f>
        <v>..</v>
      </c>
      <c r="AQ13" s="1363" t="str">
        <f>$I$13&amp;"."&amp;$M$13&amp;"."&amp;$Q$13&amp;"."&amp;$U$13</f>
        <v>...</v>
      </c>
      <c r="AR13" s="857">
        <v>0</v>
      </c>
    </row>
    <row s="10446" customFormat="1" customHeight="1" ht="17.25" hidden="1">
      <c r="A14" s="429"/>
      <c r="C14" s="428"/>
      <c r="D14" s="3022"/>
      <c r="E14" s="3011"/>
      <c r="F14" s="3024"/>
      <c r="G14" s="3011"/>
      <c r="H14" s="3014"/>
      <c r="I14" s="3016"/>
      <c r="J14" s="3018"/>
      <c r="K14" s="3010"/>
      <c r="L14" s="3010"/>
      <c r="M14" s="3010"/>
      <c r="N14" s="3021"/>
      <c r="O14" s="3010"/>
      <c r="P14" s="3010"/>
      <c r="Q14" s="3010"/>
      <c r="R14" s="3008"/>
      <c r="S14" s="3010"/>
      <c r="T14" s="1393"/>
      <c r="U14" s="1393"/>
      <c r="V14" s="1393"/>
      <c r="W14" s="1394"/>
      <c r="Y14" s="1355"/>
      <c r="Z14" s="1355"/>
      <c r="AA14" s="1355"/>
      <c r="AB14" s="1355"/>
      <c r="AC14" s="1355"/>
      <c r="AD14" s="1355"/>
      <c r="AE14" s="1355"/>
      <c r="AF14" s="1355"/>
      <c r="AG14" s="1355"/>
      <c r="AH14" s="1355"/>
      <c r="AI14" s="1355"/>
      <c r="AJ14" s="1355"/>
      <c r="AK14" s="1355"/>
      <c r="AL14" s="1355"/>
      <c r="AM14" s="1355"/>
      <c r="AN14" s="1355"/>
      <c r="AO14" s="1355"/>
      <c r="AP14" s="1355"/>
      <c r="AQ14" s="1355"/>
      <c r="AR14" s="857">
        <v>0</v>
      </c>
    </row>
    <row s="10446" customFormat="1" customHeight="1" ht="17.25" hidden="1">
      <c r="A15" s="429"/>
      <c r="C15" s="317"/>
      <c r="D15" s="3022"/>
      <c r="E15" s="3011"/>
      <c r="F15" s="3024"/>
      <c r="G15" s="3011"/>
      <c r="H15" s="3014"/>
      <c r="I15" s="3016"/>
      <c r="J15" s="3019"/>
      <c r="K15" s="3010"/>
      <c r="L15" s="3010"/>
      <c r="M15" s="3010"/>
      <c r="N15" s="3008"/>
      <c r="O15" s="3010"/>
      <c r="P15" s="1514"/>
      <c r="Q15" s="1393"/>
      <c r="R15" s="1393"/>
      <c r="S15" s="437"/>
      <c r="T15" s="437"/>
      <c r="U15" s="437"/>
      <c r="V15" s="437"/>
      <c r="W15" s="1394"/>
      <c r="Y15" s="1363"/>
      <c r="Z15" s="1363"/>
      <c r="AA15" s="1363"/>
      <c r="AB15" s="1363"/>
      <c r="AC15" s="1363"/>
      <c r="AD15" s="1363"/>
      <c r="AE15" s="1363"/>
      <c r="AF15" s="1363"/>
      <c r="AG15" s="1363"/>
      <c r="AH15" s="1363"/>
      <c r="AI15" s="1363"/>
      <c r="AJ15" s="1363"/>
      <c r="AK15" s="1363"/>
      <c r="AL15" s="1363"/>
      <c r="AM15" s="1363"/>
      <c r="AN15" s="1363"/>
      <c r="AO15" s="1363"/>
      <c r="AP15" s="1363"/>
      <c r="AQ15" s="1363"/>
      <c r="AR15" s="1513">
        <v>0</v>
      </c>
    </row>
    <row s="10446" customFormat="1" customHeight="1" ht="17.25" hidden="1">
      <c r="A16" s="429"/>
      <c r="C16" s="428"/>
      <c r="D16" s="3022"/>
      <c r="E16" s="3011"/>
      <c r="F16" s="3024"/>
      <c r="G16" s="3011"/>
      <c r="H16" s="3014"/>
      <c r="I16" s="3016"/>
      <c r="J16" s="3019"/>
      <c r="K16" s="3010"/>
      <c r="L16" s="1393"/>
      <c r="M16" s="1393"/>
      <c r="N16" s="1393"/>
      <c r="O16" s="1393"/>
      <c r="P16" s="1393"/>
      <c r="Q16" s="1393"/>
      <c r="R16" s="1393"/>
      <c r="S16" s="437"/>
      <c r="T16" s="437"/>
      <c r="U16" s="437"/>
      <c r="V16" s="437"/>
      <c r="W16" s="1394"/>
      <c r="Y16" s="1355"/>
      <c r="Z16" s="1355"/>
      <c r="AA16" s="1355"/>
      <c r="AB16" s="1355"/>
      <c r="AC16" s="1355"/>
      <c r="AD16" s="1355"/>
      <c r="AE16" s="1355"/>
      <c r="AF16" s="1355"/>
      <c r="AG16" s="1355"/>
      <c r="AH16" s="1355"/>
      <c r="AI16" s="1355"/>
      <c r="AJ16" s="1355"/>
      <c r="AK16" s="1355"/>
      <c r="AL16" s="1355"/>
      <c r="AM16" s="1355"/>
      <c r="AN16" s="1355"/>
      <c r="AO16" s="1355"/>
      <c r="AP16" s="1355"/>
      <c r="AQ16" s="1355"/>
      <c r="AR16" s="1513">
        <v>0</v>
      </c>
    </row>
    <row s="10446" customFormat="1" customHeight="1" ht="17.25" hidden="1">
      <c r="A17" s="429"/>
      <c r="C17" s="428"/>
      <c r="D17" s="2987"/>
      <c r="E17" s="3012"/>
      <c r="F17" s="3025"/>
      <c r="G17" s="3012"/>
      <c r="H17" s="1395"/>
      <c r="I17" s="1396"/>
      <c r="J17" s="1396"/>
      <c r="K17" s="1396"/>
      <c r="L17" s="1396"/>
      <c r="M17" s="1396"/>
      <c r="N17" s="1396"/>
      <c r="O17" s="1396"/>
      <c r="P17" s="1396"/>
      <c r="Q17" s="1396"/>
      <c r="R17" s="1396"/>
      <c r="S17" s="1397"/>
      <c r="T17" s="1397"/>
      <c r="U17" s="1397"/>
      <c r="V17" s="1397"/>
      <c r="W17" s="1398"/>
      <c r="Y17" s="1355"/>
      <c r="Z17" s="1355"/>
      <c r="AA17" s="1355"/>
      <c r="AB17" s="1355"/>
      <c r="AC17" s="1355"/>
      <c r="AD17" s="1355"/>
      <c r="AE17" s="1355"/>
      <c r="AF17" s="1355"/>
      <c r="AG17" s="1355"/>
      <c r="AH17" s="1355"/>
      <c r="AI17" s="1355"/>
      <c r="AJ17" s="1355"/>
      <c r="AK17" s="1355"/>
      <c r="AL17" s="1355"/>
      <c r="AM17" s="1355"/>
      <c r="AN17" s="1355"/>
      <c r="AO17" s="1355"/>
      <c r="AP17" s="1355"/>
      <c r="AQ17" s="1355"/>
      <c r="AR17" s="857">
        <v>0</v>
      </c>
    </row>
    <row s="10446" customFormat="1" customHeight="1" ht="17.25" hidden="1">
      <c r="A18" s="429"/>
      <c r="C18" s="317"/>
      <c r="D18" s="3022">
        <v>2</v>
      </c>
      <c r="E18" s="3035"/>
      <c r="F18" s="3023" t="s">
        <v>19</v>
      </c>
      <c r="G18" s="3011"/>
      <c r="H18" s="3013"/>
      <c r="I18" s="3015"/>
      <c r="J18" s="3017"/>
      <c r="K18" s="3009"/>
      <c r="L18" s="3009"/>
      <c r="M18" s="3009"/>
      <c r="N18" s="3020"/>
      <c r="O18" s="3009"/>
      <c r="P18" s="3009"/>
      <c r="Q18" s="3009"/>
      <c r="R18" s="3007"/>
      <c r="S18" s="3009"/>
      <c r="T18" s="1516"/>
      <c r="U18" s="1516"/>
      <c r="V18" s="1515"/>
      <c r="W18" s="1392"/>
      <c r="X18" s="1363"/>
      <c r="Y18" s="1363"/>
      <c r="Z18" s="1363"/>
      <c r="AA18" s="1363"/>
      <c r="AB18" s="1363"/>
      <c r="AC18" s="1363" t="s">
        <v>247</v>
      </c>
      <c r="AD18" s="1363" t="s">
        <v>248</v>
      </c>
      <c r="AE18" s="1363" t="s">
        <v>249</v>
      </c>
      <c r="AF18" s="1363" t="s">
        <v>250</v>
      </c>
      <c r="AG18" s="1363" t="s">
        <v>251</v>
      </c>
      <c r="AH18" s="1363" t="str">
        <f>IF($E$18=0,"",$E$18)</f>
        <v/>
      </c>
      <c r="AI18" s="1363" t="str">
        <f>IF($G$18=0,"",$G$18)</f>
        <v/>
      </c>
      <c r="AJ18" s="1363" t="str">
        <f>IF($J$18=0,"",$J$18)</f>
        <v/>
      </c>
      <c r="AK18" s="1363" t="str">
        <f>IF($K$18="нет","без дифференциации",IF($N$18=0,"",$N$18))</f>
        <v/>
      </c>
      <c r="AL18" s="1363" t="str">
        <f>IF($O$18="нет","без дифференциации",IF($R$18=0,"",$R$18))</f>
        <v/>
      </c>
      <c r="AM18" s="1363" t="str">
        <f>IF($S$18="нет","без дифференциации",IF($V$18=0,"",$V$18))</f>
        <v/>
      </c>
      <c r="AN18" s="1868">
        <f>$I$18</f>
        <v>0</v>
      </c>
      <c r="AO18" s="1363" t="str">
        <f>$I$18&amp;"."&amp;$M$18</f>
        <v>.</v>
      </c>
      <c r="AP18" s="1355" t="str">
        <f>$I$18&amp;"."&amp;$M$18&amp;"."&amp;$Q$18</f>
        <v>..</v>
      </c>
      <c r="AQ18" s="1355" t="str">
        <f>$I$18&amp;"."&amp;$M$18&amp;"."&amp;$Q$18&amp;"."&amp;$U$18</f>
        <v>...</v>
      </c>
      <c r="AR18" s="1379">
        <v>0</v>
      </c>
    </row>
    <row s="10446" customFormat="1" customHeight="1" ht="17.25" hidden="1">
      <c r="A19" s="429"/>
      <c r="C19" s="428"/>
      <c r="D19" s="3022"/>
      <c r="E19" s="3035"/>
      <c r="F19" s="3024"/>
      <c r="G19" s="3011"/>
      <c r="H19" s="3014"/>
      <c r="I19" s="3016"/>
      <c r="J19" s="3018"/>
      <c r="K19" s="3010"/>
      <c r="L19" s="3010"/>
      <c r="M19" s="3010"/>
      <c r="N19" s="3021"/>
      <c r="O19" s="3010"/>
      <c r="P19" s="3010"/>
      <c r="Q19" s="3010"/>
      <c r="R19" s="3008"/>
      <c r="S19" s="3010"/>
      <c r="T19" s="1393"/>
      <c r="U19" s="1393"/>
      <c r="V19" s="1393"/>
      <c r="W19" s="1394"/>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79">
        <v>0</v>
      </c>
    </row>
    <row s="10446" customFormat="1" customHeight="1" ht="17.25" hidden="1">
      <c r="A20" s="429"/>
      <c r="C20" s="428"/>
      <c r="D20" s="2987"/>
      <c r="E20" s="3036"/>
      <c r="F20" s="3024"/>
      <c r="G20" s="3012"/>
      <c r="H20" s="3014"/>
      <c r="I20" s="3016"/>
      <c r="J20" s="3019"/>
      <c r="K20" s="3010"/>
      <c r="L20" s="3010"/>
      <c r="M20" s="3010"/>
      <c r="N20" s="3008"/>
      <c r="O20" s="3010"/>
      <c r="P20" s="1514"/>
      <c r="Q20" s="1393"/>
      <c r="R20" s="1393"/>
      <c r="S20" s="437"/>
      <c r="T20" s="437"/>
      <c r="U20" s="437"/>
      <c r="V20" s="437"/>
      <c r="W20" s="1394"/>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79">
        <v>0</v>
      </c>
    </row>
    <row s="10446" customFormat="1" customHeight="1" ht="17.25" hidden="1">
      <c r="A21" s="429"/>
      <c r="C21" s="428"/>
      <c r="D21" s="2987"/>
      <c r="E21" s="3036"/>
      <c r="F21" s="3024"/>
      <c r="G21" s="3012"/>
      <c r="H21" s="3014"/>
      <c r="I21" s="3016"/>
      <c r="J21" s="3019"/>
      <c r="K21" s="3010"/>
      <c r="L21" s="1393"/>
      <c r="M21" s="1393"/>
      <c r="N21" s="1393"/>
      <c r="O21" s="1393"/>
      <c r="P21" s="1393"/>
      <c r="Q21" s="1393"/>
      <c r="R21" s="1393"/>
      <c r="S21" s="437"/>
      <c r="T21" s="437"/>
      <c r="U21" s="437"/>
      <c r="V21" s="437"/>
      <c r="W21" s="1394"/>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79">
        <v>0</v>
      </c>
    </row>
    <row s="10446" customFormat="1" customHeight="1" ht="17.25" hidden="1">
      <c r="A22" s="429"/>
      <c r="C22" s="428"/>
      <c r="D22" s="2987"/>
      <c r="E22" s="3036"/>
      <c r="F22" s="3025"/>
      <c r="G22" s="3012"/>
      <c r="H22" s="1395"/>
      <c r="I22" s="1396"/>
      <c r="J22" s="1396"/>
      <c r="K22" s="1396"/>
      <c r="L22" s="1396"/>
      <c r="M22" s="1396"/>
      <c r="N22" s="1396"/>
      <c r="O22" s="1396"/>
      <c r="P22" s="1396"/>
      <c r="Q22" s="1396"/>
      <c r="R22" s="1396"/>
      <c r="S22" s="1397"/>
      <c r="T22" s="1397"/>
      <c r="U22" s="1397"/>
      <c r="V22" s="1397"/>
      <c r="W22" s="1398"/>
      <c r="X22" s="1355"/>
      <c r="Y22" s="1355"/>
      <c r="Z22" s="1355"/>
      <c r="AA22" s="1355"/>
      <c r="AB22" s="1355"/>
      <c r="AC22" s="1355"/>
      <c r="AD22" s="1355"/>
      <c r="AE22" s="1355"/>
      <c r="AF22" s="1355"/>
      <c r="AG22" s="1355"/>
      <c r="AH22" s="1355"/>
      <c r="AI22" s="1355"/>
      <c r="AJ22" s="1355"/>
      <c r="AK22" s="1355"/>
      <c r="AL22" s="1355"/>
      <c r="AM22" s="1355"/>
      <c r="AN22" s="1355"/>
      <c r="AO22" s="1355"/>
      <c r="AP22" s="1355"/>
      <c r="AQ22" s="1355"/>
      <c r="AR22" s="1379">
        <v>0</v>
      </c>
    </row>
    <row s="10446" customFormat="1" customHeight="1" ht="17.25" hidden="1">
      <c r="A23" s="429"/>
      <c r="C23" s="317"/>
      <c r="D23" s="3022">
        <v>2</v>
      </c>
      <c r="E23" s="3011" t="s">
        <v>252</v>
      </c>
      <c r="F23" s="3023" t="s">
        <v>19</v>
      </c>
      <c r="G23" s="3011"/>
      <c r="H23" s="3013"/>
      <c r="I23" s="3015"/>
      <c r="J23" s="3017"/>
      <c r="K23" s="3009"/>
      <c r="L23" s="3009"/>
      <c r="M23" s="3009"/>
      <c r="N23" s="3020"/>
      <c r="O23" s="3009"/>
      <c r="P23" s="3009"/>
      <c r="Q23" s="3009"/>
      <c r="R23" s="3007"/>
      <c r="S23" s="3009"/>
      <c r="T23" s="2089"/>
      <c r="U23" s="2089"/>
      <c r="V23" s="2091"/>
      <c r="W23" s="1392"/>
      <c r="X23" s="1363"/>
      <c r="Y23" s="1363"/>
      <c r="Z23" s="1363"/>
      <c r="AA23" s="1363"/>
      <c r="AB23" s="1363"/>
      <c r="AC23" s="1363" t="s">
        <v>247</v>
      </c>
      <c r="AD23" s="1363" t="s">
        <v>248</v>
      </c>
      <c r="AE23" s="1363" t="s">
        <v>249</v>
      </c>
      <c r="AF23" s="1363" t="s">
        <v>250</v>
      </c>
      <c r="AG23" s="1363" t="s">
        <v>251</v>
      </c>
      <c r="AH23" s="136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63" t="str">
        <f>IF($G$23=0,"",$G$23)</f>
        <v/>
      </c>
      <c r="AJ23" s="1363" t="str">
        <f>IF($J$23=0,"",$J$23)</f>
        <v/>
      </c>
      <c r="AK23" s="1363" t="str">
        <f>IF($K$23="нет","без дифференциации",IF($N$23=0,"",$N$23))</f>
        <v/>
      </c>
      <c r="AL23" s="1363" t="str">
        <f>IF($O$23="нет","без дифференциации",IF($R$23=0,"",$R$23))</f>
        <v/>
      </c>
      <c r="AM23" s="1363" t="str">
        <f>IF($S$23="нет","без дифференциации",IF($V$23=0,"",$V$23))</f>
        <v/>
      </c>
      <c r="AN23" s="1868">
        <f>$I$23</f>
        <v>0</v>
      </c>
      <c r="AO23" s="1363" t="str">
        <f>$I$23&amp;"."&amp;$M$23</f>
        <v>.</v>
      </c>
      <c r="AP23" s="1362" t="str">
        <f>$I$23&amp;"."&amp;$M$23&amp;"."&amp;$Q$23</f>
        <v>..</v>
      </c>
      <c r="AQ23" s="1362" t="str">
        <f>$I$23&amp;"."&amp;$M$23&amp;"."&amp;$Q$23&amp;"."&amp;$U$23</f>
        <v>...</v>
      </c>
      <c r="AR23" s="1563">
        <v>0</v>
      </c>
    </row>
    <row s="10446" customFormat="1" customHeight="1" ht="17.25" hidden="1">
      <c r="A24" s="429"/>
      <c r="C24" s="428"/>
      <c r="D24" s="3022"/>
      <c r="E24" s="3011"/>
      <c r="F24" s="3024"/>
      <c r="G24" s="3011"/>
      <c r="H24" s="3014"/>
      <c r="I24" s="3016"/>
      <c r="J24" s="3018"/>
      <c r="K24" s="3010"/>
      <c r="L24" s="3010"/>
      <c r="M24" s="3010"/>
      <c r="N24" s="3021"/>
      <c r="O24" s="3010"/>
      <c r="P24" s="3010"/>
      <c r="Q24" s="3010"/>
      <c r="R24" s="3008"/>
      <c r="S24" s="3010"/>
      <c r="T24" s="2094"/>
      <c r="U24" s="2094"/>
      <c r="V24" s="2094"/>
      <c r="W24" s="2095"/>
      <c r="X24" s="1362"/>
      <c r="Y24" s="1362"/>
      <c r="Z24" s="1362"/>
      <c r="AA24" s="1362"/>
      <c r="AB24" s="1362"/>
      <c r="AC24" s="1362"/>
      <c r="AD24" s="1362"/>
      <c r="AE24" s="1362"/>
      <c r="AF24" s="1362"/>
      <c r="AG24" s="1362"/>
      <c r="AH24" s="1362"/>
      <c r="AI24" s="1362"/>
      <c r="AJ24" s="1362"/>
      <c r="AK24" s="1362"/>
      <c r="AL24" s="1362"/>
      <c r="AM24" s="1362"/>
      <c r="AN24" s="1362"/>
      <c r="AO24" s="1362"/>
      <c r="AP24" s="1362"/>
      <c r="AQ24" s="1362"/>
      <c r="AR24" s="1563">
        <v>0</v>
      </c>
    </row>
    <row s="10446" customFormat="1" customHeight="1" ht="17.25" hidden="1">
      <c r="A25" s="429"/>
      <c r="C25" s="428"/>
      <c r="D25" s="2987"/>
      <c r="E25" s="3012"/>
      <c r="F25" s="3024"/>
      <c r="G25" s="3012"/>
      <c r="H25" s="3014"/>
      <c r="I25" s="3016"/>
      <c r="J25" s="3019"/>
      <c r="K25" s="3010"/>
      <c r="L25" s="3010"/>
      <c r="M25" s="3010"/>
      <c r="N25" s="3008"/>
      <c r="O25" s="3010"/>
      <c r="P25" s="2090"/>
      <c r="Q25" s="2094"/>
      <c r="R25" s="2094"/>
      <c r="S25" s="437"/>
      <c r="T25" s="437"/>
      <c r="U25" s="437"/>
      <c r="V25" s="437"/>
      <c r="W25" s="2095"/>
      <c r="X25" s="1362"/>
      <c r="Y25" s="1362"/>
      <c r="Z25" s="1362"/>
      <c r="AA25" s="1362"/>
      <c r="AB25" s="1362"/>
      <c r="AC25" s="1362"/>
      <c r="AD25" s="1362"/>
      <c r="AE25" s="1362"/>
      <c r="AF25" s="1362"/>
      <c r="AG25" s="1362"/>
      <c r="AH25" s="1362"/>
      <c r="AI25" s="1362"/>
      <c r="AJ25" s="1362"/>
      <c r="AK25" s="1362"/>
      <c r="AL25" s="1362"/>
      <c r="AM25" s="1362"/>
      <c r="AN25" s="1362"/>
      <c r="AO25" s="1362"/>
      <c r="AP25" s="1362"/>
      <c r="AQ25" s="1362"/>
      <c r="AR25" s="1563">
        <v>0</v>
      </c>
    </row>
    <row s="10446" customFormat="1" customHeight="1" ht="17.25" hidden="1">
      <c r="A26" s="429"/>
      <c r="C26" s="428"/>
      <c r="D26" s="2987"/>
      <c r="E26" s="3012"/>
      <c r="F26" s="3024"/>
      <c r="G26" s="3012"/>
      <c r="H26" s="3014"/>
      <c r="I26" s="3016"/>
      <c r="J26" s="3019"/>
      <c r="K26" s="3010"/>
      <c r="L26" s="2094"/>
      <c r="M26" s="2094"/>
      <c r="N26" s="2094"/>
      <c r="O26" s="2094"/>
      <c r="P26" s="2094"/>
      <c r="Q26" s="2094"/>
      <c r="R26" s="2094"/>
      <c r="S26" s="437"/>
      <c r="T26" s="437"/>
      <c r="U26" s="437"/>
      <c r="V26" s="437"/>
      <c r="W26" s="2095"/>
      <c r="X26" s="1362"/>
      <c r="Y26" s="1362"/>
      <c r="Z26" s="1362"/>
      <c r="AA26" s="1362"/>
      <c r="AB26" s="1362"/>
      <c r="AC26" s="1362"/>
      <c r="AD26" s="1362"/>
      <c r="AE26" s="1362"/>
      <c r="AF26" s="1362"/>
      <c r="AG26" s="1362"/>
      <c r="AH26" s="1362"/>
      <c r="AI26" s="1362"/>
      <c r="AJ26" s="1362"/>
      <c r="AK26" s="1362"/>
      <c r="AL26" s="1362"/>
      <c r="AM26" s="1362"/>
      <c r="AN26" s="1362"/>
      <c r="AO26" s="1362"/>
      <c r="AP26" s="1362"/>
      <c r="AQ26" s="1362"/>
      <c r="AR26" s="1563">
        <v>0</v>
      </c>
    </row>
    <row s="10446" customFormat="1" customHeight="1" ht="17.25" hidden="1">
      <c r="A27" s="429"/>
      <c r="C27" s="428"/>
      <c r="D27" s="2987"/>
      <c r="E27" s="3012"/>
      <c r="F27" s="3025"/>
      <c r="G27" s="3012"/>
      <c r="H27" s="1395"/>
      <c r="I27" s="2092"/>
      <c r="J27" s="2092"/>
      <c r="K27" s="2092"/>
      <c r="L27" s="2092"/>
      <c r="M27" s="2092"/>
      <c r="N27" s="2092"/>
      <c r="O27" s="2092"/>
      <c r="P27" s="2092"/>
      <c r="Q27" s="2092"/>
      <c r="R27" s="2092"/>
      <c r="S27" s="1397"/>
      <c r="T27" s="1397"/>
      <c r="U27" s="1397"/>
      <c r="V27" s="1397"/>
      <c r="W27" s="2093"/>
      <c r="X27" s="1362"/>
      <c r="Y27" s="1362"/>
      <c r="Z27" s="1362"/>
      <c r="AA27" s="1362"/>
      <c r="AB27" s="1362"/>
      <c r="AC27" s="1362"/>
      <c r="AD27" s="1362"/>
      <c r="AE27" s="1362"/>
      <c r="AF27" s="1362"/>
      <c r="AG27" s="1362"/>
      <c r="AH27" s="1362"/>
      <c r="AI27" s="1362"/>
      <c r="AJ27" s="1362"/>
      <c r="AK27" s="1362"/>
      <c r="AL27" s="1362"/>
      <c r="AM27" s="1362"/>
      <c r="AN27" s="1362"/>
      <c r="AO27" s="1362"/>
      <c r="AP27" s="1362"/>
      <c r="AQ27" s="1362"/>
      <c r="AR27" s="1563">
        <v>0</v>
      </c>
    </row>
    <row s="10446" customFormat="1" customHeight="1" ht="17.25" hidden="1">
      <c r="A28" s="429"/>
      <c r="C28" s="317"/>
      <c r="D28" s="3022">
        <v>3</v>
      </c>
      <c r="E28" s="3011" t="s">
        <v>253</v>
      </c>
      <c r="F28" s="3023" t="s">
        <v>19</v>
      </c>
      <c r="G28" s="3011"/>
      <c r="H28" s="3013"/>
      <c r="I28" s="3015"/>
      <c r="J28" s="3017"/>
      <c r="K28" s="3009"/>
      <c r="L28" s="3009"/>
      <c r="M28" s="3009"/>
      <c r="N28" s="3020"/>
      <c r="O28" s="3009"/>
      <c r="P28" s="3009"/>
      <c r="Q28" s="3009"/>
      <c r="R28" s="3007"/>
      <c r="S28" s="3009"/>
      <c r="T28" s="1516"/>
      <c r="U28" s="1516"/>
      <c r="V28" s="1515"/>
      <c r="W28" s="1392"/>
      <c r="X28" s="1363"/>
      <c r="Y28" s="1363"/>
      <c r="Z28" s="1363"/>
      <c r="AA28" s="1363"/>
      <c r="AB28" s="1363"/>
      <c r="AC28" s="1363" t="s">
        <v>254</v>
      </c>
      <c r="AD28" s="1363" t="s">
        <v>255</v>
      </c>
      <c r="AE28" s="1363" t="s">
        <v>256</v>
      </c>
      <c r="AF28" s="1363" t="s">
        <v>257</v>
      </c>
      <c r="AG28" s="1363" t="s">
        <v>258</v>
      </c>
      <c r="AH28" s="1363" t="str">
        <f>IF($E$28=0,"",$E$28)</f>
        <v>Тарифы на теплоноситель, поставляемый теплоснабжающими организациями потребителям, другим теплоснабжающим организациям</v>
      </c>
      <c r="AI28" s="1363" t="str">
        <f>IF($G$28=0,"",$G$28)</f>
        <v/>
      </c>
      <c r="AJ28" s="1363" t="str">
        <f>IF($J$28=0,"",$J$28)</f>
        <v/>
      </c>
      <c r="AK28" s="1363" t="str">
        <f>IF($K$28="нет","без дифференциации",IF($N$28=0,"",$N$28))</f>
        <v/>
      </c>
      <c r="AL28" s="1363" t="str">
        <f>IF($O$28="нет","без дифференциации",IF($R$28=0,"",$R$28))</f>
        <v/>
      </c>
      <c r="AM28" s="1363" t="str">
        <f>IF($S$28="нет","без дифференциации",IF($V$28=0,"",$V$28))</f>
        <v/>
      </c>
      <c r="AN28" s="1868">
        <f>$I$28</f>
        <v>0</v>
      </c>
      <c r="AO28" s="1363" t="str">
        <f>$I$28&amp;"."&amp;$M$28</f>
        <v>.</v>
      </c>
      <c r="AP28" s="1355" t="str">
        <f>$I$28&amp;"."&amp;$M$28&amp;"."&amp;$Q$28</f>
        <v>..</v>
      </c>
      <c r="AQ28" s="1355" t="str">
        <f>$I$28&amp;"."&amp;$M$28&amp;"."&amp;$Q$28&amp;"."&amp;$U$28</f>
        <v>...</v>
      </c>
      <c r="AR28" s="1379">
        <v>0</v>
      </c>
    </row>
    <row s="10446" customFormat="1" customHeight="1" ht="17.25" hidden="1">
      <c r="A29" s="429"/>
      <c r="C29" s="428"/>
      <c r="D29" s="3022"/>
      <c r="E29" s="3011"/>
      <c r="F29" s="3024"/>
      <c r="G29" s="3011"/>
      <c r="H29" s="3014"/>
      <c r="I29" s="3016"/>
      <c r="J29" s="3018"/>
      <c r="K29" s="3010"/>
      <c r="L29" s="3010"/>
      <c r="M29" s="3010"/>
      <c r="N29" s="3021"/>
      <c r="O29" s="3010"/>
      <c r="P29" s="3010"/>
      <c r="Q29" s="3010"/>
      <c r="R29" s="3008"/>
      <c r="S29" s="3010"/>
      <c r="T29" s="1393"/>
      <c r="U29" s="1393"/>
      <c r="V29" s="1393"/>
      <c r="W29" s="1394"/>
      <c r="X29" s="1355"/>
      <c r="Y29" s="1355"/>
      <c r="Z29" s="1355"/>
      <c r="AA29" s="1355"/>
      <c r="AB29" s="1355"/>
      <c r="AC29" s="1355"/>
      <c r="AD29" s="1355"/>
      <c r="AE29" s="1355"/>
      <c r="AF29" s="1355"/>
      <c r="AG29" s="1355"/>
      <c r="AH29" s="1355"/>
      <c r="AI29" s="1355"/>
      <c r="AJ29" s="1355"/>
      <c r="AK29" s="1355"/>
      <c r="AL29" s="1355"/>
      <c r="AM29" s="1355"/>
      <c r="AN29" s="1355"/>
      <c r="AO29" s="1355"/>
      <c r="AP29" s="1355"/>
      <c r="AQ29" s="1355"/>
      <c r="AR29" s="1379">
        <v>0</v>
      </c>
    </row>
    <row s="10446" customFormat="1" customHeight="1" ht="17.25" hidden="1">
      <c r="A30" s="429"/>
      <c r="C30" s="428"/>
      <c r="D30" s="2987"/>
      <c r="E30" s="3012"/>
      <c r="F30" s="3024"/>
      <c r="G30" s="3012"/>
      <c r="H30" s="3014"/>
      <c r="I30" s="3016"/>
      <c r="J30" s="3019"/>
      <c r="K30" s="3010"/>
      <c r="L30" s="3010"/>
      <c r="M30" s="3010"/>
      <c r="N30" s="3008"/>
      <c r="O30" s="3010"/>
      <c r="P30" s="1514"/>
      <c r="Q30" s="1393"/>
      <c r="R30" s="1393"/>
      <c r="S30" s="437"/>
      <c r="T30" s="437"/>
      <c r="U30" s="437"/>
      <c r="V30" s="437"/>
      <c r="W30" s="1394"/>
      <c r="X30" s="1355"/>
      <c r="Y30" s="1355"/>
      <c r="Z30" s="1355"/>
      <c r="AA30" s="1355"/>
      <c r="AB30" s="1355"/>
      <c r="AC30" s="1355"/>
      <c r="AD30" s="1355"/>
      <c r="AE30" s="1355"/>
      <c r="AF30" s="1355"/>
      <c r="AG30" s="1355"/>
      <c r="AH30" s="1355"/>
      <c r="AI30" s="1355"/>
      <c r="AJ30" s="1355"/>
      <c r="AK30" s="1355"/>
      <c r="AL30" s="1355"/>
      <c r="AM30" s="1355"/>
      <c r="AN30" s="1355"/>
      <c r="AO30" s="1355"/>
      <c r="AP30" s="1355"/>
      <c r="AQ30" s="1355"/>
      <c r="AR30" s="1379">
        <v>0</v>
      </c>
    </row>
    <row s="10446" customFormat="1" customHeight="1" ht="17.25" hidden="1">
      <c r="A31" s="429"/>
      <c r="C31" s="428"/>
      <c r="D31" s="2987"/>
      <c r="E31" s="3012"/>
      <c r="F31" s="3024"/>
      <c r="G31" s="3012"/>
      <c r="H31" s="3014"/>
      <c r="I31" s="3016"/>
      <c r="J31" s="3019"/>
      <c r="K31" s="3010"/>
      <c r="L31" s="1393"/>
      <c r="M31" s="1393"/>
      <c r="N31" s="1393"/>
      <c r="O31" s="1393"/>
      <c r="P31" s="1393"/>
      <c r="Q31" s="1393"/>
      <c r="R31" s="1393"/>
      <c r="S31" s="437"/>
      <c r="T31" s="437"/>
      <c r="U31" s="437"/>
      <c r="V31" s="437"/>
      <c r="W31" s="1394"/>
      <c r="X31" s="1355"/>
      <c r="Y31" s="1355"/>
      <c r="Z31" s="1355"/>
      <c r="AA31" s="1355"/>
      <c r="AB31" s="1355"/>
      <c r="AC31" s="1355"/>
      <c r="AD31" s="1355"/>
      <c r="AE31" s="1355"/>
      <c r="AF31" s="1355"/>
      <c r="AG31" s="1355"/>
      <c r="AH31" s="1355"/>
      <c r="AI31" s="1355"/>
      <c r="AJ31" s="1355"/>
      <c r="AK31" s="1355"/>
      <c r="AL31" s="1355"/>
      <c r="AM31" s="1355"/>
      <c r="AN31" s="1355"/>
      <c r="AO31" s="1355"/>
      <c r="AP31" s="1355"/>
      <c r="AQ31" s="1355"/>
      <c r="AR31" s="1379">
        <v>0</v>
      </c>
    </row>
    <row s="10446" customFormat="1" customHeight="1" ht="17.25" hidden="1">
      <c r="A32" s="429"/>
      <c r="C32" s="428"/>
      <c r="D32" s="2987"/>
      <c r="E32" s="3012"/>
      <c r="F32" s="3025"/>
      <c r="G32" s="3012"/>
      <c r="H32" s="1395"/>
      <c r="I32" s="1396"/>
      <c r="J32" s="1396"/>
      <c r="K32" s="1396"/>
      <c r="L32" s="1396"/>
      <c r="M32" s="1396"/>
      <c r="N32" s="1396"/>
      <c r="O32" s="1396"/>
      <c r="P32" s="1396"/>
      <c r="Q32" s="1396"/>
      <c r="R32" s="1396"/>
      <c r="S32" s="1397"/>
      <c r="T32" s="1397"/>
      <c r="U32" s="1397"/>
      <c r="V32" s="1397"/>
      <c r="W32" s="1398"/>
      <c r="X32" s="1355"/>
      <c r="Y32" s="1355"/>
      <c r="Z32" s="1355"/>
      <c r="AA32" s="1355"/>
      <c r="AB32" s="1355"/>
      <c r="AC32" s="1355"/>
      <c r="AD32" s="1355"/>
      <c r="AE32" s="1355"/>
      <c r="AF32" s="1355"/>
      <c r="AG32" s="1355"/>
      <c r="AH32" s="1355"/>
      <c r="AI32" s="1355"/>
      <c r="AJ32" s="1355"/>
      <c r="AK32" s="1355"/>
      <c r="AL32" s="1355"/>
      <c r="AM32" s="1355"/>
      <c r="AN32" s="1355"/>
      <c r="AO32" s="1355"/>
      <c r="AP32" s="1355"/>
      <c r="AQ32" s="1355"/>
      <c r="AR32" s="1379">
        <v>0</v>
      </c>
    </row>
    <row s="10446" customFormat="1" customHeight="1" ht="17.25" hidden="1">
      <c r="A33" s="429"/>
      <c r="C33" s="317"/>
      <c r="D33" s="3022">
        <v>4</v>
      </c>
      <c r="E33" s="3011" t="s">
        <v>259</v>
      </c>
      <c r="F33" s="3023" t="s">
        <v>19</v>
      </c>
      <c r="G33" s="3011"/>
      <c r="H33" s="3013"/>
      <c r="I33" s="3015"/>
      <c r="J33" s="3017"/>
      <c r="K33" s="3009"/>
      <c r="L33" s="3009"/>
      <c r="M33" s="3009"/>
      <c r="N33" s="3020"/>
      <c r="O33" s="3009"/>
      <c r="P33" s="3009"/>
      <c r="Q33" s="3009"/>
      <c r="R33" s="3007"/>
      <c r="S33" s="3009"/>
      <c r="T33" s="1516"/>
      <c r="U33" s="1516"/>
      <c r="V33" s="1515"/>
      <c r="W33" s="1392"/>
      <c r="X33" s="1363"/>
      <c r="Y33" s="1363"/>
      <c r="Z33" s="1363"/>
      <c r="AA33" s="1363"/>
      <c r="AB33" s="1363"/>
      <c r="AC33" s="1363" t="s">
        <v>260</v>
      </c>
      <c r="AD33" s="1363" t="s">
        <v>261</v>
      </c>
      <c r="AE33" s="1363" t="s">
        <v>262</v>
      </c>
      <c r="AF33" s="1363" t="s">
        <v>263</v>
      </c>
      <c r="AG33" s="1363" t="s">
        <v>264</v>
      </c>
      <c r="AH33" s="136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63" t="str">
        <f>IF($G$33=0,"",$G$33)</f>
        <v/>
      </c>
      <c r="AJ33" s="1363" t="str">
        <f>IF($J$33=0,"",$J$33)</f>
        <v/>
      </c>
      <c r="AK33" s="1363" t="str">
        <f>IF($K$33="нет","без дифференциации",IF($N$33=0,"",$N$33))</f>
        <v/>
      </c>
      <c r="AL33" s="1363" t="str">
        <f>IF($O$33="нет","без дифференциации",IF($R$33=0,"",$R$33))</f>
        <v/>
      </c>
      <c r="AM33" s="1363" t="str">
        <f>IF($S$33="нет","без дифференциации",IF($V$33=0,"",$V$33))</f>
        <v/>
      </c>
      <c r="AN33" s="1868">
        <f>$I$33</f>
        <v>0</v>
      </c>
      <c r="AO33" s="1363" t="str">
        <f>$I$33&amp;"."&amp;$M$33</f>
        <v>.</v>
      </c>
      <c r="AP33" s="1355" t="str">
        <f>$I$33&amp;"."&amp;$M$33&amp;"."&amp;$Q$33</f>
        <v>..</v>
      </c>
      <c r="AQ33" s="1355" t="str">
        <f>$I$33&amp;"."&amp;$M$33&amp;"."&amp;$Q$33&amp;"."&amp;$U$33</f>
        <v>...</v>
      </c>
      <c r="AR33" s="1379">
        <v>0</v>
      </c>
    </row>
    <row s="10446" customFormat="1" customHeight="1" ht="17.25" hidden="1">
      <c r="A34" s="429"/>
      <c r="C34" s="428"/>
      <c r="D34" s="3022"/>
      <c r="E34" s="3011"/>
      <c r="F34" s="3024"/>
      <c r="G34" s="3011"/>
      <c r="H34" s="3014"/>
      <c r="I34" s="3016"/>
      <c r="J34" s="3018"/>
      <c r="K34" s="3010"/>
      <c r="L34" s="3010"/>
      <c r="M34" s="3010"/>
      <c r="N34" s="3021"/>
      <c r="O34" s="3010"/>
      <c r="P34" s="3010"/>
      <c r="Q34" s="3010"/>
      <c r="R34" s="3008"/>
      <c r="S34" s="3010"/>
      <c r="T34" s="1393"/>
      <c r="U34" s="1393"/>
      <c r="V34" s="1393"/>
      <c r="W34" s="1394"/>
      <c r="X34" s="1355"/>
      <c r="Y34" s="1355"/>
      <c r="Z34" s="1355"/>
      <c r="AA34" s="1355"/>
      <c r="AB34" s="1355"/>
      <c r="AC34" s="1355"/>
      <c r="AD34" s="1355"/>
      <c r="AE34" s="1355"/>
      <c r="AF34" s="1355"/>
      <c r="AG34" s="1355"/>
      <c r="AH34" s="1355"/>
      <c r="AI34" s="1355"/>
      <c r="AJ34" s="1355"/>
      <c r="AK34" s="1355"/>
      <c r="AL34" s="1355"/>
      <c r="AM34" s="1355"/>
      <c r="AN34" s="1355"/>
      <c r="AO34" s="1355"/>
      <c r="AP34" s="1355"/>
      <c r="AQ34" s="1355"/>
      <c r="AR34" s="1379">
        <v>0</v>
      </c>
    </row>
    <row s="10446" customFormat="1" customHeight="1" ht="17.25" hidden="1">
      <c r="A35" s="429"/>
      <c r="C35" s="428"/>
      <c r="D35" s="2987"/>
      <c r="E35" s="3012"/>
      <c r="F35" s="3024"/>
      <c r="G35" s="3012"/>
      <c r="H35" s="3014"/>
      <c r="I35" s="3016"/>
      <c r="J35" s="3019"/>
      <c r="K35" s="3010"/>
      <c r="L35" s="3010"/>
      <c r="M35" s="3010"/>
      <c r="N35" s="3008"/>
      <c r="O35" s="3010"/>
      <c r="P35" s="1514"/>
      <c r="Q35" s="1393"/>
      <c r="R35" s="1393"/>
      <c r="S35" s="437"/>
      <c r="T35" s="437"/>
      <c r="U35" s="437"/>
      <c r="V35" s="437"/>
      <c r="W35" s="1394"/>
      <c r="X35" s="1355"/>
      <c r="Y35" s="1355"/>
      <c r="Z35" s="1355"/>
      <c r="AA35" s="1355"/>
      <c r="AB35" s="1355"/>
      <c r="AC35" s="1355"/>
      <c r="AD35" s="1355"/>
      <c r="AE35" s="1355"/>
      <c r="AF35" s="1355"/>
      <c r="AG35" s="1355"/>
      <c r="AH35" s="1355"/>
      <c r="AI35" s="1355"/>
      <c r="AJ35" s="1355"/>
      <c r="AK35" s="1355"/>
      <c r="AL35" s="1355"/>
      <c r="AM35" s="1355"/>
      <c r="AN35" s="1355"/>
      <c r="AO35" s="1355"/>
      <c r="AP35" s="1355"/>
      <c r="AQ35" s="1355"/>
      <c r="AR35" s="1379">
        <v>0</v>
      </c>
    </row>
    <row s="10446" customFormat="1" customHeight="1" ht="17.25" hidden="1">
      <c r="A36" s="429"/>
      <c r="C36" s="428"/>
      <c r="D36" s="2987"/>
      <c r="E36" s="3012"/>
      <c r="F36" s="3024"/>
      <c r="G36" s="3012"/>
      <c r="H36" s="3014"/>
      <c r="I36" s="3016"/>
      <c r="J36" s="3019"/>
      <c r="K36" s="3010"/>
      <c r="L36" s="1393"/>
      <c r="M36" s="1393"/>
      <c r="N36" s="1393"/>
      <c r="O36" s="1393"/>
      <c r="P36" s="1393"/>
      <c r="Q36" s="1393"/>
      <c r="R36" s="1393"/>
      <c r="S36" s="437"/>
      <c r="T36" s="437"/>
      <c r="U36" s="437"/>
      <c r="V36" s="437"/>
      <c r="W36" s="1394"/>
      <c r="X36" s="1355"/>
      <c r="Y36" s="1355"/>
      <c r="Z36" s="1355"/>
      <c r="AA36" s="1355"/>
      <c r="AB36" s="1355"/>
      <c r="AC36" s="1355"/>
      <c r="AD36" s="1355"/>
      <c r="AE36" s="1355"/>
      <c r="AF36" s="1355"/>
      <c r="AG36" s="1355"/>
      <c r="AH36" s="1355"/>
      <c r="AI36" s="1355"/>
      <c r="AJ36" s="1355"/>
      <c r="AK36" s="1355"/>
      <c r="AL36" s="1355"/>
      <c r="AM36" s="1355"/>
      <c r="AN36" s="1355"/>
      <c r="AO36" s="1355"/>
      <c r="AP36" s="1355"/>
      <c r="AQ36" s="1355"/>
      <c r="AR36" s="1379">
        <v>0</v>
      </c>
    </row>
    <row s="10446" customFormat="1" customHeight="1" ht="17.25" hidden="1">
      <c r="A37" s="429"/>
      <c r="C37" s="428"/>
      <c r="D37" s="2987"/>
      <c r="E37" s="3012"/>
      <c r="F37" s="3025"/>
      <c r="G37" s="3012"/>
      <c r="H37" s="1395"/>
      <c r="I37" s="1396"/>
      <c r="J37" s="1396"/>
      <c r="K37" s="1396"/>
      <c r="L37" s="1396"/>
      <c r="M37" s="1396"/>
      <c r="N37" s="1396"/>
      <c r="O37" s="1396"/>
      <c r="P37" s="1396"/>
      <c r="Q37" s="1396"/>
      <c r="R37" s="1396"/>
      <c r="S37" s="1397"/>
      <c r="T37" s="1397"/>
      <c r="U37" s="1397"/>
      <c r="V37" s="1397"/>
      <c r="W37" s="1398"/>
      <c r="X37" s="1355"/>
      <c r="Y37" s="1355"/>
      <c r="Z37" s="1355"/>
      <c r="AA37" s="1355"/>
      <c r="AB37" s="1355"/>
      <c r="AC37" s="1355"/>
      <c r="AD37" s="1355"/>
      <c r="AE37" s="1355"/>
      <c r="AF37" s="1355"/>
      <c r="AG37" s="1355"/>
      <c r="AH37" s="1355"/>
      <c r="AI37" s="1355"/>
      <c r="AJ37" s="1355"/>
      <c r="AK37" s="1355"/>
      <c r="AL37" s="1355"/>
      <c r="AM37" s="1355"/>
      <c r="AN37" s="1355"/>
      <c r="AO37" s="1355"/>
      <c r="AP37" s="1355"/>
      <c r="AQ37" s="1355"/>
      <c r="AR37" s="1379">
        <v>0</v>
      </c>
    </row>
    <row s="10446" customFormat="1" customHeight="1" ht="17.25" hidden="1">
      <c r="A38" s="429"/>
      <c r="C38" s="317"/>
      <c r="D38" s="3022">
        <v>5</v>
      </c>
      <c r="E38" s="3011" t="s">
        <v>265</v>
      </c>
      <c r="F38" s="3023" t="s">
        <v>19</v>
      </c>
      <c r="G38" s="3011"/>
      <c r="H38" s="3013"/>
      <c r="I38" s="3015"/>
      <c r="J38" s="3017"/>
      <c r="K38" s="3009"/>
      <c r="L38" s="3009"/>
      <c r="M38" s="3009"/>
      <c r="N38" s="3020"/>
      <c r="O38" s="3009"/>
      <c r="P38" s="3009"/>
      <c r="Q38" s="3009"/>
      <c r="R38" s="3007"/>
      <c r="S38" s="3009"/>
      <c r="T38" s="1516"/>
      <c r="U38" s="1516"/>
      <c r="V38" s="1515"/>
      <c r="W38" s="1392"/>
      <c r="X38" s="1363"/>
      <c r="Y38" s="1363"/>
      <c r="Z38" s="1363"/>
      <c r="AA38" s="1363"/>
      <c r="AB38" s="1363"/>
      <c r="AC38" s="1363" t="s">
        <v>266</v>
      </c>
      <c r="AD38" s="1363" t="s">
        <v>267</v>
      </c>
      <c r="AE38" s="1363" t="s">
        <v>268</v>
      </c>
      <c r="AF38" s="1363" t="s">
        <v>269</v>
      </c>
      <c r="AG38" s="1363" t="s">
        <v>270</v>
      </c>
      <c r="AH38" s="1363" t="str">
        <f>IF($E$38=0,"",$E$38)</f>
        <v>Тарифы на услуги по передаче тепловой энергии</v>
      </c>
      <c r="AI38" s="1363" t="str">
        <f>IF($G$38=0,"",$G$38)</f>
        <v/>
      </c>
      <c r="AJ38" s="1363" t="str">
        <f>IF($J$38=0,"",$J$38)</f>
        <v/>
      </c>
      <c r="AK38" s="1363" t="str">
        <f>IF($K$38="нет","без дифференциации",IF($N$38=0,"",$N$38))</f>
        <v/>
      </c>
      <c r="AL38" s="1363" t="str">
        <f>IF($O$38="нет","без дифференциации",IF($R$38=0,"",$R$38))</f>
        <v/>
      </c>
      <c r="AM38" s="1363" t="str">
        <f>IF($S$38="нет","без дифференциации",IF($V$38=0,"",$V$38))</f>
        <v/>
      </c>
      <c r="AN38" s="1868">
        <f>$I$38</f>
        <v>0</v>
      </c>
      <c r="AO38" s="1363" t="str">
        <f>$I$38&amp;"."&amp;$M$38</f>
        <v>.</v>
      </c>
      <c r="AP38" s="1355" t="str">
        <f>$I$38&amp;"."&amp;$M$38&amp;"."&amp;$Q$38</f>
        <v>..</v>
      </c>
      <c r="AQ38" s="1355" t="str">
        <f>$I$38&amp;"."&amp;$M$38&amp;"."&amp;$Q$38&amp;"."&amp;$U$38</f>
        <v>...</v>
      </c>
      <c r="AR38" s="1379">
        <v>0</v>
      </c>
    </row>
    <row s="10446" customFormat="1" customHeight="1" ht="17.25" hidden="1">
      <c r="A39" s="429"/>
      <c r="C39" s="428"/>
      <c r="D39" s="3022"/>
      <c r="E39" s="3011"/>
      <c r="F39" s="3024"/>
      <c r="G39" s="3011"/>
      <c r="H39" s="3014"/>
      <c r="I39" s="3016"/>
      <c r="J39" s="3018"/>
      <c r="K39" s="3010"/>
      <c r="L39" s="3010"/>
      <c r="M39" s="3010"/>
      <c r="N39" s="3021"/>
      <c r="O39" s="3010"/>
      <c r="P39" s="3010"/>
      <c r="Q39" s="3010"/>
      <c r="R39" s="3008"/>
      <c r="S39" s="3010"/>
      <c r="T39" s="1393"/>
      <c r="U39" s="1393"/>
      <c r="V39" s="1393"/>
      <c r="W39" s="1394"/>
      <c r="X39" s="1355"/>
      <c r="Y39" s="1355"/>
      <c r="Z39" s="1355"/>
      <c r="AA39" s="1355"/>
      <c r="AB39" s="1355"/>
      <c r="AC39" s="1355"/>
      <c r="AD39" s="1355"/>
      <c r="AE39" s="1355"/>
      <c r="AF39" s="1355"/>
      <c r="AG39" s="1355"/>
      <c r="AH39" s="1355"/>
      <c r="AI39" s="1355"/>
      <c r="AJ39" s="1355"/>
      <c r="AK39" s="1355"/>
      <c r="AL39" s="1355"/>
      <c r="AM39" s="1355"/>
      <c r="AN39" s="1355"/>
      <c r="AO39" s="1355"/>
      <c r="AP39" s="1355"/>
      <c r="AQ39" s="1355"/>
      <c r="AR39" s="1379">
        <v>0</v>
      </c>
    </row>
    <row s="10446" customFormat="1" customHeight="1" ht="17.25" hidden="1">
      <c r="A40" s="429"/>
      <c r="C40" s="428"/>
      <c r="D40" s="2987"/>
      <c r="E40" s="3012"/>
      <c r="F40" s="3024"/>
      <c r="G40" s="3012"/>
      <c r="H40" s="3014"/>
      <c r="I40" s="3016"/>
      <c r="J40" s="3019"/>
      <c r="K40" s="3010"/>
      <c r="L40" s="3010"/>
      <c r="M40" s="3010"/>
      <c r="N40" s="3008"/>
      <c r="O40" s="3010"/>
      <c r="P40" s="1514"/>
      <c r="Q40" s="1393"/>
      <c r="R40" s="1393"/>
      <c r="S40" s="437"/>
      <c r="T40" s="437"/>
      <c r="U40" s="437"/>
      <c r="V40" s="437"/>
      <c r="W40" s="1394"/>
      <c r="X40" s="1355"/>
      <c r="Y40" s="1355"/>
      <c r="Z40" s="1355"/>
      <c r="AA40" s="1355"/>
      <c r="AB40" s="1355"/>
      <c r="AC40" s="1355"/>
      <c r="AD40" s="1355"/>
      <c r="AE40" s="1355"/>
      <c r="AF40" s="1355"/>
      <c r="AG40" s="1355"/>
      <c r="AH40" s="1355"/>
      <c r="AI40" s="1355"/>
      <c r="AJ40" s="1355"/>
      <c r="AK40" s="1355"/>
      <c r="AL40" s="1355"/>
      <c r="AM40" s="1355"/>
      <c r="AN40" s="1355"/>
      <c r="AO40" s="1355"/>
      <c r="AP40" s="1355"/>
      <c r="AQ40" s="1355"/>
      <c r="AR40" s="1379">
        <v>0</v>
      </c>
    </row>
    <row s="10446" customFormat="1" customHeight="1" ht="17.25" hidden="1">
      <c r="A41" s="429"/>
      <c r="C41" s="428"/>
      <c r="D41" s="2987"/>
      <c r="E41" s="3012"/>
      <c r="F41" s="3024"/>
      <c r="G41" s="3012"/>
      <c r="H41" s="3014"/>
      <c r="I41" s="3016"/>
      <c r="J41" s="3019"/>
      <c r="K41" s="3010"/>
      <c r="L41" s="1393"/>
      <c r="M41" s="1393"/>
      <c r="N41" s="1393"/>
      <c r="O41" s="1393"/>
      <c r="P41" s="1393"/>
      <c r="Q41" s="1393"/>
      <c r="R41" s="1393"/>
      <c r="S41" s="437"/>
      <c r="T41" s="437"/>
      <c r="U41" s="437"/>
      <c r="V41" s="437"/>
      <c r="W41" s="1394"/>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79">
        <v>0</v>
      </c>
    </row>
    <row s="10446" customFormat="1" customHeight="1" ht="17.25" hidden="1">
      <c r="A42" s="429"/>
      <c r="C42" s="428"/>
      <c r="D42" s="2987"/>
      <c r="E42" s="3012"/>
      <c r="F42" s="3025"/>
      <c r="G42" s="3012"/>
      <c r="H42" s="1395"/>
      <c r="I42" s="1396"/>
      <c r="J42" s="1396"/>
      <c r="K42" s="1396"/>
      <c r="L42" s="1396"/>
      <c r="M42" s="1396"/>
      <c r="N42" s="1396"/>
      <c r="O42" s="1396"/>
      <c r="P42" s="1396"/>
      <c r="Q42" s="1396"/>
      <c r="R42" s="1396"/>
      <c r="S42" s="1397"/>
      <c r="T42" s="1397"/>
      <c r="U42" s="1397"/>
      <c r="V42" s="1397"/>
      <c r="W42" s="1398"/>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79">
        <v>0</v>
      </c>
    </row>
    <row s="10446" customFormat="1" customHeight="1" ht="17.25" hidden="1">
      <c r="A43" s="429"/>
      <c r="C43" s="317"/>
      <c r="D43" s="3022">
        <v>6</v>
      </c>
      <c r="E43" s="3011" t="s">
        <v>271</v>
      </c>
      <c r="F43" s="3023" t="s">
        <v>19</v>
      </c>
      <c r="G43" s="3011"/>
      <c r="H43" s="3013"/>
      <c r="I43" s="3015"/>
      <c r="J43" s="3017"/>
      <c r="K43" s="3009"/>
      <c r="L43" s="3009"/>
      <c r="M43" s="3009"/>
      <c r="N43" s="3020"/>
      <c r="O43" s="3009"/>
      <c r="P43" s="3009"/>
      <c r="Q43" s="3009"/>
      <c r="R43" s="3007"/>
      <c r="S43" s="3009"/>
      <c r="T43" s="1516"/>
      <c r="U43" s="1516"/>
      <c r="V43" s="1515"/>
      <c r="W43" s="1392"/>
      <c r="X43" s="1363"/>
      <c r="Y43" s="1363"/>
      <c r="Z43" s="1363"/>
      <c r="AA43" s="1363"/>
      <c r="AB43" s="1363"/>
      <c r="AC43" s="1363" t="s">
        <v>272</v>
      </c>
      <c r="AD43" s="1363" t="s">
        <v>273</v>
      </c>
      <c r="AE43" s="1363" t="s">
        <v>274</v>
      </c>
      <c r="AF43" s="1363" t="s">
        <v>275</v>
      </c>
      <c r="AG43" s="1363" t="s">
        <v>276</v>
      </c>
      <c r="AH43" s="1363" t="str">
        <f>IF($E$43=0,"",$E$43)</f>
        <v>Тарифы на услуги по передаче теплоносителя</v>
      </c>
      <c r="AI43" s="1363" t="str">
        <f>IF($G$43=0,"",$G$43)</f>
        <v/>
      </c>
      <c r="AJ43" s="1363" t="str">
        <f>IF($J$43=0,"",$J$43)</f>
        <v/>
      </c>
      <c r="AK43" s="1363" t="str">
        <f>IF($K$43="нет","без дифференциации",IF($N$43=0,"",$N$43))</f>
        <v/>
      </c>
      <c r="AL43" s="1363" t="str">
        <f>IF($O$43="нет","без дифференциации",IF($R$43=0,"",$R$43))</f>
        <v/>
      </c>
      <c r="AM43" s="1363" t="str">
        <f>IF($S$43="нет","без дифференциации",IF($V$43=0,"",$V$43))</f>
        <v/>
      </c>
      <c r="AN43" s="1868">
        <f>$I$43</f>
        <v>0</v>
      </c>
      <c r="AO43" s="1363" t="str">
        <f>$I$43&amp;"."&amp;$M$43</f>
        <v>.</v>
      </c>
      <c r="AP43" s="1355" t="str">
        <f>$I$43&amp;"."&amp;$M$43&amp;"."&amp;$Q$43</f>
        <v>..</v>
      </c>
      <c r="AQ43" s="1355" t="str">
        <f>$I$43&amp;"."&amp;$M$43&amp;"."&amp;$Q$43&amp;"."&amp;$U$43</f>
        <v>...</v>
      </c>
      <c r="AR43" s="1379">
        <v>0</v>
      </c>
    </row>
    <row s="10446" customFormat="1" customHeight="1" ht="17.25" hidden="1">
      <c r="A44" s="429"/>
      <c r="C44" s="428"/>
      <c r="D44" s="3022"/>
      <c r="E44" s="3011"/>
      <c r="F44" s="3024"/>
      <c r="G44" s="3011"/>
      <c r="H44" s="3014"/>
      <c r="I44" s="3016"/>
      <c r="J44" s="3018"/>
      <c r="K44" s="3010"/>
      <c r="L44" s="3010"/>
      <c r="M44" s="3010"/>
      <c r="N44" s="3021"/>
      <c r="O44" s="3010"/>
      <c r="P44" s="3010"/>
      <c r="Q44" s="3010"/>
      <c r="R44" s="3008"/>
      <c r="S44" s="3010"/>
      <c r="T44" s="1393"/>
      <c r="U44" s="1393"/>
      <c r="V44" s="1393"/>
      <c r="W44" s="1394"/>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79">
        <v>0</v>
      </c>
    </row>
    <row s="10446" customFormat="1" customHeight="1" ht="17.25" hidden="1">
      <c r="A45" s="429"/>
      <c r="C45" s="428"/>
      <c r="D45" s="2987"/>
      <c r="E45" s="3012"/>
      <c r="F45" s="3024"/>
      <c r="G45" s="3012"/>
      <c r="H45" s="3014"/>
      <c r="I45" s="3016"/>
      <c r="J45" s="3019"/>
      <c r="K45" s="3010"/>
      <c r="L45" s="3010"/>
      <c r="M45" s="3010"/>
      <c r="N45" s="3008"/>
      <c r="O45" s="3010"/>
      <c r="P45" s="1514"/>
      <c r="Q45" s="1393"/>
      <c r="R45" s="1393"/>
      <c r="S45" s="437"/>
      <c r="T45" s="437"/>
      <c r="U45" s="437"/>
      <c r="V45" s="437"/>
      <c r="W45" s="1394"/>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79">
        <v>0</v>
      </c>
    </row>
    <row s="10446" customFormat="1" customHeight="1" ht="17.25" hidden="1">
      <c r="A46" s="429"/>
      <c r="C46" s="317"/>
      <c r="D46" s="2987"/>
      <c r="E46" s="3012"/>
      <c r="F46" s="3024"/>
      <c r="G46" s="3012"/>
      <c r="H46" s="3014"/>
      <c r="I46" s="3016"/>
      <c r="J46" s="3019"/>
      <c r="K46" s="3010"/>
      <c r="L46" s="1393"/>
      <c r="M46" s="1393"/>
      <c r="N46" s="1393"/>
      <c r="O46" s="1393"/>
      <c r="P46" s="1393"/>
      <c r="Q46" s="1393"/>
      <c r="R46" s="1393"/>
      <c r="S46" s="437"/>
      <c r="T46" s="437"/>
      <c r="U46" s="437"/>
      <c r="V46" s="437"/>
      <c r="W46" s="1394"/>
      <c r="Y46" s="1363"/>
      <c r="Z46" s="1363"/>
      <c r="AA46" s="1363"/>
      <c r="AB46" s="1363"/>
      <c r="AC46" s="1363"/>
      <c r="AD46" s="1363"/>
      <c r="AE46" s="1363"/>
      <c r="AF46" s="1363"/>
      <c r="AG46" s="1363"/>
      <c r="AH46" s="1363"/>
      <c r="AI46" s="1363"/>
      <c r="AJ46" s="1363"/>
      <c r="AK46" s="1363"/>
      <c r="AL46" s="1363"/>
      <c r="AM46" s="1363"/>
      <c r="AN46" s="1363"/>
      <c r="AO46" s="1363"/>
      <c r="AP46" s="1363"/>
      <c r="AQ46" s="1363"/>
      <c r="AR46" s="1422">
        <v>0</v>
      </c>
    </row>
    <row s="10446" customFormat="1" customHeight="1" ht="17.25" hidden="1">
      <c r="A47" s="429"/>
      <c r="C47" s="428"/>
      <c r="D47" s="2987"/>
      <c r="E47" s="3012"/>
      <c r="F47" s="3025"/>
      <c r="G47" s="3012"/>
      <c r="H47" s="1395"/>
      <c r="I47" s="1396"/>
      <c r="J47" s="1396"/>
      <c r="K47" s="1396"/>
      <c r="L47" s="1396"/>
      <c r="M47" s="1396"/>
      <c r="N47" s="1396"/>
      <c r="O47" s="1396"/>
      <c r="P47" s="1396"/>
      <c r="Q47" s="1396"/>
      <c r="R47" s="1396"/>
      <c r="S47" s="1397"/>
      <c r="T47" s="1397"/>
      <c r="U47" s="1397"/>
      <c r="V47" s="1397"/>
      <c r="W47" s="1398"/>
      <c r="X47" s="1355"/>
      <c r="Y47" s="1355"/>
      <c r="Z47" s="1355"/>
      <c r="AA47" s="1355"/>
      <c r="AB47" s="1355"/>
      <c r="AC47" s="1355"/>
      <c r="AD47" s="1355"/>
      <c r="AE47" s="1355"/>
      <c r="AF47" s="1355"/>
      <c r="AG47" s="1355"/>
      <c r="AH47" s="1355"/>
      <c r="AI47" s="1355"/>
      <c r="AJ47" s="1355"/>
      <c r="AK47" s="1355"/>
      <c r="AL47" s="1355"/>
      <c r="AM47" s="1355"/>
      <c r="AN47" s="1355"/>
      <c r="AO47" s="1355"/>
      <c r="AP47" s="1355"/>
      <c r="AQ47" s="1355"/>
      <c r="AR47" s="1379">
        <v>0</v>
      </c>
    </row>
    <row s="10446" customFormat="1" customHeight="1" ht="17.25" hidden="1">
      <c r="A48" s="429"/>
      <c r="C48" s="317"/>
      <c r="D48" s="3029">
        <v>7</v>
      </c>
      <c r="E48" s="3032" t="s">
        <v>277</v>
      </c>
      <c r="F48" s="3023" t="s">
        <v>19</v>
      </c>
      <c r="G48" s="3032"/>
      <c r="H48" s="3013"/>
      <c r="I48" s="3015"/>
      <c r="J48" s="3017"/>
      <c r="K48" s="3009"/>
      <c r="L48" s="3009"/>
      <c r="M48" s="3009"/>
      <c r="N48" s="3020"/>
      <c r="O48" s="3009"/>
      <c r="P48" s="3009"/>
      <c r="Q48" s="3009"/>
      <c r="R48" s="3007"/>
      <c r="S48" s="3009"/>
      <c r="T48" s="1516"/>
      <c r="U48" s="1516"/>
      <c r="V48" s="1515"/>
      <c r="W48" s="1392"/>
      <c r="X48" s="1363"/>
      <c r="Y48" s="1363"/>
      <c r="Z48" s="1363"/>
      <c r="AA48" s="1363"/>
      <c r="AB48" s="1363"/>
      <c r="AC48" s="1363" t="s">
        <v>278</v>
      </c>
      <c r="AD48" s="1363" t="s">
        <v>279</v>
      </c>
      <c r="AE48" s="1363" t="s">
        <v>280</v>
      </c>
      <c r="AF48" s="1363" t="s">
        <v>281</v>
      </c>
      <c r="AG48" s="1363" t="s">
        <v>282</v>
      </c>
      <c r="AH48" s="1363" t="str">
        <f>IF($E$48=0,"",$E$48)</f>
        <v>Плата за услуги по поддержанию резервной тепловой мощности при отсутствии потребления тепловой энергии</v>
      </c>
      <c r="AI48" s="1363" t="str">
        <f>IF($G$48=0,"",$G$48)</f>
        <v/>
      </c>
      <c r="AJ48" s="1363" t="str">
        <f>IF($J$48=0,"",$J$48)</f>
        <v/>
      </c>
      <c r="AK48" s="1363" t="str">
        <f>IF($K$48="нет","без дифференциации",IF($N$48=0,"",$N$48))</f>
        <v/>
      </c>
      <c r="AL48" s="1363" t="str">
        <f>IF($O$48="нет","без дифференциации",IF($R$48=0,"",$R$48))</f>
        <v/>
      </c>
      <c r="AM48" s="1363" t="str">
        <f>IF($S$48="нет","без дифференциации",IF($V$48=0,"",$V$48))</f>
        <v/>
      </c>
      <c r="AN48" s="1868">
        <f>$I$48</f>
        <v>0</v>
      </c>
      <c r="AO48" s="1363" t="str">
        <f>$I$48&amp;"."&amp;$M$48</f>
        <v>.</v>
      </c>
      <c r="AP48" s="1355" t="str">
        <f>$I$48&amp;"."&amp;$M$48&amp;"."&amp;$Q$48</f>
        <v>..</v>
      </c>
      <c r="AQ48" s="1355" t="str">
        <f>$I$48&amp;"."&amp;$M$48&amp;"."&amp;$Q$48&amp;"."&amp;$U$48</f>
        <v>...</v>
      </c>
      <c r="AR48" s="1404">
        <v>0</v>
      </c>
    </row>
    <row s="10446" customFormat="1" customHeight="1" ht="17.25" hidden="1">
      <c r="A49" s="429"/>
      <c r="C49" s="428"/>
      <c r="D49" s="3030"/>
      <c r="E49" s="3033"/>
      <c r="F49" s="3024"/>
      <c r="G49" s="3033"/>
      <c r="H49" s="3014"/>
      <c r="I49" s="3016"/>
      <c r="J49" s="3018"/>
      <c r="K49" s="3010"/>
      <c r="L49" s="3010"/>
      <c r="M49" s="3010"/>
      <c r="N49" s="3021"/>
      <c r="O49" s="3010"/>
      <c r="P49" s="3010"/>
      <c r="Q49" s="3010"/>
      <c r="R49" s="3008"/>
      <c r="S49" s="3010"/>
      <c r="T49" s="1393"/>
      <c r="U49" s="1393"/>
      <c r="V49" s="1393"/>
      <c r="W49" s="1394"/>
      <c r="X49" s="1355"/>
      <c r="Y49" s="1355"/>
      <c r="Z49" s="1355"/>
      <c r="AA49" s="1355"/>
      <c r="AB49" s="1355"/>
      <c r="AC49" s="1355"/>
      <c r="AD49" s="1355"/>
      <c r="AE49" s="1355"/>
      <c r="AF49" s="1355"/>
      <c r="AG49" s="1355"/>
      <c r="AH49" s="1355"/>
      <c r="AI49" s="1355"/>
      <c r="AJ49" s="1355"/>
      <c r="AK49" s="1355"/>
      <c r="AL49" s="1355"/>
      <c r="AM49" s="1355"/>
      <c r="AN49" s="1355"/>
      <c r="AO49" s="1355"/>
      <c r="AP49" s="1355"/>
      <c r="AQ49" s="1355"/>
      <c r="AR49" s="1404">
        <v>0</v>
      </c>
    </row>
    <row s="10446" customFormat="1" customHeight="1" ht="17.25" hidden="1">
      <c r="A50" s="429"/>
      <c r="C50" s="428"/>
      <c r="D50" s="3030"/>
      <c r="E50" s="3033"/>
      <c r="F50" s="3024"/>
      <c r="G50" s="3033"/>
      <c r="H50" s="3014"/>
      <c r="I50" s="3016"/>
      <c r="J50" s="3019"/>
      <c r="K50" s="3010"/>
      <c r="L50" s="3010"/>
      <c r="M50" s="3010"/>
      <c r="N50" s="3008"/>
      <c r="O50" s="3010"/>
      <c r="P50" s="1514"/>
      <c r="Q50" s="1393"/>
      <c r="R50" s="1393"/>
      <c r="S50" s="437"/>
      <c r="T50" s="437"/>
      <c r="U50" s="437"/>
      <c r="V50" s="437"/>
      <c r="W50" s="1394"/>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404">
        <v>0</v>
      </c>
    </row>
    <row s="10446" customFormat="1" customHeight="1" ht="17.25" hidden="1">
      <c r="A51" s="429"/>
      <c r="C51" s="317"/>
      <c r="D51" s="3030"/>
      <c r="E51" s="3033"/>
      <c r="F51" s="3024"/>
      <c r="G51" s="3033"/>
      <c r="H51" s="3014"/>
      <c r="I51" s="3016"/>
      <c r="J51" s="3019"/>
      <c r="K51" s="3010"/>
      <c r="L51" s="1393"/>
      <c r="M51" s="1393"/>
      <c r="N51" s="1393"/>
      <c r="O51" s="1393"/>
      <c r="P51" s="1393"/>
      <c r="Q51" s="1393"/>
      <c r="R51" s="1393"/>
      <c r="S51" s="437"/>
      <c r="T51" s="437"/>
      <c r="U51" s="437"/>
      <c r="V51" s="437"/>
      <c r="W51" s="1394"/>
      <c r="Y51" s="1363"/>
      <c r="Z51" s="1363"/>
      <c r="AA51" s="1363"/>
      <c r="AB51" s="1363"/>
      <c r="AC51" s="1363"/>
      <c r="AD51" s="1363"/>
      <c r="AE51" s="1363"/>
      <c r="AF51" s="1363"/>
      <c r="AG51" s="1363"/>
      <c r="AH51" s="1363"/>
      <c r="AI51" s="1363"/>
      <c r="AJ51" s="1363"/>
      <c r="AK51" s="1363"/>
      <c r="AL51" s="1363"/>
      <c r="AM51" s="1363"/>
      <c r="AN51" s="1363"/>
      <c r="AO51" s="1363"/>
      <c r="AP51" s="1363"/>
      <c r="AQ51" s="1363"/>
      <c r="AR51" s="1422">
        <v>0</v>
      </c>
    </row>
    <row s="10446" customFormat="1" customHeight="1" ht="17.25" hidden="1">
      <c r="A52" s="429"/>
      <c r="C52" s="428"/>
      <c r="D52" s="3031"/>
      <c r="E52" s="3034"/>
      <c r="F52" s="3025"/>
      <c r="G52" s="3034"/>
      <c r="H52" s="1395"/>
      <c r="I52" s="1396"/>
      <c r="J52" s="1396"/>
      <c r="K52" s="1396"/>
      <c r="L52" s="1396"/>
      <c r="M52" s="1396"/>
      <c r="N52" s="1396"/>
      <c r="O52" s="1396"/>
      <c r="P52" s="1396"/>
      <c r="Q52" s="1396"/>
      <c r="R52" s="1396"/>
      <c r="S52" s="1397"/>
      <c r="T52" s="1397"/>
      <c r="U52" s="1397"/>
      <c r="V52" s="1397"/>
      <c r="W52" s="1398"/>
      <c r="X52" s="1355"/>
      <c r="Y52" s="1355"/>
      <c r="Z52" s="1355"/>
      <c r="AA52" s="1355"/>
      <c r="AB52" s="1355"/>
      <c r="AC52" s="1355"/>
      <c r="AD52" s="1355"/>
      <c r="AE52" s="1355"/>
      <c r="AF52" s="1355"/>
      <c r="AG52" s="1355"/>
      <c r="AH52" s="1355"/>
      <c r="AI52" s="1355"/>
      <c r="AJ52" s="1355"/>
      <c r="AK52" s="1355"/>
      <c r="AL52" s="1355"/>
      <c r="AM52" s="1355"/>
      <c r="AN52" s="1355"/>
      <c r="AO52" s="1355"/>
      <c r="AP52" s="1355"/>
      <c r="AQ52" s="1355"/>
      <c r="AR52" s="1404">
        <v>0</v>
      </c>
    </row>
    <row s="10446" customFormat="1" customHeight="1" ht="17.25" hidden="1">
      <c r="A53" s="429"/>
      <c r="C53" s="317"/>
      <c r="D53" s="3022">
        <v>8</v>
      </c>
      <c r="E53" s="3011" t="s">
        <v>283</v>
      </c>
      <c r="F53" s="3023" t="s">
        <v>19</v>
      </c>
      <c r="G53" s="3011"/>
      <c r="H53" s="3013"/>
      <c r="I53" s="3015"/>
      <c r="J53" s="3017"/>
      <c r="K53" s="3009"/>
      <c r="L53" s="3009"/>
      <c r="M53" s="3009"/>
      <c r="N53" s="3020"/>
      <c r="O53" s="3009"/>
      <c r="P53" s="3009"/>
      <c r="Q53" s="3009"/>
      <c r="R53" s="3007"/>
      <c r="S53" s="3009"/>
      <c r="T53" s="1566"/>
      <c r="U53" s="1566"/>
      <c r="V53" s="1568"/>
      <c r="W53" s="1392"/>
      <c r="X53" s="1363"/>
      <c r="Y53" s="1363"/>
      <c r="Z53" s="1363"/>
      <c r="AA53" s="1363"/>
      <c r="AB53" s="1363"/>
      <c r="AC53" s="1363" t="s">
        <v>284</v>
      </c>
      <c r="AD53" s="1363" t="s">
        <v>285</v>
      </c>
      <c r="AE53" s="1363" t="s">
        <v>286</v>
      </c>
      <c r="AF53" s="1363" t="s">
        <v>287</v>
      </c>
      <c r="AG53" s="1363" t="s">
        <v>288</v>
      </c>
      <c r="AH53" s="1363" t="str">
        <f>IF($E$53=0,"",$E$53)</f>
        <v>Плата за подключение (технологическое присоединение) к системе теплоснабжения</v>
      </c>
      <c r="AI53" s="1363" t="str">
        <f>IF($G$53=0,"",$G$53)</f>
        <v/>
      </c>
      <c r="AJ53" s="1363" t="str">
        <f>IF($J$53=0,"",$J$53)</f>
        <v/>
      </c>
      <c r="AK53" s="1363" t="str">
        <f>IF($K$53="нет","без дифференциации",IF($N$53=0,"",$N$53))</f>
        <v/>
      </c>
      <c r="AL53" s="1363" t="str">
        <f>IF($O$53="нет","без дифференциации",IF($R$53=0,"",$R$53))</f>
        <v/>
      </c>
      <c r="AM53" s="1363" t="str">
        <f>IF($S$53="нет","без дифференциации",IF($V$53=0,"",$V$53))</f>
        <v/>
      </c>
      <c r="AN53" s="1868">
        <f>$I$53</f>
        <v>0</v>
      </c>
      <c r="AO53" s="1363" t="str">
        <f>$I$53&amp;"."&amp;$M$53</f>
        <v>.</v>
      </c>
      <c r="AP53" s="1355" t="str">
        <f>$I$53&amp;"."&amp;$M$53&amp;"."&amp;$Q$53</f>
        <v>..</v>
      </c>
      <c r="AQ53" s="1355" t="str">
        <f>$I$53&amp;"."&amp;$M$53&amp;"."&amp;$Q$53&amp;"."&amp;$U$53</f>
        <v>...</v>
      </c>
      <c r="AR53" s="1404">
        <v>0</v>
      </c>
    </row>
    <row s="10446" customFormat="1" customHeight="1" ht="17.25" hidden="1">
      <c r="A54" s="429"/>
      <c r="C54" s="428"/>
      <c r="D54" s="3022"/>
      <c r="E54" s="3011"/>
      <c r="F54" s="3024"/>
      <c r="G54" s="3011"/>
      <c r="H54" s="3014"/>
      <c r="I54" s="3016"/>
      <c r="J54" s="3018"/>
      <c r="K54" s="3010"/>
      <c r="L54" s="3010"/>
      <c r="M54" s="3010"/>
      <c r="N54" s="3021"/>
      <c r="O54" s="3010"/>
      <c r="P54" s="3010"/>
      <c r="Q54" s="3010"/>
      <c r="R54" s="3008"/>
      <c r="S54" s="3010"/>
      <c r="T54" s="1393"/>
      <c r="U54" s="1393"/>
      <c r="V54" s="1393"/>
      <c r="W54" s="1394"/>
      <c r="X54" s="1355"/>
      <c r="Y54" s="1355"/>
      <c r="Z54" s="1355"/>
      <c r="AA54" s="1355"/>
      <c r="AB54" s="1355"/>
      <c r="AC54" s="1355"/>
      <c r="AD54" s="1355"/>
      <c r="AE54" s="1355"/>
      <c r="AF54" s="1355"/>
      <c r="AG54" s="1355"/>
      <c r="AH54" s="1355"/>
      <c r="AI54" s="1355"/>
      <c r="AJ54" s="1355"/>
      <c r="AK54" s="1355"/>
      <c r="AL54" s="1355"/>
      <c r="AM54" s="1355"/>
      <c r="AN54" s="1355"/>
      <c r="AO54" s="1355"/>
      <c r="AP54" s="1355"/>
      <c r="AQ54" s="1355"/>
      <c r="AR54" s="1404">
        <v>0</v>
      </c>
    </row>
    <row s="10446" customFormat="1" customHeight="1" ht="17.25" hidden="1">
      <c r="A55" s="429"/>
      <c r="C55" s="428"/>
      <c r="D55" s="2987"/>
      <c r="E55" s="3012"/>
      <c r="F55" s="3024"/>
      <c r="G55" s="3012"/>
      <c r="H55" s="3014"/>
      <c r="I55" s="3016"/>
      <c r="J55" s="3019"/>
      <c r="K55" s="3010"/>
      <c r="L55" s="3010"/>
      <c r="M55" s="3010"/>
      <c r="N55" s="3008"/>
      <c r="O55" s="3010"/>
      <c r="P55" s="1567"/>
      <c r="Q55" s="1393"/>
      <c r="R55" s="1393"/>
      <c r="S55" s="437"/>
      <c r="T55" s="437"/>
      <c r="U55" s="437"/>
      <c r="V55" s="437"/>
      <c r="W55" s="1394"/>
      <c r="X55" s="1355"/>
      <c r="Y55" s="1355"/>
      <c r="Z55" s="1355"/>
      <c r="AA55" s="1355"/>
      <c r="AB55" s="1355"/>
      <c r="AC55" s="1355"/>
      <c r="AD55" s="1355"/>
      <c r="AE55" s="1355"/>
      <c r="AF55" s="1355"/>
      <c r="AG55" s="1355"/>
      <c r="AH55" s="1355"/>
      <c r="AI55" s="1355"/>
      <c r="AJ55" s="1355"/>
      <c r="AK55" s="1355"/>
      <c r="AL55" s="1355"/>
      <c r="AM55" s="1355"/>
      <c r="AN55" s="1355"/>
      <c r="AO55" s="1355"/>
      <c r="AP55" s="1355"/>
      <c r="AQ55" s="1355"/>
      <c r="AR55" s="1404">
        <v>0</v>
      </c>
    </row>
    <row s="10446" customFormat="1" customHeight="1" ht="17.25" hidden="1">
      <c r="A56" s="429"/>
      <c r="C56" s="317"/>
      <c r="D56" s="2987"/>
      <c r="E56" s="3012"/>
      <c r="F56" s="3024"/>
      <c r="G56" s="3012"/>
      <c r="H56" s="3014"/>
      <c r="I56" s="3016"/>
      <c r="J56" s="3019"/>
      <c r="K56" s="3010"/>
      <c r="L56" s="1393"/>
      <c r="M56" s="1393"/>
      <c r="N56" s="1393"/>
      <c r="O56" s="1393"/>
      <c r="P56" s="1393"/>
      <c r="Q56" s="1393"/>
      <c r="R56" s="1393"/>
      <c r="S56" s="437"/>
      <c r="T56" s="437"/>
      <c r="U56" s="437"/>
      <c r="V56" s="437"/>
      <c r="W56" s="1394"/>
      <c r="Y56" s="1363"/>
      <c r="Z56" s="1363"/>
      <c r="AA56" s="1363"/>
      <c r="AB56" s="1363"/>
      <c r="AC56" s="1363"/>
      <c r="AD56" s="1363"/>
      <c r="AE56" s="1363"/>
      <c r="AF56" s="1363"/>
      <c r="AG56" s="1363"/>
      <c r="AH56" s="1363"/>
      <c r="AI56" s="1363"/>
      <c r="AJ56" s="1363"/>
      <c r="AK56" s="1363"/>
      <c r="AL56" s="1363"/>
      <c r="AM56" s="1363"/>
      <c r="AN56" s="1363"/>
      <c r="AO56" s="1363"/>
      <c r="AP56" s="1363"/>
      <c r="AQ56" s="1363"/>
      <c r="AR56" s="1422">
        <v>0</v>
      </c>
    </row>
    <row s="10446" customFormat="1" customHeight="1" ht="17.25" hidden="1">
      <c r="A57" s="429"/>
      <c r="C57" s="428"/>
      <c r="D57" s="2987"/>
      <c r="E57" s="3012"/>
      <c r="F57" s="3025"/>
      <c r="G57" s="3012"/>
      <c r="H57" s="1395"/>
      <c r="I57" s="1396"/>
      <c r="J57" s="1396"/>
      <c r="K57" s="1396"/>
      <c r="L57" s="1396"/>
      <c r="M57" s="1396"/>
      <c r="N57" s="1396"/>
      <c r="O57" s="1396"/>
      <c r="P57" s="1396"/>
      <c r="Q57" s="1396"/>
      <c r="R57" s="1396"/>
      <c r="S57" s="1397"/>
      <c r="T57" s="1397"/>
      <c r="U57" s="1397"/>
      <c r="V57" s="1397"/>
      <c r="W57" s="1398"/>
      <c r="X57" s="1355"/>
      <c r="Y57" s="1355"/>
      <c r="Z57" s="1355"/>
      <c r="AA57" s="1355"/>
      <c r="AB57" s="1355"/>
      <c r="AC57" s="1355"/>
      <c r="AD57" s="1355"/>
      <c r="AE57" s="1355"/>
      <c r="AF57" s="1355"/>
      <c r="AG57" s="1355"/>
      <c r="AH57" s="1355"/>
      <c r="AI57" s="1355"/>
      <c r="AJ57" s="1355"/>
      <c r="AK57" s="1355"/>
      <c r="AL57" s="1355"/>
      <c r="AM57" s="1355"/>
      <c r="AN57" s="1355"/>
      <c r="AO57" s="1355"/>
      <c r="AP57" s="1355"/>
      <c r="AQ57" s="1355"/>
      <c r="AR57" s="1404">
        <v>0</v>
      </c>
    </row>
    <row s="10446" customFormat="1" customHeight="1" ht="17.25" hidden="1">
      <c r="A58" s="429"/>
      <c r="C58" s="317"/>
      <c r="D58" s="3022">
        <v>9</v>
      </c>
      <c r="E58" s="3011" t="s">
        <v>289</v>
      </c>
      <c r="F58" s="3023" t="s">
        <v>19</v>
      </c>
      <c r="G58" s="3011"/>
      <c r="H58" s="3013"/>
      <c r="I58" s="3015"/>
      <c r="J58" s="3017"/>
      <c r="K58" s="3009"/>
      <c r="L58" s="3009"/>
      <c r="M58" s="3009"/>
      <c r="N58" s="3020"/>
      <c r="O58" s="3009"/>
      <c r="P58" s="3009"/>
      <c r="Q58" s="3009"/>
      <c r="R58" s="3007"/>
      <c r="S58" s="3009"/>
      <c r="T58" s="2022"/>
      <c r="U58" s="2022"/>
      <c r="V58" s="2024"/>
      <c r="W58" s="1392"/>
      <c r="X58" s="1363"/>
      <c r="Y58" s="1363"/>
      <c r="Z58" s="1363"/>
      <c r="AA58" s="1363"/>
      <c r="AB58" s="1363"/>
      <c r="AC58" s="1363" t="s">
        <v>290</v>
      </c>
      <c r="AD58" s="1363" t="s">
        <v>291</v>
      </c>
      <c r="AE58" s="1363" t="s">
        <v>292</v>
      </c>
      <c r="AF58" s="1363" t="s">
        <v>293</v>
      </c>
      <c r="AG58" s="1363" t="s">
        <v>294</v>
      </c>
      <c r="AH58" s="1363" t="str">
        <f>IF($E$58=0,"",$E$58)</f>
        <v>Плата за подключение (технологическое присоединение) к системе теплоснабжения (индивидуальная)</v>
      </c>
      <c r="AI58" s="1363" t="str">
        <f>IF($G$58=0,"",$G$58)</f>
        <v/>
      </c>
      <c r="AJ58" s="1363" t="str">
        <f>IF($J$58=0,"",$J$58)</f>
        <v/>
      </c>
      <c r="AK58" s="1363" t="str">
        <f>IF($K$58="нет","без дифференциации",IF($N$58=0,"",$N$58))</f>
        <v/>
      </c>
      <c r="AL58" s="1363" t="str">
        <f>IF($O$58="нет","без дифференциации",IF($R$58=0,"",$R$58))</f>
        <v/>
      </c>
      <c r="AM58" s="1363" t="str">
        <f>IF($S$58="нет","без дифференциации",IF($V$58=0,"",$V$58))</f>
        <v/>
      </c>
      <c r="AN58" s="1868">
        <f>$I$58</f>
        <v>0</v>
      </c>
      <c r="AO58" s="1363" t="str">
        <f>$I$58&amp;"."&amp;$M$58</f>
        <v>.</v>
      </c>
      <c r="AP58" s="1362" t="str">
        <f>$I$58&amp;"."&amp;$M$58&amp;"."&amp;$Q$58</f>
        <v>..</v>
      </c>
      <c r="AQ58" s="1362" t="str">
        <f>$I$58&amp;"."&amp;$M$58&amp;"."&amp;$Q$58&amp;"."&amp;$U$58</f>
        <v>...</v>
      </c>
      <c r="AR58" s="1563">
        <v>0</v>
      </c>
    </row>
    <row s="10446" customFormat="1" customHeight="1" ht="17.25" hidden="1">
      <c r="A59" s="429"/>
      <c r="C59" s="428"/>
      <c r="D59" s="3022"/>
      <c r="E59" s="3011"/>
      <c r="F59" s="3024"/>
      <c r="G59" s="3011"/>
      <c r="H59" s="3014"/>
      <c r="I59" s="3016"/>
      <c r="J59" s="3018"/>
      <c r="K59" s="3010"/>
      <c r="L59" s="3010"/>
      <c r="M59" s="3010"/>
      <c r="N59" s="3021"/>
      <c r="O59" s="3010"/>
      <c r="P59" s="3010"/>
      <c r="Q59" s="3010"/>
      <c r="R59" s="3008"/>
      <c r="S59" s="3010"/>
      <c r="T59" s="2025"/>
      <c r="U59" s="2025"/>
      <c r="V59" s="2025"/>
      <c r="W59" s="2026"/>
      <c r="X59" s="1362"/>
      <c r="Y59" s="1362"/>
      <c r="Z59" s="1362"/>
      <c r="AA59" s="1362"/>
      <c r="AB59" s="1362"/>
      <c r="AC59" s="1362"/>
      <c r="AD59" s="1362"/>
      <c r="AE59" s="1362"/>
      <c r="AF59" s="1362"/>
      <c r="AG59" s="1362"/>
      <c r="AH59" s="1362"/>
      <c r="AI59" s="1362"/>
      <c r="AJ59" s="1362"/>
      <c r="AK59" s="1362"/>
      <c r="AL59" s="1362"/>
      <c r="AM59" s="1362"/>
      <c r="AN59" s="1362"/>
      <c r="AO59" s="1362"/>
      <c r="AP59" s="1362"/>
      <c r="AQ59" s="1362"/>
      <c r="AR59" s="1563">
        <v>0</v>
      </c>
    </row>
    <row s="10446" customFormat="1" customHeight="1" ht="17.25" hidden="1">
      <c r="A60" s="429"/>
      <c r="C60" s="428"/>
      <c r="D60" s="2987"/>
      <c r="E60" s="3012"/>
      <c r="F60" s="3024"/>
      <c r="G60" s="3012"/>
      <c r="H60" s="3014"/>
      <c r="I60" s="3016"/>
      <c r="J60" s="3019"/>
      <c r="K60" s="3010"/>
      <c r="L60" s="3010"/>
      <c r="M60" s="3010"/>
      <c r="N60" s="3008"/>
      <c r="O60" s="3010"/>
      <c r="P60" s="2023"/>
      <c r="Q60" s="2025"/>
      <c r="R60" s="2025"/>
      <c r="S60" s="437"/>
      <c r="T60" s="437"/>
      <c r="U60" s="437"/>
      <c r="V60" s="437"/>
      <c r="W60" s="2026"/>
      <c r="X60" s="1362"/>
      <c r="Y60" s="1362"/>
      <c r="Z60" s="1362"/>
      <c r="AA60" s="1362"/>
      <c r="AB60" s="1362"/>
      <c r="AC60" s="1362"/>
      <c r="AD60" s="1362"/>
      <c r="AE60" s="1362"/>
      <c r="AF60" s="1362"/>
      <c r="AG60" s="1362"/>
      <c r="AH60" s="1362"/>
      <c r="AI60" s="1362"/>
      <c r="AJ60" s="1362"/>
      <c r="AK60" s="1362"/>
      <c r="AL60" s="1362"/>
      <c r="AM60" s="1362"/>
      <c r="AN60" s="1362"/>
      <c r="AO60" s="1362"/>
      <c r="AP60" s="1362"/>
      <c r="AQ60" s="1362"/>
      <c r="AR60" s="1563">
        <v>0</v>
      </c>
    </row>
    <row s="10446" customFormat="1" customHeight="1" ht="17.25" hidden="1">
      <c r="A61" s="429"/>
      <c r="C61" s="317"/>
      <c r="D61" s="2987"/>
      <c r="E61" s="3012"/>
      <c r="F61" s="3024"/>
      <c r="G61" s="3012"/>
      <c r="H61" s="3014"/>
      <c r="I61" s="3016"/>
      <c r="J61" s="3019"/>
      <c r="K61" s="3010"/>
      <c r="L61" s="2025"/>
      <c r="M61" s="2025"/>
      <c r="N61" s="2025"/>
      <c r="O61" s="2025"/>
      <c r="P61" s="2025"/>
      <c r="Q61" s="2025"/>
      <c r="R61" s="2025"/>
      <c r="S61" s="437"/>
      <c r="T61" s="437"/>
      <c r="U61" s="437"/>
      <c r="V61" s="437"/>
      <c r="W61" s="2026"/>
      <c r="Y61" s="1363"/>
      <c r="Z61" s="1363"/>
      <c r="AA61" s="1363"/>
      <c r="AB61" s="1363"/>
      <c r="AC61" s="1363"/>
      <c r="AD61" s="1363"/>
      <c r="AE61" s="1363"/>
      <c r="AF61" s="1363"/>
      <c r="AG61" s="1363"/>
      <c r="AH61" s="1363"/>
      <c r="AI61" s="1363"/>
      <c r="AJ61" s="1363"/>
      <c r="AK61" s="1363"/>
      <c r="AL61" s="1363"/>
      <c r="AM61" s="1363"/>
      <c r="AN61" s="1363"/>
      <c r="AO61" s="1363"/>
      <c r="AP61" s="1363"/>
      <c r="AQ61" s="1363"/>
      <c r="AR61" s="1563">
        <v>0</v>
      </c>
    </row>
    <row s="10446" customFormat="1" customHeight="1" ht="17.25" hidden="1">
      <c r="A62" s="429"/>
      <c r="C62" s="428"/>
      <c r="D62" s="2987"/>
      <c r="E62" s="3012"/>
      <c r="F62" s="3025"/>
      <c r="G62" s="3012"/>
      <c r="H62" s="1395"/>
      <c r="I62" s="2027"/>
      <c r="J62" s="2027"/>
      <c r="K62" s="2027"/>
      <c r="L62" s="2027"/>
      <c r="M62" s="2027"/>
      <c r="N62" s="2027"/>
      <c r="O62" s="2027"/>
      <c r="P62" s="2027"/>
      <c r="Q62" s="2027"/>
      <c r="R62" s="2027"/>
      <c r="S62" s="1397"/>
      <c r="T62" s="1397"/>
      <c r="U62" s="1397"/>
      <c r="V62" s="1397"/>
      <c r="W62" s="2028"/>
      <c r="X62" s="1362"/>
      <c r="Y62" s="1362"/>
      <c r="Z62" s="1362"/>
      <c r="AA62" s="1362"/>
      <c r="AB62" s="1362"/>
      <c r="AC62" s="1362"/>
      <c r="AD62" s="1362"/>
      <c r="AE62" s="1362"/>
      <c r="AF62" s="1362"/>
      <c r="AG62" s="1362"/>
      <c r="AH62" s="1362"/>
      <c r="AI62" s="1362"/>
      <c r="AJ62" s="1362"/>
      <c r="AK62" s="1362"/>
      <c r="AL62" s="1362"/>
      <c r="AM62" s="1362"/>
      <c r="AN62" s="1362"/>
      <c r="AO62" s="1362"/>
      <c r="AP62" s="1362"/>
      <c r="AQ62" s="1362"/>
      <c r="AR62" s="1563">
        <v>0</v>
      </c>
    </row>
    <row s="10446" customFormat="1" customHeight="1" ht="17.25" hidden="1">
      <c r="A63" s="429"/>
      <c r="C63" s="317"/>
      <c r="D63" s="3022">
        <v>10</v>
      </c>
      <c r="E63" s="3011" t="s">
        <v>295</v>
      </c>
      <c r="F63" s="3023" t="s">
        <v>19</v>
      </c>
      <c r="G63" s="3011"/>
      <c r="H63" s="3013"/>
      <c r="I63" s="3015"/>
      <c r="J63" s="3017"/>
      <c r="K63" s="3009"/>
      <c r="L63" s="3009"/>
      <c r="M63" s="3009"/>
      <c r="N63" s="3020"/>
      <c r="O63" s="3009"/>
      <c r="P63" s="3009"/>
      <c r="Q63" s="3009"/>
      <c r="R63" s="3007"/>
      <c r="S63" s="3009"/>
      <c r="T63" s="2022"/>
      <c r="U63" s="2022"/>
      <c r="V63" s="2024"/>
      <c r="W63" s="1392"/>
      <c r="X63" s="1363"/>
      <c r="Y63" s="1363"/>
      <c r="Z63" s="1363"/>
      <c r="AA63" s="1363"/>
      <c r="AB63" s="1363"/>
      <c r="AC63" s="1363" t="s">
        <v>296</v>
      </c>
      <c r="AD63" s="1363" t="s">
        <v>297</v>
      </c>
      <c r="AE63" s="1363" t="s">
        <v>298</v>
      </c>
      <c r="AF63" s="1363" t="s">
        <v>299</v>
      </c>
      <c r="AG63" s="1363" t="s">
        <v>300</v>
      </c>
      <c r="AH63" s="1363" t="str">
        <f>IF($E$63=0,"",$E$63)</f>
        <v>Предельный уровень цены на тепловую энергию (мощность), поставляемую теплоснабжающими организациями потребителям</v>
      </c>
      <c r="AI63" s="1363" t="str">
        <f>IF($G$63=0,"",$G$63)</f>
        <v/>
      </c>
      <c r="AJ63" s="1363" t="str">
        <f>IF($J$63=0,"",$J$63)</f>
        <v/>
      </c>
      <c r="AK63" s="1363" t="str">
        <f>IF($K$63="нет","без дифференциации",IF($N$63=0,"",$N$63))</f>
        <v/>
      </c>
      <c r="AL63" s="1363" t="str">
        <f>IF($O$63="нет","без дифференциации",IF($R$63=0,"",$R$63))</f>
        <v/>
      </c>
      <c r="AM63" s="1363" t="str">
        <f>IF($S$63="нет","без дифференциации",IF($V$63=0,"",$V$63))</f>
        <v/>
      </c>
      <c r="AN63" s="1868">
        <f>$I$63</f>
        <v>0</v>
      </c>
      <c r="AO63" s="1363" t="str">
        <f>$I$63&amp;"."&amp;$M$63</f>
        <v>.</v>
      </c>
      <c r="AP63" s="1362" t="str">
        <f>$I$63&amp;"."&amp;$M$63&amp;"."&amp;$Q$63</f>
        <v>..</v>
      </c>
      <c r="AQ63" s="1362" t="str">
        <f>$I$63&amp;"."&amp;$M$63&amp;"."&amp;$Q$63&amp;"."&amp;$U$63</f>
        <v>...</v>
      </c>
      <c r="AR63" s="1563">
        <v>0</v>
      </c>
    </row>
    <row s="10446" customFormat="1" customHeight="1" ht="17.25" hidden="1">
      <c r="A64" s="429"/>
      <c r="C64" s="428"/>
      <c r="D64" s="3022"/>
      <c r="E64" s="3011"/>
      <c r="F64" s="3024"/>
      <c r="G64" s="3011"/>
      <c r="H64" s="3014"/>
      <c r="I64" s="3016"/>
      <c r="J64" s="3018"/>
      <c r="K64" s="3010"/>
      <c r="L64" s="3010"/>
      <c r="M64" s="3010"/>
      <c r="N64" s="3021"/>
      <c r="O64" s="3010"/>
      <c r="P64" s="3010"/>
      <c r="Q64" s="3010"/>
      <c r="R64" s="3008"/>
      <c r="S64" s="3010"/>
      <c r="T64" s="2025"/>
      <c r="U64" s="2025"/>
      <c r="V64" s="2025"/>
      <c r="W64" s="2026"/>
      <c r="X64" s="1362"/>
      <c r="Y64" s="1362"/>
      <c r="Z64" s="1362"/>
      <c r="AA64" s="1362"/>
      <c r="AB64" s="1362"/>
      <c r="AC64" s="1362"/>
      <c r="AD64" s="1362"/>
      <c r="AE64" s="1362"/>
      <c r="AF64" s="1362"/>
      <c r="AG64" s="1362"/>
      <c r="AH64" s="1362"/>
      <c r="AI64" s="1362"/>
      <c r="AJ64" s="1362"/>
      <c r="AK64" s="1362"/>
      <c r="AL64" s="1362"/>
      <c r="AM64" s="1362"/>
      <c r="AN64" s="1362"/>
      <c r="AO64" s="1362"/>
      <c r="AP64" s="1362"/>
      <c r="AQ64" s="1362"/>
      <c r="AR64" s="1563">
        <v>0</v>
      </c>
    </row>
    <row s="10446" customFormat="1" customHeight="1" ht="17.25" hidden="1">
      <c r="A65" s="429"/>
      <c r="C65" s="428"/>
      <c r="D65" s="2987"/>
      <c r="E65" s="3012"/>
      <c r="F65" s="3024"/>
      <c r="G65" s="3012"/>
      <c r="H65" s="3014"/>
      <c r="I65" s="3016"/>
      <c r="J65" s="3019"/>
      <c r="K65" s="3010"/>
      <c r="L65" s="3010"/>
      <c r="M65" s="3010"/>
      <c r="N65" s="3008"/>
      <c r="O65" s="3010"/>
      <c r="P65" s="2023"/>
      <c r="Q65" s="2025"/>
      <c r="R65" s="2025"/>
      <c r="S65" s="437"/>
      <c r="T65" s="437"/>
      <c r="U65" s="437"/>
      <c r="V65" s="437"/>
      <c r="W65" s="2026"/>
      <c r="X65" s="1362"/>
      <c r="Y65" s="1362"/>
      <c r="Z65" s="1362"/>
      <c r="AA65" s="1362"/>
      <c r="AB65" s="1362"/>
      <c r="AC65" s="1362"/>
      <c r="AD65" s="1362"/>
      <c r="AE65" s="1362"/>
      <c r="AF65" s="1362"/>
      <c r="AG65" s="1362"/>
      <c r="AH65" s="1362"/>
      <c r="AI65" s="1362"/>
      <c r="AJ65" s="1362"/>
      <c r="AK65" s="1362"/>
      <c r="AL65" s="1362"/>
      <c r="AM65" s="1362"/>
      <c r="AN65" s="1362"/>
      <c r="AO65" s="1362"/>
      <c r="AP65" s="1362"/>
      <c r="AQ65" s="1362"/>
      <c r="AR65" s="1563">
        <v>0</v>
      </c>
    </row>
    <row s="10446" customFormat="1" customHeight="1" ht="17.25" hidden="1">
      <c r="A66" s="429"/>
      <c r="C66" s="317"/>
      <c r="D66" s="2987"/>
      <c r="E66" s="3012"/>
      <c r="F66" s="3024"/>
      <c r="G66" s="3012"/>
      <c r="H66" s="3014"/>
      <c r="I66" s="3016"/>
      <c r="J66" s="3019"/>
      <c r="K66" s="3010"/>
      <c r="L66" s="2025"/>
      <c r="M66" s="2025"/>
      <c r="N66" s="2025"/>
      <c r="O66" s="2025"/>
      <c r="P66" s="2025"/>
      <c r="Q66" s="2025"/>
      <c r="R66" s="2025"/>
      <c r="S66" s="437"/>
      <c r="T66" s="437"/>
      <c r="U66" s="437"/>
      <c r="V66" s="437"/>
      <c r="W66" s="2026"/>
      <c r="Y66" s="1363"/>
      <c r="Z66" s="1363"/>
      <c r="AA66" s="1363"/>
      <c r="AB66" s="1363"/>
      <c r="AC66" s="1363"/>
      <c r="AD66" s="1363"/>
      <c r="AE66" s="1363"/>
      <c r="AF66" s="1363"/>
      <c r="AG66" s="1363"/>
      <c r="AH66" s="1363"/>
      <c r="AI66" s="1363"/>
      <c r="AJ66" s="1363"/>
      <c r="AK66" s="1363"/>
      <c r="AL66" s="1363"/>
      <c r="AM66" s="1363"/>
      <c r="AN66" s="1363"/>
      <c r="AO66" s="1363"/>
      <c r="AP66" s="1363"/>
      <c r="AQ66" s="1363"/>
      <c r="AR66" s="1563">
        <v>0</v>
      </c>
    </row>
    <row s="10446" customFormat="1" customHeight="1" ht="17.25" hidden="1">
      <c r="A67" s="429"/>
      <c r="C67" s="428"/>
      <c r="D67" s="2987"/>
      <c r="E67" s="3012"/>
      <c r="F67" s="3025"/>
      <c r="G67" s="3012"/>
      <c r="H67" s="1395"/>
      <c r="I67" s="2027"/>
      <c r="J67" s="2027"/>
      <c r="K67" s="2027"/>
      <c r="L67" s="2027"/>
      <c r="M67" s="2027"/>
      <c r="N67" s="2027"/>
      <c r="O67" s="2027"/>
      <c r="P67" s="2027"/>
      <c r="Q67" s="2027"/>
      <c r="R67" s="2027"/>
      <c r="S67" s="1397"/>
      <c r="T67" s="1397"/>
      <c r="U67" s="1397"/>
      <c r="V67" s="1397"/>
      <c r="W67" s="2028"/>
      <c r="X67" s="1362"/>
      <c r="Y67" s="1362"/>
      <c r="Z67" s="1362"/>
      <c r="AA67" s="1362"/>
      <c r="AB67" s="1362"/>
      <c r="AC67" s="1362"/>
      <c r="AD67" s="1362"/>
      <c r="AE67" s="1362"/>
      <c r="AF67" s="1362"/>
      <c r="AG67" s="1362"/>
      <c r="AH67" s="1362"/>
      <c r="AI67" s="1362"/>
      <c r="AJ67" s="1362"/>
      <c r="AK67" s="1362"/>
      <c r="AL67" s="1362"/>
      <c r="AM67" s="1362"/>
      <c r="AN67" s="1362"/>
      <c r="AO67" s="1362"/>
      <c r="AP67" s="1362"/>
      <c r="AQ67" s="1362"/>
      <c r="AR67" s="1563">
        <v>0</v>
      </c>
    </row>
    <row customHeight="1" ht="11.25" hidden="1">
      <c r="AR68" s="214">
        <v>0</v>
      </c>
    </row>
    <row customHeight="1" ht="11.25" hidden="1">
      <c r="E69" s="3028" t="s">
        <v>301</v>
      </c>
      <c r="F69" s="3028"/>
      <c r="G69" s="3028"/>
      <c r="H69" s="3028"/>
      <c r="I69" s="3028"/>
      <c r="J69" s="3028"/>
      <c r="K69" s="3028"/>
      <c r="L69" s="3028"/>
      <c r="M69" s="3028"/>
      <c r="N69" s="3028"/>
      <c r="O69" s="3028"/>
      <c r="P69" s="3028"/>
      <c r="Q69" s="3028"/>
      <c r="R69" s="3028"/>
      <c r="S69" s="3028"/>
      <c r="T69" s="3028"/>
      <c r="U69" s="3028"/>
      <c r="V69" s="3028"/>
      <c r="W69" s="3028"/>
      <c r="AR69" s="214">
        <v>0</v>
      </c>
    </row>
    <row customHeight="1" ht="36.75" hidden="1">
      <c r="E70" s="3026" t="s">
        <v>302</v>
      </c>
      <c r="F70" s="3026"/>
      <c r="G70" s="3027"/>
      <c r="H70" s="3027"/>
      <c r="I70" s="3027"/>
      <c r="J70" s="3027"/>
      <c r="K70" s="3027"/>
      <c r="L70" s="3027"/>
      <c r="M70" s="3027"/>
      <c r="N70" s="3027"/>
      <c r="O70" s="3027"/>
      <c r="P70" s="3027"/>
      <c r="Q70" s="3027"/>
      <c r="R70" s="3027"/>
      <c r="S70" s="3027"/>
      <c r="T70" s="3027"/>
      <c r="U70" s="3027"/>
      <c r="V70" s="3027"/>
      <c r="W70" s="3027"/>
      <c r="AR70" s="214">
        <v>0</v>
      </c>
    </row>
    <row customHeight="1" ht="28.5" hidden="1">
      <c r="E71" s="3026" t="s">
        <v>303</v>
      </c>
      <c r="F71" s="3026"/>
      <c r="G71" s="3027"/>
      <c r="H71" s="3027"/>
      <c r="I71" s="3027"/>
      <c r="J71" s="3027"/>
      <c r="K71" s="3027"/>
      <c r="L71" s="3027"/>
      <c r="M71" s="3027"/>
      <c r="N71" s="3027"/>
      <c r="O71" s="3027"/>
      <c r="P71" s="3027"/>
      <c r="Q71" s="3027"/>
      <c r="R71" s="3027"/>
      <c r="S71" s="3027"/>
      <c r="T71" s="3027"/>
      <c r="U71" s="3027"/>
      <c r="V71" s="3027"/>
      <c r="W71" s="3027"/>
      <c r="AR71" s="214">
        <v>0</v>
      </c>
    </row>
    <row customHeight="1" ht="27" hidden="1">
      <c r="E72" s="3026" t="s">
        <v>304</v>
      </c>
      <c r="F72" s="3026"/>
      <c r="G72" s="3027"/>
      <c r="H72" s="3027"/>
      <c r="I72" s="3027"/>
      <c r="J72" s="3027"/>
      <c r="K72" s="3027"/>
      <c r="L72" s="3027"/>
      <c r="M72" s="3027"/>
      <c r="N72" s="3027"/>
      <c r="O72" s="3027"/>
      <c r="P72" s="3027"/>
      <c r="Q72" s="3027"/>
      <c r="R72" s="3027"/>
      <c r="S72" s="3027"/>
      <c r="T72" s="3027"/>
      <c r="U72" s="3027"/>
      <c r="V72" s="3027"/>
      <c r="W72" s="3027"/>
      <c r="AR72" s="214">
        <v>0</v>
      </c>
    </row>
    <row customHeight="1" ht="17.25" hidden="1">
      <c r="E73" s="3026" t="s">
        <v>305</v>
      </c>
      <c r="F73" s="3026"/>
      <c r="G73" s="3027"/>
      <c r="H73" s="3027"/>
      <c r="I73" s="3027"/>
      <c r="J73" s="3027"/>
      <c r="K73" s="3027"/>
      <c r="L73" s="3027"/>
      <c r="M73" s="3027"/>
      <c r="N73" s="3027"/>
      <c r="O73" s="3027"/>
      <c r="P73" s="3027"/>
      <c r="Q73" s="3027"/>
      <c r="R73" s="3027"/>
      <c r="S73" s="3027"/>
      <c r="T73" s="3027"/>
      <c r="U73" s="3027"/>
      <c r="V73" s="3027"/>
      <c r="W73" s="3027"/>
      <c r="AR73" s="214">
        <v>0</v>
      </c>
    </row>
    <row customHeight="1" ht="15" hidden="1">
      <c r="E74" s="448"/>
      <c r="F74" s="1381"/>
      <c r="G74" s="265"/>
      <c r="H74" s="265"/>
      <c r="I74" s="265"/>
      <c r="J74" s="265"/>
      <c r="K74" s="265"/>
      <c r="L74" s="265"/>
      <c r="M74" s="265"/>
      <c r="N74" s="265"/>
      <c r="O74" s="265"/>
      <c r="P74" s="265"/>
      <c r="Q74" s="265"/>
      <c r="R74" s="265"/>
      <c r="S74" s="265"/>
      <c r="T74" s="265"/>
      <c r="U74" s="265"/>
      <c r="V74" s="265"/>
      <c r="W74" s="265"/>
      <c r="AR74" s="214">
        <v>0</v>
      </c>
    </row>
    <row customHeight="1" ht="15" hidden="1">
      <c r="E75" s="3028" t="s">
        <v>306</v>
      </c>
      <c r="F75" s="3028"/>
      <c r="G75" s="3028"/>
      <c r="H75" s="3028"/>
      <c r="I75" s="3028"/>
      <c r="J75" s="3028"/>
      <c r="K75" s="3028"/>
      <c r="L75" s="3028"/>
      <c r="M75" s="3028"/>
      <c r="N75" s="3028"/>
      <c r="O75" s="3028"/>
      <c r="P75" s="3028"/>
      <c r="Q75" s="3028"/>
      <c r="R75" s="3028"/>
      <c r="S75" s="3028"/>
      <c r="T75" s="3028"/>
      <c r="U75" s="3028"/>
      <c r="V75" s="3028"/>
      <c r="W75" s="3028"/>
      <c r="AR75" s="214">
        <v>0</v>
      </c>
    </row>
    <row customHeight="1" ht="17.25" hidden="1">
      <c r="E76" s="3026" t="s">
        <v>307</v>
      </c>
      <c r="F76" s="3026"/>
      <c r="G76" s="3027"/>
      <c r="H76" s="3027"/>
      <c r="I76" s="3027"/>
      <c r="J76" s="3027"/>
      <c r="K76" s="3027"/>
      <c r="L76" s="3027"/>
      <c r="M76" s="3027"/>
      <c r="N76" s="3027"/>
      <c r="O76" s="3027"/>
      <c r="P76" s="3027"/>
      <c r="Q76" s="3027"/>
      <c r="R76" s="3027"/>
      <c r="S76" s="3027"/>
      <c r="T76" s="3027"/>
      <c r="U76" s="3027"/>
      <c r="V76" s="3027"/>
      <c r="W76" s="3027"/>
      <c r="AR76" s="214">
        <v>0</v>
      </c>
    </row>
    <row customHeight="1" ht="17.25" hidden="1">
      <c r="E77" s="3026" t="s">
        <v>308</v>
      </c>
      <c r="F77" s="3026"/>
      <c r="G77" s="3027"/>
      <c r="H77" s="3027"/>
      <c r="I77" s="3027"/>
      <c r="J77" s="3027"/>
      <c r="K77" s="3027"/>
      <c r="L77" s="3027"/>
      <c r="M77" s="3027"/>
      <c r="N77" s="3027"/>
      <c r="O77" s="3027"/>
      <c r="P77" s="3027"/>
      <c r="Q77" s="3027"/>
      <c r="R77" s="3027"/>
      <c r="S77" s="3027"/>
      <c r="T77" s="3027"/>
      <c r="U77" s="3027"/>
      <c r="V77" s="3027"/>
      <c r="W77" s="3027"/>
      <c r="AR77" s="214">
        <v>0</v>
      </c>
    </row>
    <row s="10446" customFormat="1" customHeight="1" ht="11.25" hidden="1">
      <c r="A78" s="385"/>
      <c r="B78" s="385"/>
      <c r="Y78" s="1355"/>
      <c r="Z78" s="1355"/>
      <c r="AA78" s="1355"/>
      <c r="AB78" s="1355"/>
      <c r="AC78" s="1355"/>
      <c r="AD78" s="1355"/>
      <c r="AE78" s="1355"/>
      <c r="AF78" s="1355"/>
      <c r="AG78" s="1355"/>
      <c r="AH78" s="1355"/>
      <c r="AI78" s="1355"/>
      <c r="AJ78" s="1355"/>
      <c r="AK78" s="1355"/>
      <c r="AL78" s="1355"/>
      <c r="AM78" s="1355"/>
      <c r="AN78" s="1355"/>
      <c r="AO78" s="1355"/>
      <c r="AP78" s="1355"/>
      <c r="AQ78" s="1355"/>
      <c r="AR78" s="1446">
        <v>0</v>
      </c>
    </row>
    <row s="10446" customFormat="1" customHeight="1" ht="17.25" hidden="1">
      <c r="A79" s="429"/>
      <c r="C79" s="317"/>
      <c r="D79" s="3022">
        <v>1</v>
      </c>
      <c r="E79" s="3011" t="s">
        <v>309</v>
      </c>
      <c r="F79" s="3023" t="s">
        <v>19</v>
      </c>
      <c r="G79" s="3011"/>
      <c r="H79" s="3013"/>
      <c r="I79" s="3015"/>
      <c r="J79" s="3017"/>
      <c r="K79" s="3009"/>
      <c r="L79" s="3009"/>
      <c r="M79" s="3009"/>
      <c r="N79" s="3020"/>
      <c r="O79" s="3009"/>
      <c r="P79" s="3009"/>
      <c r="Q79" s="3009"/>
      <c r="R79" s="3007"/>
      <c r="S79" s="3009"/>
      <c r="T79" s="1566"/>
      <c r="U79" s="1566"/>
      <c r="V79" s="1568"/>
      <c r="W79" s="1392"/>
      <c r="Y79" s="1363"/>
      <c r="Z79" s="1363"/>
      <c r="AA79" s="1363"/>
      <c r="AB79" s="1363"/>
      <c r="AC79" s="1363" t="s">
        <v>310</v>
      </c>
      <c r="AD79" s="1363" t="s">
        <v>311</v>
      </c>
      <c r="AE79" s="1363" t="s">
        <v>312</v>
      </c>
      <c r="AF79" s="1363" t="s">
        <v>313</v>
      </c>
      <c r="AG79" s="1363"/>
      <c r="AH79" s="1363" t="str">
        <f>IF($E$79=0,"",$E$79)</f>
        <v>Тариф на питьевую воду (питьевое водоснабжение)</v>
      </c>
      <c r="AI79" s="1363" t="str">
        <f>IF($G$79=0,"",$G$79)</f>
        <v/>
      </c>
      <c r="AJ79" s="1363" t="str">
        <f>IF($J$79=0,"",$J$79)</f>
        <v/>
      </c>
      <c r="AK79" s="1363" t="str">
        <f>IF($K$79="нет","без дифференциации",IF($N$79=0,"",$N$79))</f>
        <v/>
      </c>
      <c r="AL79" s="1363" t="str">
        <f>IF($O$79="нет","без дифференциации",IF($R$79=0,"",$R$79))</f>
        <v/>
      </c>
      <c r="AM79" s="1363" t="str">
        <f>IF($S$79="нет","без дифференциации",IF($V$79=0,"",$V$79))</f>
        <v/>
      </c>
      <c r="AN79" s="1363">
        <f>$I$79</f>
        <v>0</v>
      </c>
      <c r="AO79" s="1363" t="str">
        <f>$I$79&amp;"."&amp;$M$79</f>
        <v>.</v>
      </c>
      <c r="AP79" s="1363" t="str">
        <f>$I$79&amp;"."&amp;$M$79&amp;"."&amp;$Q$79</f>
        <v>..</v>
      </c>
      <c r="AQ79" s="1363" t="str">
        <f>$I$79&amp;"."&amp;$M$79&amp;"."&amp;$Q$79&amp;"."&amp;$U$79</f>
        <v>...</v>
      </c>
      <c r="AR79" s="1446">
        <v>0</v>
      </c>
    </row>
    <row s="10446" customFormat="1" customHeight="1" ht="17.25" hidden="1">
      <c r="A80" s="429"/>
      <c r="C80" s="428"/>
      <c r="D80" s="3022"/>
      <c r="E80" s="3011"/>
      <c r="F80" s="3024"/>
      <c r="G80" s="3011"/>
      <c r="H80" s="3014"/>
      <c r="I80" s="3016"/>
      <c r="J80" s="3018"/>
      <c r="K80" s="3010"/>
      <c r="L80" s="3010"/>
      <c r="M80" s="3010"/>
      <c r="N80" s="3021"/>
      <c r="O80" s="3010"/>
      <c r="P80" s="3010"/>
      <c r="Q80" s="3010"/>
      <c r="R80" s="3008"/>
      <c r="S80" s="3010"/>
      <c r="T80" s="1393"/>
      <c r="U80" s="1393"/>
      <c r="V80" s="1393"/>
      <c r="W80" s="1394"/>
      <c r="Y80" s="1355"/>
      <c r="Z80" s="1355"/>
      <c r="AA80" s="1355"/>
      <c r="AB80" s="1355"/>
      <c r="AC80" s="1355"/>
      <c r="AD80" s="1355"/>
      <c r="AE80" s="1355"/>
      <c r="AF80" s="1355"/>
      <c r="AG80" s="1355"/>
      <c r="AH80" s="1355"/>
      <c r="AI80" s="1355"/>
      <c r="AJ80" s="1355"/>
      <c r="AK80" s="1355"/>
      <c r="AL80" s="1355"/>
      <c r="AM80" s="1355"/>
      <c r="AN80" s="1355"/>
      <c r="AO80" s="1355"/>
      <c r="AP80" s="1355"/>
      <c r="AQ80" s="1355"/>
      <c r="AR80" s="1446">
        <v>0</v>
      </c>
    </row>
    <row s="10446" customFormat="1" customHeight="1" ht="17.25" hidden="1">
      <c r="A81" s="429"/>
      <c r="C81" s="317"/>
      <c r="D81" s="3022"/>
      <c r="E81" s="3011"/>
      <c r="F81" s="3024"/>
      <c r="G81" s="3011"/>
      <c r="H81" s="3014"/>
      <c r="I81" s="3016"/>
      <c r="J81" s="3019"/>
      <c r="K81" s="3010"/>
      <c r="L81" s="3010"/>
      <c r="M81" s="3010"/>
      <c r="N81" s="3008"/>
      <c r="O81" s="3010"/>
      <c r="P81" s="1567"/>
      <c r="Q81" s="1393"/>
      <c r="R81" s="1393"/>
      <c r="S81" s="437"/>
      <c r="T81" s="437"/>
      <c r="U81" s="437"/>
      <c r="V81" s="437"/>
      <c r="W81" s="1394"/>
      <c r="Y81" s="1363"/>
      <c r="Z81" s="1363"/>
      <c r="AA81" s="1363"/>
      <c r="AB81" s="1363"/>
      <c r="AC81" s="1363"/>
      <c r="AD81" s="1363"/>
      <c r="AE81" s="1363"/>
      <c r="AF81" s="1363"/>
      <c r="AG81" s="1363"/>
      <c r="AH81" s="1363"/>
      <c r="AI81" s="1363"/>
      <c r="AJ81" s="1363"/>
      <c r="AK81" s="1363"/>
      <c r="AL81" s="1363"/>
      <c r="AM81" s="1363"/>
      <c r="AN81" s="1363"/>
      <c r="AO81" s="1363"/>
      <c r="AP81" s="1363"/>
      <c r="AQ81" s="1363"/>
      <c r="AR81" s="1537">
        <v>0</v>
      </c>
    </row>
    <row s="10446" customFormat="1" customHeight="1" ht="17.25" hidden="1">
      <c r="A82" s="429"/>
      <c r="C82" s="428"/>
      <c r="D82" s="3022"/>
      <c r="E82" s="3011"/>
      <c r="F82" s="3024"/>
      <c r="G82" s="3011"/>
      <c r="H82" s="3014"/>
      <c r="I82" s="3016"/>
      <c r="J82" s="3019"/>
      <c r="K82" s="3010"/>
      <c r="L82" s="1393"/>
      <c r="M82" s="1393"/>
      <c r="N82" s="1393"/>
      <c r="O82" s="1393"/>
      <c r="P82" s="1393"/>
      <c r="Q82" s="1393"/>
      <c r="R82" s="1393"/>
      <c r="S82" s="437"/>
      <c r="T82" s="437"/>
      <c r="U82" s="437"/>
      <c r="V82" s="437"/>
      <c r="W82" s="1394"/>
      <c r="Y82" s="1355"/>
      <c r="Z82" s="1355"/>
      <c r="AA82" s="1355"/>
      <c r="AB82" s="1355"/>
      <c r="AC82" s="1355"/>
      <c r="AD82" s="1355"/>
      <c r="AE82" s="1355"/>
      <c r="AF82" s="1355"/>
      <c r="AG82" s="1355"/>
      <c r="AH82" s="1355"/>
      <c r="AI82" s="1355"/>
      <c r="AJ82" s="1355"/>
      <c r="AK82" s="1355"/>
      <c r="AL82" s="1355"/>
      <c r="AM82" s="1355"/>
      <c r="AN82" s="1355"/>
      <c r="AO82" s="1355"/>
      <c r="AP82" s="1355"/>
      <c r="AQ82" s="1355"/>
      <c r="AR82" s="1537">
        <v>0</v>
      </c>
    </row>
    <row s="10446" customFormat="1" customHeight="1" ht="17.25" hidden="1">
      <c r="A83" s="429"/>
      <c r="C83" s="428"/>
      <c r="D83" s="2987"/>
      <c r="E83" s="3012"/>
      <c r="F83" s="3025"/>
      <c r="G83" s="3012"/>
      <c r="H83" s="1395"/>
      <c r="I83" s="1396"/>
      <c r="J83" s="1396"/>
      <c r="K83" s="1396"/>
      <c r="L83" s="1396"/>
      <c r="M83" s="1396"/>
      <c r="N83" s="1396"/>
      <c r="O83" s="1396"/>
      <c r="P83" s="1396"/>
      <c r="Q83" s="1396"/>
      <c r="R83" s="1396"/>
      <c r="S83" s="1397"/>
      <c r="T83" s="1397"/>
      <c r="U83" s="1397"/>
      <c r="V83" s="1397"/>
      <c r="W83" s="1398"/>
      <c r="Y83" s="1355"/>
      <c r="Z83" s="1355"/>
      <c r="AA83" s="1355"/>
      <c r="AB83" s="1355"/>
      <c r="AC83" s="1355"/>
      <c r="AD83" s="1355"/>
      <c r="AE83" s="1355"/>
      <c r="AF83" s="1355"/>
      <c r="AG83" s="1355"/>
      <c r="AH83" s="1355"/>
      <c r="AI83" s="1355"/>
      <c r="AJ83" s="1355"/>
      <c r="AK83" s="1355"/>
      <c r="AL83" s="1355"/>
      <c r="AM83" s="1355"/>
      <c r="AN83" s="1355"/>
      <c r="AO83" s="1355"/>
      <c r="AP83" s="1355"/>
      <c r="AQ83" s="1355"/>
      <c r="AR83" s="1446">
        <v>0</v>
      </c>
    </row>
    <row s="10446" customFormat="1" customHeight="1" ht="17.25" hidden="1">
      <c r="A84" s="429"/>
      <c r="C84" s="317"/>
      <c r="D84" s="3022">
        <v>2</v>
      </c>
      <c r="E84" s="3011" t="s">
        <v>314</v>
      </c>
      <c r="F84" s="3023" t="s">
        <v>19</v>
      </c>
      <c r="G84" s="3011"/>
      <c r="H84" s="3013"/>
      <c r="I84" s="3015"/>
      <c r="J84" s="3017"/>
      <c r="K84" s="3009"/>
      <c r="L84" s="3009"/>
      <c r="M84" s="3009"/>
      <c r="N84" s="3020"/>
      <c r="O84" s="3009"/>
      <c r="P84" s="3009"/>
      <c r="Q84" s="3009"/>
      <c r="R84" s="3007"/>
      <c r="S84" s="3009"/>
      <c r="T84" s="1539"/>
      <c r="U84" s="1539"/>
      <c r="V84" s="1541"/>
      <c r="W84" s="1392"/>
      <c r="X84" s="1363"/>
      <c r="Y84" s="1363"/>
      <c r="Z84" s="1363"/>
      <c r="AA84" s="1363"/>
      <c r="AB84" s="1363"/>
      <c r="AC84" s="1363" t="s">
        <v>315</v>
      </c>
      <c r="AD84" s="1363" t="s">
        <v>316</v>
      </c>
      <c r="AE84" s="1363" t="s">
        <v>317</v>
      </c>
      <c r="AF84" s="1363" t="s">
        <v>318</v>
      </c>
      <c r="AG84" s="1363"/>
      <c r="AH84" s="1363" t="str">
        <f>IF($E$84=0,"",$E$84)</f>
        <v>Тариф на техническую воду</v>
      </c>
      <c r="AI84" s="1363" t="str">
        <f>IF($G$84=0,"",$G$84)</f>
        <v/>
      </c>
      <c r="AJ84" s="1363" t="str">
        <f>IF($J$84=0,"",$J$84)</f>
        <v/>
      </c>
      <c r="AK84" s="1363" t="str">
        <f>IF($K$84="нет","без дифференциации",IF($N$84=0,"",$N$84))</f>
        <v/>
      </c>
      <c r="AL84" s="1363" t="str">
        <f>IF($O$84="нет","без дифференциации",IF($R$84=0,"",$R$84))</f>
        <v/>
      </c>
      <c r="AM84" s="1363" t="str">
        <f>IF($S$84="нет","без дифференциации",IF($V$84=0,"",$V$84))</f>
        <v/>
      </c>
      <c r="AN84" s="1868">
        <f>$I$84</f>
        <v>0</v>
      </c>
      <c r="AO84" s="1363" t="str">
        <f>$I$84&amp;"."&amp;$M$84</f>
        <v>.</v>
      </c>
      <c r="AP84" s="1355" t="str">
        <f>$I$84&amp;"."&amp;$M$84&amp;"."&amp;$Q$84</f>
        <v>..</v>
      </c>
      <c r="AQ84" s="1355" t="str">
        <f>$I$84&amp;"."&amp;$M$84&amp;"."&amp;$Q$84&amp;"."&amp;$U$84</f>
        <v>...</v>
      </c>
      <c r="AR84" s="1446">
        <v>0</v>
      </c>
    </row>
    <row s="10446" customFormat="1" customHeight="1" ht="17.25" hidden="1">
      <c r="A85" s="429"/>
      <c r="C85" s="428"/>
      <c r="D85" s="3022"/>
      <c r="E85" s="3011"/>
      <c r="F85" s="3024"/>
      <c r="G85" s="3011"/>
      <c r="H85" s="3014"/>
      <c r="I85" s="3016"/>
      <c r="J85" s="3018"/>
      <c r="K85" s="3010"/>
      <c r="L85" s="3010"/>
      <c r="M85" s="3010"/>
      <c r="N85" s="3021"/>
      <c r="O85" s="3010"/>
      <c r="P85" s="3010"/>
      <c r="Q85" s="3010"/>
      <c r="R85" s="3008"/>
      <c r="S85" s="3010"/>
      <c r="T85" s="1393"/>
      <c r="U85" s="1393"/>
      <c r="V85" s="1393"/>
      <c r="W85" s="1394"/>
      <c r="X85" s="1355"/>
      <c r="Y85" s="1355"/>
      <c r="Z85" s="1355"/>
      <c r="AA85" s="1355"/>
      <c r="AB85" s="1355"/>
      <c r="AC85" s="1355"/>
      <c r="AD85" s="1355"/>
      <c r="AE85" s="1355"/>
      <c r="AF85" s="1355"/>
      <c r="AG85" s="1355"/>
      <c r="AH85" s="1355"/>
      <c r="AI85" s="1355"/>
      <c r="AJ85" s="1355"/>
      <c r="AK85" s="1355"/>
      <c r="AL85" s="1355"/>
      <c r="AM85" s="1355"/>
      <c r="AN85" s="1355"/>
      <c r="AO85" s="1355"/>
      <c r="AP85" s="1355"/>
      <c r="AQ85" s="1355"/>
      <c r="AR85" s="1446">
        <v>0</v>
      </c>
    </row>
    <row s="10446" customFormat="1" customHeight="1" ht="17.25" hidden="1">
      <c r="A86" s="429"/>
      <c r="C86" s="428"/>
      <c r="D86" s="2987"/>
      <c r="E86" s="3012"/>
      <c r="F86" s="3024"/>
      <c r="G86" s="3012"/>
      <c r="H86" s="3014"/>
      <c r="I86" s="3016"/>
      <c r="J86" s="3019"/>
      <c r="K86" s="3010"/>
      <c r="L86" s="3010"/>
      <c r="M86" s="3010"/>
      <c r="N86" s="3008"/>
      <c r="O86" s="3010"/>
      <c r="P86" s="1540"/>
      <c r="Q86" s="1393"/>
      <c r="R86" s="1393"/>
      <c r="S86" s="437"/>
      <c r="T86" s="437"/>
      <c r="U86" s="437"/>
      <c r="V86" s="437"/>
      <c r="W86" s="1394"/>
      <c r="X86" s="1355"/>
      <c r="Y86" s="1355"/>
      <c r="Z86" s="1355"/>
      <c r="AA86" s="1355"/>
      <c r="AB86" s="1355"/>
      <c r="AC86" s="1355"/>
      <c r="AD86" s="1355"/>
      <c r="AE86" s="1355"/>
      <c r="AF86" s="1355"/>
      <c r="AG86" s="1355"/>
      <c r="AH86" s="1355"/>
      <c r="AI86" s="1355"/>
      <c r="AJ86" s="1355"/>
      <c r="AK86" s="1355"/>
      <c r="AL86" s="1355"/>
      <c r="AM86" s="1355"/>
      <c r="AN86" s="1355"/>
      <c r="AO86" s="1355"/>
      <c r="AP86" s="1355"/>
      <c r="AQ86" s="1355"/>
      <c r="AR86" s="1446">
        <v>0</v>
      </c>
    </row>
    <row s="10446" customFormat="1" customHeight="1" ht="17.25" hidden="1">
      <c r="A87" s="429"/>
      <c r="C87" s="428"/>
      <c r="D87" s="2987"/>
      <c r="E87" s="3012"/>
      <c r="F87" s="3024"/>
      <c r="G87" s="3012"/>
      <c r="H87" s="3014"/>
      <c r="I87" s="3016"/>
      <c r="J87" s="3019"/>
      <c r="K87" s="3010"/>
      <c r="L87" s="1393"/>
      <c r="M87" s="1393"/>
      <c r="N87" s="1393"/>
      <c r="O87" s="1393"/>
      <c r="P87" s="1393"/>
      <c r="Q87" s="1393"/>
      <c r="R87" s="1393"/>
      <c r="S87" s="437"/>
      <c r="T87" s="437"/>
      <c r="U87" s="437"/>
      <c r="V87" s="437"/>
      <c r="W87" s="1394"/>
      <c r="X87" s="1355"/>
      <c r="Y87" s="1355"/>
      <c r="Z87" s="1355"/>
      <c r="AA87" s="1355"/>
      <c r="AB87" s="1355"/>
      <c r="AC87" s="1355"/>
      <c r="AD87" s="1355"/>
      <c r="AE87" s="1355"/>
      <c r="AF87" s="1355"/>
      <c r="AG87" s="1355"/>
      <c r="AH87" s="1355"/>
      <c r="AI87" s="1355"/>
      <c r="AJ87" s="1355"/>
      <c r="AK87" s="1355"/>
      <c r="AL87" s="1355"/>
      <c r="AM87" s="1355"/>
      <c r="AN87" s="1355"/>
      <c r="AO87" s="1355"/>
      <c r="AP87" s="1355"/>
      <c r="AQ87" s="1355"/>
      <c r="AR87" s="1446">
        <v>0</v>
      </c>
    </row>
    <row s="10446" customFormat="1" customHeight="1" ht="17.25" hidden="1">
      <c r="A88" s="429"/>
      <c r="C88" s="428"/>
      <c r="D88" s="2987"/>
      <c r="E88" s="3012"/>
      <c r="F88" s="3025"/>
      <c r="G88" s="3012"/>
      <c r="H88" s="1395"/>
      <c r="I88" s="1396"/>
      <c r="J88" s="1396"/>
      <c r="K88" s="1396"/>
      <c r="L88" s="1396"/>
      <c r="M88" s="1396"/>
      <c r="N88" s="1396"/>
      <c r="O88" s="1396"/>
      <c r="P88" s="1396"/>
      <c r="Q88" s="1396"/>
      <c r="R88" s="1396"/>
      <c r="S88" s="1397"/>
      <c r="T88" s="1397"/>
      <c r="U88" s="1397"/>
      <c r="V88" s="1397"/>
      <c r="W88" s="1398"/>
      <c r="X88" s="1355"/>
      <c r="Y88" s="1355"/>
      <c r="Z88" s="1355"/>
      <c r="AA88" s="1355"/>
      <c r="AB88" s="1355"/>
      <c r="AC88" s="1355"/>
      <c r="AD88" s="1355"/>
      <c r="AE88" s="1355"/>
      <c r="AF88" s="1355"/>
      <c r="AG88" s="1355"/>
      <c r="AH88" s="1355"/>
      <c r="AI88" s="1355"/>
      <c r="AJ88" s="1355"/>
      <c r="AK88" s="1355"/>
      <c r="AL88" s="1355"/>
      <c r="AM88" s="1355"/>
      <c r="AN88" s="1355"/>
      <c r="AO88" s="1355"/>
      <c r="AP88" s="1355"/>
      <c r="AQ88" s="1355"/>
      <c r="AR88" s="1446">
        <v>0</v>
      </c>
    </row>
    <row s="10446" customFormat="1" customHeight="1" ht="17.25" hidden="1">
      <c r="A89" s="429"/>
      <c r="C89" s="317"/>
      <c r="D89" s="3022">
        <v>3</v>
      </c>
      <c r="E89" s="3011" t="s">
        <v>319</v>
      </c>
      <c r="F89" s="3023" t="s">
        <v>19</v>
      </c>
      <c r="G89" s="3011"/>
      <c r="H89" s="3013"/>
      <c r="I89" s="3015"/>
      <c r="J89" s="3017"/>
      <c r="K89" s="3009"/>
      <c r="L89" s="3009"/>
      <c r="M89" s="3009"/>
      <c r="N89" s="3020"/>
      <c r="O89" s="3009"/>
      <c r="P89" s="3009"/>
      <c r="Q89" s="3009"/>
      <c r="R89" s="3007"/>
      <c r="S89" s="3009"/>
      <c r="T89" s="1539"/>
      <c r="U89" s="1539"/>
      <c r="V89" s="1541"/>
      <c r="W89" s="1392"/>
      <c r="X89" s="1363"/>
      <c r="Y89" s="1363"/>
      <c r="Z89" s="1363"/>
      <c r="AA89" s="1363"/>
      <c r="AB89" s="1363"/>
      <c r="AC89" s="1363" t="s">
        <v>320</v>
      </c>
      <c r="AD89" s="1363" t="s">
        <v>321</v>
      </c>
      <c r="AE89" s="1363" t="s">
        <v>322</v>
      </c>
      <c r="AF89" s="1363" t="s">
        <v>323</v>
      </c>
      <c r="AG89" s="1363"/>
      <c r="AH89" s="1363" t="str">
        <f>IF($E$89=0,"",$E$89)</f>
        <v>Тариф на транспортировку воды</v>
      </c>
      <c r="AI89" s="1363" t="str">
        <f>IF($G$89=0,"",$G$89)</f>
        <v/>
      </c>
      <c r="AJ89" s="1363" t="str">
        <f>IF($J$89=0,"",$J$89)</f>
        <v/>
      </c>
      <c r="AK89" s="1363" t="str">
        <f>IF($K$89="нет","без дифференциации",IF($N$89=0,"",$N$89))</f>
        <v/>
      </c>
      <c r="AL89" s="1363" t="str">
        <f>IF($O$89="нет","без дифференциации",IF($R$89=0,"",$R$89))</f>
        <v/>
      </c>
      <c r="AM89" s="1363" t="str">
        <f>IF($S$89="нет","без дифференциации",IF($V$89=0,"",$V$89))</f>
        <v/>
      </c>
      <c r="AN89" s="1868">
        <f>$I$89</f>
        <v>0</v>
      </c>
      <c r="AO89" s="1363" t="str">
        <f>$I$89&amp;"."&amp;$M$89</f>
        <v>.</v>
      </c>
      <c r="AP89" s="1355" t="str">
        <f>$I$89&amp;"."&amp;$M$89&amp;"."&amp;$Q$89</f>
        <v>..</v>
      </c>
      <c r="AQ89" s="1355" t="str">
        <f>$I$89&amp;"."&amp;$M$89&amp;"."&amp;$Q$89&amp;"."&amp;$U$89</f>
        <v>...</v>
      </c>
      <c r="AR89" s="1446">
        <v>0</v>
      </c>
    </row>
    <row s="10446" customFormat="1" customHeight="1" ht="17.25" hidden="1">
      <c r="A90" s="429"/>
      <c r="C90" s="428"/>
      <c r="D90" s="3022"/>
      <c r="E90" s="3011"/>
      <c r="F90" s="3024"/>
      <c r="G90" s="3011"/>
      <c r="H90" s="3014"/>
      <c r="I90" s="3016"/>
      <c r="J90" s="3018"/>
      <c r="K90" s="3010"/>
      <c r="L90" s="3010"/>
      <c r="M90" s="3010"/>
      <c r="N90" s="3021"/>
      <c r="O90" s="3010"/>
      <c r="P90" s="3010"/>
      <c r="Q90" s="3010"/>
      <c r="R90" s="3008"/>
      <c r="S90" s="3010"/>
      <c r="T90" s="1393"/>
      <c r="U90" s="1393"/>
      <c r="V90" s="1393"/>
      <c r="W90" s="1394"/>
      <c r="X90" s="1355"/>
      <c r="Y90" s="1355"/>
      <c r="Z90" s="1355"/>
      <c r="AA90" s="1355"/>
      <c r="AB90" s="1355"/>
      <c r="AC90" s="1355"/>
      <c r="AD90" s="1355"/>
      <c r="AE90" s="1355"/>
      <c r="AF90" s="1355"/>
      <c r="AG90" s="1355"/>
      <c r="AH90" s="1355"/>
      <c r="AI90" s="1355"/>
      <c r="AJ90" s="1355"/>
      <c r="AK90" s="1355"/>
      <c r="AL90" s="1355"/>
      <c r="AM90" s="1355"/>
      <c r="AN90" s="1355"/>
      <c r="AO90" s="1355"/>
      <c r="AP90" s="1355"/>
      <c r="AQ90" s="1355"/>
      <c r="AR90" s="1446">
        <v>0</v>
      </c>
    </row>
    <row s="10446" customFormat="1" customHeight="1" ht="17.25" hidden="1">
      <c r="A91" s="429"/>
      <c r="C91" s="428"/>
      <c r="D91" s="2987"/>
      <c r="E91" s="3012"/>
      <c r="F91" s="3024"/>
      <c r="G91" s="3012"/>
      <c r="H91" s="3014"/>
      <c r="I91" s="3016"/>
      <c r="J91" s="3019"/>
      <c r="K91" s="3010"/>
      <c r="L91" s="3010"/>
      <c r="M91" s="3010"/>
      <c r="N91" s="3008"/>
      <c r="O91" s="3010"/>
      <c r="P91" s="1540"/>
      <c r="Q91" s="1393"/>
      <c r="R91" s="1393"/>
      <c r="S91" s="437"/>
      <c r="T91" s="437"/>
      <c r="U91" s="437"/>
      <c r="V91" s="437"/>
      <c r="W91" s="1394"/>
      <c r="X91" s="1355"/>
      <c r="Y91" s="1355"/>
      <c r="Z91" s="1355"/>
      <c r="AA91" s="1355"/>
      <c r="AB91" s="1355"/>
      <c r="AC91" s="1355"/>
      <c r="AD91" s="1355"/>
      <c r="AE91" s="1355"/>
      <c r="AF91" s="1355"/>
      <c r="AG91" s="1355"/>
      <c r="AH91" s="1355"/>
      <c r="AI91" s="1355"/>
      <c r="AJ91" s="1355"/>
      <c r="AK91" s="1355"/>
      <c r="AL91" s="1355"/>
      <c r="AM91" s="1355"/>
      <c r="AN91" s="1355"/>
      <c r="AO91" s="1355"/>
      <c r="AP91" s="1355"/>
      <c r="AQ91" s="1355"/>
      <c r="AR91" s="1446">
        <v>0</v>
      </c>
    </row>
    <row s="10446" customFormat="1" customHeight="1" ht="17.25" hidden="1">
      <c r="A92" s="429"/>
      <c r="C92" s="428"/>
      <c r="D92" s="2987"/>
      <c r="E92" s="3012"/>
      <c r="F92" s="3024"/>
      <c r="G92" s="3012"/>
      <c r="H92" s="3014"/>
      <c r="I92" s="3016"/>
      <c r="J92" s="3019"/>
      <c r="K92" s="3010"/>
      <c r="L92" s="1393"/>
      <c r="M92" s="1393"/>
      <c r="N92" s="1393"/>
      <c r="O92" s="1393"/>
      <c r="P92" s="1393"/>
      <c r="Q92" s="1393"/>
      <c r="R92" s="1393"/>
      <c r="S92" s="437"/>
      <c r="T92" s="437"/>
      <c r="U92" s="437"/>
      <c r="V92" s="437"/>
      <c r="W92" s="1394"/>
      <c r="X92" s="1355"/>
      <c r="Y92" s="1355"/>
      <c r="Z92" s="1355"/>
      <c r="AA92" s="1355"/>
      <c r="AB92" s="1355"/>
      <c r="AC92" s="1355"/>
      <c r="AD92" s="1355"/>
      <c r="AE92" s="1355"/>
      <c r="AF92" s="1355"/>
      <c r="AG92" s="1355"/>
      <c r="AH92" s="1355"/>
      <c r="AI92" s="1355"/>
      <c r="AJ92" s="1355"/>
      <c r="AK92" s="1355"/>
      <c r="AL92" s="1355"/>
      <c r="AM92" s="1355"/>
      <c r="AN92" s="1355"/>
      <c r="AO92" s="1355"/>
      <c r="AP92" s="1355"/>
      <c r="AQ92" s="1355"/>
      <c r="AR92" s="1446">
        <v>0</v>
      </c>
    </row>
    <row s="10446" customFormat="1" customHeight="1" ht="17.25" hidden="1">
      <c r="A93" s="429"/>
      <c r="C93" s="428"/>
      <c r="D93" s="2987"/>
      <c r="E93" s="3012"/>
      <c r="F93" s="3025"/>
      <c r="G93" s="3012"/>
      <c r="H93" s="1395"/>
      <c r="I93" s="1396"/>
      <c r="J93" s="1396"/>
      <c r="K93" s="1396"/>
      <c r="L93" s="1396"/>
      <c r="M93" s="1396"/>
      <c r="N93" s="1396"/>
      <c r="O93" s="1396"/>
      <c r="P93" s="1396"/>
      <c r="Q93" s="1396"/>
      <c r="R93" s="1396"/>
      <c r="S93" s="1397"/>
      <c r="T93" s="1397"/>
      <c r="U93" s="1397"/>
      <c r="V93" s="1397"/>
      <c r="W93" s="1398"/>
      <c r="X93" s="1355"/>
      <c r="Y93" s="1355"/>
      <c r="Z93" s="1355"/>
      <c r="AA93" s="1355"/>
      <c r="AB93" s="1355"/>
      <c r="AC93" s="1355"/>
      <c r="AD93" s="1355"/>
      <c r="AE93" s="1355"/>
      <c r="AF93" s="1355"/>
      <c r="AG93" s="1355"/>
      <c r="AH93" s="1355"/>
      <c r="AI93" s="1355"/>
      <c r="AJ93" s="1355"/>
      <c r="AK93" s="1355"/>
      <c r="AL93" s="1355"/>
      <c r="AM93" s="1355"/>
      <c r="AN93" s="1355"/>
      <c r="AO93" s="1355"/>
      <c r="AP93" s="1355"/>
      <c r="AQ93" s="1355"/>
      <c r="AR93" s="1446">
        <v>0</v>
      </c>
    </row>
    <row s="10446" customFormat="1" customHeight="1" ht="17.25" hidden="1">
      <c r="A94" s="429"/>
      <c r="C94" s="317"/>
      <c r="D94" s="3022">
        <v>4</v>
      </c>
      <c r="E94" s="3011" t="s">
        <v>324</v>
      </c>
      <c r="F94" s="3023" t="s">
        <v>19</v>
      </c>
      <c r="G94" s="3011"/>
      <c r="H94" s="3013"/>
      <c r="I94" s="3015"/>
      <c r="J94" s="3017"/>
      <c r="K94" s="3009"/>
      <c r="L94" s="3009"/>
      <c r="M94" s="3009"/>
      <c r="N94" s="3020"/>
      <c r="O94" s="3009"/>
      <c r="P94" s="3009"/>
      <c r="Q94" s="3009"/>
      <c r="R94" s="3007"/>
      <c r="S94" s="3009"/>
      <c r="T94" s="1539"/>
      <c r="U94" s="1539"/>
      <c r="V94" s="1541"/>
      <c r="W94" s="1392"/>
      <c r="X94" s="1363"/>
      <c r="Y94" s="1363"/>
      <c r="Z94" s="1363"/>
      <c r="AA94" s="1363"/>
      <c r="AB94" s="1363"/>
      <c r="AC94" s="1363" t="s">
        <v>325</v>
      </c>
      <c r="AD94" s="1363" t="s">
        <v>326</v>
      </c>
      <c r="AE94" s="1363" t="s">
        <v>327</v>
      </c>
      <c r="AF94" s="1363" t="s">
        <v>328</v>
      </c>
      <c r="AG94" s="1363"/>
      <c r="AH94" s="1363" t="str">
        <f>IF($E$94=0,"",$E$94)</f>
        <v>Тариф на подвоз воды</v>
      </c>
      <c r="AI94" s="1363" t="str">
        <f>IF($G$94=0,"",$G$94)</f>
        <v/>
      </c>
      <c r="AJ94" s="1363" t="str">
        <f>IF($J$94=0,"",$J$94)</f>
        <v/>
      </c>
      <c r="AK94" s="1363" t="str">
        <f>IF($K$94="нет","без дифференциации",IF($N$94=0,"",$N$94))</f>
        <v/>
      </c>
      <c r="AL94" s="1363" t="str">
        <f>IF($O$94="нет","без дифференциации",IF($R$94=0,"",$R$94))</f>
        <v/>
      </c>
      <c r="AM94" s="1363" t="str">
        <f>IF($S$94="нет","без дифференциации",IF($V$94=0,"",$V$94))</f>
        <v/>
      </c>
      <c r="AN94" s="1868">
        <f>$I$94</f>
        <v>0</v>
      </c>
      <c r="AO94" s="1363" t="str">
        <f>$I$94&amp;"."&amp;$M$94</f>
        <v>.</v>
      </c>
      <c r="AP94" s="1355" t="str">
        <f>$I$94&amp;"."&amp;$M$94&amp;"."&amp;$Q$94</f>
        <v>..</v>
      </c>
      <c r="AQ94" s="1355" t="str">
        <f>$I$94&amp;"."&amp;$M$94&amp;"."&amp;$Q$94&amp;"."&amp;$U$94</f>
        <v>...</v>
      </c>
      <c r="AR94" s="1446">
        <v>0</v>
      </c>
    </row>
    <row s="10446" customFormat="1" customHeight="1" ht="17.25" hidden="1">
      <c r="A95" s="429"/>
      <c r="C95" s="428"/>
      <c r="D95" s="3022"/>
      <c r="E95" s="3011"/>
      <c r="F95" s="3024"/>
      <c r="G95" s="3011"/>
      <c r="H95" s="3014"/>
      <c r="I95" s="3016"/>
      <c r="J95" s="3018"/>
      <c r="K95" s="3010"/>
      <c r="L95" s="3010"/>
      <c r="M95" s="3010"/>
      <c r="N95" s="3021"/>
      <c r="O95" s="3010"/>
      <c r="P95" s="3010"/>
      <c r="Q95" s="3010"/>
      <c r="R95" s="3008"/>
      <c r="S95" s="3010"/>
      <c r="T95" s="1393"/>
      <c r="U95" s="1393"/>
      <c r="V95" s="1393"/>
      <c r="W95" s="1394"/>
      <c r="X95" s="1355"/>
      <c r="Y95" s="1355"/>
      <c r="Z95" s="1355"/>
      <c r="AA95" s="1355"/>
      <c r="AB95" s="1355"/>
      <c r="AC95" s="1355"/>
      <c r="AD95" s="1355"/>
      <c r="AE95" s="1355"/>
      <c r="AF95" s="1355"/>
      <c r="AG95" s="1355"/>
      <c r="AH95" s="1355"/>
      <c r="AI95" s="1355"/>
      <c r="AJ95" s="1355"/>
      <c r="AK95" s="1355"/>
      <c r="AL95" s="1355"/>
      <c r="AM95" s="1355"/>
      <c r="AN95" s="1355"/>
      <c r="AO95" s="1355"/>
      <c r="AP95" s="1355"/>
      <c r="AQ95" s="1355"/>
      <c r="AR95" s="1446">
        <v>0</v>
      </c>
    </row>
    <row s="10446" customFormat="1" customHeight="1" ht="17.25" hidden="1">
      <c r="A96" s="429"/>
      <c r="C96" s="428"/>
      <c r="D96" s="2987"/>
      <c r="E96" s="3012"/>
      <c r="F96" s="3024"/>
      <c r="G96" s="3012"/>
      <c r="H96" s="3014"/>
      <c r="I96" s="3016"/>
      <c r="J96" s="3019"/>
      <c r="K96" s="3010"/>
      <c r="L96" s="3010"/>
      <c r="M96" s="3010"/>
      <c r="N96" s="3008"/>
      <c r="O96" s="3010"/>
      <c r="P96" s="1540"/>
      <c r="Q96" s="1393"/>
      <c r="R96" s="1393"/>
      <c r="S96" s="437"/>
      <c r="T96" s="437"/>
      <c r="U96" s="437"/>
      <c r="V96" s="437"/>
      <c r="W96" s="1394"/>
      <c r="X96" s="1355"/>
      <c r="Y96" s="1355"/>
      <c r="Z96" s="1355"/>
      <c r="AA96" s="1355"/>
      <c r="AB96" s="1355"/>
      <c r="AC96" s="1355"/>
      <c r="AD96" s="1355"/>
      <c r="AE96" s="1355"/>
      <c r="AF96" s="1355"/>
      <c r="AG96" s="1355"/>
      <c r="AH96" s="1355"/>
      <c r="AI96" s="1355"/>
      <c r="AJ96" s="1355"/>
      <c r="AK96" s="1355"/>
      <c r="AL96" s="1355"/>
      <c r="AM96" s="1355"/>
      <c r="AN96" s="1355"/>
      <c r="AO96" s="1355"/>
      <c r="AP96" s="1355"/>
      <c r="AQ96" s="1355"/>
      <c r="AR96" s="1446">
        <v>0</v>
      </c>
    </row>
    <row s="10446" customFormat="1" customHeight="1" ht="17.25" hidden="1">
      <c r="A97" s="429"/>
      <c r="C97" s="428"/>
      <c r="D97" s="2987"/>
      <c r="E97" s="3012"/>
      <c r="F97" s="3024"/>
      <c r="G97" s="3012"/>
      <c r="H97" s="3014"/>
      <c r="I97" s="3016"/>
      <c r="J97" s="3019"/>
      <c r="K97" s="3010"/>
      <c r="L97" s="1393"/>
      <c r="M97" s="1393"/>
      <c r="N97" s="1393"/>
      <c r="O97" s="1393"/>
      <c r="P97" s="1393"/>
      <c r="Q97" s="1393"/>
      <c r="R97" s="1393"/>
      <c r="S97" s="437"/>
      <c r="T97" s="437"/>
      <c r="U97" s="437"/>
      <c r="V97" s="437"/>
      <c r="W97" s="1394"/>
      <c r="X97" s="1355"/>
      <c r="Y97" s="1355"/>
      <c r="Z97" s="1355"/>
      <c r="AA97" s="1355"/>
      <c r="AB97" s="1355"/>
      <c r="AC97" s="1355"/>
      <c r="AD97" s="1355"/>
      <c r="AE97" s="1355"/>
      <c r="AF97" s="1355"/>
      <c r="AG97" s="1355"/>
      <c r="AH97" s="1355"/>
      <c r="AI97" s="1355"/>
      <c r="AJ97" s="1355"/>
      <c r="AK97" s="1355"/>
      <c r="AL97" s="1355"/>
      <c r="AM97" s="1355"/>
      <c r="AN97" s="1355"/>
      <c r="AO97" s="1355"/>
      <c r="AP97" s="1355"/>
      <c r="AQ97" s="1355"/>
      <c r="AR97" s="1446">
        <v>0</v>
      </c>
    </row>
    <row s="10446" customFormat="1" customHeight="1" ht="17.25" hidden="1">
      <c r="A98" s="429"/>
      <c r="C98" s="428"/>
      <c r="D98" s="2987"/>
      <c r="E98" s="3012"/>
      <c r="F98" s="3025"/>
      <c r="G98" s="3012"/>
      <c r="H98" s="1395"/>
      <c r="I98" s="1396"/>
      <c r="J98" s="1396"/>
      <c r="K98" s="1396"/>
      <c r="L98" s="1396"/>
      <c r="M98" s="1396"/>
      <c r="N98" s="1396"/>
      <c r="O98" s="1396"/>
      <c r="P98" s="1396"/>
      <c r="Q98" s="1396"/>
      <c r="R98" s="1396"/>
      <c r="S98" s="1397"/>
      <c r="T98" s="1397"/>
      <c r="U98" s="1397"/>
      <c r="V98" s="1397"/>
      <c r="W98" s="1398"/>
      <c r="X98" s="1355"/>
      <c r="Y98" s="1355"/>
      <c r="Z98" s="1355"/>
      <c r="AA98" s="1355"/>
      <c r="AB98" s="1355"/>
      <c r="AC98" s="1355"/>
      <c r="AD98" s="1355"/>
      <c r="AE98" s="1355"/>
      <c r="AF98" s="1355"/>
      <c r="AG98" s="1355"/>
      <c r="AH98" s="1355"/>
      <c r="AI98" s="1355"/>
      <c r="AJ98" s="1355"/>
      <c r="AK98" s="1355"/>
      <c r="AL98" s="1355"/>
      <c r="AM98" s="1355"/>
      <c r="AN98" s="1355"/>
      <c r="AO98" s="1355"/>
      <c r="AP98" s="1355"/>
      <c r="AQ98" s="1355"/>
      <c r="AR98" s="1446">
        <v>0</v>
      </c>
    </row>
    <row s="10446" customFormat="1" customHeight="1" ht="17.25" hidden="1">
      <c r="A99" s="429"/>
      <c r="C99" s="317"/>
      <c r="D99" s="3022">
        <v>5</v>
      </c>
      <c r="E99" s="3011" t="s">
        <v>329</v>
      </c>
      <c r="F99" s="3023" t="s">
        <v>19</v>
      </c>
      <c r="G99" s="3011"/>
      <c r="H99" s="3013"/>
      <c r="I99" s="3015"/>
      <c r="J99" s="3017"/>
      <c r="K99" s="3009"/>
      <c r="L99" s="3009"/>
      <c r="M99" s="3009"/>
      <c r="N99" s="3020"/>
      <c r="O99" s="3009"/>
      <c r="P99" s="3009"/>
      <c r="Q99" s="3009"/>
      <c r="R99" s="3007"/>
      <c r="S99" s="3009"/>
      <c r="T99" s="2034"/>
      <c r="U99" s="2034"/>
      <c r="V99" s="2036"/>
      <c r="W99" s="1392"/>
      <c r="X99" s="1363"/>
      <c r="Y99" s="1363"/>
      <c r="Z99" s="1363"/>
      <c r="AA99" s="1363"/>
      <c r="AB99" s="1363"/>
      <c r="AC99" s="1363" t="s">
        <v>330</v>
      </c>
      <c r="AD99" s="1363" t="s">
        <v>331</v>
      </c>
      <c r="AE99" s="1363" t="s">
        <v>332</v>
      </c>
      <c r="AF99" s="1363" t="s">
        <v>333</v>
      </c>
      <c r="AG99" s="1363"/>
      <c r="AH99" s="1363" t="str">
        <f>IF($E$99=0,"",$E$99)</f>
        <v>Тариф на подключение (технологическое присоединение) к централизованной системе холодного водоснабжения</v>
      </c>
      <c r="AI99" s="1363" t="str">
        <f>IF($G$99=0,"",$G$99)</f>
        <v/>
      </c>
      <c r="AJ99" s="1363" t="str">
        <f>IF($J$99=0,"",$J$99)</f>
        <v/>
      </c>
      <c r="AK99" s="1363" t="str">
        <f>IF($K$99="нет","без дифференциации",IF($N$99=0,"",$N$99))</f>
        <v/>
      </c>
      <c r="AL99" s="1363" t="str">
        <f>IF($O$99="нет","без дифференциации",IF($R$99=0,"",$R$99))</f>
        <v/>
      </c>
      <c r="AM99" s="1363" t="str">
        <f>IF($S$99="нет","без дифференциации",IF($V$99=0,"",$V$99))</f>
        <v/>
      </c>
      <c r="AN99" s="1868">
        <f>$I$99</f>
        <v>0</v>
      </c>
      <c r="AO99" s="1363" t="str">
        <f>$I$99&amp;"."&amp;$M$99</f>
        <v>.</v>
      </c>
      <c r="AP99" s="1362" t="str">
        <f>$I$99&amp;"."&amp;$M$99&amp;"."&amp;$Q$99</f>
        <v>..</v>
      </c>
      <c r="AQ99" s="1362" t="str">
        <f>$I$99&amp;"."&amp;$M$99&amp;"."&amp;$Q$99&amp;"."&amp;$U$99</f>
        <v>...</v>
      </c>
      <c r="AR99" s="1563">
        <v>0</v>
      </c>
    </row>
    <row s="10446" customFormat="1" customHeight="1" ht="17.25" hidden="1">
      <c r="A100" s="429"/>
      <c r="C100" s="428"/>
      <c r="D100" s="3022"/>
      <c r="E100" s="3011"/>
      <c r="F100" s="3024"/>
      <c r="G100" s="3011"/>
      <c r="H100" s="3014"/>
      <c r="I100" s="3016"/>
      <c r="J100" s="3018"/>
      <c r="K100" s="3010"/>
      <c r="L100" s="3010"/>
      <c r="M100" s="3010"/>
      <c r="N100" s="3021"/>
      <c r="O100" s="3010"/>
      <c r="P100" s="3010"/>
      <c r="Q100" s="3010"/>
      <c r="R100" s="3008"/>
      <c r="S100" s="3010"/>
      <c r="T100" s="2039"/>
      <c r="U100" s="2039"/>
      <c r="V100" s="2039"/>
      <c r="W100" s="2040"/>
      <c r="X100" s="1362"/>
      <c r="Y100" s="1362"/>
      <c r="Z100" s="1362"/>
      <c r="AA100" s="1362"/>
      <c r="AB100" s="1362"/>
      <c r="AC100" s="1362"/>
      <c r="AD100" s="1362"/>
      <c r="AE100" s="1362"/>
      <c r="AF100" s="1362"/>
      <c r="AG100" s="1362"/>
      <c r="AH100" s="1362"/>
      <c r="AI100" s="1362"/>
      <c r="AJ100" s="1362"/>
      <c r="AK100" s="1362"/>
      <c r="AL100" s="1362"/>
      <c r="AM100" s="1362"/>
      <c r="AN100" s="1362"/>
      <c r="AO100" s="1362"/>
      <c r="AP100" s="1362"/>
      <c r="AQ100" s="1362"/>
      <c r="AR100" s="1563">
        <v>0</v>
      </c>
    </row>
    <row s="10446" customFormat="1" customHeight="1" ht="17.25" hidden="1">
      <c r="A101" s="429"/>
      <c r="C101" s="428"/>
      <c r="D101" s="2987"/>
      <c r="E101" s="3012"/>
      <c r="F101" s="3024"/>
      <c r="G101" s="3012"/>
      <c r="H101" s="3014"/>
      <c r="I101" s="3016"/>
      <c r="J101" s="3019"/>
      <c r="K101" s="3010"/>
      <c r="L101" s="3010"/>
      <c r="M101" s="3010"/>
      <c r="N101" s="3008"/>
      <c r="O101" s="3010"/>
      <c r="P101" s="2035"/>
      <c r="Q101" s="2039"/>
      <c r="R101" s="2039"/>
      <c r="S101" s="437"/>
      <c r="T101" s="437"/>
      <c r="U101" s="437"/>
      <c r="V101" s="437"/>
      <c r="W101" s="2040"/>
      <c r="X101" s="1362"/>
      <c r="Y101" s="1362"/>
      <c r="Z101" s="1362"/>
      <c r="AA101" s="1362"/>
      <c r="AB101" s="1362"/>
      <c r="AC101" s="1362"/>
      <c r="AD101" s="1362"/>
      <c r="AE101" s="1362"/>
      <c r="AF101" s="1362"/>
      <c r="AG101" s="1362"/>
      <c r="AH101" s="1362"/>
      <c r="AI101" s="1362"/>
      <c r="AJ101" s="1362"/>
      <c r="AK101" s="1362"/>
      <c r="AL101" s="1362"/>
      <c r="AM101" s="1362"/>
      <c r="AN101" s="1362"/>
      <c r="AO101" s="1362"/>
      <c r="AP101" s="1362"/>
      <c r="AQ101" s="1362"/>
      <c r="AR101" s="1563">
        <v>0</v>
      </c>
    </row>
    <row s="10446" customFormat="1" customHeight="1" ht="17.25" hidden="1">
      <c r="A102" s="429"/>
      <c r="C102" s="428"/>
      <c r="D102" s="2987"/>
      <c r="E102" s="3012"/>
      <c r="F102" s="3024"/>
      <c r="G102" s="3012"/>
      <c r="H102" s="3014"/>
      <c r="I102" s="3016"/>
      <c r="J102" s="3019"/>
      <c r="K102" s="3010"/>
      <c r="L102" s="2039"/>
      <c r="M102" s="2039"/>
      <c r="N102" s="2039"/>
      <c r="O102" s="2039"/>
      <c r="P102" s="2039"/>
      <c r="Q102" s="2039"/>
      <c r="R102" s="2039"/>
      <c r="S102" s="437"/>
      <c r="T102" s="437"/>
      <c r="U102" s="437"/>
      <c r="V102" s="437"/>
      <c r="W102" s="2040"/>
      <c r="X102" s="1362"/>
      <c r="Y102" s="1362"/>
      <c r="Z102" s="1362"/>
      <c r="AA102" s="1362"/>
      <c r="AB102" s="1362"/>
      <c r="AC102" s="1362"/>
      <c r="AD102" s="1362"/>
      <c r="AE102" s="1362"/>
      <c r="AF102" s="1362"/>
      <c r="AG102" s="1362"/>
      <c r="AH102" s="1362"/>
      <c r="AI102" s="1362"/>
      <c r="AJ102" s="1362"/>
      <c r="AK102" s="1362"/>
      <c r="AL102" s="1362"/>
      <c r="AM102" s="1362"/>
      <c r="AN102" s="1362"/>
      <c r="AO102" s="1362"/>
      <c r="AP102" s="1362"/>
      <c r="AQ102" s="1362"/>
      <c r="AR102" s="1563">
        <v>0</v>
      </c>
    </row>
    <row s="10446" customFormat="1" customHeight="1" ht="17.25" hidden="1">
      <c r="A103" s="429"/>
      <c r="C103" s="428"/>
      <c r="D103" s="2987"/>
      <c r="E103" s="3012"/>
      <c r="F103" s="3025"/>
      <c r="G103" s="3012"/>
      <c r="H103" s="1395"/>
      <c r="I103" s="2037"/>
      <c r="J103" s="2037"/>
      <c r="K103" s="2037"/>
      <c r="L103" s="2037"/>
      <c r="M103" s="2037"/>
      <c r="N103" s="2037"/>
      <c r="O103" s="2037"/>
      <c r="P103" s="2037"/>
      <c r="Q103" s="2037"/>
      <c r="R103" s="2037"/>
      <c r="S103" s="1397"/>
      <c r="T103" s="1397"/>
      <c r="U103" s="1397"/>
      <c r="V103" s="1397"/>
      <c r="W103" s="2038"/>
      <c r="X103" s="1362"/>
      <c r="Y103" s="1362"/>
      <c r="Z103" s="1362"/>
      <c r="AA103" s="1362"/>
      <c r="AB103" s="1362"/>
      <c r="AC103" s="1362"/>
      <c r="AD103" s="1362"/>
      <c r="AE103" s="1362"/>
      <c r="AF103" s="1362"/>
      <c r="AG103" s="1362"/>
      <c r="AH103" s="1362"/>
      <c r="AI103" s="1362"/>
      <c r="AJ103" s="1362"/>
      <c r="AK103" s="1362"/>
      <c r="AL103" s="1362"/>
      <c r="AM103" s="1362"/>
      <c r="AN103" s="1362"/>
      <c r="AO103" s="1362"/>
      <c r="AP103" s="1362"/>
      <c r="AQ103" s="1362"/>
      <c r="AR103" s="1563">
        <v>0</v>
      </c>
    </row>
    <row s="10446" customFormat="1" customHeight="1" ht="11.25" hidden="1">
      <c r="A104" s="385"/>
      <c r="B104" s="385"/>
      <c r="Y104" s="1355"/>
      <c r="Z104" s="1355"/>
      <c r="AA104" s="1355"/>
      <c r="AB104" s="1355"/>
      <c r="AC104" s="1355"/>
      <c r="AD104" s="1355"/>
      <c r="AE104" s="1355"/>
      <c r="AF104" s="1355"/>
      <c r="AG104" s="1355"/>
      <c r="AH104" s="1355"/>
      <c r="AI104" s="1355"/>
      <c r="AJ104" s="1355"/>
      <c r="AK104" s="1355"/>
      <c r="AL104" s="1355"/>
      <c r="AM104" s="1355"/>
      <c r="AN104" s="1355"/>
      <c r="AO104" s="1355"/>
      <c r="AP104" s="1355"/>
      <c r="AQ104" s="1355"/>
      <c r="AR104" s="1563">
        <v>0</v>
      </c>
    </row>
    <row s="10446" customFormat="1" customHeight="1" ht="17.25" hidden="1">
      <c r="A105" s="429"/>
      <c r="C105" s="317"/>
      <c r="D105" s="3022">
        <v>1</v>
      </c>
      <c r="E105" s="3011" t="s">
        <v>334</v>
      </c>
      <c r="F105" s="3023" t="s">
        <v>19</v>
      </c>
      <c r="G105" s="3011"/>
      <c r="H105" s="3013"/>
      <c r="I105" s="3015"/>
      <c r="J105" s="3017"/>
      <c r="K105" s="3009"/>
      <c r="L105" s="3009"/>
      <c r="M105" s="3009"/>
      <c r="N105" s="3020"/>
      <c r="O105" s="3009"/>
      <c r="P105" s="3009"/>
      <c r="Q105" s="3009"/>
      <c r="R105" s="3007"/>
      <c r="S105" s="3009"/>
      <c r="T105" s="1566"/>
      <c r="U105" s="1566"/>
      <c r="V105" s="1568"/>
      <c r="W105" s="1392"/>
      <c r="Y105" s="1363"/>
      <c r="Z105" s="1363"/>
      <c r="AA105" s="1363"/>
      <c r="AB105" s="1363"/>
      <c r="AC105" s="1363" t="s">
        <v>335</v>
      </c>
      <c r="AD105" s="1363" t="s">
        <v>336</v>
      </c>
      <c r="AE105" s="1363" t="s">
        <v>337</v>
      </c>
      <c r="AF105" s="1363" t="s">
        <v>338</v>
      </c>
      <c r="AG105" s="1363"/>
      <c r="AH105" s="1363" t="str">
        <f>IF($E$105=0,"",$E$105)</f>
        <v>Тариф на горячую воду (горячее водоснабжение)</v>
      </c>
      <c r="AI105" s="1363" t="str">
        <f>IF($G$105=0,"",$G$105)</f>
        <v/>
      </c>
      <c r="AJ105" s="1363" t="str">
        <f>IF($J$105=0,"",$J$105)</f>
        <v/>
      </c>
      <c r="AK105" s="1363" t="str">
        <f>IF($K$105="нет","без дифференциации",IF($N$105=0,"",$N$105))</f>
        <v/>
      </c>
      <c r="AL105" s="1363" t="str">
        <f>IF($O$105="нет","без дифференциации",IF($R$105=0,"",$R$105))</f>
        <v/>
      </c>
      <c r="AM105" s="1363" t="str">
        <f>IF($S$105="нет","без дифференциации",IF($V$105=0,"",$V$105))</f>
        <v/>
      </c>
      <c r="AN105" s="1363">
        <f>$I$105</f>
        <v>0</v>
      </c>
      <c r="AO105" s="1363" t="str">
        <f>$I$105&amp;"."&amp;$M$105</f>
        <v>.</v>
      </c>
      <c r="AP105" s="1363" t="str">
        <f>$I$105&amp;"."&amp;$M$105&amp;"."&amp;$Q$105</f>
        <v>..</v>
      </c>
      <c r="AQ105" s="1363" t="str">
        <f>$I$105&amp;"."&amp;$M$105&amp;"."&amp;$Q$105&amp;"."&amp;$U$105</f>
        <v>...</v>
      </c>
      <c r="AR105" s="1563">
        <v>0</v>
      </c>
    </row>
    <row s="10446" customFormat="1" customHeight="1" ht="17.25" hidden="1">
      <c r="A106" s="429"/>
      <c r="C106" s="428"/>
      <c r="D106" s="3022"/>
      <c r="E106" s="3011"/>
      <c r="F106" s="3024"/>
      <c r="G106" s="3011"/>
      <c r="H106" s="3014"/>
      <c r="I106" s="3016"/>
      <c r="J106" s="3018"/>
      <c r="K106" s="3010"/>
      <c r="L106" s="3010"/>
      <c r="M106" s="3010"/>
      <c r="N106" s="3021"/>
      <c r="O106" s="3010"/>
      <c r="P106" s="3010"/>
      <c r="Q106" s="3010"/>
      <c r="R106" s="3008"/>
      <c r="S106" s="3010"/>
      <c r="T106" s="1393"/>
      <c r="U106" s="1393"/>
      <c r="V106" s="1393"/>
      <c r="W106" s="1394"/>
      <c r="Y106" s="1355"/>
      <c r="Z106" s="1355"/>
      <c r="AA106" s="1355"/>
      <c r="AB106" s="1355"/>
      <c r="AC106" s="1355"/>
      <c r="AD106" s="1355"/>
      <c r="AE106" s="1355"/>
      <c r="AF106" s="1355"/>
      <c r="AG106" s="1355"/>
      <c r="AH106" s="1355"/>
      <c r="AI106" s="1355"/>
      <c r="AJ106" s="1355"/>
      <c r="AK106" s="1355"/>
      <c r="AL106" s="1355"/>
      <c r="AM106" s="1355"/>
      <c r="AN106" s="1355"/>
      <c r="AO106" s="1355"/>
      <c r="AP106" s="1355"/>
      <c r="AQ106" s="1355"/>
      <c r="AR106" s="1563">
        <v>0</v>
      </c>
    </row>
    <row s="10446" customFormat="1" customHeight="1" ht="17.25" hidden="1">
      <c r="A107" s="429"/>
      <c r="C107" s="317"/>
      <c r="D107" s="3022"/>
      <c r="E107" s="3011"/>
      <c r="F107" s="3024"/>
      <c r="G107" s="3011"/>
      <c r="H107" s="3014"/>
      <c r="I107" s="3016"/>
      <c r="J107" s="3019"/>
      <c r="K107" s="3010"/>
      <c r="L107" s="3010"/>
      <c r="M107" s="3010"/>
      <c r="N107" s="3008"/>
      <c r="O107" s="3010"/>
      <c r="P107" s="1567"/>
      <c r="Q107" s="1393"/>
      <c r="R107" s="1393"/>
      <c r="S107" s="437"/>
      <c r="T107" s="437"/>
      <c r="U107" s="437"/>
      <c r="V107" s="437"/>
      <c r="W107" s="1394"/>
      <c r="Y107" s="1363"/>
      <c r="Z107" s="1363"/>
      <c r="AA107" s="1363"/>
      <c r="AB107" s="1363"/>
      <c r="AC107" s="1363"/>
      <c r="AD107" s="1363"/>
      <c r="AE107" s="1363"/>
      <c r="AF107" s="1363"/>
      <c r="AG107" s="1363"/>
      <c r="AH107" s="1363"/>
      <c r="AI107" s="1363"/>
      <c r="AJ107" s="1363"/>
      <c r="AK107" s="1363"/>
      <c r="AL107" s="1363"/>
      <c r="AM107" s="1363"/>
      <c r="AN107" s="1363"/>
      <c r="AO107" s="1363"/>
      <c r="AP107" s="1363"/>
      <c r="AQ107" s="1363"/>
      <c r="AR107" s="1563">
        <v>0</v>
      </c>
    </row>
    <row s="10446" customFormat="1" customHeight="1" ht="17.25" hidden="1">
      <c r="A108" s="429"/>
      <c r="C108" s="428"/>
      <c r="D108" s="3022"/>
      <c r="E108" s="3011"/>
      <c r="F108" s="3024"/>
      <c r="G108" s="3011"/>
      <c r="H108" s="3014"/>
      <c r="I108" s="3016"/>
      <c r="J108" s="3019"/>
      <c r="K108" s="3010"/>
      <c r="L108" s="1393"/>
      <c r="M108" s="1393"/>
      <c r="N108" s="1393"/>
      <c r="O108" s="1393"/>
      <c r="P108" s="1393"/>
      <c r="Q108" s="1393"/>
      <c r="R108" s="1393"/>
      <c r="S108" s="437"/>
      <c r="T108" s="437"/>
      <c r="U108" s="437"/>
      <c r="V108" s="437"/>
      <c r="W108" s="1394"/>
      <c r="Y108" s="1355"/>
      <c r="Z108" s="1355"/>
      <c r="AA108" s="1355"/>
      <c r="AB108" s="1355"/>
      <c r="AC108" s="1355"/>
      <c r="AD108" s="1355"/>
      <c r="AE108" s="1355"/>
      <c r="AF108" s="1355"/>
      <c r="AG108" s="1355"/>
      <c r="AH108" s="1355"/>
      <c r="AI108" s="1355"/>
      <c r="AJ108" s="1355"/>
      <c r="AK108" s="1355"/>
      <c r="AL108" s="1355"/>
      <c r="AM108" s="1355"/>
      <c r="AN108" s="1355"/>
      <c r="AO108" s="1355"/>
      <c r="AP108" s="1355"/>
      <c r="AQ108" s="1355"/>
      <c r="AR108" s="1563">
        <v>0</v>
      </c>
    </row>
    <row s="10446" customFormat="1" customHeight="1" ht="17.25" hidden="1">
      <c r="A109" s="429"/>
      <c r="C109" s="428"/>
      <c r="D109" s="2987"/>
      <c r="E109" s="3012"/>
      <c r="F109" s="3025"/>
      <c r="G109" s="3012"/>
      <c r="H109" s="1395"/>
      <c r="I109" s="1396"/>
      <c r="J109" s="1396"/>
      <c r="K109" s="1396"/>
      <c r="L109" s="1396"/>
      <c r="M109" s="1396"/>
      <c r="N109" s="1396"/>
      <c r="O109" s="1396"/>
      <c r="P109" s="1396"/>
      <c r="Q109" s="1396"/>
      <c r="R109" s="1396"/>
      <c r="S109" s="1397"/>
      <c r="T109" s="1397"/>
      <c r="U109" s="1397"/>
      <c r="V109" s="1397"/>
      <c r="W109" s="1398"/>
      <c r="Y109" s="1355"/>
      <c r="Z109" s="1355"/>
      <c r="AA109" s="1355"/>
      <c r="AB109" s="1355"/>
      <c r="AC109" s="1355"/>
      <c r="AD109" s="1355"/>
      <c r="AE109" s="1355"/>
      <c r="AF109" s="1355"/>
      <c r="AG109" s="1355"/>
      <c r="AH109" s="1355"/>
      <c r="AI109" s="1355"/>
      <c r="AJ109" s="1355"/>
      <c r="AK109" s="1355"/>
      <c r="AL109" s="1355"/>
      <c r="AM109" s="1355"/>
      <c r="AN109" s="1355"/>
      <c r="AO109" s="1355"/>
      <c r="AP109" s="1355"/>
      <c r="AQ109" s="1355"/>
      <c r="AR109" s="1563">
        <v>0</v>
      </c>
    </row>
    <row s="10446" customFormat="1" customHeight="1" ht="17.25" hidden="1">
      <c r="A110" s="429"/>
      <c r="C110" s="317"/>
      <c r="D110" s="3022">
        <v>2</v>
      </c>
      <c r="E110" s="3011" t="s">
        <v>339</v>
      </c>
      <c r="F110" s="3023" t="s">
        <v>19</v>
      </c>
      <c r="G110" s="3011"/>
      <c r="H110" s="3013"/>
      <c r="I110" s="3015"/>
      <c r="J110" s="3017"/>
      <c r="K110" s="3009"/>
      <c r="L110" s="3009"/>
      <c r="M110" s="3009"/>
      <c r="N110" s="3020"/>
      <c r="O110" s="3009"/>
      <c r="P110" s="3009"/>
      <c r="Q110" s="3009"/>
      <c r="R110" s="3007"/>
      <c r="S110" s="3009"/>
      <c r="T110" s="1566"/>
      <c r="U110" s="1566"/>
      <c r="V110" s="1568"/>
      <c r="W110" s="1392"/>
      <c r="X110" s="1363"/>
      <c r="Y110" s="1363"/>
      <c r="Z110" s="1363"/>
      <c r="AA110" s="1363"/>
      <c r="AB110" s="1363"/>
      <c r="AC110" s="1363" t="s">
        <v>340</v>
      </c>
      <c r="AD110" s="1363" t="s">
        <v>341</v>
      </c>
      <c r="AE110" s="1363" t="s">
        <v>342</v>
      </c>
      <c r="AF110" s="1363" t="s">
        <v>343</v>
      </c>
      <c r="AG110" s="1363"/>
      <c r="AH110" s="1363" t="str">
        <f>IF($E$110=0,"",$E$110)</f>
        <v>Тариф на транспортировку горячей воды</v>
      </c>
      <c r="AI110" s="1363" t="str">
        <f>IF($G$110=0,"",$G$110)</f>
        <v/>
      </c>
      <c r="AJ110" s="1363" t="str">
        <f>IF($J$110=0,"",$J$110)</f>
        <v/>
      </c>
      <c r="AK110" s="1363" t="str">
        <f>IF($K$110="нет","без дифференциации",IF($N$110=0,"",$N$110))</f>
        <v/>
      </c>
      <c r="AL110" s="1363" t="str">
        <f>IF($O$110="нет","без дифференциации",IF($R$110=0,"",$R$110))</f>
        <v/>
      </c>
      <c r="AM110" s="1363" t="str">
        <f>IF($S$110="нет","без дифференциации",IF($V$110=0,"",$V$110))</f>
        <v/>
      </c>
      <c r="AN110" s="1868">
        <f>$I$110</f>
        <v>0</v>
      </c>
      <c r="AO110" s="1363" t="str">
        <f>$I$110&amp;"."&amp;$M$110</f>
        <v>.</v>
      </c>
      <c r="AP110" s="1355" t="str">
        <f>$I$110&amp;"."&amp;$M$110&amp;"."&amp;$Q$110</f>
        <v>..</v>
      </c>
      <c r="AQ110" s="1355" t="str">
        <f>$I$110&amp;"."&amp;$M$110&amp;"."&amp;$Q$110&amp;"."&amp;$U$110</f>
        <v>...</v>
      </c>
      <c r="AR110" s="1563">
        <v>0</v>
      </c>
    </row>
    <row s="10446" customFormat="1" customHeight="1" ht="17.25" hidden="1">
      <c r="A111" s="429"/>
      <c r="C111" s="428"/>
      <c r="D111" s="3022"/>
      <c r="E111" s="3011"/>
      <c r="F111" s="3024"/>
      <c r="G111" s="3011"/>
      <c r="H111" s="3014"/>
      <c r="I111" s="3016"/>
      <c r="J111" s="3018"/>
      <c r="K111" s="3010"/>
      <c r="L111" s="3010"/>
      <c r="M111" s="3010"/>
      <c r="N111" s="3021"/>
      <c r="O111" s="3010"/>
      <c r="P111" s="3010"/>
      <c r="Q111" s="3010"/>
      <c r="R111" s="3008"/>
      <c r="S111" s="3010"/>
      <c r="T111" s="1393"/>
      <c r="U111" s="1393"/>
      <c r="V111" s="1393"/>
      <c r="W111" s="1394"/>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c r="AR111" s="1563">
        <v>0</v>
      </c>
    </row>
    <row s="10446" customFormat="1" customHeight="1" ht="17.25" hidden="1">
      <c r="A112" s="429"/>
      <c r="C112" s="428"/>
      <c r="D112" s="2987"/>
      <c r="E112" s="3012"/>
      <c r="F112" s="3024"/>
      <c r="G112" s="3012"/>
      <c r="H112" s="3014"/>
      <c r="I112" s="3016"/>
      <c r="J112" s="3019"/>
      <c r="K112" s="3010"/>
      <c r="L112" s="3010"/>
      <c r="M112" s="3010"/>
      <c r="N112" s="3008"/>
      <c r="O112" s="3010"/>
      <c r="P112" s="1567"/>
      <c r="Q112" s="1393"/>
      <c r="R112" s="1393"/>
      <c r="S112" s="437"/>
      <c r="T112" s="437"/>
      <c r="U112" s="437"/>
      <c r="V112" s="437"/>
      <c r="W112" s="1394"/>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563">
        <v>0</v>
      </c>
    </row>
    <row s="10446" customFormat="1" customHeight="1" ht="17.25" hidden="1">
      <c r="A113" s="429"/>
      <c r="C113" s="428"/>
      <c r="D113" s="2987"/>
      <c r="E113" s="3012"/>
      <c r="F113" s="3024"/>
      <c r="G113" s="3012"/>
      <c r="H113" s="3014"/>
      <c r="I113" s="3016"/>
      <c r="J113" s="3019"/>
      <c r="K113" s="3010"/>
      <c r="L113" s="1393"/>
      <c r="M113" s="1393"/>
      <c r="N113" s="1393"/>
      <c r="O113" s="1393"/>
      <c r="P113" s="1393"/>
      <c r="Q113" s="1393"/>
      <c r="R113" s="1393"/>
      <c r="S113" s="437"/>
      <c r="T113" s="437"/>
      <c r="U113" s="437"/>
      <c r="V113" s="437"/>
      <c r="W113" s="1394"/>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c r="AR113" s="1563">
        <v>0</v>
      </c>
    </row>
    <row s="10446" customFormat="1" customHeight="1" ht="17.25" hidden="1">
      <c r="A114" s="429"/>
      <c r="C114" s="428"/>
      <c r="D114" s="2987"/>
      <c r="E114" s="3012"/>
      <c r="F114" s="3025"/>
      <c r="G114" s="3012"/>
      <c r="H114" s="1395"/>
      <c r="I114" s="1396"/>
      <c r="J114" s="1396"/>
      <c r="K114" s="1396"/>
      <c r="L114" s="1396"/>
      <c r="M114" s="1396"/>
      <c r="N114" s="1396"/>
      <c r="O114" s="1396"/>
      <c r="P114" s="1396"/>
      <c r="Q114" s="1396"/>
      <c r="R114" s="1396"/>
      <c r="S114" s="1397"/>
      <c r="T114" s="1397"/>
      <c r="U114" s="1397"/>
      <c r="V114" s="1397"/>
      <c r="W114" s="139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c r="AR114" s="1563">
        <v>0</v>
      </c>
    </row>
    <row s="10446" customFormat="1" customHeight="1" ht="17.25" hidden="1">
      <c r="A115" s="429"/>
      <c r="C115" s="317"/>
      <c r="D115" s="3022">
        <v>3</v>
      </c>
      <c r="E115" s="3011" t="s">
        <v>344</v>
      </c>
      <c r="F115" s="3023" t="s">
        <v>19</v>
      </c>
      <c r="G115" s="3011"/>
      <c r="H115" s="3013"/>
      <c r="I115" s="3015"/>
      <c r="J115" s="3017"/>
      <c r="K115" s="3009"/>
      <c r="L115" s="3009"/>
      <c r="M115" s="3009"/>
      <c r="N115" s="3020"/>
      <c r="O115" s="3009"/>
      <c r="P115" s="3009"/>
      <c r="Q115" s="3009"/>
      <c r="R115" s="3007"/>
      <c r="S115" s="3009"/>
      <c r="T115" s="2034"/>
      <c r="U115" s="2034"/>
      <c r="V115" s="2036"/>
      <c r="W115" s="1392"/>
      <c r="X115" s="1363"/>
      <c r="Y115" s="1363"/>
      <c r="Z115" s="1363"/>
      <c r="AA115" s="1363"/>
      <c r="AB115" s="1363"/>
      <c r="AC115" s="1363" t="s">
        <v>345</v>
      </c>
      <c r="AD115" s="1363" t="s">
        <v>346</v>
      </c>
      <c r="AE115" s="1363" t="s">
        <v>347</v>
      </c>
      <c r="AF115" s="1363" t="s">
        <v>348</v>
      </c>
      <c r="AG115" s="1363"/>
      <c r="AH115" s="1363" t="str">
        <f>IF($E$115=0,"",$E$115)</f>
        <v>Тариф на подключение (технологическое присоединение) к централизованной системе горячего водоснабжения</v>
      </c>
      <c r="AI115" s="1363" t="str">
        <f>IF($G$115=0,"",$G$115)</f>
        <v/>
      </c>
      <c r="AJ115" s="1363" t="str">
        <f>IF($J$115=0,"",$J$115)</f>
        <v/>
      </c>
      <c r="AK115" s="1363" t="str">
        <f>IF($K$115="нет","без дифференциации",IF($N$115=0,"",$N$115))</f>
        <v/>
      </c>
      <c r="AL115" s="1363" t="str">
        <f>IF($O$115="нет","без дифференциации",IF($R$115=0,"",$R$115))</f>
        <v/>
      </c>
      <c r="AM115" s="1363" t="str">
        <f>IF($S$115="нет","без дифференциации",IF($V$115=0,"",$V$115))</f>
        <v/>
      </c>
      <c r="AN115" s="1868">
        <f>$I$115</f>
        <v>0</v>
      </c>
      <c r="AO115" s="1363" t="str">
        <f>$I$115&amp;"."&amp;$M$115</f>
        <v>.</v>
      </c>
      <c r="AP115" s="1362" t="str">
        <f>$I$115&amp;"."&amp;$M$115&amp;"."&amp;$Q$115</f>
        <v>..</v>
      </c>
      <c r="AQ115" s="1362" t="str">
        <f>$I$115&amp;"."&amp;$M$115&amp;"."&amp;$Q$115&amp;"."&amp;$U$115</f>
        <v>...</v>
      </c>
      <c r="AR115" s="1563">
        <v>0</v>
      </c>
    </row>
    <row s="10446" customFormat="1" customHeight="1" ht="17.25" hidden="1">
      <c r="A116" s="429"/>
      <c r="C116" s="428"/>
      <c r="D116" s="3022"/>
      <c r="E116" s="3011"/>
      <c r="F116" s="3024"/>
      <c r="G116" s="3011"/>
      <c r="H116" s="3014"/>
      <c r="I116" s="3016"/>
      <c r="J116" s="3018"/>
      <c r="K116" s="3010"/>
      <c r="L116" s="3010"/>
      <c r="M116" s="3010"/>
      <c r="N116" s="3021"/>
      <c r="O116" s="3010"/>
      <c r="P116" s="3010"/>
      <c r="Q116" s="3010"/>
      <c r="R116" s="3008"/>
      <c r="S116" s="3010"/>
      <c r="T116" s="2039"/>
      <c r="U116" s="2039"/>
      <c r="V116" s="2039"/>
      <c r="W116" s="2040"/>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563">
        <v>0</v>
      </c>
    </row>
    <row s="10446" customFormat="1" customHeight="1" ht="17.25" hidden="1">
      <c r="A117" s="429"/>
      <c r="C117" s="428"/>
      <c r="D117" s="2987"/>
      <c r="E117" s="3012"/>
      <c r="F117" s="3024"/>
      <c r="G117" s="3012"/>
      <c r="H117" s="3014"/>
      <c r="I117" s="3016"/>
      <c r="J117" s="3019"/>
      <c r="K117" s="3010"/>
      <c r="L117" s="3010"/>
      <c r="M117" s="3010"/>
      <c r="N117" s="3008"/>
      <c r="O117" s="3010"/>
      <c r="P117" s="2035"/>
      <c r="Q117" s="2039"/>
      <c r="R117" s="2039"/>
      <c r="S117" s="437"/>
      <c r="T117" s="437"/>
      <c r="U117" s="437"/>
      <c r="V117" s="437"/>
      <c r="W117" s="2040"/>
      <c r="X117" s="1362"/>
      <c r="Y117" s="1362"/>
      <c r="Z117" s="1362"/>
      <c r="AA117" s="1362"/>
      <c r="AB117" s="1362"/>
      <c r="AC117" s="1362"/>
      <c r="AD117" s="1362"/>
      <c r="AE117" s="1362"/>
      <c r="AF117" s="1362"/>
      <c r="AG117" s="1362"/>
      <c r="AH117" s="1362"/>
      <c r="AI117" s="1362"/>
      <c r="AJ117" s="1362"/>
      <c r="AK117" s="1362"/>
      <c r="AL117" s="1362"/>
      <c r="AM117" s="1362"/>
      <c r="AN117" s="1362"/>
      <c r="AO117" s="1362"/>
      <c r="AP117" s="1362"/>
      <c r="AQ117" s="1362"/>
      <c r="AR117" s="1563">
        <v>0</v>
      </c>
    </row>
    <row s="10446" customFormat="1" customHeight="1" ht="17.25" hidden="1">
      <c r="A118" s="429"/>
      <c r="C118" s="428"/>
      <c r="D118" s="2987"/>
      <c r="E118" s="3012"/>
      <c r="F118" s="3024"/>
      <c r="G118" s="3012"/>
      <c r="H118" s="3014"/>
      <c r="I118" s="3016"/>
      <c r="J118" s="3019"/>
      <c r="K118" s="3010"/>
      <c r="L118" s="2039"/>
      <c r="M118" s="2039"/>
      <c r="N118" s="2039"/>
      <c r="O118" s="2039"/>
      <c r="P118" s="2039"/>
      <c r="Q118" s="2039"/>
      <c r="R118" s="2039"/>
      <c r="S118" s="437"/>
      <c r="T118" s="437"/>
      <c r="U118" s="437"/>
      <c r="V118" s="437"/>
      <c r="W118" s="2040"/>
      <c r="X118" s="1362"/>
      <c r="Y118" s="1362"/>
      <c r="Z118" s="1362"/>
      <c r="AA118" s="1362"/>
      <c r="AB118" s="1362"/>
      <c r="AC118" s="1362"/>
      <c r="AD118" s="1362"/>
      <c r="AE118" s="1362"/>
      <c r="AF118" s="1362"/>
      <c r="AG118" s="1362"/>
      <c r="AH118" s="1362"/>
      <c r="AI118" s="1362"/>
      <c r="AJ118" s="1362"/>
      <c r="AK118" s="1362"/>
      <c r="AL118" s="1362"/>
      <c r="AM118" s="1362"/>
      <c r="AN118" s="1362"/>
      <c r="AO118" s="1362"/>
      <c r="AP118" s="1362"/>
      <c r="AQ118" s="1362"/>
      <c r="AR118" s="1563">
        <v>0</v>
      </c>
    </row>
    <row s="10446" customFormat="1" customHeight="1" ht="17.25" hidden="1">
      <c r="A119" s="429"/>
      <c r="C119" s="428"/>
      <c r="D119" s="2987"/>
      <c r="E119" s="3012"/>
      <c r="F119" s="3025"/>
      <c r="G119" s="3012"/>
      <c r="H119" s="1395"/>
      <c r="I119" s="2037"/>
      <c r="J119" s="2037"/>
      <c r="K119" s="2037"/>
      <c r="L119" s="2037"/>
      <c r="M119" s="2037"/>
      <c r="N119" s="2037"/>
      <c r="O119" s="2037"/>
      <c r="P119" s="2037"/>
      <c r="Q119" s="2037"/>
      <c r="R119" s="2037"/>
      <c r="S119" s="1397"/>
      <c r="T119" s="1397"/>
      <c r="U119" s="1397"/>
      <c r="V119" s="1397"/>
      <c r="W119" s="2038"/>
      <c r="X119" s="1362"/>
      <c r="Y119" s="1362"/>
      <c r="Z119" s="1362"/>
      <c r="AA119" s="1362"/>
      <c r="AB119" s="1362"/>
      <c r="AC119" s="1362"/>
      <c r="AD119" s="1362"/>
      <c r="AE119" s="1362"/>
      <c r="AF119" s="1362"/>
      <c r="AG119" s="1362"/>
      <c r="AH119" s="1362"/>
      <c r="AI119" s="1362"/>
      <c r="AJ119" s="1362"/>
      <c r="AK119" s="1362"/>
      <c r="AL119" s="1362"/>
      <c r="AM119" s="1362"/>
      <c r="AN119" s="1362"/>
      <c r="AO119" s="1362"/>
      <c r="AP119" s="1362"/>
      <c r="AQ119" s="1362"/>
      <c r="AR119" s="1563">
        <v>0</v>
      </c>
    </row>
    <row s="10446" customFormat="1" customHeight="1" ht="11.25" hidden="1">
      <c r="A120" s="385"/>
      <c r="B120" s="385"/>
      <c r="Y120" s="1355"/>
      <c r="Z120" s="1355"/>
      <c r="AA120" s="1355"/>
      <c r="AB120" s="1355"/>
      <c r="AC120" s="1355"/>
      <c r="AD120" s="1355"/>
      <c r="AE120" s="1355"/>
      <c r="AF120" s="1355"/>
      <c r="AG120" s="1355"/>
      <c r="AH120" s="1355"/>
      <c r="AI120" s="1355"/>
      <c r="AJ120" s="1355"/>
      <c r="AK120" s="1355"/>
      <c r="AL120" s="1355"/>
      <c r="AM120" s="1355"/>
      <c r="AN120" s="1355"/>
      <c r="AO120" s="1355"/>
      <c r="AP120" s="1355"/>
      <c r="AQ120" s="1355"/>
      <c r="AR120" s="1563">
        <v>0</v>
      </c>
    </row>
    <row s="10446" customFormat="1" customHeight="1" ht="17.25" hidden="1">
      <c r="A121" s="429"/>
      <c r="C121" s="317"/>
      <c r="D121" s="3022">
        <v>1</v>
      </c>
      <c r="E121" s="3011" t="s">
        <v>349</v>
      </c>
      <c r="F121" s="3023" t="s">
        <v>19</v>
      </c>
      <c r="G121" s="3011"/>
      <c r="H121" s="3013"/>
      <c r="I121" s="3015"/>
      <c r="J121" s="3017"/>
      <c r="K121" s="3009"/>
      <c r="L121" s="3009"/>
      <c r="M121" s="3009"/>
      <c r="N121" s="3020"/>
      <c r="O121" s="3009"/>
      <c r="P121" s="3009"/>
      <c r="Q121" s="3009"/>
      <c r="R121" s="3007"/>
      <c r="S121" s="3009"/>
      <c r="T121" s="1566"/>
      <c r="U121" s="1566"/>
      <c r="V121" s="1568"/>
      <c r="W121" s="1392"/>
      <c r="Y121" s="1363"/>
      <c r="Z121" s="1363"/>
      <c r="AA121" s="1363"/>
      <c r="AB121" s="1363"/>
      <c r="AC121" s="1363" t="s">
        <v>350</v>
      </c>
      <c r="AD121" s="1363" t="s">
        <v>351</v>
      </c>
      <c r="AE121" s="1363" t="s">
        <v>352</v>
      </c>
      <c r="AF121" s="1363" t="s">
        <v>353</v>
      </c>
      <c r="AG121" s="1363"/>
      <c r="AH121" s="1363" t="str">
        <f>IF($E$121=0,"",$E$121)</f>
        <v>Тариф на водоотведение</v>
      </c>
      <c r="AI121" s="1363" t="str">
        <f>IF($G$121=0,"",$G$121)</f>
        <v/>
      </c>
      <c r="AJ121" s="1363" t="str">
        <f>IF($J$121=0,"",$J$121)</f>
        <v/>
      </c>
      <c r="AK121" s="1363" t="str">
        <f>IF($K$121="нет","без дифференциации",IF($N$121=0,"",$N$121))</f>
        <v/>
      </c>
      <c r="AL121" s="1363" t="str">
        <f>IF($O$121="нет","без дифференциации",IF($R$121=0,"",$R$121))</f>
        <v/>
      </c>
      <c r="AM121" s="1363" t="str">
        <f>IF($S$121="нет","без дифференциации",IF($V$121=0,"",$V$121))</f>
        <v/>
      </c>
      <c r="AN121" s="1363">
        <f>$I$121</f>
        <v>0</v>
      </c>
      <c r="AO121" s="1363" t="str">
        <f>$I$121&amp;"."&amp;$M$121</f>
        <v>.</v>
      </c>
      <c r="AP121" s="1363" t="str">
        <f>$I$121&amp;"."&amp;$M$121&amp;"."&amp;$Q$121</f>
        <v>..</v>
      </c>
      <c r="AQ121" s="1363" t="str">
        <f>$I$121&amp;"."&amp;$M$121&amp;"."&amp;$Q$121&amp;"."&amp;$U$121</f>
        <v>...</v>
      </c>
      <c r="AR121" s="1563">
        <v>0</v>
      </c>
    </row>
    <row s="10446" customFormat="1" customHeight="1" ht="17.25" hidden="1">
      <c r="A122" s="429"/>
      <c r="C122" s="428"/>
      <c r="D122" s="3022"/>
      <c r="E122" s="3011"/>
      <c r="F122" s="3024"/>
      <c r="G122" s="3011"/>
      <c r="H122" s="3014"/>
      <c r="I122" s="3016"/>
      <c r="J122" s="3018"/>
      <c r="K122" s="3010"/>
      <c r="L122" s="3010"/>
      <c r="M122" s="3010"/>
      <c r="N122" s="3021"/>
      <c r="O122" s="3010"/>
      <c r="P122" s="3010"/>
      <c r="Q122" s="3010"/>
      <c r="R122" s="3008"/>
      <c r="S122" s="3010"/>
      <c r="T122" s="1393"/>
      <c r="U122" s="1393"/>
      <c r="V122" s="1393"/>
      <c r="W122" s="1394"/>
      <c r="Y122" s="1355"/>
      <c r="Z122" s="1355"/>
      <c r="AA122" s="1355"/>
      <c r="AB122" s="1355"/>
      <c r="AC122" s="1355"/>
      <c r="AD122" s="1355"/>
      <c r="AE122" s="1355"/>
      <c r="AF122" s="1355"/>
      <c r="AG122" s="1355"/>
      <c r="AH122" s="1355"/>
      <c r="AI122" s="1355"/>
      <c r="AJ122" s="1355"/>
      <c r="AK122" s="1355"/>
      <c r="AL122" s="1355"/>
      <c r="AM122" s="1355"/>
      <c r="AN122" s="1355"/>
      <c r="AO122" s="1355"/>
      <c r="AP122" s="1355"/>
      <c r="AQ122" s="1355"/>
      <c r="AR122" s="1563">
        <v>0</v>
      </c>
    </row>
    <row s="10446" customFormat="1" customHeight="1" ht="17.25" hidden="1">
      <c r="A123" s="429"/>
      <c r="C123" s="317"/>
      <c r="D123" s="3022"/>
      <c r="E123" s="3011"/>
      <c r="F123" s="3024"/>
      <c r="G123" s="3011"/>
      <c r="H123" s="3014"/>
      <c r="I123" s="3016"/>
      <c r="J123" s="3019"/>
      <c r="K123" s="3010"/>
      <c r="L123" s="3010"/>
      <c r="M123" s="3010"/>
      <c r="N123" s="3008"/>
      <c r="O123" s="3010"/>
      <c r="P123" s="1567"/>
      <c r="Q123" s="1393"/>
      <c r="R123" s="1393"/>
      <c r="S123" s="437"/>
      <c r="T123" s="437"/>
      <c r="U123" s="437"/>
      <c r="V123" s="437"/>
      <c r="W123" s="1394"/>
      <c r="Y123" s="1363"/>
      <c r="Z123" s="1363"/>
      <c r="AA123" s="1363"/>
      <c r="AB123" s="1363"/>
      <c r="AC123" s="1363"/>
      <c r="AD123" s="1363"/>
      <c r="AE123" s="1363"/>
      <c r="AF123" s="1363"/>
      <c r="AG123" s="1363"/>
      <c r="AH123" s="1363"/>
      <c r="AI123" s="1363"/>
      <c r="AJ123" s="1363"/>
      <c r="AK123" s="1363"/>
      <c r="AL123" s="1363"/>
      <c r="AM123" s="1363"/>
      <c r="AN123" s="1363"/>
      <c r="AO123" s="1363"/>
      <c r="AP123" s="1363"/>
      <c r="AQ123" s="1363"/>
      <c r="AR123" s="1563">
        <v>0</v>
      </c>
    </row>
    <row s="10446" customFormat="1" customHeight="1" ht="17.25" hidden="1">
      <c r="A124" s="429"/>
      <c r="C124" s="428"/>
      <c r="D124" s="3022"/>
      <c r="E124" s="3011"/>
      <c r="F124" s="3024"/>
      <c r="G124" s="3011"/>
      <c r="H124" s="3014"/>
      <c r="I124" s="3016"/>
      <c r="J124" s="3019"/>
      <c r="K124" s="3010"/>
      <c r="L124" s="1393"/>
      <c r="M124" s="1393"/>
      <c r="N124" s="1393"/>
      <c r="O124" s="1393"/>
      <c r="P124" s="1393"/>
      <c r="Q124" s="1393"/>
      <c r="R124" s="1393"/>
      <c r="S124" s="437"/>
      <c r="T124" s="437"/>
      <c r="U124" s="437"/>
      <c r="V124" s="437"/>
      <c r="W124" s="1394"/>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563">
        <v>0</v>
      </c>
    </row>
    <row s="10446" customFormat="1" customHeight="1" ht="17.25" hidden="1">
      <c r="A125" s="429"/>
      <c r="C125" s="428"/>
      <c r="D125" s="2987"/>
      <c r="E125" s="3012"/>
      <c r="F125" s="3025"/>
      <c r="G125" s="3012"/>
      <c r="H125" s="1395"/>
      <c r="I125" s="1396"/>
      <c r="J125" s="1396"/>
      <c r="K125" s="1396"/>
      <c r="L125" s="1396"/>
      <c r="M125" s="1396"/>
      <c r="N125" s="1396"/>
      <c r="O125" s="1396"/>
      <c r="P125" s="1396"/>
      <c r="Q125" s="1396"/>
      <c r="R125" s="1396"/>
      <c r="S125" s="1397"/>
      <c r="T125" s="1397"/>
      <c r="U125" s="1397"/>
      <c r="V125" s="1397"/>
      <c r="W125" s="1398"/>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563">
        <v>0</v>
      </c>
    </row>
    <row s="10446" customFormat="1" customHeight="1" ht="17.25" hidden="1">
      <c r="A126" s="429"/>
      <c r="C126" s="317"/>
      <c r="D126" s="3022">
        <v>2</v>
      </c>
      <c r="E126" s="3011" t="s">
        <v>354</v>
      </c>
      <c r="F126" s="3023" t="s">
        <v>19</v>
      </c>
      <c r="G126" s="3011"/>
      <c r="H126" s="3013"/>
      <c r="I126" s="3015"/>
      <c r="J126" s="3017"/>
      <c r="K126" s="3009"/>
      <c r="L126" s="3009"/>
      <c r="M126" s="3009"/>
      <c r="N126" s="3020"/>
      <c r="O126" s="3009"/>
      <c r="P126" s="3009"/>
      <c r="Q126" s="3009"/>
      <c r="R126" s="3007"/>
      <c r="S126" s="3009"/>
      <c r="T126" s="1566"/>
      <c r="U126" s="1566"/>
      <c r="V126" s="1568"/>
      <c r="W126" s="1392"/>
      <c r="X126" s="1363"/>
      <c r="Y126" s="1363"/>
      <c r="Z126" s="1363"/>
      <c r="AA126" s="1363"/>
      <c r="AB126" s="1363"/>
      <c r="AC126" s="1363" t="s">
        <v>355</v>
      </c>
      <c r="AD126" s="1363" t="s">
        <v>356</v>
      </c>
      <c r="AE126" s="1363" t="s">
        <v>357</v>
      </c>
      <c r="AF126" s="1363" t="s">
        <v>358</v>
      </c>
      <c r="AG126" s="1363"/>
      <c r="AH126" s="1363" t="str">
        <f>IF($E$126=0,"",$E$126)</f>
        <v>Тариф на транспортировку сточных вод</v>
      </c>
      <c r="AI126" s="1363" t="str">
        <f>IF($G$126=0,"",$G$126)</f>
        <v/>
      </c>
      <c r="AJ126" s="1363" t="str">
        <f>IF($J$126=0,"",$J$126)</f>
        <v/>
      </c>
      <c r="AK126" s="1363" t="str">
        <f>IF($K$126="нет","без дифференциации",IF($N$126=0,"",$N$126))</f>
        <v/>
      </c>
      <c r="AL126" s="1363" t="str">
        <f>IF($O$126="нет","без дифференциации",IF($R$126=0,"",$R$126))</f>
        <v/>
      </c>
      <c r="AM126" s="1363" t="str">
        <f>IF($S$126="нет","без дифференциации",IF($V$126=0,"",$V$126))</f>
        <v/>
      </c>
      <c r="AN126" s="1868">
        <f>$I$126</f>
        <v>0</v>
      </c>
      <c r="AO126" s="1363" t="str">
        <f>$I$126&amp;"."&amp;$M$126</f>
        <v>.</v>
      </c>
      <c r="AP126" s="1355" t="str">
        <f>$I$126&amp;"."&amp;$M$126&amp;"."&amp;$Q$126</f>
        <v>..</v>
      </c>
      <c r="AQ126" s="1355" t="str">
        <f>$I$126&amp;"."&amp;$M$126&amp;"."&amp;$Q$126&amp;"."&amp;$U$126</f>
        <v>...</v>
      </c>
      <c r="AR126" s="1563">
        <v>0</v>
      </c>
    </row>
    <row s="10446" customFormat="1" customHeight="1" ht="17.25" hidden="1">
      <c r="A127" s="429"/>
      <c r="C127" s="428"/>
      <c r="D127" s="3022"/>
      <c r="E127" s="3011"/>
      <c r="F127" s="3024"/>
      <c r="G127" s="3011"/>
      <c r="H127" s="3014"/>
      <c r="I127" s="3016"/>
      <c r="J127" s="3018"/>
      <c r="K127" s="3010"/>
      <c r="L127" s="3010"/>
      <c r="M127" s="3010"/>
      <c r="N127" s="3021"/>
      <c r="O127" s="3010"/>
      <c r="P127" s="3010"/>
      <c r="Q127" s="3010"/>
      <c r="R127" s="3008"/>
      <c r="S127" s="3010"/>
      <c r="T127" s="1393"/>
      <c r="U127" s="1393"/>
      <c r="V127" s="1393"/>
      <c r="W127" s="1394"/>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563">
        <v>0</v>
      </c>
    </row>
    <row s="10446" customFormat="1" customHeight="1" ht="17.25" hidden="1">
      <c r="A128" s="429"/>
      <c r="C128" s="428"/>
      <c r="D128" s="2987"/>
      <c r="E128" s="3012"/>
      <c r="F128" s="3024"/>
      <c r="G128" s="3012"/>
      <c r="H128" s="3014"/>
      <c r="I128" s="3016"/>
      <c r="J128" s="3019"/>
      <c r="K128" s="3010"/>
      <c r="L128" s="3010"/>
      <c r="M128" s="3010"/>
      <c r="N128" s="3008"/>
      <c r="O128" s="3010"/>
      <c r="P128" s="1567"/>
      <c r="Q128" s="1393"/>
      <c r="R128" s="1393"/>
      <c r="S128" s="437"/>
      <c r="T128" s="437"/>
      <c r="U128" s="437"/>
      <c r="V128" s="437"/>
      <c r="W128" s="1394"/>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563">
        <v>0</v>
      </c>
    </row>
    <row s="10446" customFormat="1" customHeight="1" ht="17.25" hidden="1">
      <c r="A129" s="429"/>
      <c r="C129" s="428"/>
      <c r="D129" s="2987"/>
      <c r="E129" s="3012"/>
      <c r="F129" s="3024"/>
      <c r="G129" s="3012"/>
      <c r="H129" s="3014"/>
      <c r="I129" s="3016"/>
      <c r="J129" s="3019"/>
      <c r="K129" s="3010"/>
      <c r="L129" s="1393"/>
      <c r="M129" s="1393"/>
      <c r="N129" s="1393"/>
      <c r="O129" s="1393"/>
      <c r="P129" s="1393"/>
      <c r="Q129" s="1393"/>
      <c r="R129" s="1393"/>
      <c r="S129" s="437"/>
      <c r="T129" s="437"/>
      <c r="U129" s="437"/>
      <c r="V129" s="437"/>
      <c r="W129" s="1394"/>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563">
        <v>0</v>
      </c>
    </row>
    <row s="10446" customFormat="1" customHeight="1" ht="17.25" hidden="1">
      <c r="A130" s="429"/>
      <c r="C130" s="428"/>
      <c r="D130" s="2987"/>
      <c r="E130" s="3012"/>
      <c r="F130" s="3025"/>
      <c r="G130" s="3012"/>
      <c r="H130" s="1395"/>
      <c r="I130" s="1396"/>
      <c r="J130" s="1396"/>
      <c r="K130" s="1396"/>
      <c r="L130" s="1396"/>
      <c r="M130" s="1396"/>
      <c r="N130" s="1396"/>
      <c r="O130" s="1396"/>
      <c r="P130" s="1396"/>
      <c r="Q130" s="1396"/>
      <c r="R130" s="1396"/>
      <c r="S130" s="1397"/>
      <c r="T130" s="1397"/>
      <c r="U130" s="1397"/>
      <c r="V130" s="1397"/>
      <c r="W130" s="139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c r="AR130" s="1563">
        <v>0</v>
      </c>
    </row>
    <row s="10446" customFormat="1" customHeight="1" ht="17.25" hidden="1">
      <c r="A131" s="429"/>
      <c r="C131" s="317"/>
      <c r="D131" s="3022">
        <v>3</v>
      </c>
      <c r="E131" s="3011" t="s">
        <v>359</v>
      </c>
      <c r="F131" s="3023" t="s">
        <v>19</v>
      </c>
      <c r="G131" s="3011"/>
      <c r="H131" s="3013"/>
      <c r="I131" s="3015"/>
      <c r="J131" s="3017"/>
      <c r="K131" s="3009"/>
      <c r="L131" s="3009"/>
      <c r="M131" s="3009"/>
      <c r="N131" s="3020"/>
      <c r="O131" s="3009"/>
      <c r="P131" s="3009"/>
      <c r="Q131" s="3009"/>
      <c r="R131" s="3007"/>
      <c r="S131" s="3009"/>
      <c r="T131" s="2034"/>
      <c r="U131" s="2034"/>
      <c r="V131" s="2036"/>
      <c r="W131" s="1392"/>
      <c r="X131" s="1363"/>
      <c r="Y131" s="1363"/>
      <c r="Z131" s="1363"/>
      <c r="AA131" s="1363"/>
      <c r="AB131" s="1363"/>
      <c r="AC131" s="1363" t="s">
        <v>360</v>
      </c>
      <c r="AD131" s="1363" t="s">
        <v>361</v>
      </c>
      <c r="AE131" s="1363" t="s">
        <v>362</v>
      </c>
      <c r="AF131" s="1363" t="s">
        <v>363</v>
      </c>
      <c r="AG131" s="1363"/>
      <c r="AH131" s="1363" t="str">
        <f>IF($E$131=0,"",$E$131)</f>
        <v>Тариф на подключение (технологическое присоединение) к централизованной системе водоотведения</v>
      </c>
      <c r="AI131" s="1363" t="str">
        <f>IF($G$131=0,"",$G$131)</f>
        <v/>
      </c>
      <c r="AJ131" s="1363" t="str">
        <f>IF($J$131=0,"",$J$131)</f>
        <v/>
      </c>
      <c r="AK131" s="1363" t="str">
        <f>IF($K$131="нет","без дифференциации",IF($N$131=0,"",$N$131))</f>
        <v/>
      </c>
      <c r="AL131" s="1363" t="str">
        <f>IF($O$131="нет","без дифференциации",IF($R$131=0,"",$R$131))</f>
        <v/>
      </c>
      <c r="AM131" s="1363" t="str">
        <f>IF($S$131="нет","без дифференциации",IF($V$131=0,"",$V$131))</f>
        <v/>
      </c>
      <c r="AN131" s="1868">
        <f>$I$131</f>
        <v>0</v>
      </c>
      <c r="AO131" s="1363" t="str">
        <f>$I$131&amp;"."&amp;$M$131</f>
        <v>.</v>
      </c>
      <c r="AP131" s="1362" t="str">
        <f>$I$131&amp;"."&amp;$M$131&amp;"."&amp;$Q$131</f>
        <v>..</v>
      </c>
      <c r="AQ131" s="1362" t="str">
        <f>$I$131&amp;"."&amp;$M$131&amp;"."&amp;$Q$131&amp;"."&amp;$U$131</f>
        <v>...</v>
      </c>
      <c r="AR131" s="1563">
        <v>0</v>
      </c>
    </row>
    <row s="10446" customFormat="1" customHeight="1" ht="17.25" hidden="1">
      <c r="A132" s="429"/>
      <c r="C132" s="428"/>
      <c r="D132" s="3022"/>
      <c r="E132" s="3011"/>
      <c r="F132" s="3024"/>
      <c r="G132" s="3011"/>
      <c r="H132" s="3014"/>
      <c r="I132" s="3016"/>
      <c r="J132" s="3018"/>
      <c r="K132" s="3010"/>
      <c r="L132" s="3010"/>
      <c r="M132" s="3010"/>
      <c r="N132" s="3021"/>
      <c r="O132" s="3010"/>
      <c r="P132" s="3010"/>
      <c r="Q132" s="3010"/>
      <c r="R132" s="3008"/>
      <c r="S132" s="3010"/>
      <c r="T132" s="2039"/>
      <c r="U132" s="2039"/>
      <c r="V132" s="2039"/>
      <c r="W132" s="2040"/>
      <c r="X132" s="1362"/>
      <c r="Y132" s="1362"/>
      <c r="Z132" s="1362"/>
      <c r="AA132" s="1362"/>
      <c r="AB132" s="1362"/>
      <c r="AC132" s="1362"/>
      <c r="AD132" s="1362"/>
      <c r="AE132" s="1362"/>
      <c r="AF132" s="1362"/>
      <c r="AG132" s="1362"/>
      <c r="AH132" s="1362"/>
      <c r="AI132" s="1362"/>
      <c r="AJ132" s="1362"/>
      <c r="AK132" s="1362"/>
      <c r="AL132" s="1362"/>
      <c r="AM132" s="1362"/>
      <c r="AN132" s="1362"/>
      <c r="AO132" s="1362"/>
      <c r="AP132" s="1362"/>
      <c r="AQ132" s="1362"/>
      <c r="AR132" s="1563">
        <v>0</v>
      </c>
    </row>
    <row s="10446" customFormat="1" customHeight="1" ht="17.25" hidden="1">
      <c r="A133" s="429"/>
      <c r="C133" s="428"/>
      <c r="D133" s="2987"/>
      <c r="E133" s="3012"/>
      <c r="F133" s="3024"/>
      <c r="G133" s="3012"/>
      <c r="H133" s="3014"/>
      <c r="I133" s="3016"/>
      <c r="J133" s="3019"/>
      <c r="K133" s="3010"/>
      <c r="L133" s="3010"/>
      <c r="M133" s="3010"/>
      <c r="N133" s="3008"/>
      <c r="O133" s="3010"/>
      <c r="P133" s="2035"/>
      <c r="Q133" s="2039"/>
      <c r="R133" s="2039"/>
      <c r="S133" s="437"/>
      <c r="T133" s="437"/>
      <c r="U133" s="437"/>
      <c r="V133" s="437"/>
      <c r="W133" s="2040"/>
      <c r="X133" s="1362"/>
      <c r="Y133" s="1362"/>
      <c r="Z133" s="1362"/>
      <c r="AA133" s="1362"/>
      <c r="AB133" s="1362"/>
      <c r="AC133" s="1362"/>
      <c r="AD133" s="1362"/>
      <c r="AE133" s="1362"/>
      <c r="AF133" s="1362"/>
      <c r="AG133" s="1362"/>
      <c r="AH133" s="1362"/>
      <c r="AI133" s="1362"/>
      <c r="AJ133" s="1362"/>
      <c r="AK133" s="1362"/>
      <c r="AL133" s="1362"/>
      <c r="AM133" s="1362"/>
      <c r="AN133" s="1362"/>
      <c r="AO133" s="1362"/>
      <c r="AP133" s="1362"/>
      <c r="AQ133" s="1362"/>
      <c r="AR133" s="1563">
        <v>0</v>
      </c>
    </row>
    <row s="10446" customFormat="1" customHeight="1" ht="17.25" hidden="1">
      <c r="A134" s="429"/>
      <c r="C134" s="428"/>
      <c r="D134" s="2987"/>
      <c r="E134" s="3012"/>
      <c r="F134" s="3024"/>
      <c r="G134" s="3012"/>
      <c r="H134" s="3014"/>
      <c r="I134" s="3016"/>
      <c r="J134" s="3019"/>
      <c r="K134" s="3010"/>
      <c r="L134" s="2039"/>
      <c r="M134" s="2039"/>
      <c r="N134" s="2039"/>
      <c r="O134" s="2039"/>
      <c r="P134" s="2039"/>
      <c r="Q134" s="2039"/>
      <c r="R134" s="2039"/>
      <c r="S134" s="437"/>
      <c r="T134" s="437"/>
      <c r="U134" s="437"/>
      <c r="V134" s="437"/>
      <c r="W134" s="2040"/>
      <c r="X134" s="1362"/>
      <c r="Y134" s="1362"/>
      <c r="Z134" s="1362"/>
      <c r="AA134" s="1362"/>
      <c r="AB134" s="1362"/>
      <c r="AC134" s="1362"/>
      <c r="AD134" s="1362"/>
      <c r="AE134" s="1362"/>
      <c r="AF134" s="1362"/>
      <c r="AG134" s="1362"/>
      <c r="AH134" s="1362"/>
      <c r="AI134" s="1362"/>
      <c r="AJ134" s="1362"/>
      <c r="AK134" s="1362"/>
      <c r="AL134" s="1362"/>
      <c r="AM134" s="1362"/>
      <c r="AN134" s="1362"/>
      <c r="AO134" s="1362"/>
      <c r="AP134" s="1362"/>
      <c r="AQ134" s="1362"/>
      <c r="AR134" s="1563">
        <v>0</v>
      </c>
    </row>
    <row s="10446" customFormat="1" customHeight="1" ht="17.25" hidden="1">
      <c r="A135" s="429"/>
      <c r="C135" s="428"/>
      <c r="D135" s="2987"/>
      <c r="E135" s="3012"/>
      <c r="F135" s="3025"/>
      <c r="G135" s="3012"/>
      <c r="H135" s="1395"/>
      <c r="I135" s="2037"/>
      <c r="J135" s="2037"/>
      <c r="K135" s="2037"/>
      <c r="L135" s="2037"/>
      <c r="M135" s="2037"/>
      <c r="N135" s="2037"/>
      <c r="O135" s="2037"/>
      <c r="P135" s="2037"/>
      <c r="Q135" s="2037"/>
      <c r="R135" s="2037"/>
      <c r="S135" s="1397"/>
      <c r="T135" s="1397"/>
      <c r="U135" s="1397"/>
      <c r="V135" s="1397"/>
      <c r="W135" s="2038"/>
      <c r="X135" s="1362"/>
      <c r="Y135" s="1362"/>
      <c r="Z135" s="1362"/>
      <c r="AA135" s="1362"/>
      <c r="AB135" s="1362"/>
      <c r="AC135" s="1362"/>
      <c r="AD135" s="1362"/>
      <c r="AE135" s="1362"/>
      <c r="AF135" s="1362"/>
      <c r="AG135" s="1362"/>
      <c r="AH135" s="1362"/>
      <c r="AI135" s="1362"/>
      <c r="AJ135" s="1362"/>
      <c r="AK135" s="1362"/>
      <c r="AL135" s="1362"/>
      <c r="AM135" s="1362"/>
      <c r="AN135" s="1362"/>
      <c r="AO135" s="1362"/>
      <c r="AP135" s="1362"/>
      <c r="AQ135" s="1362"/>
      <c r="AR135" s="1563">
        <v>0</v>
      </c>
    </row>
    <row customHeight="1" ht="11.549999999999999">
      <c r="AR136" s="214">
        <v>11</v>
      </c>
    </row>
    <row customHeight="1" ht="11.549999999999999">
      <c r="AR137" s="214">
        <v>11</v>
      </c>
    </row>
    <row customHeight="1" ht="11.549999999999999">
      <c r="AR138" s="214">
        <v>11</v>
      </c>
    </row>
    <row customHeight="1" ht="11.549999999999999">
      <c r="E139" s="1446"/>
      <c r="AR139" s="214">
        <v>11</v>
      </c>
    </row>
    <row customHeight="1" ht="11.549999999999999">
      <c r="E140" s="1446"/>
      <c r="AR140" s="214">
        <v>11</v>
      </c>
    </row>
    <row customHeight="1" ht="11.549999999999999">
      <c r="E141" s="1446"/>
      <c r="AR141" s="214">
        <v>11</v>
      </c>
    </row>
    <row customHeight="1" ht="11.549999999999999">
      <c r="E142" s="1446"/>
      <c r="AR142" s="214">
        <v>11</v>
      </c>
    </row>
    <row customHeight="1" ht="11.549999999999999">
      <c r="E143" s="1446"/>
      <c r="AR143" s="214">
        <v>11</v>
      </c>
    </row>
    <row customHeight="1" ht="11.549999999999999">
      <c r="E144" s="1446"/>
      <c r="AR144" s="214">
        <v>11</v>
      </c>
    </row>
    <row customHeight="1" ht="11.549999999999999">
      <c r="E145" s="1446"/>
      <c r="AR145" s="214">
        <v>11</v>
      </c>
    </row>
    <row customHeight="1" ht="11.25" hidden="1">
      <c r="A146" s="261" t="s">
        <v>82</v>
      </c>
      <c r="B146" s="261">
        <v>0</v>
      </c>
      <c r="C146" s="214">
        <v>3</v>
      </c>
      <c r="D146" s="214">
        <v>6</v>
      </c>
      <c r="E146" s="214">
        <v>42</v>
      </c>
      <c r="F146" s="1379">
        <v>14</v>
      </c>
      <c r="G146" s="214">
        <v>42</v>
      </c>
      <c r="H146" s="214">
        <v>3</v>
      </c>
      <c r="I146" s="214">
        <v>5</v>
      </c>
      <c r="J146" s="214">
        <v>47</v>
      </c>
      <c r="K146" s="214">
        <v>3</v>
      </c>
      <c r="L146" s="214">
        <v>3</v>
      </c>
      <c r="M146" s="214">
        <v>5</v>
      </c>
      <c r="N146" s="214">
        <v>28</v>
      </c>
      <c r="O146" s="214">
        <v>3</v>
      </c>
      <c r="P146" s="214">
        <v>3</v>
      </c>
      <c r="Q146" s="214">
        <v>5</v>
      </c>
      <c r="R146" s="214">
        <v>34</v>
      </c>
      <c r="S146" s="390">
        <v>0</v>
      </c>
      <c r="T146" s="390">
        <v>0</v>
      </c>
      <c r="U146" s="390">
        <v>0</v>
      </c>
      <c r="V146" s="390">
        <v>0</v>
      </c>
      <c r="W146" s="214">
        <v>30</v>
      </c>
      <c r="X146" s="214">
        <v>3</v>
      </c>
      <c r="Y146" s="1355">
        <v>0</v>
      </c>
      <c r="Z146" s="1355">
        <v>0</v>
      </c>
      <c r="AA146" s="1355">
        <v>0</v>
      </c>
      <c r="AB146" s="1355">
        <v>0</v>
      </c>
      <c r="AC146" s="1355">
        <v>0</v>
      </c>
      <c r="AD146" s="1355">
        <v>0</v>
      </c>
      <c r="AE146" s="1355">
        <v>0</v>
      </c>
      <c r="AF146" s="1355">
        <v>0</v>
      </c>
      <c r="AG146" s="1355">
        <v>0</v>
      </c>
      <c r="AH146" s="1355">
        <v>0</v>
      </c>
      <c r="AI146" s="1355">
        <v>0</v>
      </c>
      <c r="AJ146" s="1355">
        <v>0</v>
      </c>
      <c r="AK146" s="1355">
        <v>0</v>
      </c>
      <c r="AL146" s="1355">
        <v>0</v>
      </c>
      <c r="AM146" s="1355">
        <v>0</v>
      </c>
      <c r="AN146" s="1355">
        <v>0</v>
      </c>
      <c r="AO146" s="1355">
        <v>0</v>
      </c>
      <c r="AP146" s="1355">
        <v>0</v>
      </c>
      <c r="AQ146" s="1355">
        <v>0</v>
      </c>
      <c r="AR146" s="214">
        <v>11</v>
      </c>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E9D5F-DFE6-195C-790A-C37893EB826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0365" width="9.140625" hidden="1"/>
    <col min="3" max="4" style="10365" width="3.00390625" customWidth="1"/>
    <col min="5" max="6" style="10365" width="15.00390625" customWidth="1"/>
    <col min="7" max="7" style="10365" width="11.57421875" customWidth="1"/>
    <col min="8" max="9" style="10365" width="3.00390625" customWidth="1"/>
    <col min="10" max="10" style="10365" width="12.00390625" customWidth="1"/>
    <col min="11" max="11" style="10365" width="0.28125" customWidth="1"/>
    <col min="12" max="13" style="10365" width="10.00390625" customWidth="1"/>
    <col min="14" max="15" style="10365" width="3.00390625" customWidth="1"/>
    <col min="16" max="16" style="10365" width="19.00390625" customWidth="1"/>
    <col min="17" max="17" style="10365" width="0.28125" customWidth="1"/>
    <col min="18" max="19" style="10365" width="10.00390625" customWidth="1"/>
    <col min="20" max="21" style="10365" width="3.00390625" customWidth="1"/>
    <col min="22" max="22" style="10365" width="25.00390625" customWidth="1"/>
    <col min="23" max="23" style="10365" width="0.28125" customWidth="1"/>
    <col min="24" max="25" style="10365" width="10.00390625" customWidth="1"/>
    <col min="26" max="27" style="10365" width="3.00390625" customWidth="1"/>
    <col min="28" max="28" style="10365" width="16.00390625" customWidth="1"/>
    <col min="29" max="29" style="10365" width="0.28125" customWidth="1"/>
    <col min="30" max="31" style="10365" width="10.00390625" customWidth="1"/>
    <col min="32" max="33" style="10365" width="3.00390625" customWidth="1"/>
    <col min="34" max="34" style="10365" width="8.00390625" customWidth="1"/>
    <col min="35" max="35" style="10365" width="21.00390625" customWidth="1"/>
    <col min="36" max="36" style="10365" width="8.00390625" customWidth="1"/>
    <col min="37" max="37" style="10722" width="8.00390625" customWidth="1"/>
    <col min="38" max="64" style="10365" width="8.00390625" customWidth="1"/>
    <col min="65" max="65" style="10365" width="9.140625" hidden="1"/>
  </cols>
  <sheetData>
    <row s="10649" customFormat="1" customHeight="1" ht="11.25" hidden="1">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6" t="s">
        <v>14</v>
      </c>
    </row>
    <row s="10650" customFormat="1" customHeight="1" ht="11.25" hidden="1">
      <c r="L2" s="1649" t="s">
        <v>364</v>
      </c>
      <c r="M2" s="1649" t="s">
        <v>365</v>
      </c>
      <c r="R2" s="1649" t="s">
        <v>366</v>
      </c>
      <c r="S2" s="1649" t="s">
        <v>365</v>
      </c>
      <c r="X2" s="1649" t="s">
        <v>364</v>
      </c>
      <c r="Y2" s="1649" t="s">
        <v>365</v>
      </c>
      <c r="AD2" s="1649" t="s">
        <v>364</v>
      </c>
      <c r="AE2" s="1649" t="s">
        <v>365</v>
      </c>
      <c r="AJ2" s="1671"/>
      <c r="AK2" s="1671"/>
      <c r="AL2" s="1671"/>
      <c r="AM2" s="1671"/>
      <c r="AN2" s="1671"/>
      <c r="AO2" s="1671"/>
      <c r="AP2" s="1671"/>
      <c r="AQ2" s="1671"/>
      <c r="AR2" s="1671"/>
      <c r="AS2" s="1671"/>
      <c r="AT2" s="1671"/>
      <c r="AU2" s="1671"/>
      <c r="AV2" s="1671"/>
      <c r="AW2" s="1671"/>
      <c r="AX2" s="1671"/>
      <c r="AY2" s="1671"/>
      <c r="AZ2" s="1671"/>
      <c r="BA2" s="1671"/>
      <c r="BB2" s="1671"/>
      <c r="BC2" s="1671"/>
      <c r="BD2" s="1671"/>
      <c r="BE2" s="1671"/>
      <c r="BF2" s="1671"/>
      <c r="BG2" s="1671"/>
      <c r="BH2" s="1671"/>
      <c r="BI2" s="1671"/>
      <c r="BJ2" s="1671"/>
      <c r="BK2" s="1671"/>
      <c r="BL2" s="1671"/>
      <c r="BM2" s="1649">
        <v>0</v>
      </c>
    </row>
    <row s="10653" customFormat="1" customHeight="1" ht="11.549999999999999">
      <c r="AJ3" s="1670"/>
      <c r="AK3" s="414"/>
      <c r="AL3" s="1670"/>
      <c r="AM3" s="1670"/>
      <c r="AN3" s="1670"/>
      <c r="AO3" s="1670"/>
      <c r="AP3" s="1670"/>
      <c r="AQ3" s="1670"/>
      <c r="AR3" s="1670"/>
      <c r="AS3" s="1670"/>
      <c r="AT3" s="1670"/>
      <c r="AU3" s="1670"/>
      <c r="AV3" s="1670"/>
      <c r="AW3" s="1670"/>
      <c r="AX3" s="1670"/>
      <c r="AY3" s="1670"/>
      <c r="AZ3" s="1670"/>
      <c r="BA3" s="1670"/>
      <c r="BB3" s="1670"/>
      <c r="BC3" s="1670"/>
      <c r="BD3" s="1670"/>
      <c r="BE3" s="1670"/>
      <c r="BF3" s="1670"/>
      <c r="BG3" s="1670"/>
      <c r="BH3" s="1670"/>
      <c r="BI3" s="1670"/>
      <c r="BJ3" s="1670"/>
      <c r="BK3" s="1670"/>
      <c r="BL3" s="1670"/>
      <c r="BM3" s="1650">
        <v>11</v>
      </c>
    </row>
    <row s="10322" customFormat="1" customHeight="1" ht="34.5">
      <c r="A4" s="1252"/>
      <c r="B4" s="1251"/>
      <c r="C4" s="1611"/>
      <c r="D4" s="3046" t="s">
        <v>367</v>
      </c>
      <c r="E4" s="3046"/>
      <c r="F4" s="3046"/>
      <c r="G4" s="3046"/>
      <c r="H4" s="3046"/>
      <c r="I4" s="3046"/>
      <c r="J4" s="3046"/>
      <c r="K4" s="806"/>
      <c r="T4" s="1651"/>
      <c r="AJ4" s="1672"/>
      <c r="AK4" s="1673"/>
      <c r="AL4" s="1672"/>
      <c r="AM4" s="1672"/>
      <c r="AN4" s="1672"/>
      <c r="AO4" s="1672"/>
      <c r="AP4" s="1672"/>
      <c r="AQ4" s="1672"/>
      <c r="AR4" s="1672"/>
      <c r="AS4" s="1672"/>
      <c r="AT4" s="1672"/>
      <c r="AU4" s="1672"/>
      <c r="AV4" s="1672"/>
      <c r="AW4" s="1672"/>
      <c r="AX4" s="1672"/>
      <c r="AY4" s="1672"/>
      <c r="AZ4" s="1672"/>
      <c r="BA4" s="1672"/>
      <c r="BB4" s="1672"/>
      <c r="BC4" s="1672"/>
      <c r="BD4" s="1672"/>
      <c r="BE4" s="1672"/>
      <c r="BF4" s="1672"/>
      <c r="BG4" s="1672"/>
      <c r="BH4" s="1672"/>
      <c r="BI4" s="1672"/>
      <c r="BJ4" s="1672"/>
      <c r="BK4" s="1672"/>
      <c r="BL4" s="1672"/>
      <c r="BM4" s="614">
        <v>33</v>
      </c>
    </row>
    <row s="10322" customFormat="1" customHeight="1" ht="14.699999999999998">
      <c r="A5" s="1728"/>
      <c r="B5" s="1727"/>
      <c r="C5" s="1611"/>
      <c r="D5" s="3069" t="str">
        <f>IF(org=0,"Не определено",org)</f>
        <v>АО "ДГК"</v>
      </c>
      <c r="E5" s="3069"/>
      <c r="F5" s="3069"/>
      <c r="G5" s="3069"/>
      <c r="H5" s="3069"/>
      <c r="I5" s="3069"/>
      <c r="J5" s="3069"/>
      <c r="K5" s="806"/>
      <c r="T5" s="1651"/>
      <c r="AJ5" s="1672"/>
      <c r="AK5" s="1673"/>
      <c r="AL5" s="1672"/>
      <c r="AM5" s="1672"/>
      <c r="AN5" s="1672"/>
      <c r="AO5" s="1672"/>
      <c r="AP5" s="1672"/>
      <c r="AQ5" s="1672"/>
      <c r="AR5" s="1672"/>
      <c r="AS5" s="1672"/>
      <c r="AT5" s="1672"/>
      <c r="AU5" s="1672"/>
      <c r="AV5" s="1672"/>
      <c r="AW5" s="1672"/>
      <c r="AX5" s="1672"/>
      <c r="AY5" s="1672"/>
      <c r="AZ5" s="1672"/>
      <c r="BA5" s="1672"/>
      <c r="BB5" s="1672"/>
      <c r="BC5" s="1672"/>
      <c r="BD5" s="1672"/>
      <c r="BE5" s="1672"/>
      <c r="BF5" s="1672"/>
      <c r="BG5" s="1672"/>
      <c r="BH5" s="1672"/>
      <c r="BI5" s="1672"/>
      <c r="BJ5" s="1672"/>
      <c r="BK5" s="1672"/>
      <c r="BL5" s="1672"/>
      <c r="BM5" s="1705">
        <v>14</v>
      </c>
    </row>
    <row s="10322" customFormat="1" customHeight="1" ht="14.699999999999998">
      <c r="A6" s="1252"/>
      <c r="B6" s="1251"/>
      <c r="C6" s="1611"/>
      <c r="D6" s="806"/>
      <c r="E6" s="806"/>
      <c r="F6" s="806"/>
      <c r="G6" s="806"/>
      <c r="H6" s="806"/>
      <c r="I6" s="806"/>
      <c r="J6" s="806"/>
      <c r="K6" s="806"/>
      <c r="T6" s="1651"/>
      <c r="AJ6" s="1672"/>
      <c r="AK6" s="1673"/>
      <c r="AL6" s="1672"/>
      <c r="AM6" s="1672"/>
      <c r="AN6" s="1672"/>
      <c r="AO6" s="1672"/>
      <c r="AP6" s="1672"/>
      <c r="AQ6" s="1672"/>
      <c r="AR6" s="1672"/>
      <c r="AS6" s="1672"/>
      <c r="AT6" s="1672"/>
      <c r="AU6" s="1672"/>
      <c r="AV6" s="1672"/>
      <c r="AW6" s="1672"/>
      <c r="AX6" s="1672"/>
      <c r="AY6" s="1672"/>
      <c r="AZ6" s="1672"/>
      <c r="BA6" s="1672"/>
      <c r="BB6" s="1672"/>
      <c r="BC6" s="1672"/>
      <c r="BD6" s="1672"/>
      <c r="BE6" s="1672"/>
      <c r="BF6" s="1672"/>
      <c r="BG6" s="1672"/>
      <c r="BH6" s="1672"/>
      <c r="BI6" s="1672"/>
      <c r="BJ6" s="1672"/>
      <c r="BK6" s="1672"/>
      <c r="BL6" s="1672"/>
      <c r="BM6" s="614">
        <v>14</v>
      </c>
    </row>
    <row s="10649" customFormat="1" customHeight="1" ht="1.05">
      <c r="AJ7" s="529"/>
      <c r="AK7" s="529"/>
      <c r="AL7" s="529"/>
      <c r="AM7" s="529"/>
      <c r="AN7" s="529"/>
      <c r="AO7" s="529"/>
      <c r="AP7" s="529"/>
      <c r="AQ7" s="529"/>
      <c r="AR7" s="529"/>
      <c r="AS7" s="529"/>
      <c r="AT7" s="529"/>
      <c r="AU7" s="529"/>
      <c r="AV7" s="529"/>
      <c r="AW7" s="529"/>
      <c r="AX7" s="529"/>
      <c r="AY7" s="529"/>
      <c r="AZ7" s="529"/>
      <c r="BA7" s="529"/>
      <c r="BB7" s="529"/>
      <c r="BC7" s="529"/>
      <c r="BD7" s="529"/>
      <c r="BE7" s="529"/>
      <c r="BF7" s="529"/>
      <c r="BG7" s="529"/>
      <c r="BH7" s="529"/>
      <c r="BI7" s="529"/>
      <c r="BJ7" s="529"/>
      <c r="BK7" s="529"/>
      <c r="BL7" s="529"/>
      <c r="BM7" s="526">
        <v>1</v>
      </c>
    </row>
    <row customHeight="1" ht="33.75">
      <c r="D8" s="2978" t="s">
        <v>88</v>
      </c>
      <c r="E8" s="2978" t="s">
        <v>140</v>
      </c>
      <c r="F8" s="3048" t="s">
        <v>209</v>
      </c>
      <c r="G8" s="3049"/>
      <c r="H8" s="3048" t="s">
        <v>88</v>
      </c>
      <c r="I8" s="3049"/>
      <c r="J8" s="2978" t="s">
        <v>210</v>
      </c>
      <c r="K8" s="1652"/>
      <c r="L8" s="3047" t="s">
        <v>368</v>
      </c>
      <c r="M8" s="3047"/>
      <c r="N8" s="3047"/>
      <c r="O8" s="3047"/>
      <c r="P8" s="3047"/>
      <c r="Q8" s="1653"/>
      <c r="R8" s="2959" t="s">
        <v>369</v>
      </c>
      <c r="S8" s="2965"/>
      <c r="T8" s="2965"/>
      <c r="U8" s="2965"/>
      <c r="V8" s="2965"/>
      <c r="W8" s="1653"/>
      <c r="X8" s="2978" t="s">
        <v>370</v>
      </c>
      <c r="Y8" s="2978"/>
      <c r="Z8" s="2978"/>
      <c r="AA8" s="2978"/>
      <c r="AB8" s="2978"/>
      <c r="AC8" s="1654"/>
      <c r="AD8" s="2978" t="s">
        <v>371</v>
      </c>
      <c r="AE8" s="2978"/>
      <c r="AF8" s="2978"/>
      <c r="AG8" s="2978"/>
      <c r="AH8" s="2959"/>
      <c r="AI8" s="2978" t="s">
        <v>372</v>
      </c>
      <c r="AJ8" s="1670"/>
      <c r="BM8" s="401">
        <v>32</v>
      </c>
    </row>
    <row customHeight="1" ht="23.25">
      <c r="D9" s="2978"/>
      <c r="E9" s="2978"/>
      <c r="F9" s="3047" t="s">
        <v>89</v>
      </c>
      <c r="G9" s="3047" t="s">
        <v>215</v>
      </c>
      <c r="H9" s="3050"/>
      <c r="I9" s="3051"/>
      <c r="J9" s="2959"/>
      <c r="K9" s="1655"/>
      <c r="L9" s="2978" t="s">
        <v>373</v>
      </c>
      <c r="M9" s="2959"/>
      <c r="N9" s="3048" t="s">
        <v>88</v>
      </c>
      <c r="O9" s="3049"/>
      <c r="P9" s="2978" t="s">
        <v>216</v>
      </c>
      <c r="Q9" s="1652"/>
      <c r="R9" s="2978" t="s">
        <v>373</v>
      </c>
      <c r="S9" s="2959"/>
      <c r="T9" s="3048" t="s">
        <v>88</v>
      </c>
      <c r="U9" s="3049"/>
      <c r="V9" s="2978" t="s">
        <v>216</v>
      </c>
      <c r="W9" s="1652"/>
      <c r="X9" s="2978" t="s">
        <v>373</v>
      </c>
      <c r="Y9" s="2959"/>
      <c r="Z9" s="3048" t="s">
        <v>88</v>
      </c>
      <c r="AA9" s="3049"/>
      <c r="AB9" s="2978" t="s">
        <v>374</v>
      </c>
      <c r="AC9" s="1652"/>
      <c r="AD9" s="2978" t="s">
        <v>373</v>
      </c>
      <c r="AE9" s="2959"/>
      <c r="AF9" s="3048" t="s">
        <v>88</v>
      </c>
      <c r="AG9" s="3049"/>
      <c r="AH9" s="2959" t="s">
        <v>374</v>
      </c>
      <c r="AI9" s="2978"/>
      <c r="AJ9" s="1670"/>
      <c r="BM9" s="401">
        <v>22</v>
      </c>
    </row>
    <row customHeight="1" ht="24">
      <c r="D10" s="3047"/>
      <c r="E10" s="3047"/>
      <c r="F10" s="3052"/>
      <c r="G10" s="3052"/>
      <c r="H10" s="3053"/>
      <c r="I10" s="3054"/>
      <c r="J10" s="3048"/>
      <c r="K10" s="1655"/>
      <c r="L10" s="1674" t="s">
        <v>375</v>
      </c>
      <c r="M10" s="1669" t="s">
        <v>376</v>
      </c>
      <c r="N10" s="3050"/>
      <c r="O10" s="3051"/>
      <c r="P10" s="3047"/>
      <c r="Q10" s="1652"/>
      <c r="R10" s="1674" t="s">
        <v>375</v>
      </c>
      <c r="S10" s="1669" t="s">
        <v>376</v>
      </c>
      <c r="T10" s="3050"/>
      <c r="U10" s="3051"/>
      <c r="V10" s="3047"/>
      <c r="W10" s="1652"/>
      <c r="X10" s="1674" t="s">
        <v>375</v>
      </c>
      <c r="Y10" s="1669" t="s">
        <v>376</v>
      </c>
      <c r="Z10" s="3050"/>
      <c r="AA10" s="3051"/>
      <c r="AB10" s="3047"/>
      <c r="AC10" s="1652"/>
      <c r="AD10" s="1674" t="s">
        <v>375</v>
      </c>
      <c r="AE10" s="1669" t="s">
        <v>376</v>
      </c>
      <c r="AF10" s="3050"/>
      <c r="AG10" s="3051"/>
      <c r="AH10" s="3048"/>
      <c r="AI10" s="3047"/>
      <c r="AJ10" s="1670"/>
      <c r="AK10" s="362" t="s">
        <v>377</v>
      </c>
      <c r="AL10" s="362" t="s">
        <v>217</v>
      </c>
      <c r="BM10" s="401">
        <v>23</v>
      </c>
    </row>
    <row customHeight="1" ht="15">
      <c r="D11" s="3055" t="s">
        <v>144</v>
      </c>
      <c r="E11" s="3057" t="s">
        <v>378</v>
      </c>
      <c r="F11" s="3057" t="s">
        <v>379</v>
      </c>
      <c r="G11" s="3060" t="s">
        <v>19</v>
      </c>
      <c r="H11" s="1695"/>
      <c r="I11" s="3062"/>
      <c r="J11" s="3017"/>
      <c r="K11" s="1610"/>
      <c r="L11" s="3009"/>
      <c r="M11" s="3009"/>
      <c r="N11" s="1680"/>
      <c r="O11" s="3009"/>
      <c r="P11" s="3017"/>
      <c r="Q11" s="1681"/>
      <c r="R11" s="3009"/>
      <c r="S11" s="3009"/>
      <c r="T11" s="1682"/>
      <c r="U11" s="3009"/>
      <c r="V11" s="3017"/>
      <c r="W11" s="1683"/>
      <c r="X11" s="3009"/>
      <c r="Y11" s="3009"/>
      <c r="Z11" s="1680"/>
      <c r="AA11" s="3009"/>
      <c r="AB11" s="3017"/>
      <c r="AC11" s="1684"/>
      <c r="AD11" s="3009"/>
      <c r="AE11" s="3009"/>
      <c r="AF11" s="1609"/>
      <c r="AG11" s="1609"/>
      <c r="AH11" s="1685"/>
      <c r="AI11" s="1392"/>
      <c r="AJ11" s="1670"/>
      <c r="BM11" s="401">
        <v>14</v>
      </c>
    </row>
    <row customHeight="1" ht="14.699999999999998">
      <c r="D12" s="3055"/>
      <c r="E12" s="3057"/>
      <c r="F12" s="3057"/>
      <c r="G12" s="3061"/>
      <c r="H12" s="1696"/>
      <c r="I12" s="3063"/>
      <c r="J12" s="3018"/>
      <c r="K12" s="1706"/>
      <c r="L12" s="3010"/>
      <c r="M12" s="3010"/>
      <c r="N12" s="1686"/>
      <c r="O12" s="3010"/>
      <c r="P12" s="3018"/>
      <c r="Q12" s="1687"/>
      <c r="R12" s="3010"/>
      <c r="S12" s="3010"/>
      <c r="T12" s="1688"/>
      <c r="U12" s="3010"/>
      <c r="V12" s="3018"/>
      <c r="W12" s="1689"/>
      <c r="X12" s="3010"/>
      <c r="Y12" s="3010"/>
      <c r="Z12" s="1686"/>
      <c r="AA12" s="3010"/>
      <c r="AB12" s="3018"/>
      <c r="AC12" s="1690"/>
      <c r="AD12" s="3010"/>
      <c r="AE12" s="3010"/>
      <c r="AF12" s="1691"/>
      <c r="AG12" s="1691"/>
      <c r="AH12" s="3066"/>
      <c r="AI12" s="3067"/>
      <c r="AJ12" s="1670"/>
      <c r="BM12" s="401">
        <v>14</v>
      </c>
    </row>
    <row customHeight="1" ht="14.699999999999998">
      <c r="D13" s="3055"/>
      <c r="E13" s="3057"/>
      <c r="F13" s="3057"/>
      <c r="G13" s="3061"/>
      <c r="H13" s="1696"/>
      <c r="I13" s="3063"/>
      <c r="J13" s="3018"/>
      <c r="K13" s="1706"/>
      <c r="L13" s="3010"/>
      <c r="M13" s="3010"/>
      <c r="N13" s="1686"/>
      <c r="O13" s="3010"/>
      <c r="P13" s="3018"/>
      <c r="Q13" s="1687"/>
      <c r="R13" s="3010"/>
      <c r="S13" s="3010"/>
      <c r="T13" s="1688"/>
      <c r="U13" s="3010"/>
      <c r="V13" s="3018"/>
      <c r="W13" s="1689"/>
      <c r="X13" s="3010"/>
      <c r="Y13" s="3010"/>
      <c r="Z13" s="1608"/>
      <c r="AA13" s="1691"/>
      <c r="AB13" s="3066"/>
      <c r="AC13" s="3066"/>
      <c r="AD13" s="3066"/>
      <c r="AE13" s="3066"/>
      <c r="AF13" s="3066"/>
      <c r="AG13" s="3066"/>
      <c r="AH13" s="3066"/>
      <c r="AI13" s="3067"/>
      <c r="AJ13" s="1670"/>
      <c r="BM13" s="401">
        <v>14</v>
      </c>
    </row>
    <row customHeight="1" ht="14.699999999999998">
      <c r="D14" s="3055"/>
      <c r="E14" s="3057"/>
      <c r="F14" s="3057"/>
      <c r="G14" s="3061"/>
      <c r="H14" s="1696"/>
      <c r="I14" s="3063"/>
      <c r="J14" s="3018"/>
      <c r="K14" s="1706"/>
      <c r="L14" s="3010"/>
      <c r="M14" s="3010"/>
      <c r="N14" s="1686"/>
      <c r="O14" s="3010"/>
      <c r="P14" s="3018"/>
      <c r="Q14" s="1687"/>
      <c r="R14" s="3010"/>
      <c r="S14" s="3010"/>
      <c r="T14" s="1692"/>
      <c r="U14" s="1693"/>
      <c r="V14" s="3066"/>
      <c r="W14" s="3066"/>
      <c r="X14" s="3066"/>
      <c r="Y14" s="3066"/>
      <c r="Z14" s="3066"/>
      <c r="AA14" s="3066"/>
      <c r="AB14" s="3066"/>
      <c r="AC14" s="3066"/>
      <c r="AD14" s="3066"/>
      <c r="AE14" s="3066"/>
      <c r="AF14" s="3066"/>
      <c r="AG14" s="3066"/>
      <c r="AH14" s="3066"/>
      <c r="AI14" s="3067"/>
      <c r="AJ14" s="1670"/>
      <c r="BM14" s="401">
        <v>14</v>
      </c>
    </row>
    <row customHeight="1" ht="11.549999999999999">
      <c r="D15" s="3055"/>
      <c r="E15" s="3057"/>
      <c r="F15" s="3057"/>
      <c r="G15" s="3061"/>
      <c r="H15" s="1697"/>
      <c r="I15" s="3063"/>
      <c r="J15" s="3018"/>
      <c r="K15" s="1706"/>
      <c r="L15" s="3010"/>
      <c r="M15" s="3010"/>
      <c r="N15" s="1691"/>
      <c r="O15" s="1691"/>
      <c r="P15" s="3066"/>
      <c r="Q15" s="3066"/>
      <c r="R15" s="3066"/>
      <c r="S15" s="3066"/>
      <c r="T15" s="3066"/>
      <c r="U15" s="3066"/>
      <c r="V15" s="3066"/>
      <c r="W15" s="3066"/>
      <c r="X15" s="3066"/>
      <c r="Y15" s="3066"/>
      <c r="Z15" s="3066"/>
      <c r="AA15" s="3066"/>
      <c r="AB15" s="3066"/>
      <c r="AC15" s="3066"/>
      <c r="AD15" s="3066"/>
      <c r="AE15" s="3066"/>
      <c r="AF15" s="3066"/>
      <c r="AG15" s="3066"/>
      <c r="AH15" s="3066"/>
      <c r="AI15" s="3067"/>
      <c r="AJ15" s="1670"/>
      <c r="BM15" s="401">
        <v>11</v>
      </c>
    </row>
    <row s="10653" customFormat="1" customHeight="1" ht="11.549999999999999">
      <c r="D16" s="3056"/>
      <c r="E16" s="3058"/>
      <c r="F16" s="3059"/>
      <c r="G16" s="2994"/>
      <c r="H16" s="1694"/>
      <c r="I16" s="1698"/>
      <c r="J16" s="3064"/>
      <c r="K16" s="3064"/>
      <c r="L16" s="3064"/>
      <c r="M16" s="3064"/>
      <c r="N16" s="3064"/>
      <c r="O16" s="3064"/>
      <c r="P16" s="3064"/>
      <c r="Q16" s="3064"/>
      <c r="R16" s="3064"/>
      <c r="S16" s="3064"/>
      <c r="T16" s="3064"/>
      <c r="U16" s="3064"/>
      <c r="V16" s="3064"/>
      <c r="W16" s="3064"/>
      <c r="X16" s="3064"/>
      <c r="Y16" s="3064"/>
      <c r="Z16" s="3064"/>
      <c r="AA16" s="3064"/>
      <c r="AB16" s="3064"/>
      <c r="AC16" s="3064"/>
      <c r="AD16" s="3064"/>
      <c r="AE16" s="3064"/>
      <c r="AF16" s="3064"/>
      <c r="AG16" s="3064"/>
      <c r="AH16" s="3064"/>
      <c r="AI16" s="3065"/>
      <c r="AJ16" s="1670"/>
      <c r="AK16" s="414"/>
      <c r="AL16" s="1670"/>
      <c r="AM16" s="1670"/>
      <c r="AN16" s="1670"/>
      <c r="AO16" s="1670"/>
      <c r="AP16" s="1670"/>
      <c r="AQ16" s="1670"/>
      <c r="AR16" s="1670"/>
      <c r="AS16" s="1670"/>
      <c r="AT16" s="1670"/>
      <c r="AU16" s="1670"/>
      <c r="AV16" s="1670"/>
      <c r="AW16" s="1670"/>
      <c r="AX16" s="1670"/>
      <c r="AY16" s="1670"/>
      <c r="AZ16" s="1670"/>
      <c r="BA16" s="1670"/>
      <c r="BB16" s="1670"/>
      <c r="BC16" s="1670"/>
      <c r="BD16" s="1670"/>
      <c r="BE16" s="1670"/>
      <c r="BF16" s="1670"/>
      <c r="BG16" s="1670"/>
      <c r="BH16" s="1670"/>
      <c r="BI16" s="1670"/>
      <c r="BJ16" s="1670"/>
      <c r="BK16" s="1670"/>
      <c r="BL16" s="1670"/>
      <c r="BM16" s="1650">
        <v>11</v>
      </c>
    </row>
    <row customHeight="1" ht="15">
      <c r="D17" s="3055" t="s">
        <v>102</v>
      </c>
      <c r="E17" s="3057" t="s">
        <v>378</v>
      </c>
      <c r="F17" s="3057" t="s">
        <v>380</v>
      </c>
      <c r="G17" s="3060" t="s">
        <v>19</v>
      </c>
      <c r="H17" s="1695"/>
      <c r="I17" s="3062"/>
      <c r="J17" s="3017"/>
      <c r="K17" s="1610"/>
      <c r="L17" s="3009"/>
      <c r="M17" s="3009"/>
      <c r="N17" s="1680"/>
      <c r="O17" s="3009"/>
      <c r="P17" s="3017"/>
      <c r="Q17" s="1681"/>
      <c r="R17" s="3009"/>
      <c r="S17" s="3009"/>
      <c r="T17" s="1682"/>
      <c r="U17" s="3009"/>
      <c r="V17" s="3017"/>
      <c r="W17" s="1683"/>
      <c r="X17" s="3009"/>
      <c r="Y17" s="3009"/>
      <c r="Z17" s="1680"/>
      <c r="AA17" s="3009"/>
      <c r="AB17" s="3017"/>
      <c r="AC17" s="1684"/>
      <c r="AD17" s="3009"/>
      <c r="AE17" s="3009"/>
      <c r="AF17" s="1609"/>
      <c r="AG17" s="1609"/>
      <c r="AH17" s="1685"/>
      <c r="AI17" s="1392"/>
      <c r="AJ17" s="1670"/>
      <c r="BM17" s="401">
        <v>14</v>
      </c>
    </row>
    <row customHeight="1" ht="14.699999999999998">
      <c r="D18" s="3055"/>
      <c r="E18" s="3057"/>
      <c r="F18" s="3057"/>
      <c r="G18" s="3061"/>
      <c r="H18" s="1696"/>
      <c r="I18" s="3063"/>
      <c r="J18" s="3018"/>
      <c r="K18" s="1679"/>
      <c r="L18" s="3010"/>
      <c r="M18" s="3010"/>
      <c r="N18" s="1686"/>
      <c r="O18" s="3010"/>
      <c r="P18" s="3018"/>
      <c r="Q18" s="1687"/>
      <c r="R18" s="3010"/>
      <c r="S18" s="3010"/>
      <c r="T18" s="1688"/>
      <c r="U18" s="3010"/>
      <c r="V18" s="3018"/>
      <c r="W18" s="1689"/>
      <c r="X18" s="3010"/>
      <c r="Y18" s="3010"/>
      <c r="Z18" s="1686"/>
      <c r="AA18" s="3010"/>
      <c r="AB18" s="3018"/>
      <c r="AC18" s="1690"/>
      <c r="AD18" s="3010"/>
      <c r="AE18" s="3010"/>
      <c r="AF18" s="1691"/>
      <c r="AG18" s="1691"/>
      <c r="AH18" s="3066"/>
      <c r="AI18" s="3067"/>
      <c r="AJ18" s="1670"/>
      <c r="BM18" s="401">
        <v>14</v>
      </c>
    </row>
    <row customHeight="1" ht="14.699999999999998">
      <c r="D19" s="3055"/>
      <c r="E19" s="3057"/>
      <c r="F19" s="3057"/>
      <c r="G19" s="3061"/>
      <c r="H19" s="1696"/>
      <c r="I19" s="3063"/>
      <c r="J19" s="3018"/>
      <c r="K19" s="1679"/>
      <c r="L19" s="3010"/>
      <c r="M19" s="3010"/>
      <c r="N19" s="1686"/>
      <c r="O19" s="3010"/>
      <c r="P19" s="3018"/>
      <c r="Q19" s="1687"/>
      <c r="R19" s="3010"/>
      <c r="S19" s="3010"/>
      <c r="T19" s="1688"/>
      <c r="U19" s="3010"/>
      <c r="V19" s="3018"/>
      <c r="W19" s="1689"/>
      <c r="X19" s="3010"/>
      <c r="Y19" s="3010"/>
      <c r="Z19" s="1608"/>
      <c r="AA19" s="1691"/>
      <c r="AB19" s="3066"/>
      <c r="AC19" s="3066"/>
      <c r="AD19" s="3066"/>
      <c r="AE19" s="3066"/>
      <c r="AF19" s="3066"/>
      <c r="AG19" s="3066"/>
      <c r="AH19" s="3066"/>
      <c r="AI19" s="3067"/>
      <c r="AJ19" s="1670"/>
      <c r="BM19" s="401">
        <v>14</v>
      </c>
    </row>
    <row customHeight="1" ht="14.699999999999998">
      <c r="D20" s="3055"/>
      <c r="E20" s="3057"/>
      <c r="F20" s="3057"/>
      <c r="G20" s="3061"/>
      <c r="H20" s="1696"/>
      <c r="I20" s="3063"/>
      <c r="J20" s="3018"/>
      <c r="K20" s="1679"/>
      <c r="L20" s="3010"/>
      <c r="M20" s="3010"/>
      <c r="N20" s="1686"/>
      <c r="O20" s="3010"/>
      <c r="P20" s="3018"/>
      <c r="Q20" s="1687"/>
      <c r="R20" s="3010"/>
      <c r="S20" s="3010"/>
      <c r="T20" s="1692"/>
      <c r="U20" s="1693"/>
      <c r="V20" s="3066"/>
      <c r="W20" s="3066"/>
      <c r="X20" s="3066"/>
      <c r="Y20" s="3066"/>
      <c r="Z20" s="3066"/>
      <c r="AA20" s="3066"/>
      <c r="AB20" s="3066"/>
      <c r="AC20" s="3066"/>
      <c r="AD20" s="3066"/>
      <c r="AE20" s="3066"/>
      <c r="AF20" s="3066"/>
      <c r="AG20" s="3066"/>
      <c r="AH20" s="3066"/>
      <c r="AI20" s="3067"/>
      <c r="AJ20" s="1670"/>
      <c r="BM20" s="401">
        <v>14</v>
      </c>
    </row>
    <row customHeight="1" ht="11.549999999999999">
      <c r="D21" s="3055"/>
      <c r="E21" s="3057"/>
      <c r="F21" s="3057"/>
      <c r="G21" s="3061"/>
      <c r="H21" s="1697"/>
      <c r="I21" s="3063"/>
      <c r="J21" s="3018"/>
      <c r="K21" s="1679"/>
      <c r="L21" s="3010"/>
      <c r="M21" s="3010"/>
      <c r="N21" s="1691"/>
      <c r="O21" s="1691"/>
      <c r="P21" s="3066"/>
      <c r="Q21" s="3066"/>
      <c r="R21" s="3066"/>
      <c r="S21" s="3066"/>
      <c r="T21" s="3066"/>
      <c r="U21" s="3066"/>
      <c r="V21" s="3066"/>
      <c r="W21" s="3066"/>
      <c r="X21" s="3066"/>
      <c r="Y21" s="3066"/>
      <c r="Z21" s="3066"/>
      <c r="AA21" s="3066"/>
      <c r="AB21" s="3066"/>
      <c r="AC21" s="3066"/>
      <c r="AD21" s="3066"/>
      <c r="AE21" s="3066"/>
      <c r="AF21" s="3066"/>
      <c r="AG21" s="3066"/>
      <c r="AH21" s="3066"/>
      <c r="AI21" s="3067"/>
      <c r="AJ21" s="1670"/>
      <c r="BM21" s="401">
        <v>11</v>
      </c>
    </row>
    <row s="10653" customFormat="1" customHeight="1" ht="11.549999999999999">
      <c r="D22" s="3056"/>
      <c r="E22" s="3058"/>
      <c r="F22" s="3059"/>
      <c r="G22" s="2994"/>
      <c r="H22" s="1694"/>
      <c r="I22" s="1698"/>
      <c r="J22" s="3064"/>
      <c r="K22" s="3064"/>
      <c r="L22" s="3064"/>
      <c r="M22" s="3064"/>
      <c r="N22" s="3064"/>
      <c r="O22" s="3064"/>
      <c r="P22" s="3064"/>
      <c r="Q22" s="3064"/>
      <c r="R22" s="3064"/>
      <c r="S22" s="3064"/>
      <c r="T22" s="3064"/>
      <c r="U22" s="3064"/>
      <c r="V22" s="3064"/>
      <c r="W22" s="3064"/>
      <c r="X22" s="3064"/>
      <c r="Y22" s="3064"/>
      <c r="Z22" s="3064"/>
      <c r="AA22" s="3064"/>
      <c r="AB22" s="3064"/>
      <c r="AC22" s="3064"/>
      <c r="AD22" s="3064"/>
      <c r="AE22" s="3064"/>
      <c r="AF22" s="3064"/>
      <c r="AG22" s="3064"/>
      <c r="AH22" s="3064"/>
      <c r="AI22" s="3065"/>
      <c r="AJ22" s="1670"/>
      <c r="AK22" s="414"/>
      <c r="AL22" s="1670"/>
      <c r="AM22" s="1670"/>
      <c r="AN22" s="1670"/>
      <c r="AO22" s="1670"/>
      <c r="AP22" s="1670"/>
      <c r="AQ22" s="1670"/>
      <c r="AR22" s="1670"/>
      <c r="AS22" s="1670"/>
      <c r="AT22" s="1670"/>
      <c r="AU22" s="1670"/>
      <c r="AV22" s="1670"/>
      <c r="AW22" s="1670"/>
      <c r="AX22" s="1670"/>
      <c r="AY22" s="1670"/>
      <c r="AZ22" s="1670"/>
      <c r="BA22" s="1670"/>
      <c r="BB22" s="1670"/>
      <c r="BC22" s="1670"/>
      <c r="BD22" s="1670"/>
      <c r="BE22" s="1670"/>
      <c r="BF22" s="1670"/>
      <c r="BG22" s="1670"/>
      <c r="BH22" s="1670"/>
      <c r="BI22" s="1670"/>
      <c r="BJ22" s="1670"/>
      <c r="BK22" s="1670"/>
      <c r="BL22" s="1670"/>
      <c r="BM22" s="1650">
        <v>11</v>
      </c>
    </row>
    <row customHeight="1" ht="15">
      <c r="D23" s="3055" t="s">
        <v>90</v>
      </c>
      <c r="E23" s="3057" t="s">
        <v>378</v>
      </c>
      <c r="F23" s="3057" t="s">
        <v>381</v>
      </c>
      <c r="G23" s="3060" t="s">
        <v>19</v>
      </c>
      <c r="H23" s="1695"/>
      <c r="I23" s="3062"/>
      <c r="J23" s="3017"/>
      <c r="K23" s="1610"/>
      <c r="L23" s="3009"/>
      <c r="M23" s="3009"/>
      <c r="N23" s="1680"/>
      <c r="O23" s="3009"/>
      <c r="P23" s="3017"/>
      <c r="Q23" s="1681"/>
      <c r="R23" s="3009"/>
      <c r="S23" s="3009"/>
      <c r="T23" s="1682"/>
      <c r="U23" s="3009"/>
      <c r="V23" s="3017"/>
      <c r="W23" s="1683"/>
      <c r="X23" s="3009"/>
      <c r="Y23" s="3009"/>
      <c r="Z23" s="1680"/>
      <c r="AA23" s="3009"/>
      <c r="AB23" s="3017"/>
      <c r="AC23" s="1684"/>
      <c r="AD23" s="3009"/>
      <c r="AE23" s="3009"/>
      <c r="AF23" s="1609"/>
      <c r="AG23" s="1609"/>
      <c r="AH23" s="1685"/>
      <c r="AI23" s="1392"/>
      <c r="AJ23" s="1670"/>
      <c r="AK23" s="414" t="s">
        <v>98</v>
      </c>
      <c r="BM23" s="401">
        <v>14</v>
      </c>
    </row>
    <row customHeight="1" ht="14.699999999999998">
      <c r="D24" s="3055"/>
      <c r="E24" s="3057"/>
      <c r="F24" s="3057"/>
      <c r="G24" s="3061"/>
      <c r="H24" s="1696"/>
      <c r="I24" s="3063"/>
      <c r="J24" s="3018"/>
      <c r="K24" s="1706"/>
      <c r="L24" s="3010"/>
      <c r="M24" s="3010"/>
      <c r="N24" s="1686"/>
      <c r="O24" s="3010"/>
      <c r="P24" s="3018"/>
      <c r="Q24" s="1687"/>
      <c r="R24" s="3010"/>
      <c r="S24" s="3010"/>
      <c r="T24" s="1688"/>
      <c r="U24" s="3010"/>
      <c r="V24" s="3018"/>
      <c r="W24" s="1689"/>
      <c r="X24" s="3010"/>
      <c r="Y24" s="3010"/>
      <c r="Z24" s="1686"/>
      <c r="AA24" s="3010"/>
      <c r="AB24" s="3018"/>
      <c r="AC24" s="1690"/>
      <c r="AD24" s="3010"/>
      <c r="AE24" s="3010"/>
      <c r="AF24" s="1691"/>
      <c r="AG24" s="1691"/>
      <c r="AH24" s="3066"/>
      <c r="AI24" s="3067"/>
      <c r="AJ24" s="1670"/>
      <c r="BM24" s="401">
        <v>14</v>
      </c>
    </row>
    <row customHeight="1" ht="14.699999999999998">
      <c r="D25" s="3055"/>
      <c r="E25" s="3057"/>
      <c r="F25" s="3057"/>
      <c r="G25" s="3061"/>
      <c r="H25" s="1696"/>
      <c r="I25" s="3063"/>
      <c r="J25" s="3018"/>
      <c r="K25" s="1706"/>
      <c r="L25" s="3010"/>
      <c r="M25" s="3010"/>
      <c r="N25" s="1686"/>
      <c r="O25" s="3010"/>
      <c r="P25" s="3018"/>
      <c r="Q25" s="1687"/>
      <c r="R25" s="3010"/>
      <c r="S25" s="3010"/>
      <c r="T25" s="1688"/>
      <c r="U25" s="3010"/>
      <c r="V25" s="3018"/>
      <c r="W25" s="1689"/>
      <c r="X25" s="3010"/>
      <c r="Y25" s="3010"/>
      <c r="Z25" s="1608"/>
      <c r="AA25" s="1691"/>
      <c r="AB25" s="3066"/>
      <c r="AC25" s="3066"/>
      <c r="AD25" s="3066"/>
      <c r="AE25" s="3066"/>
      <c r="AF25" s="3066"/>
      <c r="AG25" s="3066"/>
      <c r="AH25" s="3066"/>
      <c r="AI25" s="3067"/>
      <c r="AJ25" s="1670"/>
      <c r="BM25" s="401">
        <v>14</v>
      </c>
    </row>
    <row customHeight="1" ht="14.699999999999998">
      <c r="D26" s="3055"/>
      <c r="E26" s="3057"/>
      <c r="F26" s="3057"/>
      <c r="G26" s="3061"/>
      <c r="H26" s="1696"/>
      <c r="I26" s="3063"/>
      <c r="J26" s="3018"/>
      <c r="K26" s="1706"/>
      <c r="L26" s="3010"/>
      <c r="M26" s="3010"/>
      <c r="N26" s="1686"/>
      <c r="O26" s="3010"/>
      <c r="P26" s="3018"/>
      <c r="Q26" s="1687"/>
      <c r="R26" s="3010"/>
      <c r="S26" s="3010"/>
      <c r="T26" s="1692"/>
      <c r="U26" s="1693"/>
      <c r="V26" s="3066"/>
      <c r="W26" s="3066"/>
      <c r="X26" s="3066"/>
      <c r="Y26" s="3066"/>
      <c r="Z26" s="3066"/>
      <c r="AA26" s="3066"/>
      <c r="AB26" s="3066"/>
      <c r="AC26" s="3066"/>
      <c r="AD26" s="3066"/>
      <c r="AE26" s="3066"/>
      <c r="AF26" s="3066"/>
      <c r="AG26" s="3066"/>
      <c r="AH26" s="3066"/>
      <c r="AI26" s="3067"/>
      <c r="AJ26" s="1670"/>
      <c r="BM26" s="401">
        <v>14</v>
      </c>
    </row>
    <row customHeight="1" ht="11.549999999999999">
      <c r="D27" s="3055"/>
      <c r="E27" s="3057"/>
      <c r="F27" s="3057"/>
      <c r="G27" s="3061"/>
      <c r="H27" s="1697"/>
      <c r="I27" s="3063"/>
      <c r="J27" s="3018"/>
      <c r="K27" s="1706"/>
      <c r="L27" s="3010"/>
      <c r="M27" s="3010"/>
      <c r="N27" s="1691"/>
      <c r="O27" s="1691"/>
      <c r="P27" s="3066"/>
      <c r="Q27" s="3066"/>
      <c r="R27" s="3066"/>
      <c r="S27" s="3066"/>
      <c r="T27" s="3066"/>
      <c r="U27" s="3066"/>
      <c r="V27" s="3066"/>
      <c r="W27" s="3066"/>
      <c r="X27" s="3066"/>
      <c r="Y27" s="3066"/>
      <c r="Z27" s="3066"/>
      <c r="AA27" s="3066"/>
      <c r="AB27" s="3066"/>
      <c r="AC27" s="3066"/>
      <c r="AD27" s="3066"/>
      <c r="AE27" s="3066"/>
      <c r="AF27" s="3066"/>
      <c r="AG27" s="3066"/>
      <c r="AH27" s="3066"/>
      <c r="AI27" s="3067"/>
      <c r="AJ27" s="1670"/>
      <c r="BM27" s="401">
        <v>11</v>
      </c>
    </row>
    <row s="10653" customFormat="1" customHeight="1" ht="11.549999999999999">
      <c r="D28" s="3056"/>
      <c r="E28" s="3058"/>
      <c r="F28" s="3059"/>
      <c r="G28" s="2994"/>
      <c r="H28" s="1694"/>
      <c r="I28" s="1698"/>
      <c r="J28" s="3064"/>
      <c r="K28" s="3064"/>
      <c r="L28" s="3064"/>
      <c r="M28" s="3064"/>
      <c r="N28" s="3064"/>
      <c r="O28" s="3064"/>
      <c r="P28" s="3064"/>
      <c r="Q28" s="3064"/>
      <c r="R28" s="3064"/>
      <c r="S28" s="3064"/>
      <c r="T28" s="3064"/>
      <c r="U28" s="3064"/>
      <c r="V28" s="3064"/>
      <c r="W28" s="3064"/>
      <c r="X28" s="3064"/>
      <c r="Y28" s="3064"/>
      <c r="Z28" s="3064"/>
      <c r="AA28" s="3064"/>
      <c r="AB28" s="3064"/>
      <c r="AC28" s="3064"/>
      <c r="AD28" s="3064"/>
      <c r="AE28" s="3064"/>
      <c r="AF28" s="3064"/>
      <c r="AG28" s="3064"/>
      <c r="AH28" s="3064"/>
      <c r="AI28" s="3065"/>
      <c r="AJ28" s="1670"/>
      <c r="AK28" s="414"/>
      <c r="AL28" s="1670"/>
      <c r="AM28" s="1670"/>
      <c r="AN28" s="1670"/>
      <c r="AO28" s="1670"/>
      <c r="AP28" s="1670"/>
      <c r="AQ28" s="1670"/>
      <c r="AR28" s="1670"/>
      <c r="AS28" s="1670"/>
      <c r="AT28" s="1670"/>
      <c r="AU28" s="1670"/>
      <c r="AV28" s="1670"/>
      <c r="AW28" s="1670"/>
      <c r="AX28" s="1670"/>
      <c r="AY28" s="1670"/>
      <c r="AZ28" s="1670"/>
      <c r="BA28" s="1670"/>
      <c r="BB28" s="1670"/>
      <c r="BC28" s="1670"/>
      <c r="BD28" s="1670"/>
      <c r="BE28" s="1670"/>
      <c r="BF28" s="1670"/>
      <c r="BG28" s="1670"/>
      <c r="BH28" s="1670"/>
      <c r="BI28" s="1670"/>
      <c r="BJ28" s="1670"/>
      <c r="BK28" s="1670"/>
      <c r="BL28" s="1670"/>
      <c r="BM28" s="1650">
        <v>11</v>
      </c>
    </row>
    <row customHeight="1" ht="15">
      <c r="D29" s="3055" t="s">
        <v>91</v>
      </c>
      <c r="E29" s="3057" t="s">
        <v>378</v>
      </c>
      <c r="F29" s="3057" t="s">
        <v>382</v>
      </c>
      <c r="G29" s="3060" t="s">
        <v>19</v>
      </c>
      <c r="H29" s="1695"/>
      <c r="I29" s="3062"/>
      <c r="J29" s="3017"/>
      <c r="K29" s="1610"/>
      <c r="L29" s="3009"/>
      <c r="M29" s="3009"/>
      <c r="N29" s="1680"/>
      <c r="O29" s="3009"/>
      <c r="P29" s="3017"/>
      <c r="Q29" s="1681"/>
      <c r="R29" s="3009"/>
      <c r="S29" s="3009"/>
      <c r="T29" s="1682"/>
      <c r="U29" s="3009"/>
      <c r="V29" s="3017"/>
      <c r="W29" s="1683"/>
      <c r="X29" s="3009"/>
      <c r="Y29" s="3009"/>
      <c r="Z29" s="1680"/>
      <c r="AA29" s="3009"/>
      <c r="AB29" s="3017"/>
      <c r="AC29" s="1684"/>
      <c r="AD29" s="3009"/>
      <c r="AE29" s="3009"/>
      <c r="AF29" s="1609"/>
      <c r="AG29" s="1609"/>
      <c r="AH29" s="1685"/>
      <c r="AI29" s="1392"/>
      <c r="AJ29" s="1670"/>
      <c r="BM29" s="401">
        <v>14</v>
      </c>
    </row>
    <row customHeight="1" ht="14.699999999999998">
      <c r="D30" s="3055"/>
      <c r="E30" s="3057"/>
      <c r="F30" s="3057"/>
      <c r="G30" s="3061"/>
      <c r="H30" s="1696"/>
      <c r="I30" s="3063"/>
      <c r="J30" s="3018"/>
      <c r="K30" s="1679"/>
      <c r="L30" s="3010"/>
      <c r="M30" s="3010"/>
      <c r="N30" s="1686"/>
      <c r="O30" s="3010"/>
      <c r="P30" s="3018"/>
      <c r="Q30" s="1687"/>
      <c r="R30" s="3010"/>
      <c r="S30" s="3010"/>
      <c r="T30" s="1688"/>
      <c r="U30" s="3010"/>
      <c r="V30" s="3018"/>
      <c r="W30" s="1689"/>
      <c r="X30" s="3010"/>
      <c r="Y30" s="3010"/>
      <c r="Z30" s="1686"/>
      <c r="AA30" s="3010"/>
      <c r="AB30" s="3018"/>
      <c r="AC30" s="1690"/>
      <c r="AD30" s="3010"/>
      <c r="AE30" s="3010"/>
      <c r="AF30" s="1691"/>
      <c r="AG30" s="1691"/>
      <c r="AH30" s="3066"/>
      <c r="AI30" s="3067"/>
      <c r="AJ30" s="1670"/>
      <c r="BM30" s="401">
        <v>14</v>
      </c>
    </row>
    <row customHeight="1" ht="14.699999999999998">
      <c r="D31" s="3055"/>
      <c r="E31" s="3057"/>
      <c r="F31" s="3057"/>
      <c r="G31" s="3061"/>
      <c r="H31" s="1696"/>
      <c r="I31" s="3063"/>
      <c r="J31" s="3018"/>
      <c r="K31" s="1679"/>
      <c r="L31" s="3010"/>
      <c r="M31" s="3010"/>
      <c r="N31" s="1686"/>
      <c r="O31" s="3010"/>
      <c r="P31" s="3018"/>
      <c r="Q31" s="1687"/>
      <c r="R31" s="3010"/>
      <c r="S31" s="3010"/>
      <c r="T31" s="1688"/>
      <c r="U31" s="3010"/>
      <c r="V31" s="3018"/>
      <c r="W31" s="1689"/>
      <c r="X31" s="3010"/>
      <c r="Y31" s="3010"/>
      <c r="Z31" s="1608"/>
      <c r="AA31" s="1691"/>
      <c r="AB31" s="3066"/>
      <c r="AC31" s="3066"/>
      <c r="AD31" s="3066"/>
      <c r="AE31" s="3066"/>
      <c r="AF31" s="3066"/>
      <c r="AG31" s="3066"/>
      <c r="AH31" s="3066"/>
      <c r="AI31" s="3067"/>
      <c r="AJ31" s="1670"/>
      <c r="BM31" s="401">
        <v>14</v>
      </c>
    </row>
    <row customHeight="1" ht="14.699999999999998">
      <c r="D32" s="3055"/>
      <c r="E32" s="3057"/>
      <c r="F32" s="3057"/>
      <c r="G32" s="3061"/>
      <c r="H32" s="1696"/>
      <c r="I32" s="3063"/>
      <c r="J32" s="3018"/>
      <c r="K32" s="1679"/>
      <c r="L32" s="3010"/>
      <c r="M32" s="3010"/>
      <c r="N32" s="1686"/>
      <c r="O32" s="3010"/>
      <c r="P32" s="3018"/>
      <c r="Q32" s="1687"/>
      <c r="R32" s="3010"/>
      <c r="S32" s="3010"/>
      <c r="T32" s="1692"/>
      <c r="U32" s="1693"/>
      <c r="V32" s="3066"/>
      <c r="W32" s="3066"/>
      <c r="X32" s="3066"/>
      <c r="Y32" s="3066"/>
      <c r="Z32" s="3066"/>
      <c r="AA32" s="3066"/>
      <c r="AB32" s="3066"/>
      <c r="AC32" s="3066"/>
      <c r="AD32" s="3066"/>
      <c r="AE32" s="3066"/>
      <c r="AF32" s="3066"/>
      <c r="AG32" s="3066"/>
      <c r="AH32" s="3066"/>
      <c r="AI32" s="3067"/>
      <c r="AJ32" s="1670"/>
      <c r="BM32" s="401">
        <v>14</v>
      </c>
    </row>
    <row customHeight="1" ht="11.549999999999999">
      <c r="D33" s="3055"/>
      <c r="E33" s="3057"/>
      <c r="F33" s="3057"/>
      <c r="G33" s="3061"/>
      <c r="H33" s="1697"/>
      <c r="I33" s="3063"/>
      <c r="J33" s="3018"/>
      <c r="K33" s="1679"/>
      <c r="L33" s="3010"/>
      <c r="M33" s="3010"/>
      <c r="N33" s="1691"/>
      <c r="O33" s="1691"/>
      <c r="P33" s="3066"/>
      <c r="Q33" s="3066"/>
      <c r="R33" s="3066"/>
      <c r="S33" s="3066"/>
      <c r="T33" s="3066"/>
      <c r="U33" s="3066"/>
      <c r="V33" s="3066"/>
      <c r="W33" s="3066"/>
      <c r="X33" s="3066"/>
      <c r="Y33" s="3066"/>
      <c r="Z33" s="3066"/>
      <c r="AA33" s="3066"/>
      <c r="AB33" s="3066"/>
      <c r="AC33" s="3066"/>
      <c r="AD33" s="3066"/>
      <c r="AE33" s="3066"/>
      <c r="AF33" s="3066"/>
      <c r="AG33" s="3066"/>
      <c r="AH33" s="3066"/>
      <c r="AI33" s="3067"/>
      <c r="AJ33" s="1670"/>
      <c r="BM33" s="401">
        <v>11</v>
      </c>
    </row>
    <row s="10653" customFormat="1" customHeight="1" ht="11.549999999999999">
      <c r="D34" s="3056"/>
      <c r="E34" s="3058"/>
      <c r="F34" s="3059"/>
      <c r="G34" s="2994"/>
      <c r="H34" s="1694"/>
      <c r="I34" s="1698"/>
      <c r="J34" s="3064"/>
      <c r="K34" s="3064"/>
      <c r="L34" s="3064"/>
      <c r="M34" s="3064"/>
      <c r="N34" s="3064"/>
      <c r="O34" s="3064"/>
      <c r="P34" s="3064"/>
      <c r="Q34" s="3064"/>
      <c r="R34" s="3064"/>
      <c r="S34" s="3064"/>
      <c r="T34" s="3064"/>
      <c r="U34" s="3064"/>
      <c r="V34" s="3064"/>
      <c r="W34" s="3064"/>
      <c r="X34" s="3064"/>
      <c r="Y34" s="3064"/>
      <c r="Z34" s="3064"/>
      <c r="AA34" s="3064"/>
      <c r="AB34" s="3064"/>
      <c r="AC34" s="3064"/>
      <c r="AD34" s="3064"/>
      <c r="AE34" s="3064"/>
      <c r="AF34" s="3064"/>
      <c r="AG34" s="3064"/>
      <c r="AH34" s="3064"/>
      <c r="AI34" s="3065"/>
      <c r="AJ34" s="1670"/>
      <c r="AK34" s="414"/>
      <c r="AL34" s="1670"/>
      <c r="AM34" s="1670"/>
      <c r="AN34" s="1670"/>
      <c r="AO34" s="1670"/>
      <c r="AP34" s="1670"/>
      <c r="AQ34" s="1670"/>
      <c r="AR34" s="1670"/>
      <c r="AS34" s="1670"/>
      <c r="AT34" s="1670"/>
      <c r="AU34" s="1670"/>
      <c r="AV34" s="1670"/>
      <c r="AW34" s="1670"/>
      <c r="AX34" s="1670"/>
      <c r="AY34" s="1670"/>
      <c r="AZ34" s="1670"/>
      <c r="BA34" s="1670"/>
      <c r="BB34" s="1670"/>
      <c r="BC34" s="1670"/>
      <c r="BD34" s="1670"/>
      <c r="BE34" s="1670"/>
      <c r="BF34" s="1670"/>
      <c r="BG34" s="1670"/>
      <c r="BH34" s="1670"/>
      <c r="BI34" s="1670"/>
      <c r="BJ34" s="1670"/>
      <c r="BK34" s="1670"/>
      <c r="BL34" s="1670"/>
      <c r="BM34" s="1650">
        <v>11</v>
      </c>
    </row>
    <row customHeight="1" ht="15">
      <c r="D35" s="3055" t="s">
        <v>121</v>
      </c>
      <c r="E35" s="3057" t="s">
        <v>378</v>
      </c>
      <c r="F35" s="3057" t="s">
        <v>383</v>
      </c>
      <c r="G35" s="3060" t="s">
        <v>19</v>
      </c>
      <c r="H35" s="1695"/>
      <c r="I35" s="3062"/>
      <c r="J35" s="3017"/>
      <c r="K35" s="1610"/>
      <c r="L35" s="3009"/>
      <c r="M35" s="3009"/>
      <c r="N35" s="1680"/>
      <c r="O35" s="3009"/>
      <c r="P35" s="3017"/>
      <c r="Q35" s="1681"/>
      <c r="R35" s="3009"/>
      <c r="S35" s="3009"/>
      <c r="T35" s="1682"/>
      <c r="U35" s="3009"/>
      <c r="V35" s="3017"/>
      <c r="W35" s="1683"/>
      <c r="X35" s="3009"/>
      <c r="Y35" s="3009"/>
      <c r="Z35" s="1680"/>
      <c r="AA35" s="3009"/>
      <c r="AB35" s="3017"/>
      <c r="AC35" s="1684"/>
      <c r="AD35" s="3009"/>
      <c r="AE35" s="3009"/>
      <c r="AF35" s="1609"/>
      <c r="AG35" s="1609"/>
      <c r="AH35" s="1685"/>
      <c r="AI35" s="1392"/>
      <c r="AJ35" s="1670"/>
      <c r="BM35" s="401">
        <v>14</v>
      </c>
    </row>
    <row customHeight="1" ht="14.699999999999998">
      <c r="D36" s="3055"/>
      <c r="E36" s="3057"/>
      <c r="F36" s="3057"/>
      <c r="G36" s="3061"/>
      <c r="H36" s="1696"/>
      <c r="I36" s="3063"/>
      <c r="J36" s="3018"/>
      <c r="K36" s="1679"/>
      <c r="L36" s="3010"/>
      <c r="M36" s="3010"/>
      <c r="N36" s="1686"/>
      <c r="O36" s="3010"/>
      <c r="P36" s="3018"/>
      <c r="Q36" s="1687"/>
      <c r="R36" s="3010"/>
      <c r="S36" s="3010"/>
      <c r="T36" s="1688"/>
      <c r="U36" s="3010"/>
      <c r="V36" s="3018"/>
      <c r="W36" s="1689"/>
      <c r="X36" s="3010"/>
      <c r="Y36" s="3010"/>
      <c r="Z36" s="1686"/>
      <c r="AA36" s="3010"/>
      <c r="AB36" s="3018"/>
      <c r="AC36" s="1690"/>
      <c r="AD36" s="3010"/>
      <c r="AE36" s="3010"/>
      <c r="AF36" s="1691"/>
      <c r="AG36" s="1691"/>
      <c r="AH36" s="3066"/>
      <c r="AI36" s="3067"/>
      <c r="AJ36" s="1670"/>
      <c r="BM36" s="401">
        <v>14</v>
      </c>
    </row>
    <row customHeight="1" ht="14.699999999999998">
      <c r="D37" s="3055"/>
      <c r="E37" s="3057"/>
      <c r="F37" s="3057"/>
      <c r="G37" s="3061"/>
      <c r="H37" s="1696"/>
      <c r="I37" s="3063"/>
      <c r="J37" s="3018"/>
      <c r="K37" s="1679"/>
      <c r="L37" s="3010"/>
      <c r="M37" s="3010"/>
      <c r="N37" s="1686"/>
      <c r="O37" s="3010"/>
      <c r="P37" s="3018"/>
      <c r="Q37" s="1687"/>
      <c r="R37" s="3010"/>
      <c r="S37" s="3010"/>
      <c r="T37" s="1688"/>
      <c r="U37" s="3010"/>
      <c r="V37" s="3018"/>
      <c r="W37" s="1689"/>
      <c r="X37" s="3010"/>
      <c r="Y37" s="3010"/>
      <c r="Z37" s="1608"/>
      <c r="AA37" s="1691"/>
      <c r="AB37" s="3066"/>
      <c r="AC37" s="3066"/>
      <c r="AD37" s="3066"/>
      <c r="AE37" s="3066"/>
      <c r="AF37" s="3066"/>
      <c r="AG37" s="3066"/>
      <c r="AH37" s="3066"/>
      <c r="AI37" s="3067"/>
      <c r="AJ37" s="1670"/>
      <c r="BM37" s="401">
        <v>14</v>
      </c>
    </row>
    <row customHeight="1" ht="14.699999999999998">
      <c r="D38" s="3055"/>
      <c r="E38" s="3057"/>
      <c r="F38" s="3057"/>
      <c r="G38" s="3061"/>
      <c r="H38" s="1696"/>
      <c r="I38" s="3063"/>
      <c r="J38" s="3018"/>
      <c r="K38" s="1679"/>
      <c r="L38" s="3010"/>
      <c r="M38" s="3010"/>
      <c r="N38" s="1686"/>
      <c r="O38" s="3010"/>
      <c r="P38" s="3018"/>
      <c r="Q38" s="1687"/>
      <c r="R38" s="3010"/>
      <c r="S38" s="3010"/>
      <c r="T38" s="1692"/>
      <c r="U38" s="1693"/>
      <c r="V38" s="3066"/>
      <c r="W38" s="3066"/>
      <c r="X38" s="3066"/>
      <c r="Y38" s="3066"/>
      <c r="Z38" s="3066"/>
      <c r="AA38" s="3066"/>
      <c r="AB38" s="3066"/>
      <c r="AC38" s="3066"/>
      <c r="AD38" s="3066"/>
      <c r="AE38" s="3066"/>
      <c r="AF38" s="3066"/>
      <c r="AG38" s="3066"/>
      <c r="AH38" s="3066"/>
      <c r="AI38" s="3067"/>
      <c r="AJ38" s="1670"/>
      <c r="BM38" s="401">
        <v>14</v>
      </c>
    </row>
    <row customHeight="1" ht="11.549999999999999">
      <c r="D39" s="3055"/>
      <c r="E39" s="3057"/>
      <c r="F39" s="3057"/>
      <c r="G39" s="3061"/>
      <c r="H39" s="1697"/>
      <c r="I39" s="3063"/>
      <c r="J39" s="3018"/>
      <c r="K39" s="1679"/>
      <c r="L39" s="3010"/>
      <c r="M39" s="3010"/>
      <c r="N39" s="1691"/>
      <c r="O39" s="1691"/>
      <c r="P39" s="3066"/>
      <c r="Q39" s="3066"/>
      <c r="R39" s="3066"/>
      <c r="S39" s="3066"/>
      <c r="T39" s="3066"/>
      <c r="U39" s="3066"/>
      <c r="V39" s="3066"/>
      <c r="W39" s="3066"/>
      <c r="X39" s="3066"/>
      <c r="Y39" s="3066"/>
      <c r="Z39" s="3066"/>
      <c r="AA39" s="3066"/>
      <c r="AB39" s="3066"/>
      <c r="AC39" s="3066"/>
      <c r="AD39" s="3066"/>
      <c r="AE39" s="3066"/>
      <c r="AF39" s="3066"/>
      <c r="AG39" s="3066"/>
      <c r="AH39" s="3066"/>
      <c r="AI39" s="3067"/>
      <c r="AJ39" s="1670"/>
      <c r="BM39" s="401">
        <v>11</v>
      </c>
    </row>
    <row s="10653" customFormat="1" customHeight="1" ht="11.549999999999999">
      <c r="D40" s="3055"/>
      <c r="E40" s="3057"/>
      <c r="F40" s="3068"/>
      <c r="G40" s="2994"/>
      <c r="H40" s="1694"/>
      <c r="I40" s="1698"/>
      <c r="J40" s="3064"/>
      <c r="K40" s="3064"/>
      <c r="L40" s="3064"/>
      <c r="M40" s="3064"/>
      <c r="N40" s="3064"/>
      <c r="O40" s="3064"/>
      <c r="P40" s="3064"/>
      <c r="Q40" s="3064"/>
      <c r="R40" s="3064"/>
      <c r="S40" s="3064"/>
      <c r="T40" s="3064"/>
      <c r="U40" s="3064"/>
      <c r="V40" s="3064"/>
      <c r="W40" s="3064"/>
      <c r="X40" s="3064"/>
      <c r="Y40" s="3064"/>
      <c r="Z40" s="3064"/>
      <c r="AA40" s="3064"/>
      <c r="AB40" s="3064"/>
      <c r="AC40" s="3064"/>
      <c r="AD40" s="3064"/>
      <c r="AE40" s="3064"/>
      <c r="AF40" s="3064"/>
      <c r="AG40" s="3064"/>
      <c r="AH40" s="3064"/>
      <c r="AI40" s="3065"/>
      <c r="AJ40" s="1670"/>
      <c r="AK40" s="414"/>
      <c r="AL40" s="1670"/>
      <c r="AM40" s="1670"/>
      <c r="AN40" s="1670"/>
      <c r="AO40" s="1670"/>
      <c r="AP40" s="1670"/>
      <c r="AQ40" s="1670"/>
      <c r="AR40" s="1670"/>
      <c r="AS40" s="1670"/>
      <c r="AT40" s="1670"/>
      <c r="AU40" s="1670"/>
      <c r="AV40" s="1670"/>
      <c r="AW40" s="1670"/>
      <c r="AX40" s="1670"/>
      <c r="AY40" s="1670"/>
      <c r="AZ40" s="1670"/>
      <c r="BA40" s="1670"/>
      <c r="BB40" s="1670"/>
      <c r="BC40" s="1670"/>
      <c r="BD40" s="1670"/>
      <c r="BE40" s="1670"/>
      <c r="BF40" s="1670"/>
      <c r="BG40" s="1670"/>
      <c r="BH40" s="1670"/>
      <c r="BI40" s="1670"/>
      <c r="BJ40" s="1670"/>
      <c r="BK40" s="1670"/>
      <c r="BL40" s="1670"/>
      <c r="BM40" s="1650">
        <v>11</v>
      </c>
    </row>
    <row customHeight="1" ht="11.549999999999999">
      <c r="AK41" s="530"/>
      <c r="BM41" s="401">
        <v>11</v>
      </c>
    </row>
    <row customHeight="1" ht="11.549999999999999">
      <c r="AK42" s="530"/>
      <c r="BM42" s="401">
        <v>11</v>
      </c>
    </row>
    <row customHeight="1" ht="11.549999999999999">
      <c r="AK43" s="530"/>
      <c r="BM43" s="401">
        <v>11</v>
      </c>
    </row>
    <row customHeight="1" ht="11.549999999999999">
      <c r="AK44" s="530"/>
      <c r="BM44" s="401">
        <v>11</v>
      </c>
    </row>
    <row customHeight="1" ht="11.549999999999999">
      <c r="AK45" s="530"/>
      <c r="BM45" s="401">
        <v>11</v>
      </c>
    </row>
    <row customHeight="1" ht="11.549999999999999">
      <c r="AK46" s="530"/>
      <c r="BM46" s="401">
        <v>11</v>
      </c>
    </row>
    <row customHeight="1" ht="11.549999999999999">
      <c r="AK47" s="530"/>
      <c r="BM47" s="401">
        <v>11</v>
      </c>
    </row>
    <row customHeight="1" ht="11.549999999999999">
      <c r="AK48" s="530"/>
      <c r="BM48" s="401">
        <v>11</v>
      </c>
    </row>
    <row customHeight="1" ht="11.549999999999999">
      <c r="AK49" s="530"/>
      <c r="BM49" s="401">
        <v>11</v>
      </c>
    </row>
    <row customHeight="1" ht="11.25" hidden="1">
      <c r="A50" s="401" t="s">
        <v>82</v>
      </c>
      <c r="B50" s="401">
        <v>0</v>
      </c>
      <c r="C50" s="401">
        <v>3</v>
      </c>
      <c r="D50" s="401">
        <v>3</v>
      </c>
      <c r="E50" s="401">
        <v>15</v>
      </c>
      <c r="F50" s="401">
        <v>15</v>
      </c>
      <c r="G50" s="401">
        <v>11</v>
      </c>
      <c r="H50" s="401">
        <v>3</v>
      </c>
      <c r="I50" s="401">
        <v>3</v>
      </c>
      <c r="J50" s="401">
        <v>12</v>
      </c>
      <c r="K50" s="401">
        <v>0</v>
      </c>
      <c r="L50" s="401">
        <v>10</v>
      </c>
      <c r="M50" s="401">
        <v>10</v>
      </c>
      <c r="N50" s="401">
        <v>3</v>
      </c>
      <c r="O50" s="401">
        <v>3</v>
      </c>
      <c r="P50" s="401">
        <v>19</v>
      </c>
      <c r="Q50" s="401">
        <v>0</v>
      </c>
      <c r="R50" s="401">
        <v>10</v>
      </c>
      <c r="S50" s="401">
        <v>10</v>
      </c>
      <c r="T50" s="401">
        <v>3</v>
      </c>
      <c r="U50" s="401">
        <v>3</v>
      </c>
      <c r="V50" s="401">
        <v>25</v>
      </c>
      <c r="W50" s="401">
        <v>0</v>
      </c>
      <c r="X50" s="401">
        <v>10</v>
      </c>
      <c r="Y50" s="401">
        <v>10</v>
      </c>
      <c r="Z50" s="401">
        <v>3</v>
      </c>
      <c r="AA50" s="401">
        <v>3</v>
      </c>
      <c r="AB50" s="401">
        <v>16</v>
      </c>
      <c r="AC50" s="401">
        <v>0</v>
      </c>
      <c r="AD50" s="401">
        <v>10</v>
      </c>
      <c r="AE50" s="401">
        <v>10</v>
      </c>
      <c r="AF50" s="401">
        <v>3</v>
      </c>
      <c r="AG50" s="401">
        <v>3</v>
      </c>
      <c r="AH50" s="401">
        <v>8</v>
      </c>
      <c r="AI50" s="401">
        <v>21</v>
      </c>
      <c r="AJ50" s="530">
        <v>8</v>
      </c>
      <c r="AK50" s="414">
        <v>8</v>
      </c>
      <c r="AL50" s="530">
        <v>8</v>
      </c>
      <c r="AM50" s="530">
        <v>8</v>
      </c>
      <c r="AN50" s="530">
        <v>8</v>
      </c>
      <c r="AO50" s="530">
        <v>8</v>
      </c>
      <c r="AP50" s="530">
        <v>8</v>
      </c>
      <c r="AQ50" s="530">
        <v>8</v>
      </c>
      <c r="AR50" s="530">
        <v>8</v>
      </c>
      <c r="AS50" s="530">
        <v>8</v>
      </c>
      <c r="AT50" s="530">
        <v>8</v>
      </c>
      <c r="AU50" s="530">
        <v>8</v>
      </c>
      <c r="AV50" s="530">
        <v>8</v>
      </c>
      <c r="AW50" s="530">
        <v>8</v>
      </c>
      <c r="AX50" s="530">
        <v>8</v>
      </c>
      <c r="AY50" s="530">
        <v>8</v>
      </c>
      <c r="AZ50" s="530">
        <v>8</v>
      </c>
      <c r="BA50" s="530">
        <v>8</v>
      </c>
      <c r="BB50" s="530">
        <v>8</v>
      </c>
      <c r="BC50" s="530">
        <v>8</v>
      </c>
      <c r="BD50" s="530">
        <v>8</v>
      </c>
      <c r="BE50" s="530">
        <v>8</v>
      </c>
      <c r="BF50" s="530">
        <v>8</v>
      </c>
      <c r="BG50" s="530">
        <v>8</v>
      </c>
      <c r="BH50" s="530">
        <v>8</v>
      </c>
      <c r="BI50" s="530">
        <v>8</v>
      </c>
      <c r="BJ50" s="530">
        <v>8</v>
      </c>
      <c r="BK50" s="530">
        <v>8</v>
      </c>
      <c r="BL50" s="530">
        <v>8</v>
      </c>
      <c r="BM50" s="401">
        <v>11</v>
      </c>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88434-61DE-C1FD-B887-C61E208F657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0809" width="15.00390625" hidden="1" customWidth="1"/>
    <col min="2" max="2" style="10766" width="15.00390625" hidden="1" customWidth="1"/>
    <col min="3" max="3" style="10810" width="3.00390625" customWidth="1"/>
    <col min="4" max="4" style="10811" width="6.00390625" customWidth="1"/>
    <col min="5" max="5" style="10810" width="52.00390625" customWidth="1"/>
    <col min="6" max="6" style="10810" width="48.00390625" customWidth="1"/>
    <col min="7" max="7" style="10810" width="121.00390625" customWidth="1"/>
    <col min="8" max="8" style="10810" width="8.00390625" customWidth="1"/>
    <col min="9" max="9" style="10810" width="64.00390625" customWidth="1"/>
    <col min="10" max="10" style="10810" width="9.140625" hidden="1"/>
  </cols>
  <sheetData>
    <row customHeight="1" ht="11.25" hidden="1">
      <c r="A1" s="1782" t="s">
        <v>384</v>
      </c>
      <c r="J1" s="562" t="s">
        <v>14</v>
      </c>
    </row>
    <row customHeight="1" ht="11.25" hidden="1">
      <c r="J2" s="562">
        <v>0</v>
      </c>
    </row>
    <row s="10725" customFormat="1" customHeight="1" ht="11.549999999999999">
      <c r="A3" s="1782"/>
      <c r="B3" s="608"/>
      <c r="D3" s="585"/>
      <c r="J3" s="584">
        <v>11</v>
      </c>
    </row>
    <row customHeight="1" ht="27.299999999999997">
      <c r="D4" s="303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039"/>
      <c r="F4" s="3040"/>
      <c r="I4" s="822"/>
      <c r="J4" s="562">
        <v>26</v>
      </c>
    </row>
    <row customHeight="1" ht="18">
      <c r="D5" s="3069" t="str">
        <f>IF(org=0,"Не определено",org)</f>
        <v>АО "ДГК"</v>
      </c>
      <c r="E5" s="3069"/>
      <c r="F5" s="3069"/>
      <c r="I5" s="822"/>
      <c r="J5" s="562">
        <v>17</v>
      </c>
    </row>
    <row s="10725" customFormat="1" customHeight="1" ht="11.549999999999999">
      <c r="A6" s="1782"/>
      <c r="B6" s="608"/>
      <c r="D6" s="821"/>
      <c r="E6" s="821"/>
      <c r="F6" s="859"/>
      <c r="G6" s="821"/>
      <c r="J6" s="584">
        <v>11</v>
      </c>
    </row>
    <row customHeight="1" ht="11.25" hidden="1">
      <c r="A7" s="564"/>
      <c r="B7" s="609"/>
      <c r="C7" s="564"/>
      <c r="D7" s="570"/>
      <c r="E7" s="3075"/>
      <c r="F7" s="3075"/>
      <c r="J7" s="562">
        <v>0</v>
      </c>
    </row>
    <row customHeight="1" ht="11.549999999999999">
      <c r="A8" s="564"/>
      <c r="B8" s="609"/>
      <c r="C8" s="564"/>
      <c r="D8" s="3072" t="s">
        <v>385</v>
      </c>
      <c r="E8" s="3073"/>
      <c r="F8" s="3073"/>
      <c r="G8" s="3076" t="s">
        <v>386</v>
      </c>
      <c r="J8" s="562">
        <v>11</v>
      </c>
    </row>
    <row customHeight="1" ht="11.549999999999999">
      <c r="A9" s="564"/>
      <c r="B9" s="609"/>
      <c r="C9" s="564"/>
      <c r="D9" s="579" t="s">
        <v>88</v>
      </c>
      <c r="E9" s="553" t="s">
        <v>387</v>
      </c>
      <c r="F9" s="553" t="s">
        <v>388</v>
      </c>
      <c r="G9" s="3077"/>
      <c r="J9" s="562">
        <v>11</v>
      </c>
    </row>
    <row customHeight="1" ht="12" hidden="1">
      <c r="A10" s="564"/>
      <c r="B10" s="609"/>
      <c r="C10" s="564"/>
      <c r="D10" s="571"/>
      <c r="E10" s="571"/>
      <c r="F10" s="571"/>
      <c r="G10" s="571"/>
      <c r="J10" s="562">
        <v>0</v>
      </c>
    </row>
    <row customHeight="1" ht="22.5" hidden="1">
      <c r="A11" s="564"/>
      <c r="B11" s="609"/>
      <c r="C11" s="564"/>
      <c r="D11" s="1109" t="s">
        <v>144</v>
      </c>
      <c r="E11" s="1112" t="s">
        <v>389</v>
      </c>
      <c r="F11" s="1111" t="str">
        <f>IF(region_name="","",region_name)</f>
        <v>Хабаровский край</v>
      </c>
      <c r="G11" s="1112" t="s">
        <v>390</v>
      </c>
      <c r="H11" s="582"/>
      <c r="J11" s="562">
        <v>0</v>
      </c>
    </row>
    <row customHeight="1" ht="22.5" hidden="1">
      <c r="A12" s="564"/>
      <c r="B12" s="609"/>
      <c r="C12" s="564"/>
      <c r="D12" s="552" t="s">
        <v>144</v>
      </c>
      <c r="E12" s="55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0" t="s">
        <v>391</v>
      </c>
      <c r="G12" s="581"/>
      <c r="H12" s="582"/>
      <c r="J12" s="562">
        <v>0</v>
      </c>
    </row>
    <row customHeight="1" ht="23.25">
      <c r="A13" s="564"/>
      <c r="B13" s="609"/>
      <c r="C13" s="564"/>
      <c r="D13" s="552" t="s">
        <v>144</v>
      </c>
      <c r="E13" s="549" t="str">
        <f>"Наименование юридического лица"&amp;IF(TEMPLATE_SPHERE="TKO"," (индивидуального предпринимателя)","")</f>
        <v>Наименование юридического лица</v>
      </c>
      <c r="F13" s="548"/>
      <c r="G13" s="55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2"/>
      <c r="J13" s="562">
        <v>22</v>
      </c>
    </row>
    <row customHeight="1" ht="22.5" hidden="1">
      <c r="A14" s="564"/>
      <c r="B14" s="609"/>
      <c r="C14" s="564"/>
      <c r="D14" s="1109" t="s">
        <v>392</v>
      </c>
      <c r="E14" s="1110" t="s">
        <v>393</v>
      </c>
      <c r="F14" s="1111" t="str">
        <f>IF(inn="","",inn)</f>
        <v>1434031363</v>
      </c>
      <c r="G14" s="1112" t="s">
        <v>394</v>
      </c>
      <c r="H14" s="582"/>
      <c r="J14" s="562">
        <v>0</v>
      </c>
    </row>
    <row customHeight="1" ht="22.5" hidden="1">
      <c r="A15" s="564"/>
      <c r="B15" s="609"/>
      <c r="C15" s="564"/>
      <c r="D15" s="1109" t="s">
        <v>395</v>
      </c>
      <c r="E15" s="1110" t="s">
        <v>396</v>
      </c>
      <c r="F15" s="1111" t="str">
        <f>IF(kpp="","",kpp)</f>
        <v>272101001</v>
      </c>
      <c r="G15" s="1112" t="s">
        <v>397</v>
      </c>
      <c r="H15" s="582"/>
      <c r="J15" s="562">
        <v>0</v>
      </c>
    </row>
    <row customHeight="1" ht="39">
      <c r="A16" s="564"/>
      <c r="B16" s="609"/>
      <c r="C16" s="564"/>
      <c r="D16" s="552" t="s">
        <v>102</v>
      </c>
      <c r="E16" s="5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48"/>
      <c r="G16" s="55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2"/>
      <c r="J16" s="562">
        <v>37</v>
      </c>
    </row>
    <row customHeight="1" ht="23.25">
      <c r="A17" s="564"/>
      <c r="B17" s="609"/>
      <c r="C17" s="564"/>
      <c r="D17" s="552" t="s">
        <v>90</v>
      </c>
      <c r="E17" s="549" t="str">
        <f>"Дата присвоения ОГРН"&amp;IF(TEMPLATE_SPHERE="TKO",""," (ОГРНИП)")</f>
        <v>Дата присвоения ОГРН (ОГРНИП)</v>
      </c>
      <c r="F17" s="1828" t="s">
        <v>22</v>
      </c>
      <c r="G17" s="551" t="str">
        <f>"Дата присвоения ОГРН"&amp;IF(TEMPLATE_SPHERE="TKO",""," (ОГРНИП)")&amp;" указывается в виде «ДД.ММ.ГГГГ»."</f>
        <v>Дата присвоения ОГРН (ОГРНИП) указывается в виде «ДД.ММ.ГГГГ».</v>
      </c>
      <c r="H17" s="582"/>
      <c r="J17" s="562">
        <v>22</v>
      </c>
    </row>
    <row customHeight="1" ht="71.25">
      <c r="A18" s="564"/>
      <c r="B18" s="609"/>
      <c r="C18" s="564"/>
      <c r="D18" s="552" t="s">
        <v>91</v>
      </c>
      <c r="E18" s="5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48"/>
      <c r="G18" s="581"/>
      <c r="H18" s="582"/>
      <c r="J18" s="562">
        <v>68</v>
      </c>
    </row>
    <row customHeight="1" ht="22.5" hidden="1">
      <c r="A19" s="3070" t="s">
        <v>398</v>
      </c>
      <c r="B19" s="609"/>
      <c r="C19" s="3081"/>
      <c r="D19" s="552" t="str">
        <f>A19</f>
        <v>5.1</v>
      </c>
      <c r="E19" s="549" t="s">
        <v>399</v>
      </c>
      <c r="F19" s="550" t="s">
        <v>391</v>
      </c>
      <c r="G19" s="551" t="s">
        <v>400</v>
      </c>
      <c r="H19" s="582"/>
      <c r="I19" s="953"/>
      <c r="J19" s="562">
        <v>0</v>
      </c>
    </row>
    <row customHeight="1" ht="24" hidden="1">
      <c r="A20" s="3070"/>
      <c r="B20" s="609"/>
      <c r="C20" s="3081"/>
      <c r="D20" s="547" t="str">
        <f>D19&amp;".1"</f>
        <v>5.1.1</v>
      </c>
      <c r="E20" s="546" t="s">
        <v>401</v>
      </c>
      <c r="F20" s="981" t="s">
        <v>22</v>
      </c>
      <c r="G20" s="581"/>
      <c r="H20" s="582"/>
      <c r="I20" s="953"/>
      <c r="J20" s="562">
        <v>0</v>
      </c>
    </row>
    <row customHeight="1" ht="22.5" hidden="1">
      <c r="A21" s="3070"/>
      <c r="B21" s="609"/>
      <c r="C21" s="3081"/>
      <c r="D21" s="547" t="str">
        <f>D19&amp;".2"</f>
        <v>5.1.2</v>
      </c>
      <c r="E21" s="546" t="s">
        <v>402</v>
      </c>
      <c r="F21" s="1829" t="s">
        <v>22</v>
      </c>
      <c r="G21" s="551" t="s">
        <v>403</v>
      </c>
      <c r="H21" s="582"/>
      <c r="I21" s="953"/>
      <c r="J21" s="562">
        <v>0</v>
      </c>
    </row>
    <row customHeight="1" ht="22.5" hidden="1">
      <c r="A22" s="3070"/>
      <c r="B22" s="609"/>
      <c r="C22" s="3081"/>
      <c r="D22" s="547" t="str">
        <f>D19&amp;".3"</f>
        <v>5.1.3</v>
      </c>
      <c r="E22" s="546" t="s">
        <v>404</v>
      </c>
      <c r="F22" s="981" t="s">
        <v>22</v>
      </c>
      <c r="G22" s="581"/>
      <c r="H22" s="582"/>
      <c r="I22" s="953"/>
      <c r="J22" s="562">
        <v>0</v>
      </c>
    </row>
    <row customHeight="1" ht="22.5" hidden="1">
      <c r="A23" s="3070"/>
      <c r="B23" s="609"/>
      <c r="C23" s="3081"/>
      <c r="D23" s="547" t="str">
        <f>D19&amp;".4"</f>
        <v>5.1.4</v>
      </c>
      <c r="E23" s="546" t="s">
        <v>405</v>
      </c>
      <c r="F23" s="981" t="s">
        <v>22</v>
      </c>
      <c r="G23" s="551" t="s">
        <v>406</v>
      </c>
      <c r="H23" s="582"/>
      <c r="I23" s="953"/>
      <c r="J23" s="562">
        <v>0</v>
      </c>
    </row>
    <row customHeight="1" ht="22.5" hidden="1">
      <c r="A24" s="2069"/>
      <c r="B24" s="609"/>
      <c r="C24" s="599"/>
      <c r="D24" s="574"/>
      <c r="E24" s="1264" t="s">
        <v>407</v>
      </c>
      <c r="F24" s="575"/>
      <c r="G24" s="576"/>
      <c r="H24" s="582"/>
      <c r="I24" s="953"/>
      <c r="J24" s="562">
        <v>0</v>
      </c>
    </row>
    <row s="10766" customFormat="1" customHeight="1" ht="24.75" hidden="1">
      <c r="A25" s="564"/>
      <c r="B25" s="609"/>
      <c r="C25" s="609"/>
      <c r="D25" s="1106" t="s">
        <v>90</v>
      </c>
      <c r="E25" s="1108" t="s">
        <v>408</v>
      </c>
      <c r="F25" s="1113" t="s">
        <v>391</v>
      </c>
      <c r="G25" s="1108"/>
      <c r="J25" s="608">
        <v>0</v>
      </c>
    </row>
    <row s="10766" customFormat="1" customHeight="1" ht="11.25" hidden="1">
      <c r="A26" s="564"/>
      <c r="B26" s="609"/>
      <c r="C26" s="609"/>
      <c r="D26" s="1106" t="s">
        <v>409</v>
      </c>
      <c r="E26" s="1107" t="s">
        <v>410</v>
      </c>
      <c r="F26" s="1113" t="s">
        <v>391</v>
      </c>
      <c r="G26" s="1108"/>
      <c r="J26" s="608">
        <v>0</v>
      </c>
    </row>
    <row s="10766" customFormat="1" customHeight="1" ht="11.25" hidden="1">
      <c r="A27" s="564"/>
      <c r="B27" s="609"/>
      <c r="C27" s="609"/>
      <c r="D27" s="1106" t="s">
        <v>411</v>
      </c>
      <c r="E27" s="1114" t="s">
        <v>412</v>
      </c>
      <c r="F27" s="1115"/>
      <c r="G27" s="11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08">
        <v>0</v>
      </c>
    </row>
    <row s="10766" customFormat="1" customHeight="1" ht="11.25" hidden="1">
      <c r="A28" s="564"/>
      <c r="B28" s="609"/>
      <c r="C28" s="609"/>
      <c r="D28" s="1106" t="s">
        <v>413</v>
      </c>
      <c r="E28" s="1114" t="s">
        <v>414</v>
      </c>
      <c r="F28" s="1115"/>
      <c r="G28" s="11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08">
        <v>0</v>
      </c>
    </row>
    <row s="10766" customFormat="1" customHeight="1" ht="11.25" hidden="1">
      <c r="A29" s="564"/>
      <c r="B29" s="609"/>
      <c r="C29" s="609"/>
      <c r="D29" s="1106" t="s">
        <v>415</v>
      </c>
      <c r="E29" s="1114" t="s">
        <v>416</v>
      </c>
      <c r="F29" s="1115"/>
      <c r="G29" s="11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08">
        <v>0</v>
      </c>
    </row>
    <row s="10766" customFormat="1" customHeight="1" ht="11.25" hidden="1">
      <c r="A30" s="564"/>
      <c r="B30" s="609"/>
      <c r="C30" s="609"/>
      <c r="D30" s="1106" t="s">
        <v>417</v>
      </c>
      <c r="E30" s="1107" t="s">
        <v>418</v>
      </c>
      <c r="F30" s="1115"/>
      <c r="G30" s="1108"/>
      <c r="J30" s="608">
        <v>0</v>
      </c>
    </row>
    <row s="10766" customFormat="1" customHeight="1" ht="11.25" hidden="1">
      <c r="A31" s="564"/>
      <c r="B31" s="609"/>
      <c r="C31" s="609"/>
      <c r="D31" s="1106" t="s">
        <v>419</v>
      </c>
      <c r="E31" s="1107" t="s">
        <v>420</v>
      </c>
      <c r="F31" s="1115"/>
      <c r="G31" s="1108"/>
      <c r="J31" s="608">
        <v>0</v>
      </c>
    </row>
    <row s="10766" customFormat="1" customHeight="1" ht="11.25" hidden="1">
      <c r="A32" s="564"/>
      <c r="B32" s="609"/>
      <c r="C32" s="609"/>
      <c r="D32" s="1106" t="s">
        <v>421</v>
      </c>
      <c r="E32" s="1107" t="s">
        <v>422</v>
      </c>
      <c r="F32" s="1116"/>
      <c r="G32" s="1108"/>
      <c r="J32" s="608">
        <v>0</v>
      </c>
    </row>
    <row customHeight="1" ht="24">
      <c r="A33" s="564" t="str">
        <f>IF(TEMPLATE_SPHERE="HEAT","6","5")</f>
        <v>6</v>
      </c>
      <c r="B33" s="609"/>
      <c r="C33" s="564"/>
      <c r="D33" s="547" t="str">
        <f>A33</f>
        <v>6</v>
      </c>
      <c r="E33" s="5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0" t="s">
        <v>391</v>
      </c>
      <c r="G33" s="581"/>
      <c r="H33" s="582"/>
      <c r="J33" s="562">
        <v>23</v>
      </c>
    </row>
    <row customHeight="1" ht="23.25">
      <c r="A34" s="564"/>
      <c r="B34" s="609"/>
      <c r="C34" s="564"/>
      <c r="D34" s="547" t="str">
        <f>D33&amp;".1"</f>
        <v>6.1</v>
      </c>
      <c r="E34" s="549" t="str">
        <f>"фамилия"&amp;IF(TEMPLATE_SPHERE&lt;&gt;"HEAT"," руководителя","")</f>
        <v>фамилия</v>
      </c>
      <c r="F34" s="548"/>
      <c r="G34" s="55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2"/>
      <c r="J34" s="562">
        <v>22</v>
      </c>
    </row>
    <row customHeight="1" ht="23.25">
      <c r="A35" s="564"/>
      <c r="B35" s="609"/>
      <c r="C35" s="564"/>
      <c r="D35" s="547" t="str">
        <f>D33&amp;".2"</f>
        <v>6.2</v>
      </c>
      <c r="E35" s="549" t="str">
        <f>"имя"&amp;IF(TEMPLATE_SPHERE&lt;&gt;"HEAT"," руководителя","")</f>
        <v>имя</v>
      </c>
      <c r="F35" s="548"/>
      <c r="G35" s="55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2"/>
      <c r="J35" s="562">
        <v>22</v>
      </c>
    </row>
    <row customHeight="1" ht="24">
      <c r="A36" s="564"/>
      <c r="B36" s="609"/>
      <c r="C36" s="564"/>
      <c r="D36" s="547" t="str">
        <f>D33&amp;".3"</f>
        <v>6.3</v>
      </c>
      <c r="E36" s="549" t="str">
        <f>"отчество"&amp;IF(TEMPLATE_SPHERE&lt;&gt;"HEAT"," руководителя","")</f>
        <v>отчество</v>
      </c>
      <c r="F36" s="805"/>
      <c r="G36" s="55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2"/>
      <c r="J36" s="562">
        <v>23</v>
      </c>
    </row>
    <row customHeight="1" ht="35.699999999999996">
      <c r="A37" s="564"/>
      <c r="B37" s="609"/>
      <c r="C37" s="564"/>
      <c r="D37" s="547">
        <f>D33+1</f>
        <v>7</v>
      </c>
      <c r="E37" s="5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48"/>
      <c r="G37" s="551" t="s">
        <v>423</v>
      </c>
      <c r="H37" s="582"/>
      <c r="J37" s="562">
        <v>34</v>
      </c>
    </row>
    <row customHeight="1" ht="35.699999999999996">
      <c r="A38" s="564"/>
      <c r="B38" s="609"/>
      <c r="C38" s="564"/>
      <c r="D38" s="547">
        <f>D37+1</f>
        <v>8</v>
      </c>
      <c r="E38" s="5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48"/>
      <c r="G38" s="551" t="s">
        <v>423</v>
      </c>
      <c r="H38" s="582"/>
      <c r="J38" s="562">
        <v>34</v>
      </c>
    </row>
    <row customHeight="1" ht="23.25">
      <c r="A39" s="564"/>
      <c r="B39" s="609"/>
      <c r="C39" s="564"/>
      <c r="D39" s="547">
        <f>D38+1</f>
        <v>9</v>
      </c>
      <c r="E39" s="5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0" t="s">
        <v>391</v>
      </c>
      <c r="G39" s="30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2"/>
      <c r="J39" s="562">
        <v>22</v>
      </c>
    </row>
    <row customHeight="1" ht="22.5" hidden="1">
      <c r="A40" s="564"/>
      <c r="B40" s="609"/>
      <c r="C40" s="564"/>
      <c r="D40" s="547" t="str">
        <f>D39&amp;".0"</f>
        <v>9.0</v>
      </c>
      <c r="E40" s="1701"/>
      <c r="F40" s="981"/>
      <c r="G40" s="3079"/>
      <c r="H40" s="582"/>
      <c r="J40" s="562">
        <v>0</v>
      </c>
    </row>
    <row customHeight="1" ht="23.25">
      <c r="A41" s="564"/>
      <c r="B41" s="564"/>
      <c r="C41" s="1784"/>
      <c r="D41" s="547" t="str">
        <f>D39&amp;".1"</f>
        <v>9.1</v>
      </c>
      <c r="E41" s="961"/>
      <c r="F41" s="962"/>
      <c r="G41" s="3079"/>
      <c r="H41" s="582"/>
      <c r="J41" s="562">
        <v>22</v>
      </c>
    </row>
    <row customHeight="1" ht="15.75">
      <c r="A42" s="564"/>
      <c r="B42" s="609"/>
      <c r="C42" s="564"/>
      <c r="D42" s="574"/>
      <c r="E42" s="522" t="s">
        <v>424</v>
      </c>
      <c r="F42" s="576"/>
      <c r="G42" s="3080"/>
      <c r="H42" s="583"/>
      <c r="J42" s="562">
        <v>15</v>
      </c>
    </row>
    <row customHeight="1" ht="27.299999999999997">
      <c r="A43" s="564"/>
      <c r="B43" s="609"/>
      <c r="C43" s="564"/>
      <c r="D43" s="547">
        <f>D39+1</f>
        <v>10</v>
      </c>
      <c r="E43" s="5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63"/>
      <c r="G43" s="55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2"/>
      <c r="J43" s="562">
        <v>26</v>
      </c>
    </row>
    <row customHeight="1" ht="23.25">
      <c r="A44" s="564"/>
      <c r="B44" s="609"/>
      <c r="C44" s="564"/>
      <c r="D44" s="547">
        <f>D43+1</f>
        <v>11</v>
      </c>
      <c r="E44" s="5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85"/>
      <c r="G44" s="581" t="s">
        <v>425</v>
      </c>
      <c r="H44" s="582"/>
      <c r="J44" s="562">
        <v>22</v>
      </c>
    </row>
    <row customHeight="1" ht="23.25">
      <c r="A45" s="564"/>
      <c r="B45" s="609"/>
      <c r="C45" s="564"/>
      <c r="D45" s="547">
        <f>D44+1</f>
        <v>12</v>
      </c>
      <c r="E45" s="545" t="s">
        <v>426</v>
      </c>
      <c r="F45" s="550" t="s">
        <v>391</v>
      </c>
      <c r="G45" s="544" t="str">
        <f>IF(TEMPLATE_SPHERE="TKO","Указывается режим работы организации.","")</f>
        <v/>
      </c>
      <c r="H45" s="582"/>
      <c r="J45" s="562">
        <v>22</v>
      </c>
    </row>
    <row customHeight="1" ht="24">
      <c r="A46" s="564"/>
      <c r="B46" s="609"/>
      <c r="C46" s="564"/>
      <c r="D46" s="547" t="str">
        <f>D45&amp;".1"</f>
        <v>12.1</v>
      </c>
      <c r="E46" s="549" t="str">
        <f>"режим работы регулируемой организации"&amp;IF(TEMPLATE_SPHERE="HEAT",", ЕТО, ТО","")</f>
        <v>режим работы регулируемой организации, ЕТО, ТО</v>
      </c>
      <c r="F46" s="1780"/>
      <c r="G46" s="544" t="s">
        <v>427</v>
      </c>
      <c r="H46" s="582"/>
      <c r="J46" s="562">
        <v>23</v>
      </c>
    </row>
    <row customHeight="1" ht="24">
      <c r="A47" s="3070"/>
      <c r="B47" s="609"/>
      <c r="C47" s="599"/>
      <c r="D47" s="547" t="str">
        <f>D45&amp;".2"</f>
        <v>12.2</v>
      </c>
      <c r="E47" s="549" t="s">
        <v>428</v>
      </c>
      <c r="F47" s="597"/>
      <c r="G47" s="544" t="s">
        <v>429</v>
      </c>
      <c r="H47" s="582"/>
      <c r="J47" s="562">
        <v>23</v>
      </c>
    </row>
    <row customHeight="1" ht="24">
      <c r="A48" s="3070"/>
      <c r="B48" s="609"/>
      <c r="C48" s="599"/>
      <c r="D48" s="547" t="str">
        <f>D45&amp;".3"</f>
        <v>12.3</v>
      </c>
      <c r="E48" s="549" t="s">
        <v>430</v>
      </c>
      <c r="F48" s="597"/>
      <c r="G48" s="544" t="s">
        <v>431</v>
      </c>
      <c r="H48" s="582"/>
      <c r="J48" s="562">
        <v>23</v>
      </c>
    </row>
    <row customHeight="1" ht="24">
      <c r="A49" s="3070"/>
      <c r="B49" s="609"/>
      <c r="C49" s="599"/>
      <c r="D49" s="547" t="str">
        <f>IF(TEMPLATE_SPHERE="TKO",D45&amp;".0",D45&amp;".4")</f>
        <v>12.4</v>
      </c>
      <c r="E49" s="543" t="s">
        <v>432</v>
      </c>
      <c r="F49" s="1781"/>
      <c r="G49" s="1858" t="s">
        <v>433</v>
      </c>
      <c r="H49" s="582"/>
      <c r="J49" s="562">
        <v>23</v>
      </c>
    </row>
    <row customHeight="1" ht="24">
      <c r="A50" s="564"/>
      <c r="B50" s="609"/>
      <c r="C50" s="564"/>
      <c r="D50" s="574"/>
      <c r="E50" s="522" t="s">
        <v>434</v>
      </c>
      <c r="F50" s="575"/>
      <c r="G50" s="1858" t="s">
        <v>435</v>
      </c>
      <c r="H50" s="583"/>
      <c r="J50" s="562">
        <v>23</v>
      </c>
    </row>
    <row customHeight="1" ht="24">
      <c r="A51" s="959"/>
      <c r="B51" s="609"/>
      <c r="C51" s="599"/>
      <c r="D51" s="547">
        <f>D45+1</f>
        <v>13</v>
      </c>
      <c r="E51" s="635" t="s">
        <v>436</v>
      </c>
      <c r="F51" s="597"/>
      <c r="G51" s="178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2"/>
      <c r="J51" s="562">
        <v>23</v>
      </c>
    </row>
    <row customHeight="1" ht="11.549999999999999">
      <c r="A52" s="564"/>
      <c r="B52" s="609"/>
      <c r="C52" s="564"/>
      <c r="J52" s="562">
        <v>11</v>
      </c>
    </row>
    <row s="10795" customFormat="1" customHeight="1" ht="31.5">
      <c r="A53" s="1783"/>
      <c r="B53" s="610"/>
      <c r="C53" s="3071"/>
      <c r="D53" s="30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074"/>
      <c r="F53" s="3074"/>
      <c r="G53" s="3074"/>
      <c r="H53" s="561"/>
      <c r="I53" s="561"/>
      <c r="J53" s="567">
        <v>30</v>
      </c>
    </row>
    <row s="10795" customFormat="1" customHeight="1" ht="42">
      <c r="A54" s="564"/>
      <c r="B54" s="609"/>
      <c r="C54" s="3071"/>
      <c r="D54" s="307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074"/>
      <c r="F54" s="3074"/>
      <c r="G54" s="3074"/>
      <c r="J54" s="567">
        <v>40</v>
      </c>
    </row>
    <row customHeight="1" ht="11.549999999999999">
      <c r="D55" s="565"/>
      <c r="E55" s="566"/>
      <c r="F55" s="566"/>
      <c r="G55" s="566"/>
      <c r="J55" s="562">
        <v>11</v>
      </c>
    </row>
    <row customHeight="1" ht="28.5">
      <c r="D56" s="568"/>
      <c r="E56" s="565"/>
      <c r="F56" s="577"/>
      <c r="G56" s="577"/>
      <c r="J56" s="562">
        <v>27</v>
      </c>
    </row>
    <row customHeight="1" ht="11.549999999999999">
      <c r="D57" s="565"/>
      <c r="E57" s="565"/>
      <c r="F57" s="566"/>
      <c r="G57" s="566"/>
      <c r="J57" s="562">
        <v>11</v>
      </c>
    </row>
    <row customHeight="1" ht="40.949999999999996">
      <c r="D58" s="569"/>
      <c r="E58" s="578"/>
      <c r="F58" s="578"/>
      <c r="G58" s="578"/>
      <c r="J58" s="562">
        <v>39</v>
      </c>
    </row>
    <row customHeight="1" ht="28.5">
      <c r="D59" s="569"/>
      <c r="E59" s="578"/>
      <c r="F59" s="578"/>
      <c r="G59" s="578"/>
      <c r="J59" s="562">
        <v>27</v>
      </c>
    </row>
    <row customHeight="1" ht="11.25" hidden="1">
      <c r="A60" s="1782" t="s">
        <v>82</v>
      </c>
      <c r="B60" s="608">
        <v>0</v>
      </c>
      <c r="C60" s="562">
        <v>3</v>
      </c>
      <c r="D60" s="563">
        <v>6</v>
      </c>
      <c r="E60" s="562">
        <v>52</v>
      </c>
      <c r="F60" s="562">
        <v>48</v>
      </c>
      <c r="G60" s="562">
        <v>121</v>
      </c>
      <c r="H60" s="562">
        <v>8</v>
      </c>
      <c r="I60" s="562">
        <v>64</v>
      </c>
      <c r="J60" s="562">
        <v>11</v>
      </c>
    </row>
  </sheetData>
  <sheetProtection formatColumns="0" formatRows="0" autoFilter="0" sort="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A349E-6C82-026E-6FCB-4893C3F0BB0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196" width="9.140625" hidden="1" customWidth="1"/>
    <col min="2" max="2" style="10232" width="9.140625" hidden="1" customWidth="1"/>
    <col min="3" max="3" style="10409" width="3.00390625" customWidth="1"/>
    <col min="4" max="4" style="10232" width="5.00390625" customWidth="1"/>
    <col min="5" max="5" style="10232" width="48.00390625" customWidth="1"/>
    <col min="6" max="6" style="10232" width="38.00390625" customWidth="1"/>
    <col min="7" max="7" style="10232" width="1.7109375" hidden="1" customWidth="1"/>
    <col min="8" max="11" style="10232" width="19.8515625" customWidth="1"/>
    <col min="12" max="12" style="10232" width="9.7109375" customWidth="1"/>
    <col min="13" max="18" style="10232" width="19.8515625" customWidth="1"/>
    <col min="19" max="19" style="10232" width="1.7109375" hidden="1" customWidth="1"/>
    <col min="20" max="22" style="10232" width="19.8515625" hidden="1" customWidth="1"/>
    <col min="23" max="23" style="10232" width="1.7109375" hidden="1" customWidth="1"/>
    <col min="24" max="26" style="10232" width="19.8515625" hidden="1" customWidth="1"/>
    <col min="27" max="27" style="10232" width="1.7109375" hidden="1" customWidth="1"/>
    <col min="28" max="29" style="10232" width="19.8515625" hidden="1" customWidth="1"/>
    <col min="30" max="30" style="10232" width="1.7109375" hidden="1" customWidth="1"/>
    <col min="31" max="31" style="10232" width="103.7109375" customWidth="1"/>
    <col min="32" max="34" style="10232" width="103.7109375" hidden="1" customWidth="1"/>
    <col min="35" max="35" style="10322" width="3.00390625" customWidth="1"/>
    <col min="36" max="38" style="10307" width="10.00390625" customWidth="1"/>
    <col min="39" max="39" style="10307" width="13.7109375" hidden="1" customWidth="1"/>
    <col min="40" max="40" style="10307" width="15.00390625" customWidth="1"/>
    <col min="41" max="41" style="10307" width="16.00390625" customWidth="1"/>
    <col min="42" max="45" style="10307" width="10.00390625" customWidth="1"/>
    <col min="46" max="46" style="10232" width="10.57421875" hidden="1"/>
  </cols>
  <sheetData>
    <row customHeight="1" ht="22.5" hidden="1">
      <c r="E1" s="519"/>
      <c r="F1" s="519"/>
      <c r="G1" s="519"/>
      <c r="H1" s="2963" t="s">
        <v>437</v>
      </c>
      <c r="I1" s="2963"/>
      <c r="J1" s="2963"/>
      <c r="K1" s="2963"/>
      <c r="L1" s="2963"/>
      <c r="M1" s="2963"/>
      <c r="N1" s="2963"/>
      <c r="O1" s="2963"/>
      <c r="P1" s="2963"/>
      <c r="Q1" s="2963"/>
      <c r="R1" s="2963"/>
      <c r="T1" s="2963" t="s">
        <v>438</v>
      </c>
      <c r="U1" s="2963"/>
      <c r="V1" s="2963"/>
      <c r="X1" s="2963" t="s">
        <v>439</v>
      </c>
      <c r="Y1" s="2963"/>
      <c r="Z1" s="2963"/>
      <c r="AB1" s="2963" t="s">
        <v>440</v>
      </c>
      <c r="AC1" s="2963"/>
      <c r="AT1" s="554" t="s">
        <v>14</v>
      </c>
    </row>
    <row customHeight="1" ht="14.25" hidden="1">
      <c r="AT2" s="554">
        <v>0</v>
      </c>
    </row>
    <row s="10813" customFormat="1" customHeight="1" ht="5.25">
      <c r="C3" s="808"/>
      <c r="D3" s="809"/>
      <c r="E3" s="809"/>
      <c r="F3" s="809"/>
      <c r="G3" s="809"/>
      <c r="H3" s="809" t="s">
        <v>441</v>
      </c>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J3" s="618"/>
      <c r="AK3" s="618"/>
      <c r="AL3" s="618"/>
      <c r="AM3" s="618"/>
      <c r="AN3" s="618"/>
      <c r="AO3" s="618"/>
      <c r="AP3" s="618"/>
      <c r="AQ3" s="618"/>
      <c r="AR3" s="618"/>
      <c r="AS3" s="618"/>
      <c r="AT3" s="807">
        <v>5</v>
      </c>
    </row>
    <row customHeight="1" ht="39.75">
      <c r="C4" s="557"/>
      <c r="D4" s="303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039"/>
      <c r="F4" s="3039"/>
      <c r="G4" s="3039"/>
      <c r="H4" s="3039"/>
      <c r="I4" s="3039"/>
      <c r="J4" s="3039"/>
      <c r="K4" s="3039"/>
      <c r="L4" s="3039"/>
      <c r="M4" s="3039"/>
      <c r="N4" s="3039"/>
      <c r="O4" s="3039"/>
      <c r="P4" s="3039"/>
      <c r="Q4" s="3039"/>
      <c r="R4" s="3040"/>
      <c r="S4" s="954"/>
      <c r="T4" s="806"/>
      <c r="U4" s="806"/>
      <c r="V4" s="806"/>
      <c r="W4" s="806"/>
      <c r="X4" s="806"/>
      <c r="Y4" s="806"/>
      <c r="Z4" s="806"/>
      <c r="AA4" s="806"/>
      <c r="AB4" s="806"/>
      <c r="AC4" s="806"/>
      <c r="AD4" s="806"/>
      <c r="AE4" s="598"/>
      <c r="AF4" s="598"/>
      <c r="AG4" s="598"/>
      <c r="AH4" s="598"/>
      <c r="AI4" s="595"/>
      <c r="AT4" s="554">
        <v>38</v>
      </c>
    </row>
    <row s="10232" customFormat="1" customHeight="1" ht="18">
      <c r="A5" s="864"/>
      <c r="C5" s="923"/>
      <c r="D5" s="3091" t="str">
        <f>IF(org=0,"Не определено",org)</f>
        <v>АО "ДГК"</v>
      </c>
      <c r="E5" s="3092"/>
      <c r="F5" s="3092"/>
      <c r="G5" s="3092"/>
      <c r="H5" s="3092"/>
      <c r="I5" s="3092"/>
      <c r="J5" s="3092"/>
      <c r="K5" s="3092"/>
      <c r="L5" s="3092"/>
      <c r="M5" s="3092"/>
      <c r="N5" s="3092"/>
      <c r="O5" s="3092"/>
      <c r="P5" s="3092"/>
      <c r="Q5" s="3092"/>
      <c r="R5" s="3093"/>
      <c r="S5" s="954"/>
      <c r="T5" s="806"/>
      <c r="U5" s="806"/>
      <c r="V5" s="806"/>
      <c r="W5" s="806"/>
      <c r="X5" s="806"/>
      <c r="Y5" s="806"/>
      <c r="Z5" s="806"/>
      <c r="AA5" s="806"/>
      <c r="AB5" s="806"/>
      <c r="AC5" s="806"/>
      <c r="AD5" s="806"/>
      <c r="AE5" s="598"/>
      <c r="AF5" s="598"/>
      <c r="AG5" s="598"/>
      <c r="AH5" s="598"/>
      <c r="AI5" s="595"/>
      <c r="AJ5" s="618"/>
      <c r="AK5" s="618"/>
      <c r="AL5" s="618"/>
      <c r="AM5" s="618"/>
      <c r="AN5" s="618"/>
      <c r="AO5" s="618"/>
      <c r="AP5" s="618"/>
      <c r="AQ5" s="618"/>
      <c r="AR5" s="618"/>
      <c r="AS5" s="618"/>
      <c r="AT5" s="863">
        <v>17</v>
      </c>
    </row>
    <row s="10207" customFormat="1" customHeight="1" ht="11.549999999999999">
      <c r="A6" s="586"/>
      <c r="C6" s="593"/>
      <c r="D6" s="592"/>
      <c r="E6" s="592"/>
      <c r="F6" s="592"/>
      <c r="G6" s="592"/>
      <c r="H6" s="592"/>
      <c r="I6" s="592"/>
      <c r="J6" s="592"/>
      <c r="K6" s="592"/>
      <c r="L6" s="592"/>
      <c r="M6" s="592"/>
      <c r="N6" s="592"/>
      <c r="O6" s="592"/>
      <c r="P6" s="592"/>
      <c r="Q6" s="592"/>
      <c r="R6" s="859"/>
      <c r="S6" s="859"/>
      <c r="T6" s="592"/>
      <c r="U6" s="592"/>
      <c r="V6" s="819"/>
      <c r="W6" s="819"/>
      <c r="X6" s="592"/>
      <c r="Y6" s="592"/>
      <c r="Z6" s="819"/>
      <c r="AA6" s="819"/>
      <c r="AB6" s="592"/>
      <c r="AC6" s="819"/>
      <c r="AD6" s="819"/>
      <c r="AE6" s="592"/>
      <c r="AF6" s="592"/>
      <c r="AG6" s="592"/>
      <c r="AH6" s="592"/>
      <c r="AJ6" s="596"/>
      <c r="AK6" s="596"/>
      <c r="AL6" s="596"/>
      <c r="AM6" s="596"/>
      <c r="AN6" s="596"/>
      <c r="AO6" s="596"/>
      <c r="AP6" s="596"/>
      <c r="AQ6" s="596"/>
      <c r="AR6" s="596"/>
      <c r="AS6" s="596"/>
      <c r="AT6" s="587">
        <v>11</v>
      </c>
    </row>
    <row customHeight="1" ht="14.699999999999998">
      <c r="C7" s="557"/>
      <c r="D7" s="3082" t="s">
        <v>385</v>
      </c>
      <c r="E7" s="3094"/>
      <c r="F7" s="3094"/>
      <c r="G7" s="3094"/>
      <c r="H7" s="3094"/>
      <c r="I7" s="3094"/>
      <c r="J7" s="3094"/>
      <c r="K7" s="3094"/>
      <c r="L7" s="3094"/>
      <c r="M7" s="3094"/>
      <c r="N7" s="3094"/>
      <c r="O7" s="3094"/>
      <c r="P7" s="3094"/>
      <c r="Q7" s="3094"/>
      <c r="R7" s="3094"/>
      <c r="S7" s="3094"/>
      <c r="T7" s="3094"/>
      <c r="U7" s="3094"/>
      <c r="V7" s="3094"/>
      <c r="W7" s="3094"/>
      <c r="X7" s="3094"/>
      <c r="Y7" s="3094"/>
      <c r="Z7" s="3094"/>
      <c r="AA7" s="3094"/>
      <c r="AB7" s="3094"/>
      <c r="AC7" s="3094"/>
      <c r="AD7" s="3095"/>
      <c r="AE7" s="3045" t="s">
        <v>386</v>
      </c>
      <c r="AF7" s="3045" t="s">
        <v>386</v>
      </c>
      <c r="AG7" s="3045" t="s">
        <v>386</v>
      </c>
      <c r="AH7" s="3045" t="s">
        <v>386</v>
      </c>
      <c r="AT7" s="554">
        <v>14</v>
      </c>
    </row>
    <row customHeight="1" ht="27.299999999999997">
      <c r="C8" s="557"/>
      <c r="D8" s="2978" t="s">
        <v>88</v>
      </c>
      <c r="E8" s="3045" t="str">
        <f>"Наименование "&amp;IF(TEMPLATE_SPHERE&lt;&gt;"HEAT","централизованной ","")&amp;"системы "&amp;TEMPLATE_SPHERE_RUS</f>
        <v>Наименование системы теплоснабжения</v>
      </c>
      <c r="F8" s="3045" t="str">
        <f>IF(TEMPLATE_SPHERE&lt;&gt;"HEAT","Регулируемый вид деятельности","Вид регулируемой деятельности")</f>
        <v>Вид регулируемой деятельности</v>
      </c>
      <c r="G8" s="929"/>
      <c r="H8" s="3083" t="s">
        <v>442</v>
      </c>
      <c r="I8" s="3087" t="s">
        <v>443</v>
      </c>
      <c r="J8" s="3045" t="s">
        <v>444</v>
      </c>
      <c r="K8" s="3045"/>
      <c r="L8" s="3045"/>
      <c r="M8" s="3082"/>
      <c r="N8" s="3045" t="s">
        <v>445</v>
      </c>
      <c r="O8" s="3045"/>
      <c r="P8" s="3045" t="s">
        <v>446</v>
      </c>
      <c r="Q8" s="3045"/>
      <c r="R8" s="3085" t="s">
        <v>447</v>
      </c>
      <c r="S8" s="925"/>
      <c r="T8" s="3083" t="s">
        <v>448</v>
      </c>
      <c r="U8" s="3083" t="s">
        <v>449</v>
      </c>
      <c r="V8" s="3083" t="s">
        <v>450</v>
      </c>
      <c r="W8" s="927"/>
      <c r="X8" s="3083" t="s">
        <v>451</v>
      </c>
      <c r="Y8" s="3083" t="s">
        <v>452</v>
      </c>
      <c r="Z8" s="3083" t="s">
        <v>453</v>
      </c>
      <c r="AA8" s="927"/>
      <c r="AB8" s="3083" t="s">
        <v>454</v>
      </c>
      <c r="AC8" s="3083" t="s">
        <v>447</v>
      </c>
      <c r="AD8" s="927"/>
      <c r="AE8" s="3045"/>
      <c r="AF8" s="3045"/>
      <c r="AG8" s="3045"/>
      <c r="AH8" s="3045"/>
      <c r="AT8" s="554">
        <v>26</v>
      </c>
    </row>
    <row customHeight="1" ht="46.199999999999996">
      <c r="C9" s="557"/>
      <c r="D9" s="2978"/>
      <c r="E9" s="3045"/>
      <c r="F9" s="3045"/>
      <c r="G9" s="930"/>
      <c r="H9" s="3084"/>
      <c r="I9" s="3088"/>
      <c r="J9" s="532" t="s">
        <v>455</v>
      </c>
      <c r="K9" s="532" t="s">
        <v>456</v>
      </c>
      <c r="L9" s="532" t="s">
        <v>457</v>
      </c>
      <c r="M9" s="538" t="s">
        <v>458</v>
      </c>
      <c r="N9" s="532" t="s">
        <v>459</v>
      </c>
      <c r="O9" s="532" t="s">
        <v>458</v>
      </c>
      <c r="P9" s="532" t="s">
        <v>460</v>
      </c>
      <c r="Q9" s="532" t="s">
        <v>458</v>
      </c>
      <c r="R9" s="3086"/>
      <c r="S9" s="926"/>
      <c r="T9" s="3084"/>
      <c r="U9" s="3084"/>
      <c r="V9" s="3084"/>
      <c r="W9" s="928"/>
      <c r="X9" s="3084"/>
      <c r="Y9" s="3084"/>
      <c r="Z9" s="3084"/>
      <c r="AA9" s="928"/>
      <c r="AB9" s="3084"/>
      <c r="AC9" s="3084"/>
      <c r="AD9" s="928"/>
      <c r="AE9" s="3045"/>
      <c r="AF9" s="3045"/>
      <c r="AG9" s="3045"/>
      <c r="AH9" s="3045"/>
      <c r="AT9" s="554">
        <v>44</v>
      </c>
    </row>
    <row customHeight="1" ht="12" hidden="1">
      <c r="C10" s="594"/>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4"/>
      <c r="AP10" s="607"/>
      <c r="AQ10" s="607"/>
      <c r="AT10" s="554">
        <v>0</v>
      </c>
    </row>
    <row s="10851" customFormat="1" customHeight="1" ht="11.25" hidden="1">
      <c r="C11" s="605"/>
      <c r="D11" s="606" t="s">
        <v>461</v>
      </c>
      <c r="E11" s="606"/>
      <c r="F11" s="606"/>
      <c r="G11" s="606"/>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542"/>
      <c r="AF11" s="542"/>
      <c r="AG11" s="542"/>
      <c r="AH11" s="542"/>
      <c r="AJ11" s="596"/>
      <c r="AK11" s="596"/>
      <c r="AL11" s="596"/>
      <c r="AM11" s="596"/>
      <c r="AN11" s="596"/>
      <c r="AO11" s="596"/>
      <c r="AP11" s="596"/>
      <c r="AQ11" s="596"/>
      <c r="AR11" s="596"/>
      <c r="AS11" s="596"/>
      <c r="AT11" s="603">
        <v>0</v>
      </c>
    </row>
    <row customHeight="1" ht="14.699999999999998">
      <c r="A12" s="554"/>
      <c r="C12" s="557"/>
      <c r="D12" s="541" t="s">
        <v>144</v>
      </c>
      <c r="E12" s="1872" t="s">
        <v>22</v>
      </c>
      <c r="F12" s="956"/>
      <c r="G12" s="957"/>
      <c r="H12" s="1873"/>
      <c r="I12" s="1873"/>
      <c r="J12" s="540"/>
      <c r="K12" s="1957"/>
      <c r="L12" s="539"/>
      <c r="M12" s="1957"/>
      <c r="N12" s="540"/>
      <c r="O12" s="1957"/>
      <c r="P12" s="540"/>
      <c r="Q12" s="1957"/>
      <c r="R12" s="540"/>
      <c r="S12" s="955"/>
      <c r="T12" s="1873"/>
      <c r="U12" s="540"/>
      <c r="V12" s="540"/>
      <c r="W12" s="928"/>
      <c r="X12" s="1873"/>
      <c r="Y12" s="540"/>
      <c r="Z12" s="540"/>
      <c r="AA12" s="928"/>
      <c r="AB12" s="1873"/>
      <c r="AC12" s="540"/>
      <c r="AD12" s="928"/>
      <c r="AE12" s="3089" t="s">
        <v>462</v>
      </c>
      <c r="AF12" s="3089" t="s">
        <v>463</v>
      </c>
      <c r="AG12" s="3089" t="s">
        <v>464</v>
      </c>
      <c r="AH12" s="3089" t="s">
        <v>465</v>
      </c>
      <c r="AI12" s="554"/>
      <c r="AM12" s="618"/>
      <c r="AP12" s="607" t="s">
        <v>466</v>
      </c>
      <c r="AQ12" s="607" t="s">
        <v>466</v>
      </c>
      <c r="AT12" s="554">
        <v>14</v>
      </c>
    </row>
    <row customHeight="1" ht="18">
      <c r="A13" s="554"/>
      <c r="C13" s="557"/>
      <c r="D13" s="512"/>
      <c r="E13" s="970" t="str">
        <f>IF(TITLE_DIFFERENTIATION_TYPE="нет","","Добавить систему")</f>
        <v/>
      </c>
      <c r="F13" s="970" t="str">
        <f>IF(TITLE_DIFFERENTIATION_TYPE="нет","Добавить вид деятельности","")</f>
        <v>Добавить вид деятельности</v>
      </c>
      <c r="G13" s="421"/>
      <c r="H13" s="513"/>
      <c r="I13" s="513"/>
      <c r="J13" s="513"/>
      <c r="K13" s="513"/>
      <c r="L13" s="513"/>
      <c r="M13" s="513"/>
      <c r="N13" s="513"/>
      <c r="O13" s="513"/>
      <c r="P13" s="513"/>
      <c r="Q13" s="513"/>
      <c r="R13" s="513"/>
      <c r="S13" s="513"/>
      <c r="T13" s="513"/>
      <c r="U13" s="513"/>
      <c r="V13" s="513"/>
      <c r="W13" s="513"/>
      <c r="X13" s="513"/>
      <c r="Y13" s="513"/>
      <c r="Z13" s="513"/>
      <c r="AA13" s="513"/>
      <c r="AB13" s="513"/>
      <c r="AC13" s="513"/>
      <c r="AD13" s="958"/>
      <c r="AE13" s="3090"/>
      <c r="AF13" s="3090"/>
      <c r="AG13" s="3090"/>
      <c r="AH13" s="3090"/>
      <c r="AI13" s="554"/>
      <c r="AT13" s="554">
        <v>17</v>
      </c>
    </row>
    <row customHeight="1" ht="14.699999999999998">
      <c r="AI14" s="554"/>
      <c r="AT14" s="554">
        <v>14</v>
      </c>
    </row>
    <row customHeight="1" ht="14.699999999999998">
      <c r="E15" s="863"/>
      <c r="L15" s="863"/>
      <c r="AT15" s="554">
        <v>14</v>
      </c>
    </row>
    <row customHeight="1" ht="14.699999999999998">
      <c r="L16" s="863"/>
      <c r="AT16" s="554">
        <v>14</v>
      </c>
    </row>
    <row customHeight="1" ht="14.699999999999998">
      <c r="L17" s="863"/>
      <c r="AT17" s="554">
        <v>14</v>
      </c>
    </row>
    <row customHeight="1" ht="22.5" hidden="1">
      <c r="A18" s="556" t="s">
        <v>82</v>
      </c>
      <c r="B18" s="554">
        <v>0</v>
      </c>
      <c r="C18" s="558">
        <v>3</v>
      </c>
      <c r="D18" s="554">
        <v>5</v>
      </c>
      <c r="E18" s="554">
        <v>48</v>
      </c>
      <c r="F18" s="554">
        <v>38</v>
      </c>
      <c r="G18" s="863">
        <v>0</v>
      </c>
      <c r="H18" s="554">
        <v>0</v>
      </c>
      <c r="I18" s="554">
        <v>0</v>
      </c>
      <c r="J18" s="554">
        <v>0</v>
      </c>
      <c r="K18" s="554">
        <v>0</v>
      </c>
      <c r="L18" s="554">
        <v>0</v>
      </c>
      <c r="M18" s="554">
        <v>0</v>
      </c>
      <c r="N18" s="554">
        <v>0</v>
      </c>
      <c r="O18" s="554">
        <v>0</v>
      </c>
      <c r="P18" s="554">
        <v>0</v>
      </c>
      <c r="Q18" s="554">
        <v>0</v>
      </c>
      <c r="R18" s="554">
        <v>0</v>
      </c>
      <c r="S18" s="863">
        <v>0</v>
      </c>
      <c r="T18" s="612">
        <v>0</v>
      </c>
      <c r="U18" s="612">
        <v>0</v>
      </c>
      <c r="V18" s="612">
        <v>0</v>
      </c>
      <c r="W18" s="863">
        <v>0</v>
      </c>
      <c r="X18" s="612">
        <v>0</v>
      </c>
      <c r="Y18" s="612">
        <v>0</v>
      </c>
      <c r="Z18" s="612">
        <v>0</v>
      </c>
      <c r="AA18" s="863">
        <v>0</v>
      </c>
      <c r="AB18" s="612">
        <v>0</v>
      </c>
      <c r="AC18" s="612">
        <v>0</v>
      </c>
      <c r="AD18" s="863">
        <v>0</v>
      </c>
      <c r="AE18" s="554">
        <v>0</v>
      </c>
      <c r="AF18" s="612">
        <v>0</v>
      </c>
      <c r="AG18" s="612">
        <v>0</v>
      </c>
      <c r="AH18" s="612">
        <v>0</v>
      </c>
      <c r="AI18" s="559">
        <v>3</v>
      </c>
      <c r="AJ18" s="596">
        <v>10</v>
      </c>
      <c r="AK18" s="596">
        <v>10</v>
      </c>
      <c r="AL18" s="596">
        <v>10</v>
      </c>
      <c r="AM18" s="596">
        <v>0</v>
      </c>
      <c r="AN18" s="596">
        <v>15</v>
      </c>
      <c r="AO18" s="596">
        <v>16</v>
      </c>
      <c r="AP18" s="596">
        <v>10</v>
      </c>
      <c r="AQ18" s="596">
        <v>10</v>
      </c>
      <c r="AR18" s="596">
        <v>10</v>
      </c>
      <c r="AS18" s="596">
        <v>10</v>
      </c>
      <c r="AT18" s="554">
        <v>23</v>
      </c>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1F765-7955-B66F-0CB4-EFE82182C5E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196" width="9.140625" hidden="1" customWidth="1"/>
    <col min="2" max="2" style="10232" width="9.140625" hidden="1" customWidth="1"/>
    <col min="3" max="3" style="10409" width="3.00390625" customWidth="1"/>
    <col min="4" max="4" style="10232" width="5.00390625" customWidth="1"/>
    <col min="5" max="5" style="10232" width="38.00390625" customWidth="1"/>
    <col min="6" max="7" style="10232" width="3.00390625" customWidth="1"/>
    <col min="8" max="8" style="10232" width="38.00390625" customWidth="1"/>
    <col min="9" max="9" style="10232" width="35.00390625" customWidth="1"/>
    <col min="10" max="10" style="10232" width="103.00390625" customWidth="1"/>
    <col min="11" max="11" style="10322" width="3.00390625" customWidth="1"/>
    <col min="12" max="14" style="10307" width="10.00390625" customWidth="1"/>
    <col min="15" max="15" style="10307" width="13.00390625" customWidth="1"/>
    <col min="16" max="16" style="10307" width="15.00390625" customWidth="1"/>
    <col min="17" max="17" style="10307" width="16.00390625" customWidth="1"/>
    <col min="18" max="21" style="10307" width="10.00390625" customWidth="1"/>
    <col min="22" max="22" style="10232" width="10.57421875" hidden="1"/>
  </cols>
  <sheetData>
    <row customHeight="1" ht="22.5" hidden="1">
      <c r="E1" s="519"/>
      <c r="F1" s="519"/>
      <c r="G1" s="519"/>
      <c r="H1" s="2963" t="s">
        <v>437</v>
      </c>
      <c r="I1" s="2963"/>
      <c r="V1" s="1703" t="s">
        <v>14</v>
      </c>
    </row>
    <row s="10232" customFormat="1" customHeight="1" ht="14.25" hidden="1">
      <c r="C2" s="1715"/>
      <c r="D2" s="3097" t="s">
        <v>144</v>
      </c>
      <c r="E2" s="3099"/>
      <c r="F2" s="1721"/>
      <c r="G2" s="1716" t="s">
        <v>144</v>
      </c>
      <c r="H2" s="1719"/>
      <c r="I2" s="1717"/>
      <c r="L2" s="1718"/>
      <c r="M2" s="1718"/>
      <c r="N2" s="1718"/>
      <c r="O2" s="1718" t="s">
        <v>467</v>
      </c>
      <c r="P2" s="1718"/>
      <c r="Q2" s="1718"/>
      <c r="R2" s="1720" t="s">
        <v>466</v>
      </c>
      <c r="S2" s="1720" t="s">
        <v>466</v>
      </c>
      <c r="T2" s="1718"/>
      <c r="U2" s="1718"/>
      <c r="V2" s="1714">
        <v>0</v>
      </c>
    </row>
    <row s="10232" customFormat="1" customHeight="1" ht="14.25" hidden="1">
      <c r="C3" s="1715"/>
      <c r="D3" s="3098"/>
      <c r="E3" s="3100"/>
      <c r="F3" s="512"/>
      <c r="G3" s="970"/>
      <c r="H3" s="970" t="s">
        <v>468</v>
      </c>
      <c r="I3" s="421"/>
      <c r="L3" s="1718"/>
      <c r="M3" s="1718"/>
      <c r="N3" s="1718"/>
      <c r="O3" s="1718"/>
      <c r="P3" s="1718"/>
      <c r="Q3" s="1718"/>
      <c r="R3" s="1720"/>
      <c r="S3" s="1720"/>
      <c r="T3" s="1718"/>
      <c r="U3" s="1718"/>
      <c r="V3" s="1714">
        <v>0</v>
      </c>
    </row>
    <row customHeight="1" ht="14.25" hidden="1">
      <c r="V4" s="1703">
        <v>0</v>
      </c>
    </row>
    <row s="10813" customFormat="1" customHeight="1" ht="5.25">
      <c r="C5" s="808"/>
      <c r="D5" s="809"/>
      <c r="E5" s="809"/>
      <c r="F5" s="809"/>
      <c r="G5" s="809"/>
      <c r="H5" s="809" t="s">
        <v>441</v>
      </c>
      <c r="I5" s="809"/>
      <c r="J5" s="809"/>
      <c r="L5" s="1710"/>
      <c r="M5" s="1710"/>
      <c r="N5" s="1710"/>
      <c r="O5" s="1710"/>
      <c r="P5" s="1710"/>
      <c r="Q5" s="1710"/>
      <c r="R5" s="1710"/>
      <c r="S5" s="1710"/>
      <c r="T5" s="1710"/>
      <c r="U5" s="1710"/>
      <c r="V5" s="1709">
        <v>5</v>
      </c>
    </row>
    <row customHeight="1" ht="29.25">
      <c r="C6" s="1612"/>
      <c r="D6" s="3096" t="s">
        <v>469</v>
      </c>
      <c r="E6" s="3096"/>
      <c r="F6" s="3096"/>
      <c r="G6" s="3096"/>
      <c r="H6" s="3096"/>
      <c r="I6" s="3096"/>
      <c r="J6" s="598"/>
      <c r="K6" s="1711"/>
      <c r="V6" s="1703">
        <v>28</v>
      </c>
    </row>
    <row customHeight="1" ht="18">
      <c r="C7" s="1612"/>
      <c r="D7" s="3069" t="str">
        <f>IF(org=0,"Не определено",org)</f>
        <v>АО "ДГК"</v>
      </c>
      <c r="E7" s="3069"/>
      <c r="F7" s="3069"/>
      <c r="G7" s="3069"/>
      <c r="H7" s="3069"/>
      <c r="I7" s="3069"/>
      <c r="J7" s="598"/>
      <c r="K7" s="1711"/>
      <c r="V7" s="1703">
        <v>17</v>
      </c>
    </row>
    <row s="10207" customFormat="1" customHeight="1" ht="5.25">
      <c r="A8" s="1707"/>
      <c r="C8" s="593"/>
      <c r="D8" s="592"/>
      <c r="E8" s="592"/>
      <c r="F8" s="592"/>
      <c r="G8" s="592"/>
      <c r="H8" s="592"/>
      <c r="I8" s="592"/>
      <c r="J8" s="592"/>
      <c r="L8" s="1710"/>
      <c r="M8" s="1710"/>
      <c r="N8" s="1710"/>
      <c r="O8" s="1710"/>
      <c r="P8" s="1710"/>
      <c r="Q8" s="1710"/>
      <c r="R8" s="1710"/>
      <c r="S8" s="1710"/>
      <c r="T8" s="1710"/>
      <c r="U8" s="1710"/>
      <c r="V8" s="1708">
        <v>5</v>
      </c>
    </row>
    <row s="10207" customFormat="1" customHeight="1" ht="5.25">
      <c r="A9" s="1707"/>
      <c r="C9" s="593"/>
      <c r="D9" s="592"/>
      <c r="E9" s="592"/>
      <c r="F9" s="592"/>
      <c r="G9" s="592"/>
      <c r="H9" s="592"/>
      <c r="I9" s="592"/>
      <c r="J9" s="592"/>
      <c r="L9" s="1718"/>
      <c r="M9" s="1718"/>
      <c r="N9" s="1718"/>
      <c r="O9" s="1718"/>
      <c r="P9" s="1718"/>
      <c r="Q9" s="1718"/>
      <c r="R9" s="1718"/>
      <c r="S9" s="1718"/>
      <c r="T9" s="1718"/>
      <c r="U9" s="1718"/>
      <c r="V9" s="1708">
        <v>5</v>
      </c>
    </row>
    <row customHeight="1" ht="14.699999999999998">
      <c r="C10" s="1612"/>
      <c r="D10" s="3082" t="s">
        <v>385</v>
      </c>
      <c r="E10" s="3094"/>
      <c r="F10" s="3094"/>
      <c r="G10" s="3094"/>
      <c r="H10" s="3094"/>
      <c r="I10" s="3094"/>
      <c r="J10" s="3045" t="s">
        <v>386</v>
      </c>
      <c r="V10" s="1703">
        <v>14</v>
      </c>
    </row>
    <row customHeight="1" ht="27.299999999999997">
      <c r="C11" s="1612"/>
      <c r="D11" s="2978" t="s">
        <v>88</v>
      </c>
      <c r="E11" s="3045" t="s">
        <v>140</v>
      </c>
      <c r="F11" s="3048" t="s">
        <v>88</v>
      </c>
      <c r="G11" s="3049"/>
      <c r="H11" s="3047" t="s">
        <v>470</v>
      </c>
      <c r="I11" s="3047" t="s">
        <v>471</v>
      </c>
      <c r="J11" s="3045"/>
      <c r="V11" s="1703">
        <v>26</v>
      </c>
    </row>
    <row customHeight="1" ht="14.699999999999998">
      <c r="C12" s="1612"/>
      <c r="D12" s="2978"/>
      <c r="E12" s="3045"/>
      <c r="F12" s="3053"/>
      <c r="G12" s="3054"/>
      <c r="H12" s="3101"/>
      <c r="I12" s="3101"/>
      <c r="J12" s="3045"/>
      <c r="V12" s="1703">
        <v>14</v>
      </c>
    </row>
    <row s="10851" customFormat="1" customHeight="1" ht="11.25" hidden="1">
      <c r="C13" s="605"/>
      <c r="D13" s="606" t="s">
        <v>461</v>
      </c>
      <c r="E13" s="606"/>
      <c r="F13" s="606"/>
      <c r="G13" s="606"/>
      <c r="H13" s="604"/>
      <c r="I13" s="604"/>
      <c r="J13" s="542"/>
      <c r="L13" s="1710"/>
      <c r="M13" s="1710"/>
      <c r="N13" s="1710"/>
      <c r="O13" s="1710"/>
      <c r="P13" s="1710"/>
      <c r="Q13" s="1710"/>
      <c r="R13" s="1710"/>
      <c r="S13" s="1710"/>
      <c r="T13" s="1710"/>
      <c r="U13" s="1710"/>
      <c r="V13" s="603">
        <v>0</v>
      </c>
    </row>
    <row customHeight="1" ht="14.699999999999998">
      <c r="A14" s="1703"/>
      <c r="C14" s="1612"/>
      <c r="D14" s="3097" t="s">
        <v>144</v>
      </c>
      <c r="E14" s="3099"/>
      <c r="F14" s="1713"/>
      <c r="G14" s="1712" t="s">
        <v>144</v>
      </c>
      <c r="H14" s="1719"/>
      <c r="I14" s="1717"/>
      <c r="J14" s="3032" t="s">
        <v>472</v>
      </c>
      <c r="K14" s="1703"/>
      <c r="R14" s="607" t="s">
        <v>466</v>
      </c>
      <c r="S14" s="607" t="s">
        <v>466</v>
      </c>
      <c r="V14" s="1703">
        <v>14</v>
      </c>
    </row>
    <row customHeight="1" ht="14.699999999999998">
      <c r="A15" s="1703"/>
      <c r="C15" s="1612"/>
      <c r="D15" s="3098"/>
      <c r="E15" s="3100"/>
      <c r="F15" s="512"/>
      <c r="G15" s="970"/>
      <c r="H15" s="970" t="s">
        <v>468</v>
      </c>
      <c r="I15" s="421"/>
      <c r="J15" s="3033"/>
      <c r="K15" s="1703"/>
      <c r="R15" s="607"/>
      <c r="S15" s="607"/>
      <c r="V15" s="1703">
        <v>14</v>
      </c>
    </row>
    <row customHeight="1" ht="14.699999999999998">
      <c r="A16" s="1703"/>
      <c r="C16" s="1612"/>
      <c r="D16" s="512"/>
      <c r="E16" s="970" t="s">
        <v>208</v>
      </c>
      <c r="F16" s="421"/>
      <c r="G16" s="421"/>
      <c r="H16" s="513"/>
      <c r="I16" s="513"/>
      <c r="J16" s="3034"/>
      <c r="K16" s="1703"/>
      <c r="V16" s="1703">
        <v>14</v>
      </c>
    </row>
    <row customHeight="1" ht="14.699999999999998">
      <c r="K17" s="1703"/>
      <c r="V17" s="1703">
        <v>14</v>
      </c>
    </row>
    <row customHeight="1" ht="22.5" hidden="1">
      <c r="A18" s="1704" t="s">
        <v>82</v>
      </c>
      <c r="B18" s="1703">
        <v>0</v>
      </c>
      <c r="C18" s="558">
        <v>3</v>
      </c>
      <c r="D18" s="1703">
        <v>5</v>
      </c>
      <c r="E18" s="1703">
        <v>38</v>
      </c>
      <c r="F18" s="1703">
        <v>3</v>
      </c>
      <c r="G18" s="1703">
        <v>3</v>
      </c>
      <c r="H18" s="1703">
        <v>38</v>
      </c>
      <c r="I18" s="1703">
        <v>35</v>
      </c>
      <c r="J18" s="1703">
        <v>103</v>
      </c>
      <c r="K18" s="1705">
        <v>3</v>
      </c>
      <c r="L18" s="1710">
        <v>10</v>
      </c>
      <c r="M18" s="1710">
        <v>10</v>
      </c>
      <c r="N18" s="1710">
        <v>10</v>
      </c>
      <c r="O18" s="1710">
        <v>13</v>
      </c>
      <c r="P18" s="1710">
        <v>15</v>
      </c>
      <c r="Q18" s="1710">
        <v>16</v>
      </c>
      <c r="R18" s="1710">
        <v>10</v>
      </c>
      <c r="S18" s="1710">
        <v>10</v>
      </c>
      <c r="T18" s="1710">
        <v>10</v>
      </c>
      <c r="U18" s="1710">
        <v>10</v>
      </c>
      <c r="V18" s="1703">
        <v>23</v>
      </c>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F3542-D475-8799-E9B6-FFED55F570C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196" width="9.140625" hidden="1" customWidth="1"/>
    <col min="2" max="3" style="10232" width="9.140625" hidden="1" customWidth="1"/>
    <col min="4" max="4" style="10409" width="3.00390625" customWidth="1"/>
    <col min="5" max="5" style="10232" width="6.00390625" customWidth="1"/>
    <col min="6" max="6" style="10232" width="1.7109375" hidden="1" customWidth="1"/>
    <col min="7" max="8" style="10232" width="30.00390625" customWidth="1"/>
    <col min="9" max="9" style="10232" width="8.00390625" customWidth="1"/>
    <col min="10" max="10" style="10232" width="12.140625" customWidth="1"/>
    <col min="11" max="11" style="10232" width="46.00390625" customWidth="1"/>
    <col min="12" max="12" style="10232" width="100.00390625" customWidth="1"/>
    <col min="13" max="13" style="10322" width="7.00390625" customWidth="1"/>
    <col min="14" max="22" style="10232" width="10.00390625" customWidth="1"/>
    <col min="23" max="23" style="10232" width="10.57421875" hidden="1"/>
  </cols>
  <sheetData>
    <row s="10307" customFormat="1" customHeight="1" ht="5.25" hidden="1">
      <c r="C1" s="618"/>
      <c r="D1" s="601"/>
      <c r="F1" s="618"/>
      <c r="G1" s="596" t="s">
        <v>83</v>
      </c>
      <c r="H1" s="596" t="s">
        <v>84</v>
      </c>
      <c r="I1" s="596" t="s">
        <v>85</v>
      </c>
      <c r="P1" s="596" t="s">
        <v>83</v>
      </c>
      <c r="Q1" s="596" t="s">
        <v>84</v>
      </c>
      <c r="R1" s="596" t="s">
        <v>85</v>
      </c>
      <c r="W1" s="596" t="s">
        <v>14</v>
      </c>
    </row>
    <row s="10307" customFormat="1" customHeight="1" ht="5.25" hidden="1">
      <c r="C2" s="618"/>
      <c r="D2" s="601"/>
      <c r="F2" s="618"/>
      <c r="W2" s="596">
        <v>0</v>
      </c>
    </row>
    <row s="10207" customFormat="1" customHeight="1" ht="5.25">
      <c r="A3" s="586"/>
      <c r="D3" s="593"/>
      <c r="E3" s="588"/>
      <c r="F3" s="588"/>
      <c r="G3" s="588"/>
      <c r="H3" s="588"/>
      <c r="I3" s="589"/>
      <c r="J3" s="590"/>
      <c r="K3" s="590"/>
      <c r="L3" s="590"/>
      <c r="W3" s="587">
        <v>5</v>
      </c>
    </row>
    <row customHeight="1" ht="23.25">
      <c r="D4" s="557"/>
      <c r="E4" s="2971" t="s">
        <v>473</v>
      </c>
      <c r="F4" s="2971"/>
      <c r="G4" s="2972"/>
      <c r="H4" s="2972"/>
      <c r="I4" s="2973"/>
      <c r="J4" s="598"/>
      <c r="K4" s="560"/>
      <c r="L4" s="560"/>
      <c r="W4" s="554">
        <v>22</v>
      </c>
    </row>
    <row s="10232" customFormat="1" customHeight="1" ht="18">
      <c r="A5" s="864"/>
      <c r="D5" s="923"/>
      <c r="E5" s="3091" t="str">
        <f>IF(org=0,"Не определено",org)</f>
        <v>АО "ДГК"</v>
      </c>
      <c r="F5" s="3091"/>
      <c r="G5" s="3092"/>
      <c r="H5" s="3092"/>
      <c r="I5" s="3093"/>
      <c r="J5" s="598"/>
      <c r="K5" s="560"/>
      <c r="L5" s="560"/>
      <c r="M5" s="614"/>
      <c r="W5" s="863">
        <v>17</v>
      </c>
    </row>
    <row s="10207" customFormat="1" customHeight="1" ht="11.549999999999999">
      <c r="A6" s="586"/>
      <c r="D6" s="593"/>
      <c r="E6" s="588"/>
      <c r="F6" s="588"/>
      <c r="G6" s="591"/>
      <c r="H6" s="591"/>
      <c r="I6" s="592"/>
      <c r="J6" s="592"/>
      <c r="K6" s="859"/>
      <c r="L6" s="592"/>
      <c r="W6" s="587">
        <v>11</v>
      </c>
    </row>
    <row customHeight="1" ht="14.699999999999998">
      <c r="D7" s="557"/>
      <c r="E7" s="3076" t="s">
        <v>385</v>
      </c>
      <c r="F7" s="3076"/>
      <c r="G7" s="3077"/>
      <c r="H7" s="3077"/>
      <c r="I7" s="3077"/>
      <c r="J7" s="3077"/>
      <c r="K7" s="3077"/>
      <c r="L7" s="3045" t="s">
        <v>386</v>
      </c>
      <c r="W7" s="554">
        <v>14</v>
      </c>
    </row>
    <row customHeight="1" ht="48.29999999999999">
      <c r="D8" s="557"/>
      <c r="E8" s="580" t="s">
        <v>88</v>
      </c>
      <c r="F8" s="924"/>
      <c r="G8" s="572" t="s">
        <v>86</v>
      </c>
      <c r="H8" s="572" t="s">
        <v>87</v>
      </c>
      <c r="I8" s="521" t="s">
        <v>85</v>
      </c>
      <c r="J8" s="521" t="s">
        <v>474</v>
      </c>
      <c r="K8" s="521" t="s">
        <v>475</v>
      </c>
      <c r="L8" s="3045"/>
      <c r="W8" s="554">
        <v>46</v>
      </c>
    </row>
    <row customHeight="1" ht="12" hidden="1">
      <c r="D9" s="594"/>
      <c r="E9" s="600"/>
      <c r="F9" s="931"/>
      <c r="G9" s="600"/>
      <c r="H9" s="600"/>
      <c r="I9" s="600"/>
      <c r="J9" s="600"/>
      <c r="K9" s="600"/>
      <c r="L9" s="600"/>
      <c r="M9" s="554"/>
      <c r="W9" s="554">
        <v>0</v>
      </c>
    </row>
    <row customHeight="1" ht="14.25" hidden="1">
      <c r="A10" s="612"/>
      <c r="B10" s="612"/>
      <c r="D10" s="613"/>
      <c r="E10" s="619">
        <v>0</v>
      </c>
      <c r="F10" s="922"/>
      <c r="G10" s="615"/>
      <c r="H10" s="615"/>
      <c r="I10" s="615"/>
      <c r="J10" s="615"/>
      <c r="K10" s="615"/>
      <c r="L10" s="3089" t="s">
        <v>476</v>
      </c>
      <c r="M10" s="614"/>
      <c r="N10" s="612"/>
      <c r="O10" s="612"/>
      <c r="P10" s="612"/>
      <c r="Q10" s="612"/>
      <c r="R10" s="612"/>
      <c r="S10" s="612"/>
      <c r="T10" s="612"/>
      <c r="U10" s="612"/>
      <c r="V10" s="612"/>
      <c r="W10" s="554">
        <v>0</v>
      </c>
    </row>
    <row customHeight="1" ht="15" hidden="1">
      <c r="A11" s="2962"/>
      <c r="B11" s="611"/>
      <c r="C11" s="611"/>
      <c r="D11" s="966"/>
      <c r="E11" s="620"/>
      <c r="F11" s="620"/>
      <c r="G11" s="620"/>
      <c r="H11" s="620"/>
      <c r="I11" s="621"/>
      <c r="J11" s="622"/>
      <c r="K11" s="820"/>
      <c r="L11" s="3102"/>
      <c r="M11" s="618"/>
      <c r="N11" s="618"/>
      <c r="O11" s="618"/>
      <c r="P11" s="623"/>
      <c r="Q11" s="623"/>
      <c r="R11" s="624"/>
      <c r="S11" s="618"/>
      <c r="T11" s="618"/>
      <c r="U11" s="618"/>
      <c r="V11" s="618"/>
      <c r="W11" s="554">
        <v>0</v>
      </c>
    </row>
    <row s="10207" customFormat="1" customHeight="1" ht="15">
      <c r="A12" s="2962"/>
      <c r="B12" s="611"/>
      <c r="C12" s="611"/>
      <c r="D12" s="967"/>
      <c r="E12" s="924">
        <v>1</v>
      </c>
      <c r="F12" s="965">
        <v>23</v>
      </c>
      <c r="G12" s="964"/>
      <c r="H12" s="894"/>
      <c r="I12" s="892"/>
      <c r="J12" s="627" t="s">
        <v>62</v>
      </c>
      <c r="K12" s="1260" t="s">
        <v>22</v>
      </c>
      <c r="L12" s="3102"/>
      <c r="M12" s="618"/>
      <c r="N12" s="618"/>
      <c r="O12" s="618"/>
      <c r="P12" s="623" t="s">
        <v>477</v>
      </c>
      <c r="Q12" s="623" t="s">
        <v>478</v>
      </c>
      <c r="R12" s="624" t="s">
        <v>479</v>
      </c>
      <c r="S12" s="618" t="s">
        <v>480</v>
      </c>
      <c r="T12" s="618"/>
      <c r="U12" s="618"/>
      <c r="V12" s="618"/>
      <c r="W12" s="587">
        <v>14</v>
      </c>
    </row>
    <row customHeight="1" ht="15.75">
      <c r="A13" s="2962"/>
      <c r="B13" s="612"/>
      <c r="D13" s="613"/>
      <c r="E13" s="512"/>
      <c r="F13" s="636"/>
      <c r="G13" s="523" t="s">
        <v>107</v>
      </c>
      <c r="H13" s="511"/>
      <c r="I13" s="511"/>
      <c r="J13" s="511"/>
      <c r="K13" s="510"/>
      <c r="L13" s="3090"/>
      <c r="M13" s="616"/>
      <c r="N13" s="612"/>
      <c r="O13" s="612"/>
      <c r="P13" s="612"/>
      <c r="Q13" s="612"/>
      <c r="R13" s="612"/>
      <c r="S13" s="612"/>
      <c r="T13" s="612"/>
      <c r="U13" s="612"/>
      <c r="V13" s="612"/>
      <c r="W13" s="554">
        <v>15</v>
      </c>
    </row>
    <row customHeight="1" ht="11.549999999999999">
      <c r="A14" s="586"/>
      <c r="B14" s="587"/>
      <c r="C14" s="587"/>
      <c r="D14" s="602"/>
      <c r="E14" s="587"/>
      <c r="F14" s="587"/>
      <c r="G14" s="587"/>
      <c r="H14" s="587"/>
      <c r="I14" s="587"/>
      <c r="J14" s="587"/>
      <c r="K14" s="587"/>
      <c r="L14" s="587"/>
      <c r="M14" s="587"/>
      <c r="N14" s="587"/>
      <c r="O14" s="587"/>
      <c r="P14" s="587"/>
      <c r="Q14" s="587"/>
      <c r="R14" s="587"/>
      <c r="S14" s="587"/>
      <c r="T14" s="587"/>
      <c r="U14" s="587"/>
      <c r="V14" s="587"/>
      <c r="W14" s="554">
        <v>11</v>
      </c>
    </row>
    <row customHeight="1" ht="14.699999999999998">
      <c r="D15" s="573"/>
      <c r="E15" s="444"/>
      <c r="F15" s="444"/>
      <c r="G15" s="77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3"/>
      <c r="I15" s="573"/>
      <c r="J15" s="573"/>
      <c r="K15" s="573"/>
      <c r="L15" s="573"/>
      <c r="W15" s="554">
        <v>14</v>
      </c>
    </row>
    <row customHeight="1" ht="14.699999999999998">
      <c r="W16" s="554">
        <v>14</v>
      </c>
    </row>
    <row customHeight="1" ht="14.699999999999998">
      <c r="W17" s="554">
        <v>14</v>
      </c>
    </row>
    <row customHeight="1" ht="14.699999999999998">
      <c r="G18" s="612"/>
      <c r="W18" s="554">
        <v>14</v>
      </c>
    </row>
    <row customHeight="1" ht="22.5" hidden="1">
      <c r="A19" s="556" t="s">
        <v>82</v>
      </c>
      <c r="B19" s="554">
        <v>0</v>
      </c>
      <c r="C19" s="863">
        <v>0</v>
      </c>
      <c r="D19" s="558">
        <v>3</v>
      </c>
      <c r="E19" s="554">
        <v>6</v>
      </c>
      <c r="F19" s="863">
        <v>0</v>
      </c>
      <c r="G19" s="554">
        <v>30</v>
      </c>
      <c r="H19" s="554">
        <v>30</v>
      </c>
      <c r="I19" s="554">
        <v>8</v>
      </c>
      <c r="J19" s="554">
        <v>12</v>
      </c>
      <c r="K19" s="554">
        <v>46</v>
      </c>
      <c r="L19" s="554">
        <v>100</v>
      </c>
      <c r="M19" s="559">
        <v>7</v>
      </c>
      <c r="N19" s="554">
        <v>10</v>
      </c>
      <c r="O19" s="554">
        <v>10</v>
      </c>
      <c r="P19" s="554">
        <v>10</v>
      </c>
      <c r="Q19" s="554">
        <v>10</v>
      </c>
      <c r="R19" s="554">
        <v>10</v>
      </c>
      <c r="S19" s="554">
        <v>10</v>
      </c>
      <c r="T19" s="554">
        <v>10</v>
      </c>
      <c r="U19" s="554">
        <v>10</v>
      </c>
      <c r="V19" s="554">
        <v>10</v>
      </c>
      <c r="W19" s="554">
        <v>23</v>
      </c>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8F93A-9F99-BD58-14B9-F725D083E3C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2.00390625" hidden="1" customWidth="1"/>
    <col min="10" max="10" style="10306" width="9.8515625" hidden="1" customWidth="1"/>
    <col min="11" max="11" style="10306" width="11.421875" hidden="1" customWidth="1"/>
    <col min="12" max="12" style="11079" width="19.140625" hidden="1" customWidth="1"/>
    <col min="13" max="14" style="11080" width="12.28125" hidden="1" customWidth="1"/>
    <col min="15" max="15" style="11080" width="23.421875" hidden="1" customWidth="1"/>
    <col min="16" max="16" style="11081" width="3.00390625" customWidth="1"/>
    <col min="17" max="18" style="11082" width="3.00390625" customWidth="1"/>
    <col min="19" max="19" style="11083" width="12.00390625" customWidth="1"/>
    <col min="20" max="20" style="10232" width="35.00390625" customWidth="1"/>
    <col min="21" max="21" style="10232" width="0.140625" customWidth="1"/>
    <col min="22" max="22" style="10232" width="24.7109375" hidden="1" customWidth="1"/>
    <col min="23" max="23" style="10232" width="0.140625" hidden="1" customWidth="1"/>
    <col min="24" max="25" style="10232" width="24.7109375" hidden="1" customWidth="1"/>
    <col min="26" max="26" style="10232" width="11.7109375" hidden="1" customWidth="1"/>
    <col min="27" max="27" style="10232" width="3.7109375" hidden="1" customWidth="1"/>
    <col min="28" max="28" style="10232" width="11.7109375" hidden="1" customWidth="1"/>
    <col min="29" max="29" style="10232" width="8.57421875" hidden="1" customWidth="1"/>
    <col min="30" max="30" style="10232" width="24.7109375" customWidth="1"/>
    <col min="31" max="31" style="10232" width="0.140625" customWidth="1"/>
    <col min="32" max="33" style="10232" width="24.00390625" customWidth="1"/>
    <col min="34" max="34" style="10232" width="11.00390625" customWidth="1"/>
    <col min="35" max="35" style="10232" width="3.7109375" customWidth="1"/>
    <col min="36" max="36" style="10232" width="11.00390625" customWidth="1"/>
    <col min="37" max="37" style="10232" width="8.57421875" hidden="1" customWidth="1"/>
    <col min="38" max="38" style="10232" width="4.00390625" customWidth="1"/>
    <col min="39" max="39" style="10232" width="115.00390625" customWidth="1"/>
    <col min="40" max="44" style="10307" width="10.00390625" customWidth="1"/>
    <col min="45" max="45" style="10232" width="10.57421875" hidden="1"/>
  </cols>
  <sheetData>
    <row customHeight="1" ht="22.5" hidden="1">
      <c r="Y1" s="435"/>
      <c r="Z1" s="435"/>
      <c r="AG1" s="435"/>
      <c r="AH1" s="435"/>
      <c r="AS1" s="1251" t="s">
        <v>14</v>
      </c>
    </row>
    <row customHeight="1" ht="21" hidden="1">
      <c r="A2" s="1459"/>
      <c r="B2" s="1459"/>
      <c r="C2" s="1459"/>
      <c r="D2" s="1459"/>
      <c r="E2" s="3115">
        <v>1</v>
      </c>
      <c r="F2" s="1459"/>
      <c r="G2" s="1459"/>
      <c r="H2" s="1459"/>
      <c r="I2" s="1459"/>
      <c r="J2" s="1459"/>
      <c r="K2" s="1459"/>
      <c r="L2" s="1460"/>
      <c r="M2" s="1461"/>
      <c r="N2" s="1461"/>
      <c r="O2" s="1461"/>
      <c r="P2" s="468"/>
      <c r="Q2" s="467"/>
      <c r="R2" s="462"/>
      <c r="S2" s="1405">
        <f>INDEX(PT_DIFFERENTIATION_NUM_NTAR,MATCH(A2,PT_DIFFERENTIATION_NTAR_ID,0))</f>
      </c>
      <c r="T2" s="406" t="s">
        <v>210</v>
      </c>
      <c r="U2" s="408"/>
      <c r="V2" s="3109"/>
      <c r="W2" s="3110"/>
      <c r="X2" s="3110"/>
      <c r="Y2" s="3110"/>
      <c r="Z2" s="3110"/>
      <c r="AA2" s="3110"/>
      <c r="AB2" s="3110"/>
      <c r="AC2" s="3111"/>
      <c r="AD2" s="3109">
        <f>INDEX(PT_DIFFERENTIATION_NTAR,MATCH(A2,PT_DIFFERENTIATION_NTAR_ID,0))</f>
      </c>
      <c r="AE2" s="3110"/>
      <c r="AF2" s="3110"/>
      <c r="AG2" s="3110"/>
      <c r="AH2" s="3110"/>
      <c r="AI2" s="3110"/>
      <c r="AJ2" s="3110"/>
      <c r="AK2" s="3110"/>
      <c r="AL2" s="3111"/>
      <c r="AM2" s="1354" t="s">
        <v>481</v>
      </c>
      <c r="AO2" s="607"/>
      <c r="AP2" s="607" t="str">
        <f>IF(T2="","",T2)</f>
        <v>Наименование тарифа</v>
      </c>
      <c r="AQ2" s="607"/>
      <c r="AR2" s="607"/>
      <c r="AS2" s="1251">
        <v>0</v>
      </c>
    </row>
    <row customHeight="1" ht="21" hidden="1">
      <c r="A3" s="1459"/>
      <c r="B3" s="1459"/>
      <c r="C3" s="1459"/>
      <c r="D3" s="1459"/>
      <c r="E3" s="3116"/>
      <c r="F3" s="3115">
        <v>1</v>
      </c>
      <c r="G3" s="1459"/>
      <c r="H3" s="1459"/>
      <c r="I3" s="1459"/>
      <c r="J3" s="1459"/>
      <c r="K3" s="1459"/>
      <c r="L3" s="1460"/>
      <c r="M3" s="1461"/>
      <c r="N3" s="1461"/>
      <c r="O3" s="1461"/>
      <c r="P3" s="1400"/>
      <c r="Q3" s="459"/>
      <c r="R3" s="460"/>
      <c r="S3" s="1405">
        <f>INDEX(PT_DIFFERENTIATION_NUM_TER,MATCH(B3,PT_DIFFERENTIATION_TER_ID,0))</f>
      </c>
      <c r="T3" s="416" t="s">
        <v>482</v>
      </c>
      <c r="U3" s="408"/>
      <c r="V3" s="3109"/>
      <c r="W3" s="3110"/>
      <c r="X3" s="3110"/>
      <c r="Y3" s="3110"/>
      <c r="Z3" s="3110"/>
      <c r="AA3" s="3110"/>
      <c r="AB3" s="3110"/>
      <c r="AC3" s="3111"/>
      <c r="AD3" s="3109">
        <f>INDEX(PT_DIFFERENTIATION_TER,MATCH(B3,PT_DIFFERENTIATION_TER_ID,0))</f>
      </c>
      <c r="AE3" s="3110"/>
      <c r="AF3" s="3110"/>
      <c r="AG3" s="3110"/>
      <c r="AH3" s="3110"/>
      <c r="AI3" s="3110"/>
      <c r="AJ3" s="3110"/>
      <c r="AK3" s="3110"/>
      <c r="AL3" s="3111"/>
      <c r="AM3" s="1354" t="s">
        <v>483</v>
      </c>
      <c r="AO3" s="607"/>
      <c r="AP3" s="607" t="str">
        <f>IF(T3="","",T3)</f>
        <v>Территория действия тарифа</v>
      </c>
      <c r="AQ3" s="607"/>
      <c r="AR3" s="607"/>
      <c r="AS3" s="1251">
        <v>0</v>
      </c>
    </row>
    <row customHeight="1" ht="23.25" hidden="1">
      <c r="A4" s="1459"/>
      <c r="B4" s="1459"/>
      <c r="C4" s="1459"/>
      <c r="D4" s="1459"/>
      <c r="E4" s="3116"/>
      <c r="F4" s="3116"/>
      <c r="G4" s="3115">
        <v>1</v>
      </c>
      <c r="H4" s="1459"/>
      <c r="I4" s="1459"/>
      <c r="J4" s="1459"/>
      <c r="K4" s="1459"/>
      <c r="L4" s="1460"/>
      <c r="M4" s="1461"/>
      <c r="N4" s="1461"/>
      <c r="O4" s="1461"/>
      <c r="P4" s="461"/>
      <c r="Q4" s="459"/>
      <c r="R4" s="460"/>
      <c r="S4" s="1405">
        <f>INDEX(PT_DIFFERENTIATION_NUM_CS,MATCH(C4,PT_DIFFERENTIATION_CS_ID,0))</f>
      </c>
      <c r="T4" s="417" t="s">
        <v>484</v>
      </c>
      <c r="U4" s="408"/>
      <c r="V4" s="3109"/>
      <c r="W4" s="3110"/>
      <c r="X4" s="3110"/>
      <c r="Y4" s="3110"/>
      <c r="Z4" s="3110"/>
      <c r="AA4" s="3110"/>
      <c r="AB4" s="3110"/>
      <c r="AC4" s="3111"/>
      <c r="AD4" s="3109">
        <f>INDEX(PT_DIFFERENTIATION_CS,MATCH(C4,PT_DIFFERENTIATION_CS_ID,0))</f>
      </c>
      <c r="AE4" s="3110"/>
      <c r="AF4" s="3110"/>
      <c r="AG4" s="3110"/>
      <c r="AH4" s="3110"/>
      <c r="AI4" s="3110"/>
      <c r="AJ4" s="3110"/>
      <c r="AK4" s="3110"/>
      <c r="AL4" s="3111"/>
      <c r="AM4" s="1354" t="s">
        <v>485</v>
      </c>
      <c r="AO4" s="607"/>
      <c r="AP4" s="607" t="str">
        <f>IF(T4="","",T4)</f>
        <v>Наименование системы теплоснабжения </v>
      </c>
      <c r="AQ4" s="607"/>
      <c r="AR4" s="607"/>
      <c r="AS4" s="1251">
        <v>0</v>
      </c>
    </row>
    <row customHeight="1" ht="21" hidden="1">
      <c r="A5" s="1459"/>
      <c r="B5" s="1459"/>
      <c r="C5" s="1459"/>
      <c r="D5" s="1459"/>
      <c r="E5" s="3116"/>
      <c r="F5" s="3116"/>
      <c r="G5" s="3116"/>
      <c r="H5" s="3115">
        <v>1</v>
      </c>
      <c r="I5" s="1459"/>
      <c r="J5" s="1459"/>
      <c r="K5" s="1459"/>
      <c r="L5" s="1460"/>
      <c r="M5" s="1461"/>
      <c r="N5" s="1461"/>
      <c r="O5" s="1461"/>
      <c r="P5" s="461"/>
      <c r="Q5" s="459"/>
      <c r="R5" s="460"/>
      <c r="S5" s="1405">
        <f>INDEX(PT_DIFFERENTIATION_NUM_IST_TE,MATCH(D5,PT_DIFFERENTIATION_IST_TE_ID,0))</f>
      </c>
      <c r="T5" s="418" t="s">
        <v>486</v>
      </c>
      <c r="U5" s="408"/>
      <c r="V5" s="3109"/>
      <c r="W5" s="3110"/>
      <c r="X5" s="3110"/>
      <c r="Y5" s="3110"/>
      <c r="Z5" s="3110"/>
      <c r="AA5" s="3110"/>
      <c r="AB5" s="3110"/>
      <c r="AC5" s="3111"/>
      <c r="AD5" s="3109">
        <f>INDEX(PT_DIFFERENTIATION_IST_TE,MATCH(D5,PT_DIFFERENTIATION_IST_TE_ID,0))</f>
      </c>
      <c r="AE5" s="3110"/>
      <c r="AF5" s="3110"/>
      <c r="AG5" s="3110"/>
      <c r="AH5" s="3110"/>
      <c r="AI5" s="3110"/>
      <c r="AJ5" s="3110"/>
      <c r="AK5" s="3110"/>
      <c r="AL5" s="3111"/>
      <c r="AM5" s="1354" t="s">
        <v>487</v>
      </c>
      <c r="AO5" s="607"/>
      <c r="AP5" s="607" t="str">
        <f>IF(T5="","",T5)</f>
        <v>Источник тепловой энергии  </v>
      </c>
      <c r="AQ5" s="607"/>
      <c r="AR5" s="607"/>
      <c r="AS5" s="1251">
        <v>0</v>
      </c>
    </row>
    <row customHeight="1" ht="47.25" hidden="1">
      <c r="A6" s="1459"/>
      <c r="B6" s="1459"/>
      <c r="C6" s="1459"/>
      <c r="D6" s="1459"/>
      <c r="E6" s="3116"/>
      <c r="F6" s="3116"/>
      <c r="G6" s="3116"/>
      <c r="H6" s="3116"/>
      <c r="I6" s="3117">
        <f>S5&amp;".1"</f>
      </c>
      <c r="J6" s="1459"/>
      <c r="K6" s="1459"/>
      <c r="L6" s="1460" t="s">
        <v>488</v>
      </c>
      <c r="M6" s="644"/>
      <c r="P6" s="3119">
        <v>1</v>
      </c>
      <c r="Q6" s="1401"/>
      <c r="R6" s="463"/>
      <c r="S6" s="1405">
        <f>$I6</f>
      </c>
      <c r="T6" s="393" t="s">
        <v>489</v>
      </c>
      <c r="U6" s="408"/>
      <c r="V6" s="3103"/>
      <c r="W6" s="3104"/>
      <c r="X6" s="3104"/>
      <c r="Y6" s="3104"/>
      <c r="Z6" s="3104"/>
      <c r="AA6" s="3104"/>
      <c r="AB6" s="3104"/>
      <c r="AC6" s="3105"/>
      <c r="AD6" s="3103"/>
      <c r="AE6" s="3104"/>
      <c r="AF6" s="3104"/>
      <c r="AG6" s="3104"/>
      <c r="AH6" s="3104"/>
      <c r="AI6" s="3104"/>
      <c r="AJ6" s="3104"/>
      <c r="AK6" s="3104"/>
      <c r="AL6" s="3105"/>
      <c r="AM6" s="1354" t="s">
        <v>490</v>
      </c>
      <c r="AO6" s="607"/>
      <c r="AP6" s="607" t="str">
        <f>IF(T6="","",T6)</f>
        <v>Схема подключения теплопотребляющей установки к коллектору источника тепловой энергии</v>
      </c>
      <c r="AQ6" s="607"/>
      <c r="AR6" s="607"/>
      <c r="AS6" s="1251">
        <v>0</v>
      </c>
    </row>
    <row customHeight="1" ht="21" hidden="1">
      <c r="A7" s="1459"/>
      <c r="B7" s="1459"/>
      <c r="C7" s="1459"/>
      <c r="D7" s="1459"/>
      <c r="E7" s="3116"/>
      <c r="F7" s="3116"/>
      <c r="G7" s="3116"/>
      <c r="H7" s="3116"/>
      <c r="I7" s="3118"/>
      <c r="J7" s="3117">
        <f>I6&amp;".1"</f>
      </c>
      <c r="K7" s="1459"/>
      <c r="L7" s="1460" t="s">
        <v>491</v>
      </c>
      <c r="M7" s="644"/>
      <c r="N7" s="1462"/>
      <c r="P7" s="3119"/>
      <c r="Q7" s="3119">
        <v>1</v>
      </c>
      <c r="R7" s="464"/>
      <c r="S7" s="1405">
        <f>$J7</f>
      </c>
      <c r="T7" s="394" t="s">
        <v>492</v>
      </c>
      <c r="U7" s="408"/>
      <c r="V7" s="3103"/>
      <c r="W7" s="3104"/>
      <c r="X7" s="3104"/>
      <c r="Y7" s="3104"/>
      <c r="Z7" s="3104"/>
      <c r="AA7" s="3104"/>
      <c r="AB7" s="3104"/>
      <c r="AC7" s="3105"/>
      <c r="AD7" s="3103"/>
      <c r="AE7" s="3104"/>
      <c r="AF7" s="3104"/>
      <c r="AG7" s="3104"/>
      <c r="AH7" s="3104"/>
      <c r="AI7" s="3104"/>
      <c r="AJ7" s="3104"/>
      <c r="AK7" s="3104"/>
      <c r="AL7" s="3105"/>
      <c r="AM7" s="1354" t="s">
        <v>493</v>
      </c>
      <c r="AO7" s="607"/>
      <c r="AP7" s="607" t="str">
        <f>IF(T7="","",T7)</f>
        <v>Группа потребителей</v>
      </c>
      <c r="AQ7" s="607"/>
      <c r="AR7" s="607"/>
      <c r="AS7" s="1251">
        <v>0</v>
      </c>
    </row>
    <row customHeight="1" ht="21" hidden="1">
      <c r="A8" s="1459"/>
      <c r="B8" s="1459"/>
      <c r="C8" s="1459"/>
      <c r="D8" s="1459"/>
      <c r="E8" s="3116"/>
      <c r="F8" s="3116"/>
      <c r="G8" s="3116"/>
      <c r="H8" s="3116"/>
      <c r="I8" s="3118"/>
      <c r="J8" s="3118"/>
      <c r="K8" s="3117">
        <f>J7&amp;".1"</f>
      </c>
      <c r="L8" s="1460" t="s">
        <v>494</v>
      </c>
      <c r="M8" s="644"/>
      <c r="N8" s="1462"/>
      <c r="O8" s="1462"/>
      <c r="P8" s="3119"/>
      <c r="Q8" s="3119"/>
      <c r="R8" s="464">
        <v>1</v>
      </c>
      <c r="S8" s="1405">
        <f>$K8</f>
      </c>
      <c r="T8" s="1443"/>
      <c r="U8" s="408"/>
      <c r="V8" s="858"/>
      <c r="W8" s="433"/>
      <c r="X8" s="858"/>
      <c r="Y8" s="1353"/>
      <c r="Z8" s="3120"/>
      <c r="AA8" s="2989" t="s">
        <v>62</v>
      </c>
      <c r="AB8" s="3120"/>
      <c r="AC8" s="2989" t="s">
        <v>62</v>
      </c>
      <c r="AD8" s="858"/>
      <c r="AE8" s="433"/>
      <c r="AF8" s="858"/>
      <c r="AG8" s="1353"/>
      <c r="AH8" s="3120"/>
      <c r="AI8" s="2989" t="s">
        <v>62</v>
      </c>
      <c r="AJ8" s="3120"/>
      <c r="AK8" s="2989" t="s">
        <v>62</v>
      </c>
      <c r="AL8" s="433"/>
      <c r="AM8" s="3138" t="s">
        <v>495</v>
      </c>
      <c r="AN8" s="618">
        <f>STRCHECKDATE(V9:AL9)</f>
      </c>
      <c r="AO8" s="607"/>
      <c r="AP8" s="607" t="str">
        <f>IF(T8="","",T8)</f>
        <v/>
      </c>
      <c r="AQ8" s="607"/>
      <c r="AR8" s="607"/>
      <c r="AS8" s="1251">
        <v>0</v>
      </c>
    </row>
    <row customHeight="1" ht="0.75" hidden="1">
      <c r="A9" s="1459"/>
      <c r="B9" s="1459"/>
      <c r="C9" s="1459"/>
      <c r="D9" s="1459"/>
      <c r="E9" s="3116"/>
      <c r="F9" s="3116"/>
      <c r="G9" s="3116"/>
      <c r="H9" s="3116"/>
      <c r="I9" s="3118"/>
      <c r="J9" s="3118"/>
      <c r="K9" s="3117"/>
      <c r="L9" s="1460"/>
      <c r="M9" s="644"/>
      <c r="N9" s="1462"/>
      <c r="O9" s="1462"/>
      <c r="P9" s="3119"/>
      <c r="Q9" s="3119"/>
      <c r="R9" s="464"/>
      <c r="S9" s="1402"/>
      <c r="T9" s="408"/>
      <c r="U9" s="408"/>
      <c r="V9" s="433"/>
      <c r="W9" s="433"/>
      <c r="X9" s="433"/>
      <c r="Y9" s="436" t="str">
        <f>Z8&amp;"-"&amp;AB8</f>
        <v>-</v>
      </c>
      <c r="Z9" s="3121"/>
      <c r="AA9" s="2989"/>
      <c r="AB9" s="3121"/>
      <c r="AC9" s="2989"/>
      <c r="AD9" s="433"/>
      <c r="AE9" s="433"/>
      <c r="AF9" s="433"/>
      <c r="AG9" s="436" t="str">
        <f>AH8&amp;"-"&amp;AJ8</f>
        <v>-</v>
      </c>
      <c r="AH9" s="3121"/>
      <c r="AI9" s="2989"/>
      <c r="AJ9" s="3121"/>
      <c r="AK9" s="2989"/>
      <c r="AL9" s="433"/>
      <c r="AM9" s="3139"/>
      <c r="AO9" s="607"/>
      <c r="AP9" s="607" t="str">
        <f>IF(T9="","",T9)</f>
        <v/>
      </c>
      <c r="AQ9" s="607"/>
      <c r="AR9" s="607"/>
      <c r="AS9" s="1251">
        <v>0</v>
      </c>
    </row>
    <row customHeight="1" ht="15" hidden="1">
      <c r="A10" s="1459"/>
      <c r="B10" s="1459"/>
      <c r="C10" s="1459"/>
      <c r="D10" s="1459"/>
      <c r="E10" s="3116"/>
      <c r="F10" s="3116"/>
      <c r="G10" s="3116"/>
      <c r="H10" s="3116"/>
      <c r="I10" s="3118"/>
      <c r="J10" s="3117"/>
      <c r="K10" s="1459"/>
      <c r="L10" s="1460"/>
      <c r="M10" s="644"/>
      <c r="N10" s="1462"/>
      <c r="P10" s="3119"/>
      <c r="Q10" s="3119"/>
      <c r="R10" s="463"/>
      <c r="S10" s="1374"/>
      <c r="T10" s="396" t="s">
        <v>496</v>
      </c>
      <c r="U10" s="474"/>
      <c r="V10" s="474"/>
      <c r="W10" s="474"/>
      <c r="X10" s="474"/>
      <c r="Y10" s="474"/>
      <c r="Z10" s="474"/>
      <c r="AA10" s="474"/>
      <c r="AB10" s="474"/>
      <c r="AC10" s="474"/>
      <c r="AD10" s="474"/>
      <c r="AE10" s="474"/>
      <c r="AF10" s="474"/>
      <c r="AG10" s="474"/>
      <c r="AH10" s="474"/>
      <c r="AI10" s="474"/>
      <c r="AJ10" s="474"/>
      <c r="AK10" s="474"/>
      <c r="AL10" s="432"/>
      <c r="AM10" s="3140"/>
      <c r="AO10" s="607"/>
      <c r="AP10" s="607" t="str">
        <f>IF(T10="","",T10)</f>
        <v>Добавить вид теплоносителя (параметры теплоносителя)</v>
      </c>
      <c r="AQ10" s="607"/>
      <c r="AR10" s="607"/>
      <c r="AS10" s="1251">
        <v>0</v>
      </c>
    </row>
    <row customHeight="1" ht="15" hidden="1">
      <c r="A11" s="1459"/>
      <c r="B11" s="1459"/>
      <c r="C11" s="1459"/>
      <c r="D11" s="1459"/>
      <c r="E11" s="3116"/>
      <c r="F11" s="3116"/>
      <c r="G11" s="3116"/>
      <c r="H11" s="3116"/>
      <c r="I11" s="3117"/>
      <c r="J11" s="1459"/>
      <c r="K11" s="1459"/>
      <c r="L11" s="1460"/>
      <c r="M11" s="644"/>
      <c r="P11" s="3119"/>
      <c r="Q11" s="1401"/>
      <c r="R11" s="463"/>
      <c r="S11" s="1374"/>
      <c r="T11" s="395" t="s">
        <v>497</v>
      </c>
      <c r="U11" s="474"/>
      <c r="V11" s="474"/>
      <c r="W11" s="474"/>
      <c r="X11" s="474"/>
      <c r="Y11" s="474"/>
      <c r="Z11" s="474"/>
      <c r="AA11" s="474"/>
      <c r="AB11" s="474"/>
      <c r="AC11" s="473"/>
      <c r="AD11" s="474"/>
      <c r="AE11" s="474"/>
      <c r="AF11" s="474"/>
      <c r="AG11" s="474"/>
      <c r="AH11" s="474"/>
      <c r="AI11" s="474"/>
      <c r="AJ11" s="474"/>
      <c r="AK11" s="473"/>
      <c r="AL11" s="474"/>
      <c r="AM11" s="411"/>
      <c r="AO11" s="607"/>
      <c r="AP11" s="607" t="str">
        <f>IF(T11="","",T11)</f>
        <v>Добавить группу потребителей</v>
      </c>
      <c r="AQ11" s="607"/>
      <c r="AR11" s="607"/>
      <c r="AS11" s="1251">
        <v>0</v>
      </c>
    </row>
    <row customHeight="1" ht="14.25" hidden="1">
      <c r="A12" s="1459"/>
      <c r="B12" s="1459"/>
      <c r="C12" s="1459"/>
      <c r="D12" s="1459"/>
      <c r="E12" s="3116"/>
      <c r="F12" s="3116"/>
      <c r="G12" s="3116"/>
      <c r="H12" s="3115"/>
      <c r="I12" s="1459"/>
      <c r="J12" s="1459"/>
      <c r="K12" s="1459"/>
      <c r="L12" s="1460"/>
      <c r="M12" s="1461"/>
      <c r="N12" s="1461"/>
      <c r="O12" s="644"/>
      <c r="P12" s="467"/>
      <c r="Q12" s="482"/>
      <c r="R12" s="462"/>
      <c r="S12" s="1374"/>
      <c r="T12" s="472" t="s">
        <v>498</v>
      </c>
      <c r="U12" s="474"/>
      <c r="V12" s="474"/>
      <c r="W12" s="474"/>
      <c r="X12" s="474"/>
      <c r="Y12" s="474"/>
      <c r="Z12" s="474"/>
      <c r="AA12" s="474"/>
      <c r="AB12" s="474"/>
      <c r="AC12" s="473"/>
      <c r="AD12" s="474"/>
      <c r="AE12" s="474"/>
      <c r="AF12" s="474"/>
      <c r="AG12" s="474"/>
      <c r="AH12" s="474"/>
      <c r="AI12" s="474"/>
      <c r="AJ12" s="474"/>
      <c r="AK12" s="473"/>
      <c r="AL12" s="474"/>
      <c r="AM12" s="411"/>
      <c r="AO12" s="607"/>
      <c r="AP12" s="607" t="str">
        <f>IF(T12="","",T12)</f>
        <v>Добавить схему подключения</v>
      </c>
      <c r="AQ12" s="607"/>
      <c r="AR12" s="607"/>
      <c r="AS12" s="1251">
        <v>0</v>
      </c>
    </row>
    <row s="10307" customFormat="1" customHeight="1" ht="0.75" hidden="1">
      <c r="A13" s="1410"/>
      <c r="B13" s="1410"/>
      <c r="C13" s="1410"/>
      <c r="D13" s="1410"/>
      <c r="E13" s="3116"/>
      <c r="F13" s="3116"/>
      <c r="G13" s="3115"/>
      <c r="H13" s="1410"/>
      <c r="I13" s="1410"/>
      <c r="J13" s="1410"/>
      <c r="K13" s="1410"/>
      <c r="L13" s="1435"/>
      <c r="M13" s="1411"/>
      <c r="N13" s="1411"/>
      <c r="P13" s="1412"/>
      <c r="Q13" s="1413"/>
      <c r="R13" s="1412"/>
      <c r="S13" s="1414"/>
      <c r="T13" s="1415" t="s">
        <v>499</v>
      </c>
      <c r="U13" s="1416"/>
      <c r="V13" s="1416"/>
      <c r="W13" s="1416"/>
      <c r="X13" s="1416"/>
      <c r="Y13" s="1416"/>
      <c r="Z13" s="1416"/>
      <c r="AA13" s="1416"/>
      <c r="AB13" s="1416"/>
      <c r="AC13" s="1416"/>
      <c r="AD13" s="1416"/>
      <c r="AE13" s="1416"/>
      <c r="AF13" s="1416"/>
      <c r="AG13" s="1416"/>
      <c r="AH13" s="1416"/>
      <c r="AI13" s="1416"/>
      <c r="AJ13" s="1416"/>
      <c r="AK13" s="1416"/>
      <c r="AL13" s="1416"/>
      <c r="AM13" s="1416"/>
      <c r="AO13" s="890"/>
      <c r="AP13" s="890" t="str">
        <f>IF(T13="","",T13)</f>
        <v>Добавить источник для дифференциации</v>
      </c>
      <c r="AQ13" s="890"/>
      <c r="AR13" s="890"/>
      <c r="AS13" s="625">
        <v>0</v>
      </c>
    </row>
    <row s="10307" customFormat="1" customHeight="1" ht="0.75" hidden="1">
      <c r="A14" s="1410"/>
      <c r="B14" s="1410"/>
      <c r="C14" s="1410"/>
      <c r="D14" s="1410"/>
      <c r="E14" s="3116"/>
      <c r="F14" s="3115"/>
      <c r="G14" s="1410"/>
      <c r="H14" s="1410"/>
      <c r="I14" s="1410"/>
      <c r="J14" s="1410"/>
      <c r="K14" s="1410"/>
      <c r="L14" s="1435"/>
      <c r="M14" s="1417"/>
      <c r="N14" s="1417"/>
      <c r="P14" s="1412"/>
      <c r="Q14" s="1413"/>
      <c r="R14" s="1412"/>
      <c r="S14" s="1418"/>
      <c r="T14" s="1419" t="s">
        <v>500</v>
      </c>
      <c r="U14" s="1420"/>
      <c r="V14" s="1420"/>
      <c r="W14" s="1420"/>
      <c r="X14" s="1420"/>
      <c r="Y14" s="1420"/>
      <c r="Z14" s="1420"/>
      <c r="AA14" s="1420"/>
      <c r="AB14" s="1420"/>
      <c r="AC14" s="1420"/>
      <c r="AD14" s="1420"/>
      <c r="AE14" s="1420"/>
      <c r="AF14" s="1420"/>
      <c r="AG14" s="1420"/>
      <c r="AH14" s="1420"/>
      <c r="AI14" s="1420"/>
      <c r="AJ14" s="1420"/>
      <c r="AK14" s="1420"/>
      <c r="AL14" s="1420"/>
      <c r="AM14" s="1420"/>
      <c r="AO14" s="890"/>
      <c r="AP14" s="890" t="str">
        <f>IF(T14="","",T14)</f>
        <v>Добавить централизованную систему для дифференциации</v>
      </c>
      <c r="AQ14" s="890"/>
      <c r="AR14" s="890"/>
      <c r="AS14" s="625">
        <v>0</v>
      </c>
    </row>
    <row s="10307" customFormat="1" customHeight="1" ht="0.75" hidden="1">
      <c r="A15" s="1410"/>
      <c r="B15" s="1410"/>
      <c r="C15" s="1410"/>
      <c r="D15" s="1410"/>
      <c r="E15" s="3115"/>
      <c r="F15" s="1410"/>
      <c r="G15" s="1410"/>
      <c r="H15" s="1410"/>
      <c r="I15" s="1410"/>
      <c r="J15" s="1410"/>
      <c r="K15" s="1410"/>
      <c r="L15" s="1435"/>
      <c r="M15" s="1417"/>
      <c r="N15" s="1417"/>
      <c r="P15" s="1412"/>
      <c r="Q15" s="1413"/>
      <c r="R15" s="1412"/>
      <c r="S15" s="1418"/>
      <c r="T15" s="1421" t="s">
        <v>501</v>
      </c>
      <c r="U15" s="1420"/>
      <c r="V15" s="1420"/>
      <c r="W15" s="1420"/>
      <c r="X15" s="1420"/>
      <c r="Y15" s="1420"/>
      <c r="Z15" s="1420"/>
      <c r="AA15" s="1420"/>
      <c r="AB15" s="1420"/>
      <c r="AC15" s="1420"/>
      <c r="AD15" s="1420"/>
      <c r="AE15" s="1420"/>
      <c r="AF15" s="1420"/>
      <c r="AG15" s="1420"/>
      <c r="AH15" s="1420"/>
      <c r="AI15" s="1420"/>
      <c r="AJ15" s="1420"/>
      <c r="AK15" s="1420"/>
      <c r="AL15" s="1420"/>
      <c r="AM15" s="1420"/>
      <c r="AO15" s="890"/>
      <c r="AP15" s="890" t="str">
        <f>IF(T15="","",T15)</f>
        <v>Добавить территорию для дифференциации</v>
      </c>
      <c r="AQ15" s="890"/>
      <c r="AR15" s="890"/>
      <c r="AS15" s="625">
        <v>0</v>
      </c>
    </row>
    <row customHeight="1" ht="14.25" hidden="1">
      <c r="AC16" s="435"/>
      <c r="AK16" s="435"/>
      <c r="AS16" s="1251">
        <v>0</v>
      </c>
    </row>
    <row customHeight="1" ht="14.25" hidden="1">
      <c r="P17" s="1407"/>
      <c r="AD17" s="1456"/>
      <c r="AE17" s="1456"/>
      <c r="AF17" s="1456"/>
      <c r="AG17" s="1457"/>
      <c r="AH17" s="3113"/>
      <c r="AI17" s="3112" t="s">
        <v>62</v>
      </c>
      <c r="AJ17" s="3113"/>
      <c r="AK17" s="3112" t="s">
        <v>62</v>
      </c>
      <c r="AS17" s="1251">
        <v>0</v>
      </c>
    </row>
    <row customHeight="1" ht="14.25" hidden="1">
      <c r="P18" s="1407"/>
      <c r="AD18" s="1456"/>
      <c r="AE18" s="1456"/>
      <c r="AF18" s="1456"/>
      <c r="AG18" s="436" t="str">
        <f>AH17&amp;"-"&amp;AJ17</f>
        <v>-</v>
      </c>
      <c r="AH18" s="3112"/>
      <c r="AI18" s="3112"/>
      <c r="AJ18" s="3112"/>
      <c r="AK18" s="3112"/>
      <c r="AS18" s="1251">
        <v>0</v>
      </c>
    </row>
    <row customHeight="1" ht="14.25" hidden="1">
      <c r="P19" s="1407"/>
      <c r="AK19" s="435"/>
      <c r="AS19" s="1251">
        <v>0</v>
      </c>
    </row>
    <row s="10306" customFormat="1" customHeight="1" ht="22.5" hidden="1">
      <c r="L20" s="1425"/>
      <c r="M20" s="1458"/>
      <c r="N20" s="1458"/>
      <c r="O20" s="1463" t="s">
        <v>502</v>
      </c>
      <c r="P20" s="1458"/>
      <c r="Q20" s="1467"/>
      <c r="R20" s="1467"/>
      <c r="S20" s="836"/>
      <c r="Z20" s="1463"/>
      <c r="AB20" s="1463"/>
      <c r="AH20" s="1463"/>
      <c r="AJ20" s="1463"/>
      <c r="AN20" s="618"/>
      <c r="AO20" s="618"/>
      <c r="AP20" s="618"/>
      <c r="AQ20" s="618"/>
      <c r="AR20" s="618"/>
      <c r="AS20" s="1256">
        <v>0</v>
      </c>
    </row>
    <row s="10306" customFormat="1" customHeight="1" ht="14.25" hidden="1">
      <c r="L21" s="1425"/>
      <c r="M21" s="1458"/>
      <c r="N21" s="1458"/>
      <c r="O21" s="1458"/>
      <c r="P21" s="1458"/>
      <c r="Q21" s="1467"/>
      <c r="R21" s="1467"/>
      <c r="S21" s="836"/>
      <c r="AN21" s="618"/>
      <c r="AO21" s="618"/>
      <c r="AP21" s="618"/>
      <c r="AQ21" s="618"/>
      <c r="AR21" s="618"/>
      <c r="AS21" s="1256">
        <v>0</v>
      </c>
    </row>
    <row s="10306" customFormat="1" customHeight="1" ht="14.25" hidden="1">
      <c r="L22" s="1425"/>
      <c r="M22" s="1458"/>
      <c r="N22" s="1458"/>
      <c r="O22" s="1460" t="s">
        <v>503</v>
      </c>
      <c r="P22" s="1458"/>
      <c r="Q22" s="1467"/>
      <c r="R22" s="1467"/>
      <c r="S22" s="836"/>
      <c r="T22" s="1256" t="s">
        <v>504</v>
      </c>
      <c r="AA22" s="294" t="s">
        <v>505</v>
      </c>
      <c r="AC22" s="294" t="s">
        <v>506</v>
      </c>
      <c r="AD22" s="1256" t="s">
        <v>504</v>
      </c>
      <c r="AI22" s="294" t="s">
        <v>507</v>
      </c>
      <c r="AK22" s="294" t="s">
        <v>506</v>
      </c>
      <c r="AN22" s="618"/>
      <c r="AO22" s="618"/>
      <c r="AP22" s="618"/>
      <c r="AQ22" s="618"/>
      <c r="AR22" s="618"/>
      <c r="AS22" s="1256">
        <v>0</v>
      </c>
    </row>
    <row customHeight="1" ht="14.25" hidden="1">
      <c r="O23" s="1460"/>
      <c r="P23" s="1407"/>
      <c r="AS23" s="1251">
        <v>0</v>
      </c>
    </row>
    <row customHeight="1" ht="14.25" hidden="1">
      <c r="O24" s="1460"/>
      <c r="P24" s="1407"/>
      <c r="AS24" s="1251">
        <v>0</v>
      </c>
    </row>
    <row customHeight="1" ht="14.699999999999998">
      <c r="Q25" s="483"/>
      <c r="R25" s="483"/>
      <c r="S25" s="1371"/>
      <c r="T25" s="470"/>
      <c r="U25" s="470"/>
      <c r="V25" s="616"/>
      <c r="W25" s="616"/>
      <c r="X25" s="616"/>
      <c r="Y25" s="616"/>
      <c r="Z25" s="616"/>
      <c r="AA25" s="616"/>
      <c r="AB25" s="616"/>
      <c r="AC25" s="616"/>
      <c r="AD25" s="616"/>
      <c r="AE25" s="616"/>
      <c r="AF25" s="616"/>
      <c r="AG25" s="616"/>
      <c r="AH25" s="616"/>
      <c r="AI25" s="616"/>
      <c r="AJ25" s="616"/>
      <c r="AK25" s="616"/>
      <c r="AS25" s="1251">
        <v>14</v>
      </c>
    </row>
    <row customHeight="1" ht="14.699999999999998">
      <c r="Q26" s="483"/>
      <c r="R26" s="483"/>
      <c r="S26" s="30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96"/>
      <c r="U26" s="3096"/>
      <c r="V26" s="3096"/>
      <c r="W26" s="3096"/>
      <c r="X26" s="3096"/>
      <c r="Y26" s="3096"/>
      <c r="Z26" s="3096"/>
      <c r="AA26" s="3096"/>
      <c r="AB26" s="3096"/>
      <c r="AC26" s="3096"/>
      <c r="AD26" s="3096"/>
      <c r="AE26" s="3096"/>
      <c r="AF26" s="3096"/>
      <c r="AG26" s="3096"/>
      <c r="AH26" s="3096"/>
      <c r="AI26" s="3096"/>
      <c r="AJ26" s="3096"/>
      <c r="AK26" s="1339"/>
      <c r="AS26" s="1251">
        <v>14</v>
      </c>
    </row>
    <row customHeight="1" ht="14.699999999999998">
      <c r="Q27" s="483"/>
      <c r="R27" s="483"/>
      <c r="S27" s="3069" t="str">
        <f>IF(org=0,"Не определено",org)</f>
        <v>АО "ДГК"</v>
      </c>
      <c r="T27" s="3069"/>
      <c r="U27" s="3069"/>
      <c r="V27" s="3069"/>
      <c r="W27" s="3069"/>
      <c r="X27" s="3069"/>
      <c r="Y27" s="3069"/>
      <c r="Z27" s="3069"/>
      <c r="AA27" s="3069"/>
      <c r="AB27" s="3069"/>
      <c r="AC27" s="3069"/>
      <c r="AD27" s="3069"/>
      <c r="AE27" s="3069"/>
      <c r="AF27" s="3069"/>
      <c r="AG27" s="3069"/>
      <c r="AH27" s="3069"/>
      <c r="AI27" s="3069"/>
      <c r="AJ27" s="3069"/>
      <c r="AK27" s="1339"/>
      <c r="AS27" s="1251">
        <v>14</v>
      </c>
    </row>
    <row customHeight="1" ht="14.25" hidden="1">
      <c r="Q28" s="483"/>
      <c r="R28" s="483"/>
      <c r="S28" s="1371"/>
      <c r="T28" s="470"/>
      <c r="U28" s="470"/>
      <c r="V28" s="430"/>
      <c r="W28" s="430"/>
      <c r="X28" s="430"/>
      <c r="Y28" s="430"/>
      <c r="Z28" s="430"/>
      <c r="AA28" s="430"/>
      <c r="AB28" s="430"/>
      <c r="AC28" s="430"/>
      <c r="AD28" s="430"/>
      <c r="AE28" s="430"/>
      <c r="AF28" s="430"/>
      <c r="AG28" s="430"/>
      <c r="AH28" s="430"/>
      <c r="AI28" s="430"/>
      <c r="AJ28" s="430"/>
      <c r="AK28" s="430"/>
      <c r="AL28" s="616"/>
      <c r="AS28" s="1251">
        <v>0</v>
      </c>
    </row>
    <row s="10446" customFormat="1" customHeight="1" ht="25.5" hidden="1">
      <c r="A29" s="1464"/>
      <c r="B29" s="1464"/>
      <c r="C29" s="1464"/>
      <c r="D29" s="1464"/>
      <c r="E29" s="1464"/>
      <c r="F29" s="1464"/>
      <c r="G29" s="1464"/>
      <c r="H29" s="1464"/>
      <c r="I29" s="1464"/>
      <c r="J29" s="1464"/>
      <c r="K29" s="1464"/>
      <c r="L29" s="1465"/>
      <c r="M29" s="1464"/>
      <c r="N29" s="1464"/>
      <c r="O29" s="1464"/>
      <c r="S29" s="3106" t="s">
        <v>41</v>
      </c>
      <c r="T29" s="3106"/>
      <c r="U29" s="1468"/>
      <c r="V29" s="3108" t="str">
        <f>IF(TITLE_NAME_OR_PR_CHANGE="",IF(TITLE_NAME_OR_PR="","",TITLE_NAME_OR_PR),TITLE_NAME_OR_PR_CHANGE)</f>
        <v/>
      </c>
      <c r="W29" s="3108"/>
      <c r="X29" s="3108"/>
      <c r="Y29" s="3108"/>
      <c r="Z29" s="3108"/>
      <c r="AA29" s="3108"/>
      <c r="AB29" s="3108"/>
      <c r="AC29" s="434"/>
      <c r="AD29" s="3108" t="str">
        <f>IF(TITLE_NAME_OR_PR_CHANGE="",IF(TITLE_NAME_OR_PR="","",TITLE_NAME_OR_PR),TITLE_NAME_OR_PR_CHANGE)</f>
        <v/>
      </c>
      <c r="AE29" s="3108"/>
      <c r="AF29" s="3108"/>
      <c r="AG29" s="3108"/>
      <c r="AH29" s="3108"/>
      <c r="AI29" s="3108"/>
      <c r="AJ29" s="3108"/>
      <c r="AK29" s="434"/>
      <c r="AL29" s="434"/>
      <c r="AM29" s="388"/>
      <c r="AN29" s="475"/>
      <c r="AO29" s="475"/>
      <c r="AP29" s="475"/>
      <c r="AQ29" s="475"/>
      <c r="AR29" s="475"/>
      <c r="AS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508</v>
      </c>
      <c r="T30" s="3106"/>
      <c r="U30" s="1468"/>
      <c r="V30" s="3107" t="str">
        <f>IF(TITLE_DATE_PR_CHANGE="",IF(TITLE_DATE_PR="","",TITLE_DATE_PR),TITLE_DATE_PR_CHANGE)</f>
        <v/>
      </c>
      <c r="W30" s="3107"/>
      <c r="X30" s="3107"/>
      <c r="Y30" s="3107"/>
      <c r="Z30" s="3107"/>
      <c r="AA30" s="3107"/>
      <c r="AB30" s="3107"/>
      <c r="AC30" s="434"/>
      <c r="AD30" s="3107" t="str">
        <f>IF(TITLE_DATE_PR_CHANGE="",IF(TITLE_DATE_PR="","",TITLE_DATE_PR),TITLE_DATE_PR_CHANGE)</f>
        <v/>
      </c>
      <c r="AE30" s="3107"/>
      <c r="AF30" s="3107"/>
      <c r="AG30" s="3107"/>
      <c r="AH30" s="3107"/>
      <c r="AI30" s="3107"/>
      <c r="AJ30" s="3107"/>
      <c r="AK30" s="434"/>
      <c r="AL30" s="434"/>
      <c r="AM30" s="388"/>
      <c r="AN30" s="475"/>
      <c r="AO30" s="475"/>
      <c r="AP30" s="475"/>
      <c r="AQ30" s="475"/>
      <c r="AR30" s="475"/>
      <c r="AS30" s="525">
        <v>0</v>
      </c>
    </row>
    <row s="10446" customFormat="1" customHeight="1" ht="18.75" hidden="1">
      <c r="A31" s="1464"/>
      <c r="B31" s="1464"/>
      <c r="C31" s="1464"/>
      <c r="D31" s="1464"/>
      <c r="E31" s="1464"/>
      <c r="F31" s="1464"/>
      <c r="G31" s="1464"/>
      <c r="H31" s="1464"/>
      <c r="I31" s="1464"/>
      <c r="J31" s="1464"/>
      <c r="K31" s="1464"/>
      <c r="L31" s="1465"/>
      <c r="M31" s="1464"/>
      <c r="N31" s="1464"/>
      <c r="O31" s="1464"/>
      <c r="S31" s="3106" t="s">
        <v>509</v>
      </c>
      <c r="T31" s="3106"/>
      <c r="U31" s="1468"/>
      <c r="V31" s="3108" t="str">
        <f>IF(TITLE_NUMBER_PR_CHANGE="",IF(TITLE_NUMBER_PR="","",TITLE_NUMBER_PR),TITLE_NUMBER_PR_CHANGE)</f>
        <v/>
      </c>
      <c r="W31" s="3108"/>
      <c r="X31" s="3108"/>
      <c r="Y31" s="3108"/>
      <c r="Z31" s="3108"/>
      <c r="AA31" s="3108"/>
      <c r="AB31" s="3108"/>
      <c r="AC31" s="434"/>
      <c r="AD31" s="3108" t="str">
        <f>IF(TITLE_NUMBER_PR_CHANGE="",IF(TITLE_NUMBER_PR="","",TITLE_NUMBER_PR),TITLE_NUMBER_PR_CHANGE)</f>
        <v/>
      </c>
      <c r="AE31" s="3108"/>
      <c r="AF31" s="3108"/>
      <c r="AG31" s="3108"/>
      <c r="AH31" s="3108"/>
      <c r="AI31" s="3108"/>
      <c r="AJ31" s="3108"/>
      <c r="AK31" s="434"/>
      <c r="AL31" s="434"/>
      <c r="AM31" s="388"/>
      <c r="AN31" s="475"/>
      <c r="AO31" s="475"/>
      <c r="AP31" s="475"/>
      <c r="AQ31" s="475"/>
      <c r="AR31" s="475"/>
      <c r="AS31" s="525">
        <v>0</v>
      </c>
    </row>
    <row s="10446" customFormat="1" customHeight="1" ht="18.75" hidden="1">
      <c r="A32" s="1464"/>
      <c r="B32" s="1464"/>
      <c r="C32" s="1464"/>
      <c r="D32" s="1464"/>
      <c r="E32" s="1464"/>
      <c r="F32" s="1464"/>
      <c r="G32" s="1464"/>
      <c r="H32" s="1464"/>
      <c r="I32" s="1464"/>
      <c r="J32" s="1464"/>
      <c r="K32" s="1464"/>
      <c r="L32" s="1465"/>
      <c r="M32" s="1464"/>
      <c r="N32" s="1464"/>
      <c r="O32" s="1464"/>
      <c r="S32" s="3106" t="s">
        <v>42</v>
      </c>
      <c r="T32" s="3106"/>
      <c r="U32" s="1468"/>
      <c r="V32" s="3108" t="str">
        <f>IF(TITLE_IST_PUB_CHANGE="",IF(TITLE_IST_PUB="","",TITLE_IST_PUB),TITLE_IST_PUB_CHANGE)</f>
        <v/>
      </c>
      <c r="W32" s="3108"/>
      <c r="X32" s="3108"/>
      <c r="Y32" s="3108"/>
      <c r="Z32" s="3108"/>
      <c r="AA32" s="3108"/>
      <c r="AB32" s="3108"/>
      <c r="AC32" s="434"/>
      <c r="AD32" s="3108" t="str">
        <f>IF(TITLE_IST_PUB_CHANGE="",IF(TITLE_IST_PUB="","",TITLE_IST_PUB),TITLE_IST_PUB_CHANGE)</f>
        <v/>
      </c>
      <c r="AE32" s="3108"/>
      <c r="AF32" s="3108"/>
      <c r="AG32" s="3108"/>
      <c r="AH32" s="3108"/>
      <c r="AI32" s="3108"/>
      <c r="AJ32" s="3108"/>
      <c r="AK32" s="434"/>
      <c r="AL32" s="434"/>
      <c r="AM32" s="388"/>
      <c r="AN32" s="475"/>
      <c r="AO32" s="475"/>
      <c r="AP32" s="475"/>
      <c r="AQ32" s="475"/>
      <c r="AR32" s="475"/>
      <c r="AS32" s="525">
        <v>0</v>
      </c>
    </row>
    <row customHeight="1" ht="14.25" hidden="1">
      <c r="P33" s="1424"/>
      <c r="Q33" s="483"/>
      <c r="R33" s="483"/>
      <c r="S33" s="1371"/>
      <c r="T33" s="470"/>
      <c r="U33" s="470"/>
      <c r="V33" s="430"/>
      <c r="W33" s="430"/>
      <c r="X33" s="430"/>
      <c r="Y33" s="430"/>
      <c r="Z33" s="430"/>
      <c r="AA33" s="430"/>
      <c r="AB33" s="430"/>
      <c r="AC33" s="430"/>
      <c r="AD33" s="430"/>
      <c r="AE33" s="430"/>
      <c r="AF33" s="430"/>
      <c r="AG33" s="430"/>
      <c r="AH33" s="430"/>
      <c r="AI33" s="430"/>
      <c r="AJ33" s="430"/>
      <c r="AK33" s="430"/>
      <c r="AL33" s="616"/>
      <c r="AS33" s="1251">
        <v>0</v>
      </c>
    </row>
    <row s="10446" customFormat="1" customHeight="1" ht="18.75" hidden="1">
      <c r="A34" s="1464"/>
      <c r="B34" s="1464"/>
      <c r="C34" s="1464"/>
      <c r="D34" s="1464"/>
      <c r="E34" s="1464"/>
      <c r="F34" s="1464"/>
      <c r="G34" s="1464"/>
      <c r="H34" s="1464"/>
      <c r="I34" s="1464"/>
      <c r="J34" s="1464"/>
      <c r="K34" s="1464"/>
      <c r="L34" s="1465"/>
      <c r="M34" s="1464"/>
      <c r="N34" s="1464"/>
      <c r="O34" s="1464"/>
      <c r="S34" s="3106" t="s">
        <v>510</v>
      </c>
      <c r="T34" s="3106"/>
      <c r="U34" s="1468"/>
      <c r="V34" s="3107" t="str">
        <f>IF(TITLE_DATE_PR_CHANGE="",IF(TITLE_DATE_PR="","",TITLE_DATE_PR),TITLE_DATE_PR_CHANGE)</f>
        <v/>
      </c>
      <c r="W34" s="3107"/>
      <c r="X34" s="3107"/>
      <c r="Y34" s="3107"/>
      <c r="Z34" s="3107"/>
      <c r="AA34" s="3107"/>
      <c r="AB34" s="3107"/>
      <c r="AC34" s="434"/>
      <c r="AD34" s="3107" t="str">
        <f>IF(TITLE_DATE_PR_CHANGE="",IF(TITLE_DATE_PR="","",TITLE_DATE_PR),TITLE_DATE_PR_CHANGE)</f>
        <v/>
      </c>
      <c r="AE34" s="3107"/>
      <c r="AF34" s="3107"/>
      <c r="AG34" s="3107"/>
      <c r="AH34" s="3107"/>
      <c r="AI34" s="3107"/>
      <c r="AJ34" s="3107"/>
      <c r="AK34" s="434"/>
      <c r="AL34" s="434"/>
      <c r="AM34" s="388"/>
      <c r="AN34" s="475"/>
      <c r="AO34" s="475"/>
      <c r="AP34" s="475"/>
      <c r="AQ34" s="475"/>
      <c r="AR34" s="475"/>
      <c r="AS34" s="525">
        <v>0</v>
      </c>
    </row>
    <row s="10446" customFormat="1" customHeight="1" ht="18.75" hidden="1">
      <c r="A35" s="1464"/>
      <c r="B35" s="1464"/>
      <c r="C35" s="1464"/>
      <c r="D35" s="1464"/>
      <c r="E35" s="1464"/>
      <c r="F35" s="1464"/>
      <c r="G35" s="1464"/>
      <c r="H35" s="1464"/>
      <c r="I35" s="1464"/>
      <c r="J35" s="1464"/>
      <c r="K35" s="1464"/>
      <c r="L35" s="1465"/>
      <c r="M35" s="1464"/>
      <c r="N35" s="1464"/>
      <c r="O35" s="1464"/>
      <c r="S35" s="3106" t="s">
        <v>511</v>
      </c>
      <c r="T35" s="3106"/>
      <c r="U35" s="1468"/>
      <c r="V35" s="3108" t="str">
        <f>IF(TITLE_NUMBER_PR_CHANGE="",IF(TITLE_NUMBER_PR="","",TITLE_NUMBER_PR),TITLE_NUMBER_PR_CHANGE)</f>
        <v/>
      </c>
      <c r="W35" s="3108"/>
      <c r="X35" s="3108"/>
      <c r="Y35" s="3108"/>
      <c r="Z35" s="3108"/>
      <c r="AA35" s="3108"/>
      <c r="AB35" s="3108"/>
      <c r="AC35" s="434"/>
      <c r="AD35" s="3108" t="str">
        <f>IF(TITLE_NUMBER_PR_CHANGE="",IF(TITLE_NUMBER_PR="","",TITLE_NUMBER_PR),TITLE_NUMBER_PR_CHANGE)</f>
        <v/>
      </c>
      <c r="AE35" s="3108"/>
      <c r="AF35" s="3108"/>
      <c r="AG35" s="3108"/>
      <c r="AH35" s="3108"/>
      <c r="AI35" s="3108"/>
      <c r="AJ35" s="3108"/>
      <c r="AK35" s="434"/>
      <c r="AL35" s="434"/>
      <c r="AM35" s="388"/>
      <c r="AN35" s="475"/>
      <c r="AO35" s="475"/>
      <c r="AP35" s="475"/>
      <c r="AQ35" s="475"/>
      <c r="AR35" s="475"/>
      <c r="AS35" s="525">
        <v>0</v>
      </c>
    </row>
    <row s="10446" customFormat="1" customHeight="1" ht="14.25" hidden="1">
      <c r="A36" s="1464"/>
      <c r="B36" s="1464"/>
      <c r="C36" s="1464"/>
      <c r="D36" s="1464"/>
      <c r="E36" s="1464"/>
      <c r="F36" s="1464"/>
      <c r="G36" s="1464"/>
      <c r="H36" s="1464"/>
      <c r="I36" s="1464"/>
      <c r="J36" s="1464"/>
      <c r="K36" s="1464"/>
      <c r="L36" s="1465"/>
      <c r="M36" s="1464"/>
      <c r="N36" s="1464"/>
      <c r="O36" s="1464"/>
      <c r="S36" s="431"/>
      <c r="T36" s="431"/>
      <c r="U36" s="1315"/>
      <c r="V36" s="434"/>
      <c r="W36" s="434"/>
      <c r="X36" s="434"/>
      <c r="Y36" s="434"/>
      <c r="Z36" s="434"/>
      <c r="AA36" s="434"/>
      <c r="AB36" s="434"/>
      <c r="AC36" s="386" t="s">
        <v>512</v>
      </c>
      <c r="AD36" s="434"/>
      <c r="AE36" s="434"/>
      <c r="AF36" s="434"/>
      <c r="AG36" s="434"/>
      <c r="AH36" s="434"/>
      <c r="AI36" s="434"/>
      <c r="AJ36" s="434"/>
      <c r="AK36" s="386" t="s">
        <v>512</v>
      </c>
      <c r="AN36" s="475"/>
      <c r="AO36" s="475"/>
      <c r="AP36" s="475"/>
      <c r="AQ36" s="475"/>
      <c r="AR36" s="475"/>
      <c r="AS36" s="525">
        <v>0</v>
      </c>
    </row>
    <row customHeight="1" ht="14.699999999999998">
      <c r="Q37" s="483"/>
      <c r="R37" s="483"/>
      <c r="S37" s="1371"/>
      <c r="T37" s="470"/>
      <c r="U37" s="1340"/>
      <c r="V37" s="3127"/>
      <c r="W37" s="3127"/>
      <c r="X37" s="3127"/>
      <c r="Y37" s="3127"/>
      <c r="Z37" s="3127"/>
      <c r="AA37" s="3127"/>
      <c r="AB37" s="3127"/>
      <c r="AC37" s="3127"/>
      <c r="AD37" s="3127"/>
      <c r="AE37" s="3127"/>
      <c r="AF37" s="3127"/>
      <c r="AG37" s="3127"/>
      <c r="AH37" s="3127"/>
      <c r="AI37" s="3127"/>
      <c r="AJ37" s="3127"/>
      <c r="AK37" s="3127"/>
      <c r="AS37" s="1251">
        <v>14</v>
      </c>
    </row>
    <row customHeight="1" ht="14.699999999999998">
      <c r="Q38" s="483"/>
      <c r="R38" s="483"/>
      <c r="S38" s="2978" t="s">
        <v>385</v>
      </c>
      <c r="T38" s="2978"/>
      <c r="U38" s="2978"/>
      <c r="V38" s="2978"/>
      <c r="W38" s="2978"/>
      <c r="X38" s="2978"/>
      <c r="Y38" s="2978"/>
      <c r="Z38" s="2978"/>
      <c r="AA38" s="2978"/>
      <c r="AB38" s="2978"/>
      <c r="AC38" s="2978"/>
      <c r="AD38" s="2978"/>
      <c r="AE38" s="2978"/>
      <c r="AF38" s="2978"/>
      <c r="AG38" s="2978"/>
      <c r="AH38" s="2978"/>
      <c r="AI38" s="2978"/>
      <c r="AJ38" s="2978"/>
      <c r="AK38" s="2978"/>
      <c r="AL38" s="2978"/>
      <c r="AM38" s="2978" t="s">
        <v>386</v>
      </c>
      <c r="AS38" s="1251">
        <v>14</v>
      </c>
    </row>
    <row customHeight="1" ht="14.699999999999998">
      <c r="Q39" s="483"/>
      <c r="R39" s="483"/>
      <c r="S39" s="3128" t="s">
        <v>88</v>
      </c>
      <c r="T39" s="3077" t="s">
        <v>513</v>
      </c>
      <c r="U39" s="409"/>
      <c r="V39" s="3129" t="s">
        <v>514</v>
      </c>
      <c r="W39" s="3130"/>
      <c r="X39" s="3130"/>
      <c r="Y39" s="3130"/>
      <c r="Z39" s="3130"/>
      <c r="AA39" s="3130"/>
      <c r="AB39" s="3131"/>
      <c r="AC39" s="3132" t="s">
        <v>515</v>
      </c>
      <c r="AD39" s="3129" t="s">
        <v>514</v>
      </c>
      <c r="AE39" s="3130"/>
      <c r="AF39" s="3130"/>
      <c r="AG39" s="3130"/>
      <c r="AH39" s="3130"/>
      <c r="AI39" s="3130"/>
      <c r="AJ39" s="3131"/>
      <c r="AK39" s="3132" t="s">
        <v>516</v>
      </c>
      <c r="AL39" s="3135" t="s">
        <v>517</v>
      </c>
      <c r="AM39" s="2978"/>
      <c r="AS39" s="1251">
        <v>14</v>
      </c>
    </row>
    <row customHeight="1" ht="35.699999999999996">
      <c r="Q40" s="483"/>
      <c r="R40" s="483"/>
      <c r="S40" s="3128"/>
      <c r="T40" s="3077"/>
      <c r="U40" s="1131"/>
      <c r="V40" s="3047" t="s">
        <v>518</v>
      </c>
      <c r="W40" s="3124" t="s">
        <v>519</v>
      </c>
      <c r="X40" s="2959" t="s">
        <v>520</v>
      </c>
      <c r="Y40" s="2958"/>
      <c r="Z40" s="2959" t="s">
        <v>521</v>
      </c>
      <c r="AA40" s="2965"/>
      <c r="AB40" s="2958"/>
      <c r="AC40" s="3133"/>
      <c r="AD40" s="3047" t="s">
        <v>518</v>
      </c>
      <c r="AE40" s="3124" t="s">
        <v>519</v>
      </c>
      <c r="AF40" s="2959" t="s">
        <v>520</v>
      </c>
      <c r="AG40" s="2958"/>
      <c r="AH40" s="2959" t="s">
        <v>521</v>
      </c>
      <c r="AI40" s="2965"/>
      <c r="AJ40" s="2958"/>
      <c r="AK40" s="3133"/>
      <c r="AL40" s="3136"/>
      <c r="AM40" s="2978"/>
      <c r="AS40" s="1251">
        <v>34</v>
      </c>
    </row>
    <row customHeight="1" ht="35.699999999999996">
      <c r="A41" s="1466"/>
      <c r="B41" s="1466" t="s">
        <v>222</v>
      </c>
      <c r="C41" s="1466" t="s">
        <v>223</v>
      </c>
      <c r="D41" s="1466" t="s">
        <v>224</v>
      </c>
      <c r="E41" s="1460" t="s">
        <v>522</v>
      </c>
      <c r="F41" s="1460" t="s">
        <v>523</v>
      </c>
      <c r="G41" s="1460" t="s">
        <v>524</v>
      </c>
      <c r="H41" s="1460" t="s">
        <v>525</v>
      </c>
      <c r="I41" s="1460" t="s">
        <v>526</v>
      </c>
      <c r="J41" s="1460" t="s">
        <v>527</v>
      </c>
      <c r="K41" s="1460" t="s">
        <v>528</v>
      </c>
      <c r="L41" s="1460" t="s">
        <v>503</v>
      </c>
      <c r="Q41" s="483"/>
      <c r="R41" s="483"/>
      <c r="S41" s="3128"/>
      <c r="T41" s="3077"/>
      <c r="U41" s="410"/>
      <c r="V41" s="3101"/>
      <c r="W41" s="3125"/>
      <c r="X41" s="1318" t="s">
        <v>529</v>
      </c>
      <c r="Y41" s="1318" t="s">
        <v>530</v>
      </c>
      <c r="Z41" s="1317" t="s">
        <v>531</v>
      </c>
      <c r="AA41" s="3082" t="s">
        <v>532</v>
      </c>
      <c r="AB41" s="3095"/>
      <c r="AC41" s="3134"/>
      <c r="AD41" s="3101"/>
      <c r="AE41" s="3125"/>
      <c r="AF41" s="1318" t="s">
        <v>529</v>
      </c>
      <c r="AG41" s="1318" t="s">
        <v>530</v>
      </c>
      <c r="AH41" s="1409" t="s">
        <v>531</v>
      </c>
      <c r="AI41" s="3082" t="s">
        <v>532</v>
      </c>
      <c r="AJ41" s="3095"/>
      <c r="AK41" s="3134"/>
      <c r="AL41" s="3137"/>
      <c r="AM41" s="2978"/>
      <c r="AS41" s="1251">
        <v>34</v>
      </c>
    </row>
    <row s="10851" customFormat="1" customHeight="1" ht="11.25" hidden="1">
      <c r="A42" s="1466"/>
      <c r="B42" s="1466"/>
      <c r="C42" s="1466"/>
      <c r="D42" s="1466"/>
      <c r="E42" s="1466"/>
      <c r="F42" s="1466"/>
      <c r="G42" s="1466"/>
      <c r="H42" s="1466"/>
      <c r="I42" s="1466"/>
      <c r="J42" s="1466"/>
      <c r="K42" s="1466"/>
      <c r="L42" s="1460"/>
      <c r="M42" s="1458"/>
      <c r="N42" s="1458"/>
      <c r="O42" s="1458"/>
      <c r="P42" s="1342"/>
      <c r="Q42" s="1343"/>
      <c r="R42" s="1350">
        <v>1</v>
      </c>
      <c r="S42" s="1373" t="s">
        <v>144</v>
      </c>
      <c r="T42" s="1351" t="s">
        <v>102</v>
      </c>
      <c r="U42" s="1341" t="str">
        <f>OFFSET(U42,0,-1)</f>
        <v>2</v>
      </c>
      <c r="V42" s="1352">
        <f>OFFSET(V42,0,-1)+1</f>
        <v>3</v>
      </c>
      <c r="W42" s="1352"/>
      <c r="X42" s="1352">
        <f>OFFSET(X42,0,-1)+1</f>
        <v>1</v>
      </c>
      <c r="Y42" s="1352">
        <f>OFFSET(Y42,0,-1)+1</f>
        <v>2</v>
      </c>
      <c r="Z42" s="1352">
        <f>OFFSET(Z42,0,-1)+1</f>
        <v>3</v>
      </c>
      <c r="AA42" s="3126">
        <f>OFFSET(AA42,0,-1)+1</f>
        <v>4</v>
      </c>
      <c r="AB42" s="3126"/>
      <c r="AC42" s="1352">
        <f>OFFSET(AC42,0,-2)+1</f>
        <v>5</v>
      </c>
      <c r="AD42" s="1408">
        <f>OFFSET(AD42,0,-1)+1</f>
        <v>6</v>
      </c>
      <c r="AE42" s="1408"/>
      <c r="AF42" s="1408">
        <f>OFFSET(AF42,0,-1)+1</f>
        <v>1</v>
      </c>
      <c r="AG42" s="1408">
        <f>OFFSET(AG42,0,-1)+1</f>
        <v>2</v>
      </c>
      <c r="AH42" s="1408">
        <f>OFFSET(AH42,0,-1)+1</f>
        <v>3</v>
      </c>
      <c r="AI42" s="3126">
        <f>OFFSET(AI42,0,-1)+1</f>
        <v>4</v>
      </c>
      <c r="AJ42" s="3126"/>
      <c r="AK42" s="1408">
        <f>OFFSET(AK42,0,-2)+1</f>
        <v>5</v>
      </c>
      <c r="AL42" s="1341">
        <f>OFFSET(AL42,0,-1)</f>
        <v>5</v>
      </c>
      <c r="AM42" s="1352">
        <f>OFFSET(AM42,0,-1)+1</f>
        <v>6</v>
      </c>
      <c r="AN42" s="618"/>
      <c r="AO42" s="618"/>
      <c r="AP42" s="618"/>
      <c r="AQ42" s="618"/>
      <c r="AR42" s="618"/>
      <c r="AS42" s="603">
        <v>0</v>
      </c>
    </row>
    <row customHeight="1" ht="24">
      <c r="A43" s="1459" t="s">
        <v>243</v>
      </c>
      <c r="B43" s="1459"/>
      <c r="C43" s="1459"/>
      <c r="D43" s="1459"/>
      <c r="E43" s="3115">
        <v>1</v>
      </c>
      <c r="F43" s="1459"/>
      <c r="G43" s="1459"/>
      <c r="H43" s="1459"/>
      <c r="I43" s="1459"/>
      <c r="J43" s="1459"/>
      <c r="K43" s="1459"/>
      <c r="L43" s="1460"/>
      <c r="M43" s="1461"/>
      <c r="N43" s="1461"/>
      <c r="O43" s="1461"/>
      <c r="P43" s="468"/>
      <c r="Q43" s="467"/>
      <c r="R43" s="462"/>
      <c r="S43" s="1320">
        <f>INDEX(PT_DIFFERENTIATION_NUM_NTAR,MATCH(A43,PT_DIFFERENTIATION_NTAR_ID,0))</f>
        <v>0</v>
      </c>
      <c r="T43" s="406" t="s">
        <v>210</v>
      </c>
      <c r="U43" s="408"/>
      <c r="V43" s="3109"/>
      <c r="W43" s="3110"/>
      <c r="X43" s="3110"/>
      <c r="Y43" s="3110"/>
      <c r="Z43" s="3110"/>
      <c r="AA43" s="3110"/>
      <c r="AB43" s="3110"/>
      <c r="AC43" s="3111"/>
      <c r="AD43" s="3109" t="str">
        <f>INDEX(PT_DIFFERENTIATION_NTAR,MATCH(A43,PT_DIFFERENTIATION_NTAR_ID,0))</f>
        <v/>
      </c>
      <c r="AE43" s="3110"/>
      <c r="AF43" s="3110"/>
      <c r="AG43" s="3110"/>
      <c r="AH43" s="3110"/>
      <c r="AI43" s="3110"/>
      <c r="AJ43" s="3110"/>
      <c r="AK43" s="3110"/>
      <c r="AL43" s="3111"/>
      <c r="AM43" s="13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7"/>
      <c r="AP43" s="607" t="str">
        <f>IF(T43="","",T43)</f>
        <v>Наименование тарифа</v>
      </c>
      <c r="AQ43" s="607"/>
      <c r="AR43" s="607"/>
      <c r="AS43" s="1251">
        <v>23</v>
      </c>
    </row>
    <row customHeight="1" ht="24">
      <c r="A44" s="1459" t="s">
        <v>243</v>
      </c>
      <c r="B44" s="1459" t="s">
        <v>244</v>
      </c>
      <c r="C44" s="1459"/>
      <c r="D44" s="1459"/>
      <c r="E44" s="3116"/>
      <c r="F44" s="3115">
        <v>1</v>
      </c>
      <c r="G44" s="1459"/>
      <c r="H44" s="1459"/>
      <c r="I44" s="1459"/>
      <c r="J44" s="1459"/>
      <c r="K44" s="1459"/>
      <c r="L44" s="1460"/>
      <c r="M44" s="1461"/>
      <c r="N44" s="1461"/>
      <c r="O44" s="1461"/>
      <c r="P44" s="629"/>
      <c r="Q44" s="459"/>
      <c r="R44" s="460"/>
      <c r="S44" s="1320" t="str">
        <f>INDEX(PT_DIFFERENTIATION_NUM_TER,MATCH(B44,PT_DIFFERENTIATION_TER_ID,0))</f>
        <v>.</v>
      </c>
      <c r="T44" s="416" t="s">
        <v>482</v>
      </c>
      <c r="U44" s="408"/>
      <c r="V44" s="3109"/>
      <c r="W44" s="3110"/>
      <c r="X44" s="3110"/>
      <c r="Y44" s="3110"/>
      <c r="Z44" s="3110"/>
      <c r="AA44" s="3110"/>
      <c r="AB44" s="3110"/>
      <c r="AC44" s="3111"/>
      <c r="AD44" s="3109" t="str">
        <f>INDEX(PT_DIFFERENTIATION_TER,MATCH(B44,PT_DIFFERENTIATION_TER_ID,0))</f>
        <v/>
      </c>
      <c r="AE44" s="3110"/>
      <c r="AF44" s="3110"/>
      <c r="AG44" s="3110"/>
      <c r="AH44" s="3110"/>
      <c r="AI44" s="3110"/>
      <c r="AJ44" s="3110"/>
      <c r="AK44" s="3110"/>
      <c r="AL44" s="3111"/>
      <c r="AM44" s="1354" t="s">
        <v>483</v>
      </c>
      <c r="AO44" s="607"/>
      <c r="AP44" s="607" t="str">
        <f>IF(T44="","",T44)</f>
        <v>Территория действия тарифа</v>
      </c>
      <c r="AQ44" s="607"/>
      <c r="AR44" s="607"/>
      <c r="AS44" s="1251">
        <v>23</v>
      </c>
    </row>
    <row customHeight="1" ht="24">
      <c r="A45" s="1459" t="s">
        <v>243</v>
      </c>
      <c r="B45" s="1459" t="s">
        <v>244</v>
      </c>
      <c r="C45" s="1459" t="s">
        <v>245</v>
      </c>
      <c r="D45" s="1459"/>
      <c r="E45" s="3116"/>
      <c r="F45" s="3116"/>
      <c r="G45" s="3115">
        <v>1</v>
      </c>
      <c r="H45" s="1459"/>
      <c r="I45" s="1459"/>
      <c r="J45" s="1459"/>
      <c r="K45" s="1459"/>
      <c r="L45" s="1460"/>
      <c r="M45" s="1461"/>
      <c r="N45" s="1461"/>
      <c r="O45" s="1461"/>
      <c r="P45" s="461"/>
      <c r="Q45" s="459"/>
      <c r="R45" s="460"/>
      <c r="S45" s="1320" t="str">
        <f>INDEX(PT_DIFFERENTIATION_NUM_CS,MATCH(C45,PT_DIFFERENTIATION_CS_ID,0))</f>
        <v>..</v>
      </c>
      <c r="T45" s="417" t="s">
        <v>484</v>
      </c>
      <c r="U45" s="408"/>
      <c r="V45" s="3109"/>
      <c r="W45" s="3110"/>
      <c r="X45" s="3110"/>
      <c r="Y45" s="3110"/>
      <c r="Z45" s="3110"/>
      <c r="AA45" s="3110"/>
      <c r="AB45" s="3110"/>
      <c r="AC45" s="3111"/>
      <c r="AD45" s="3109" t="str">
        <f>INDEX(PT_DIFFERENTIATION_CS,MATCH(C45,PT_DIFFERENTIATION_CS_ID,0))</f>
        <v/>
      </c>
      <c r="AE45" s="3110"/>
      <c r="AF45" s="3110"/>
      <c r="AG45" s="3110"/>
      <c r="AH45" s="3110"/>
      <c r="AI45" s="3110"/>
      <c r="AJ45" s="3110"/>
      <c r="AK45" s="3110"/>
      <c r="AL45" s="3111"/>
      <c r="AM45" s="1354" t="s">
        <v>485</v>
      </c>
      <c r="AO45" s="607"/>
      <c r="AP45" s="607" t="str">
        <f>IF(T45="","",T45)</f>
        <v>Наименование системы теплоснабжения </v>
      </c>
      <c r="AQ45" s="607"/>
      <c r="AR45" s="607"/>
      <c r="AS45" s="1251">
        <v>23</v>
      </c>
    </row>
    <row customHeight="1" ht="24">
      <c r="A46" s="1459" t="s">
        <v>243</v>
      </c>
      <c r="B46" s="1459" t="s">
        <v>244</v>
      </c>
      <c r="C46" s="1459" t="s">
        <v>245</v>
      </c>
      <c r="D46" s="1459" t="s">
        <v>246</v>
      </c>
      <c r="E46" s="3116"/>
      <c r="F46" s="3116"/>
      <c r="G46" s="3116"/>
      <c r="H46" s="3115">
        <v>1</v>
      </c>
      <c r="I46" s="1459"/>
      <c r="J46" s="1459"/>
      <c r="K46" s="1459"/>
      <c r="L46" s="1460"/>
      <c r="M46" s="1461"/>
      <c r="N46" s="1461"/>
      <c r="O46" s="1461"/>
      <c r="P46" s="461"/>
      <c r="Q46" s="459"/>
      <c r="R46" s="460"/>
      <c r="S46" s="1320" t="str">
        <f>INDEX(PT_DIFFERENTIATION_NUM_IST_TE,MATCH(D46,PT_DIFFERENTIATION_IST_TE_ID,0))</f>
        <v>...</v>
      </c>
      <c r="T46" s="418" t="s">
        <v>486</v>
      </c>
      <c r="U46" s="408"/>
      <c r="V46" s="3109"/>
      <c r="W46" s="3110"/>
      <c r="X46" s="3110"/>
      <c r="Y46" s="3110"/>
      <c r="Z46" s="3110"/>
      <c r="AA46" s="3110"/>
      <c r="AB46" s="3110"/>
      <c r="AC46" s="3111"/>
      <c r="AD46" s="3109" t="str">
        <f>INDEX(PT_DIFFERENTIATION_IST_TE,MATCH(D46,PT_DIFFERENTIATION_IST_TE_ID,0))</f>
        <v/>
      </c>
      <c r="AE46" s="3110"/>
      <c r="AF46" s="3110"/>
      <c r="AG46" s="3110"/>
      <c r="AH46" s="3110"/>
      <c r="AI46" s="3110"/>
      <c r="AJ46" s="3110"/>
      <c r="AK46" s="3110"/>
      <c r="AL46" s="3111"/>
      <c r="AM46" s="1354" t="s">
        <v>487</v>
      </c>
      <c r="AO46" s="607"/>
      <c r="AP46" s="607" t="str">
        <f>IF(T46="","",T46)</f>
        <v>Источник тепловой энергии  </v>
      </c>
      <c r="AQ46" s="607"/>
      <c r="AR46" s="607"/>
      <c r="AS46" s="1251">
        <v>23</v>
      </c>
    </row>
    <row customHeight="1" ht="49.5">
      <c r="A47" s="1459" t="s">
        <v>243</v>
      </c>
      <c r="B47" s="1459" t="s">
        <v>244</v>
      </c>
      <c r="C47" s="1459" t="s">
        <v>245</v>
      </c>
      <c r="D47" s="1459" t="s">
        <v>246</v>
      </c>
      <c r="E47" s="3116"/>
      <c r="F47" s="3116"/>
      <c r="G47" s="3116"/>
      <c r="H47" s="3116"/>
      <c r="I47" s="3117" t="str">
        <f>S46&amp;".1"</f>
        <v>....1</v>
      </c>
      <c r="J47" s="1459"/>
      <c r="K47" s="1459"/>
      <c r="L47" s="1460" t="s">
        <v>488</v>
      </c>
      <c r="P47" s="3119">
        <v>1</v>
      </c>
      <c r="Q47" s="1316"/>
      <c r="R47" s="463"/>
      <c r="S47" s="1320" t="str">
        <f>$I47</f>
        <v>....1</v>
      </c>
      <c r="T47" s="393" t="s">
        <v>489</v>
      </c>
      <c r="U47" s="408"/>
      <c r="V47" s="3103"/>
      <c r="W47" s="3104"/>
      <c r="X47" s="3104"/>
      <c r="Y47" s="3104"/>
      <c r="Z47" s="3104"/>
      <c r="AA47" s="3104"/>
      <c r="AB47" s="3104"/>
      <c r="AC47" s="3105"/>
      <c r="AD47" s="3103"/>
      <c r="AE47" s="3104"/>
      <c r="AF47" s="3104"/>
      <c r="AG47" s="3104"/>
      <c r="AH47" s="3104"/>
      <c r="AI47" s="3104"/>
      <c r="AJ47" s="3104"/>
      <c r="AK47" s="3104"/>
      <c r="AL47" s="3105"/>
      <c r="AM47" s="1354" t="s">
        <v>490</v>
      </c>
      <c r="AO47" s="607"/>
      <c r="AP47" s="607" t="str">
        <f>IF(T47="","",T47)</f>
        <v>Схема подключения теплопотребляющей установки к коллектору источника тепловой энергии</v>
      </c>
      <c r="AQ47" s="607"/>
      <c r="AR47" s="607"/>
      <c r="AS47" s="1251">
        <v>47</v>
      </c>
    </row>
    <row customHeight="1" ht="24">
      <c r="A48" s="1459" t="s">
        <v>243</v>
      </c>
      <c r="B48" s="1459" t="s">
        <v>244</v>
      </c>
      <c r="C48" s="1459" t="s">
        <v>245</v>
      </c>
      <c r="D48" s="1459" t="s">
        <v>246</v>
      </c>
      <c r="E48" s="3116"/>
      <c r="F48" s="3116"/>
      <c r="G48" s="3116"/>
      <c r="H48" s="3116"/>
      <c r="I48" s="3118"/>
      <c r="J48" s="3117" t="str">
        <f>I47&amp;".1"</f>
        <v>....1.1</v>
      </c>
      <c r="K48" s="1459"/>
      <c r="L48" s="1460" t="s">
        <v>491</v>
      </c>
      <c r="P48" s="3119"/>
      <c r="Q48" s="3119">
        <v>1</v>
      </c>
      <c r="R48" s="464"/>
      <c r="S48" s="1320" t="str">
        <f>$J48</f>
        <v>....1.1</v>
      </c>
      <c r="T48" s="394" t="s">
        <v>492</v>
      </c>
      <c r="U48" s="408"/>
      <c r="V48" s="3103"/>
      <c r="W48" s="3104"/>
      <c r="X48" s="3104"/>
      <c r="Y48" s="3104"/>
      <c r="Z48" s="3104"/>
      <c r="AA48" s="3104"/>
      <c r="AB48" s="3104"/>
      <c r="AC48" s="3105"/>
      <c r="AD48" s="3103"/>
      <c r="AE48" s="3104"/>
      <c r="AF48" s="3104"/>
      <c r="AG48" s="3104"/>
      <c r="AH48" s="3104"/>
      <c r="AI48" s="3104"/>
      <c r="AJ48" s="3104"/>
      <c r="AK48" s="3104"/>
      <c r="AL48" s="3105"/>
      <c r="AM48" s="1354" t="s">
        <v>493</v>
      </c>
      <c r="AO48" s="607"/>
      <c r="AP48" s="607" t="str">
        <f>IF(T48="","",T48)</f>
        <v>Группа потребителей</v>
      </c>
      <c r="AQ48" s="607"/>
      <c r="AR48" s="607"/>
      <c r="AS48" s="1251">
        <v>23</v>
      </c>
    </row>
    <row customHeight="1" ht="24">
      <c r="A49" s="1459" t="s">
        <v>243</v>
      </c>
      <c r="B49" s="1459" t="s">
        <v>244</v>
      </c>
      <c r="C49" s="1459" t="s">
        <v>245</v>
      </c>
      <c r="D49" s="1459" t="s">
        <v>246</v>
      </c>
      <c r="E49" s="3116"/>
      <c r="F49" s="3116"/>
      <c r="G49" s="3116"/>
      <c r="H49" s="3116"/>
      <c r="I49" s="3118"/>
      <c r="J49" s="3118"/>
      <c r="K49" s="3117" t="str">
        <f>J48&amp;".1"</f>
        <v>....1.1.1</v>
      </c>
      <c r="L49" s="1460" t="s">
        <v>494</v>
      </c>
      <c r="P49" s="3119"/>
      <c r="Q49" s="3119"/>
      <c r="R49" s="464">
        <v>1</v>
      </c>
      <c r="S49" s="1320" t="str">
        <f>$K49</f>
        <v>....1.1.1</v>
      </c>
      <c r="T49" s="1443"/>
      <c r="U49" s="408"/>
      <c r="V49" s="858"/>
      <c r="W49" s="433"/>
      <c r="X49" s="858"/>
      <c r="Y49" s="1353"/>
      <c r="Z49" s="3120"/>
      <c r="AA49" s="2989" t="s">
        <v>62</v>
      </c>
      <c r="AB49" s="3120"/>
      <c r="AC49" s="2989" t="s">
        <v>62</v>
      </c>
      <c r="AD49" s="858"/>
      <c r="AE49" s="433"/>
      <c r="AF49" s="858"/>
      <c r="AG49" s="1353"/>
      <c r="AH49" s="3120"/>
      <c r="AI49" s="2989" t="s">
        <v>62</v>
      </c>
      <c r="AJ49" s="3122"/>
      <c r="AK49" s="2989" t="s">
        <v>62</v>
      </c>
      <c r="AL49" s="1444"/>
      <c r="AM49" s="3138" t="s">
        <v>495</v>
      </c>
      <c r="AN49" s="618">
        <f>STRCHECKDATE(V50:AL50)</f>
      </c>
      <c r="AO49" s="607"/>
      <c r="AP49" s="607" t="str">
        <f>IF(T49="","",T49)</f>
        <v/>
      </c>
      <c r="AQ49" s="607"/>
      <c r="AR49" s="607"/>
      <c r="AS49" s="1251">
        <v>23</v>
      </c>
    </row>
    <row customHeight="1" ht="1.05">
      <c r="A50" s="1459" t="s">
        <v>243</v>
      </c>
      <c r="B50" s="1459" t="s">
        <v>244</v>
      </c>
      <c r="C50" s="1459" t="s">
        <v>245</v>
      </c>
      <c r="D50" s="1459" t="s">
        <v>246</v>
      </c>
      <c r="E50" s="3116"/>
      <c r="F50" s="3116"/>
      <c r="G50" s="3116"/>
      <c r="H50" s="3116"/>
      <c r="I50" s="3118"/>
      <c r="J50" s="3118"/>
      <c r="K50" s="3117"/>
      <c r="L50" s="1460"/>
      <c r="P50" s="3119"/>
      <c r="Q50" s="3119"/>
      <c r="R50" s="464"/>
      <c r="S50" s="1319"/>
      <c r="T50" s="408"/>
      <c r="U50" s="408"/>
      <c r="V50" s="433"/>
      <c r="W50" s="433"/>
      <c r="X50" s="433"/>
      <c r="Y50" s="436" t="str">
        <f>Z49&amp;"-"&amp;AB49</f>
        <v>-</v>
      </c>
      <c r="Z50" s="3121"/>
      <c r="AA50" s="2989"/>
      <c r="AB50" s="3121"/>
      <c r="AC50" s="2989"/>
      <c r="AD50" s="433"/>
      <c r="AE50" s="433"/>
      <c r="AF50" s="433"/>
      <c r="AG50" s="436" t="str">
        <f>AH49&amp;"-"&amp;AJ49</f>
        <v>-</v>
      </c>
      <c r="AH50" s="3121"/>
      <c r="AI50" s="2989"/>
      <c r="AJ50" s="3123"/>
      <c r="AK50" s="2989"/>
      <c r="AL50" s="1445"/>
      <c r="AM50" s="3139"/>
      <c r="AO50" s="607"/>
      <c r="AP50" s="607" t="str">
        <f>IF(T50="","",T50)</f>
        <v/>
      </c>
      <c r="AQ50" s="607"/>
      <c r="AR50" s="607"/>
      <c r="AS50" s="1251">
        <v>1</v>
      </c>
    </row>
    <row customHeight="1" ht="11.549999999999999">
      <c r="A51" s="1459" t="s">
        <v>243</v>
      </c>
      <c r="B51" s="1459" t="s">
        <v>244</v>
      </c>
      <c r="C51" s="1459" t="s">
        <v>245</v>
      </c>
      <c r="D51" s="1459" t="s">
        <v>246</v>
      </c>
      <c r="E51" s="3116"/>
      <c r="F51" s="3116"/>
      <c r="G51" s="3116"/>
      <c r="H51" s="3116"/>
      <c r="I51" s="3118"/>
      <c r="J51" s="3117"/>
      <c r="K51" s="1459"/>
      <c r="L51" s="1460"/>
      <c r="P51" s="3119"/>
      <c r="Q51" s="3119"/>
      <c r="R51" s="463"/>
      <c r="S51" s="1374"/>
      <c r="T51" s="396" t="s">
        <v>496</v>
      </c>
      <c r="U51" s="474"/>
      <c r="V51" s="474"/>
      <c r="W51" s="474"/>
      <c r="X51" s="474"/>
      <c r="Y51" s="474"/>
      <c r="Z51" s="474"/>
      <c r="AA51" s="474"/>
      <c r="AB51" s="474"/>
      <c r="AC51" s="474"/>
      <c r="AD51" s="474"/>
      <c r="AE51" s="474"/>
      <c r="AF51" s="474"/>
      <c r="AG51" s="474"/>
      <c r="AH51" s="474"/>
      <c r="AI51" s="474"/>
      <c r="AJ51" s="474"/>
      <c r="AK51" s="474"/>
      <c r="AL51" s="432"/>
      <c r="AM51" s="3140"/>
      <c r="AO51" s="607"/>
      <c r="AP51" s="607" t="str">
        <f>IF(T51="","",T51)</f>
        <v>Добавить вид теплоносителя (параметры теплоносителя)</v>
      </c>
      <c r="AQ51" s="607"/>
      <c r="AR51" s="607"/>
      <c r="AS51" s="1251">
        <v>11</v>
      </c>
    </row>
    <row customHeight="1" ht="11.549999999999999">
      <c r="A52" s="1459" t="s">
        <v>243</v>
      </c>
      <c r="B52" s="1459" t="s">
        <v>244</v>
      </c>
      <c r="C52" s="1459" t="s">
        <v>245</v>
      </c>
      <c r="D52" s="1459" t="s">
        <v>246</v>
      </c>
      <c r="E52" s="3116"/>
      <c r="F52" s="3116"/>
      <c r="G52" s="3116"/>
      <c r="H52" s="3116"/>
      <c r="I52" s="3117"/>
      <c r="J52" s="1459"/>
      <c r="K52" s="1459"/>
      <c r="L52" s="1460"/>
      <c r="P52" s="3119"/>
      <c r="Q52" s="1316"/>
      <c r="R52" s="463"/>
      <c r="S52" s="1374"/>
      <c r="T52" s="395" t="s">
        <v>497</v>
      </c>
      <c r="U52" s="474"/>
      <c r="V52" s="474"/>
      <c r="W52" s="474"/>
      <c r="X52" s="474"/>
      <c r="Y52" s="474"/>
      <c r="Z52" s="474"/>
      <c r="AA52" s="474"/>
      <c r="AB52" s="474"/>
      <c r="AC52" s="473"/>
      <c r="AD52" s="474"/>
      <c r="AE52" s="474"/>
      <c r="AF52" s="474"/>
      <c r="AG52" s="474"/>
      <c r="AH52" s="474"/>
      <c r="AI52" s="474"/>
      <c r="AJ52" s="474"/>
      <c r="AK52" s="473"/>
      <c r="AL52" s="474"/>
      <c r="AM52" s="411"/>
      <c r="AO52" s="607"/>
      <c r="AP52" s="607" t="str">
        <f>IF(T52="","",T52)</f>
        <v>Добавить группу потребителей</v>
      </c>
      <c r="AQ52" s="607"/>
      <c r="AR52" s="607"/>
      <c r="AS52" s="1251">
        <v>11</v>
      </c>
    </row>
    <row customHeight="1" ht="14.699999999999998">
      <c r="A53" s="1459" t="s">
        <v>243</v>
      </c>
      <c r="B53" s="1459" t="s">
        <v>244</v>
      </c>
      <c r="C53" s="1459" t="s">
        <v>245</v>
      </c>
      <c r="D53" s="1459" t="s">
        <v>246</v>
      </c>
      <c r="E53" s="3116"/>
      <c r="F53" s="3116"/>
      <c r="G53" s="3116"/>
      <c r="H53" s="3115"/>
      <c r="I53" s="1459"/>
      <c r="J53" s="1459"/>
      <c r="K53" s="1459"/>
      <c r="L53" s="1460"/>
      <c r="M53" s="1461"/>
      <c r="N53" s="1461"/>
      <c r="O53" s="644"/>
      <c r="P53" s="467"/>
      <c r="Q53" s="482"/>
      <c r="R53" s="462"/>
      <c r="S53" s="1374"/>
      <c r="T53" s="472" t="s">
        <v>498</v>
      </c>
      <c r="U53" s="474"/>
      <c r="V53" s="474"/>
      <c r="W53" s="474"/>
      <c r="X53" s="474"/>
      <c r="Y53" s="474"/>
      <c r="Z53" s="474"/>
      <c r="AA53" s="474"/>
      <c r="AB53" s="474"/>
      <c r="AC53" s="473"/>
      <c r="AD53" s="474"/>
      <c r="AE53" s="474"/>
      <c r="AF53" s="474"/>
      <c r="AG53" s="474"/>
      <c r="AH53" s="474"/>
      <c r="AI53" s="474"/>
      <c r="AJ53" s="474"/>
      <c r="AK53" s="473"/>
      <c r="AL53" s="474"/>
      <c r="AM53" s="411"/>
      <c r="AO53" s="607"/>
      <c r="AP53" s="607" t="str">
        <f>IF(T53="","",T53)</f>
        <v>Добавить схему подключения</v>
      </c>
      <c r="AQ53" s="607"/>
      <c r="AR53" s="607"/>
      <c r="AS53" s="1251">
        <v>14</v>
      </c>
    </row>
    <row s="10307" customFormat="1" customHeight="1" ht="1.05">
      <c r="A54" s="1439" t="s">
        <v>243</v>
      </c>
      <c r="B54" s="1439" t="s">
        <v>244</v>
      </c>
      <c r="C54" s="1439" t="s">
        <v>245</v>
      </c>
      <c r="D54" s="1410"/>
      <c r="E54" s="3116"/>
      <c r="F54" s="3116"/>
      <c r="G54" s="3115"/>
      <c r="H54" s="1410"/>
      <c r="I54" s="1410"/>
      <c r="J54" s="1410"/>
      <c r="K54" s="1410"/>
      <c r="L54" s="1435"/>
      <c r="M54" s="1411"/>
      <c r="N54" s="1411"/>
      <c r="P54" s="1412"/>
      <c r="Q54" s="1413"/>
      <c r="R54" s="1412"/>
      <c r="S54" s="1418"/>
      <c r="T54" s="1421" t="s">
        <v>499</v>
      </c>
      <c r="U54" s="1420"/>
      <c r="V54" s="1420"/>
      <c r="W54" s="1420"/>
      <c r="X54" s="1420"/>
      <c r="Y54" s="1420"/>
      <c r="Z54" s="1420"/>
      <c r="AA54" s="1420"/>
      <c r="AB54" s="1420"/>
      <c r="AC54" s="1420"/>
      <c r="AD54" s="1420"/>
      <c r="AE54" s="1420"/>
      <c r="AF54" s="1420"/>
      <c r="AG54" s="1420"/>
      <c r="AH54" s="1420"/>
      <c r="AI54" s="1420"/>
      <c r="AJ54" s="1420"/>
      <c r="AK54" s="1420"/>
      <c r="AL54" s="1420"/>
      <c r="AM54" s="1420"/>
      <c r="AO54" s="890"/>
      <c r="AP54" s="890" t="str">
        <f>IF(T54="","",T54)</f>
        <v>Добавить источник для дифференциации</v>
      </c>
      <c r="AQ54" s="890"/>
      <c r="AR54" s="890"/>
      <c r="AS54" s="625">
        <v>1</v>
      </c>
    </row>
    <row s="10307" customFormat="1" customHeight="1" ht="1.05">
      <c r="A55" s="1439" t="s">
        <v>243</v>
      </c>
      <c r="B55" s="1439" t="s">
        <v>244</v>
      </c>
      <c r="C55" s="1410"/>
      <c r="D55" s="1410"/>
      <c r="E55" s="3116"/>
      <c r="F55" s="3115"/>
      <c r="G55" s="1410"/>
      <c r="H55" s="1410"/>
      <c r="I55" s="1410"/>
      <c r="J55" s="1410"/>
      <c r="K55" s="1410"/>
      <c r="L55" s="1435"/>
      <c r="M55" s="1417"/>
      <c r="N55" s="1417"/>
      <c r="P55" s="1412"/>
      <c r="Q55" s="1413"/>
      <c r="R55" s="1412"/>
      <c r="S55" s="1418"/>
      <c r="T55" s="1421" t="s">
        <v>500</v>
      </c>
      <c r="U55" s="1420"/>
      <c r="V55" s="1420"/>
      <c r="W55" s="1420"/>
      <c r="X55" s="1420"/>
      <c r="Y55" s="1420"/>
      <c r="Z55" s="1420"/>
      <c r="AA55" s="1420"/>
      <c r="AB55" s="1420"/>
      <c r="AC55" s="1420"/>
      <c r="AD55" s="1420"/>
      <c r="AE55" s="1420"/>
      <c r="AF55" s="1420"/>
      <c r="AG55" s="1420"/>
      <c r="AH55" s="1420"/>
      <c r="AI55" s="1420"/>
      <c r="AJ55" s="1420"/>
      <c r="AK55" s="1420"/>
      <c r="AL55" s="1420"/>
      <c r="AM55" s="1420"/>
      <c r="AO55" s="890"/>
      <c r="AP55" s="890" t="str">
        <f>IF(T55="","",T55)</f>
        <v>Добавить централизованную систему для дифференциации</v>
      </c>
      <c r="AQ55" s="890"/>
      <c r="AR55" s="890"/>
      <c r="AS55" s="625">
        <v>1</v>
      </c>
    </row>
    <row s="10307" customFormat="1" customHeight="1" ht="1.05">
      <c r="A56" s="1439" t="s">
        <v>243</v>
      </c>
      <c r="B56" s="1439"/>
      <c r="C56" s="1439"/>
      <c r="D56" s="1439"/>
      <c r="E56" s="3115"/>
      <c r="F56" s="1439"/>
      <c r="G56" s="1439"/>
      <c r="H56" s="1439"/>
      <c r="I56" s="1439"/>
      <c r="J56" s="1439"/>
      <c r="K56" s="1439"/>
      <c r="L56" s="1442"/>
      <c r="M56" s="1417"/>
      <c r="N56" s="1417"/>
      <c r="O56" s="625"/>
      <c r="P56" s="487"/>
      <c r="Q56" s="1440"/>
      <c r="R56" s="487"/>
      <c r="S56" s="1418"/>
      <c r="T56" s="1421" t="s">
        <v>501</v>
      </c>
      <c r="U56" s="1420"/>
      <c r="V56" s="1420"/>
      <c r="W56" s="1420"/>
      <c r="X56" s="1420"/>
      <c r="Y56" s="1420"/>
      <c r="Z56" s="1420"/>
      <c r="AA56" s="1420"/>
      <c r="AB56" s="1420"/>
      <c r="AC56" s="1420"/>
      <c r="AD56" s="1420"/>
      <c r="AE56" s="1420"/>
      <c r="AF56" s="1420"/>
      <c r="AG56" s="1420"/>
      <c r="AH56" s="1420"/>
      <c r="AI56" s="1420"/>
      <c r="AJ56" s="1420"/>
      <c r="AK56" s="1420"/>
      <c r="AL56" s="1420"/>
      <c r="AM56" s="1420"/>
      <c r="AO56" s="607"/>
      <c r="AP56" s="607" t="str">
        <f>IF(T56="","",T56)</f>
        <v>Добавить территорию для дифференциации</v>
      </c>
      <c r="AQ56" s="607"/>
      <c r="AR56" s="607"/>
      <c r="AS56" s="618">
        <v>1</v>
      </c>
    </row>
    <row s="10307" customFormat="1" customHeight="1" ht="1.05">
      <c r="A57" s="1410"/>
      <c r="B57" s="1410"/>
      <c r="C57" s="1410"/>
      <c r="D57" s="1410"/>
      <c r="E57" s="1439"/>
      <c r="F57" s="1410"/>
      <c r="G57" s="1410"/>
      <c r="H57" s="1410"/>
      <c r="I57" s="1410"/>
      <c r="J57" s="1410"/>
      <c r="K57" s="1410"/>
      <c r="L57" s="1435"/>
      <c r="M57" s="1417"/>
      <c r="N57" s="1417"/>
      <c r="P57" s="1412"/>
      <c r="Q57" s="1413"/>
      <c r="R57" s="1412"/>
      <c r="S57" s="1418"/>
      <c r="T57" s="1421" t="s">
        <v>533</v>
      </c>
      <c r="U57" s="1420"/>
      <c r="V57" s="1420"/>
      <c r="W57" s="1420"/>
      <c r="X57" s="1420"/>
      <c r="Y57" s="1420"/>
      <c r="Z57" s="1420"/>
      <c r="AA57" s="1420"/>
      <c r="AB57" s="1420"/>
      <c r="AC57" s="1420"/>
      <c r="AD57" s="1420"/>
      <c r="AE57" s="1420"/>
      <c r="AF57" s="1420"/>
      <c r="AG57" s="1420"/>
      <c r="AH57" s="1420"/>
      <c r="AI57" s="1420"/>
      <c r="AJ57" s="1420"/>
      <c r="AK57" s="1420"/>
      <c r="AL57" s="1420"/>
      <c r="AM57" s="1420"/>
      <c r="AO57" s="890"/>
      <c r="AP57" s="890" t="str">
        <f>IF(T57="","",T57)</f>
        <v>Добавить наименование тарифа</v>
      </c>
      <c r="AQ57" s="890"/>
      <c r="AR57" s="890"/>
      <c r="AS57" s="625">
        <v>1</v>
      </c>
    </row>
    <row customHeight="1" ht="11.549999999999999">
      <c r="M58" s="1256"/>
      <c r="N58" s="1256"/>
      <c r="O58" s="644"/>
      <c r="P58" s="1251"/>
      <c r="Q58" s="1251"/>
      <c r="R58" s="1251"/>
      <c r="S58" s="1251"/>
      <c r="AN58" s="1251"/>
      <c r="AO58" s="1251"/>
      <c r="AP58" s="1251"/>
      <c r="AQ58" s="1251"/>
      <c r="AR58" s="1251"/>
      <c r="AS58" s="1251">
        <v>11</v>
      </c>
    </row>
    <row customHeight="1" ht="28.5">
      <c r="O59" s="644"/>
      <c r="S59" s="1349"/>
      <c r="T59" s="3114"/>
      <c r="U59" s="3114"/>
      <c r="V59" s="3114"/>
      <c r="W59" s="3114"/>
      <c r="X59" s="3114"/>
      <c r="Y59" s="3114"/>
      <c r="Z59" s="3114"/>
      <c r="AA59" s="3114"/>
      <c r="AB59" s="3114"/>
      <c r="AC59" s="3114"/>
      <c r="AD59" s="3114"/>
      <c r="AE59" s="3114"/>
      <c r="AF59" s="3114"/>
      <c r="AG59" s="3114"/>
      <c r="AH59" s="3114"/>
      <c r="AI59" s="3114"/>
      <c r="AJ59" s="3114"/>
      <c r="AK59" s="3114"/>
      <c r="AL59" s="3114"/>
      <c r="AM59" s="3114"/>
      <c r="AS59" s="1251">
        <v>27</v>
      </c>
    </row>
    <row customHeight="1" ht="67.2">
      <c r="O60" s="644"/>
      <c r="P60" s="1399"/>
      <c r="T60" s="3114"/>
      <c r="U60" s="3114"/>
      <c r="V60" s="3114"/>
      <c r="W60" s="3114"/>
      <c r="X60" s="3114"/>
      <c r="Y60" s="3114"/>
      <c r="Z60" s="3114"/>
      <c r="AA60" s="3114"/>
      <c r="AB60" s="3114"/>
      <c r="AC60" s="3114"/>
      <c r="AD60" s="3114"/>
      <c r="AE60" s="3114"/>
      <c r="AF60" s="3114"/>
      <c r="AG60" s="3114"/>
      <c r="AH60" s="3114"/>
      <c r="AI60" s="3114"/>
      <c r="AJ60" s="3114"/>
      <c r="AK60" s="3114"/>
      <c r="AL60" s="3114"/>
      <c r="AM60" s="3114"/>
      <c r="AS60" s="1251">
        <v>64</v>
      </c>
    </row>
    <row customHeight="1" ht="14.699999999999998">
      <c r="O61" s="644"/>
      <c r="AS61" s="1251">
        <v>14</v>
      </c>
    </row>
    <row customHeight="1" ht="18.75">
      <c r="O62" s="644"/>
      <c r="P62" s="1424"/>
      <c r="S62" s="1349"/>
      <c r="T62" s="3114"/>
      <c r="U62" s="3114"/>
      <c r="V62" s="3114"/>
      <c r="W62" s="3114"/>
      <c r="X62" s="3114"/>
      <c r="Y62" s="3114"/>
      <c r="Z62" s="3114"/>
      <c r="AA62" s="3114"/>
      <c r="AB62" s="3114"/>
      <c r="AC62" s="3114"/>
      <c r="AD62" s="3114"/>
      <c r="AE62" s="3114"/>
      <c r="AF62" s="3114"/>
      <c r="AG62" s="3114"/>
      <c r="AH62" s="3114"/>
      <c r="AI62" s="3114"/>
      <c r="AJ62" s="3114"/>
      <c r="AK62" s="3114"/>
      <c r="AL62" s="3114"/>
      <c r="AM62" s="3114"/>
      <c r="AS62" s="1251">
        <v>18</v>
      </c>
    </row>
    <row customHeight="1" ht="18.75">
      <c r="O63" s="644"/>
      <c r="P63" s="1424"/>
      <c r="T63" s="3114"/>
      <c r="U63" s="3114"/>
      <c r="V63" s="3114"/>
      <c r="W63" s="3114"/>
      <c r="X63" s="3114"/>
      <c r="Y63" s="3114"/>
      <c r="Z63" s="3114"/>
      <c r="AA63" s="3114"/>
      <c r="AB63" s="3114"/>
      <c r="AC63" s="3114"/>
      <c r="AD63" s="3114"/>
      <c r="AE63" s="3114"/>
      <c r="AF63" s="3114"/>
      <c r="AG63" s="3114"/>
      <c r="AH63" s="3114"/>
      <c r="AI63" s="3114"/>
      <c r="AJ63" s="3114"/>
      <c r="AK63" s="3114"/>
      <c r="AL63" s="3114"/>
      <c r="AM63" s="3114"/>
      <c r="AS63" s="1251">
        <v>18</v>
      </c>
    </row>
    <row customHeight="1" ht="29.25">
      <c r="O64" s="644"/>
      <c r="P64" s="1424"/>
      <c r="S64" s="1349"/>
      <c r="T64" s="3114"/>
      <c r="U64" s="3114"/>
      <c r="V64" s="3114"/>
      <c r="W64" s="3114"/>
      <c r="X64" s="3114"/>
      <c r="Y64" s="3114"/>
      <c r="Z64" s="3114"/>
      <c r="AA64" s="3114"/>
      <c r="AB64" s="3114"/>
      <c r="AC64" s="3114"/>
      <c r="AD64" s="3114"/>
      <c r="AE64" s="3114"/>
      <c r="AF64" s="3114"/>
      <c r="AG64" s="3114"/>
      <c r="AH64" s="3114"/>
      <c r="AI64" s="3114"/>
      <c r="AJ64" s="3114"/>
      <c r="AK64" s="3114"/>
      <c r="AL64" s="3114"/>
      <c r="AM64" s="3114"/>
      <c r="AS64" s="1251">
        <v>28</v>
      </c>
    </row>
    <row customHeight="1" ht="22.5" hidden="1">
      <c r="A65" s="1256" t="s">
        <v>82</v>
      </c>
      <c r="B65" s="1256">
        <v>0</v>
      </c>
      <c r="C65" s="1256">
        <v>0</v>
      </c>
      <c r="D65" s="1256">
        <v>0</v>
      </c>
      <c r="E65" s="1256">
        <v>0</v>
      </c>
      <c r="F65" s="1256">
        <v>0</v>
      </c>
      <c r="G65" s="1256">
        <v>0</v>
      </c>
      <c r="H65" s="1256">
        <v>0</v>
      </c>
      <c r="I65" s="1256">
        <v>0</v>
      </c>
      <c r="J65" s="1256">
        <v>0</v>
      </c>
      <c r="K65" s="1256">
        <v>0</v>
      </c>
      <c r="L65" s="1425">
        <v>0</v>
      </c>
      <c r="M65" s="1458">
        <v>0</v>
      </c>
      <c r="N65" s="1458">
        <v>0</v>
      </c>
      <c r="O65" s="1458">
        <v>0</v>
      </c>
      <c r="P65" s="1314">
        <v>3</v>
      </c>
      <c r="Q65" s="452">
        <v>3</v>
      </c>
      <c r="R65" s="452">
        <v>3</v>
      </c>
      <c r="S65" s="688">
        <v>12</v>
      </c>
      <c r="T65" s="1251">
        <v>35</v>
      </c>
      <c r="U65" s="1251">
        <v>0</v>
      </c>
      <c r="V65" s="1251">
        <v>0</v>
      </c>
      <c r="W65" s="1251">
        <v>0</v>
      </c>
      <c r="X65" s="1251">
        <v>0</v>
      </c>
      <c r="Y65" s="1251">
        <v>0</v>
      </c>
      <c r="Z65" s="1251">
        <v>0</v>
      </c>
      <c r="AA65" s="1251">
        <v>0</v>
      </c>
      <c r="AB65" s="1251">
        <v>0</v>
      </c>
      <c r="AC65" s="1251">
        <v>0</v>
      </c>
      <c r="AD65" s="1251">
        <v>24</v>
      </c>
      <c r="AE65" s="1251">
        <v>0</v>
      </c>
      <c r="AF65" s="1251">
        <v>24</v>
      </c>
      <c r="AG65" s="1251">
        <v>24</v>
      </c>
      <c r="AH65" s="1251">
        <v>11</v>
      </c>
      <c r="AI65" s="1251">
        <v>3</v>
      </c>
      <c r="AJ65" s="1251">
        <v>11</v>
      </c>
      <c r="AK65" s="1251">
        <v>0</v>
      </c>
      <c r="AL65" s="1251">
        <v>4</v>
      </c>
      <c r="AM65" s="1251">
        <v>115</v>
      </c>
      <c r="AN65" s="618">
        <v>10</v>
      </c>
      <c r="AO65" s="618">
        <v>10</v>
      </c>
      <c r="AP65" s="618">
        <v>10</v>
      </c>
      <c r="AQ65" s="618">
        <v>10</v>
      </c>
      <c r="AR65" s="618">
        <v>10</v>
      </c>
      <c r="AS65" s="1251">
        <v>23</v>
      </c>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7135A-7179-20A9-00C9-C7764E11D02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2.00390625" hidden="1" customWidth="1"/>
    <col min="10" max="10" style="10306" width="9.8515625" hidden="1" customWidth="1"/>
    <col min="11" max="11" style="10306" width="11.421875" hidden="1" customWidth="1"/>
    <col min="12" max="12" style="11079" width="19.140625" hidden="1" customWidth="1"/>
    <col min="13" max="14" style="11080" width="12.28125" hidden="1" customWidth="1"/>
    <col min="15" max="15" style="11080" width="23.421875" hidden="1" customWidth="1"/>
    <col min="16" max="16" style="11081" width="3.00390625" customWidth="1"/>
    <col min="17" max="18" style="11082" width="3.00390625" customWidth="1"/>
    <col min="19" max="19" style="11083" width="12.00390625" customWidth="1"/>
    <col min="20" max="20" style="10232" width="31.00390625" customWidth="1"/>
    <col min="21" max="21" style="10232" width="0.140625" customWidth="1"/>
    <col min="22" max="22" style="10232" width="24.7109375" hidden="1" customWidth="1"/>
    <col min="23" max="23" style="10232" width="0.140625" hidden="1" customWidth="1"/>
    <col min="24" max="25" style="10232" width="24.7109375" hidden="1" customWidth="1"/>
    <col min="26" max="26" style="10232" width="11.7109375" hidden="1" customWidth="1"/>
    <col min="27" max="27" style="10232" width="3.7109375" hidden="1" customWidth="1"/>
    <col min="28" max="28" style="10232" width="11.7109375" hidden="1" customWidth="1"/>
    <col min="29" max="29" style="10232" width="8.57421875" hidden="1" customWidth="1"/>
    <col min="30" max="30" style="10232" width="24.7109375" customWidth="1"/>
    <col min="31" max="31" style="10232" width="0.140625" customWidth="1"/>
    <col min="32" max="33" style="10232" width="24.00390625" customWidth="1"/>
    <col min="34" max="34" style="10232" width="11.00390625" customWidth="1"/>
    <col min="35" max="35" style="10232" width="3.7109375" customWidth="1"/>
    <col min="36" max="36" style="10232" width="11.00390625" customWidth="1"/>
    <col min="37" max="37" style="10232" width="8.57421875" hidden="1" customWidth="1"/>
    <col min="38" max="38" style="10232" width="4.00390625" customWidth="1"/>
    <col min="39" max="39" style="10232" width="115.00390625" customWidth="1"/>
    <col min="40" max="44" style="10307" width="10.00390625" customWidth="1"/>
    <col min="45" max="45" style="10232" width="10.57421875" hidden="1"/>
  </cols>
  <sheetData>
    <row customHeight="1" ht="22.5" hidden="1">
      <c r="Y1" s="435"/>
      <c r="Z1" s="435"/>
      <c r="AG1" s="435"/>
      <c r="AH1" s="435"/>
      <c r="AS1" s="1251" t="s">
        <v>14</v>
      </c>
    </row>
    <row customHeight="1" ht="21" hidden="1">
      <c r="A2" s="1459"/>
      <c r="B2" s="1459"/>
      <c r="C2" s="1459"/>
      <c r="D2" s="1459"/>
      <c r="E2" s="3115">
        <v>1</v>
      </c>
      <c r="F2" s="1459"/>
      <c r="G2" s="1459"/>
      <c r="H2" s="1459"/>
      <c r="I2" s="1459"/>
      <c r="J2" s="1459"/>
      <c r="K2" s="1459"/>
      <c r="L2" s="1460"/>
      <c r="M2" s="1461"/>
      <c r="N2" s="1461"/>
      <c r="O2" s="1461"/>
      <c r="P2" s="468"/>
      <c r="Q2" s="467"/>
      <c r="R2" s="462"/>
      <c r="S2" s="1432">
        <f>INDEX(PT_DIFFERENTIATION_NUM_NTAR,MATCH(A2,PT_DIFFERENTIATION_NTAR_ID,0))</f>
      </c>
      <c r="T2" s="406" t="s">
        <v>210</v>
      </c>
      <c r="U2" s="408"/>
      <c r="V2" s="3109"/>
      <c r="W2" s="3110"/>
      <c r="X2" s="3110"/>
      <c r="Y2" s="3110"/>
      <c r="Z2" s="3110"/>
      <c r="AA2" s="3110"/>
      <c r="AB2" s="3110"/>
      <c r="AC2" s="3111"/>
      <c r="AD2" s="3109">
        <f>INDEX(PT_DIFFERENTIATION_NTAR,MATCH(A2,PT_DIFFERENTIATION_NTAR_ID,0))</f>
      </c>
      <c r="AE2" s="3110"/>
      <c r="AF2" s="3110"/>
      <c r="AG2" s="3110"/>
      <c r="AH2" s="3110"/>
      <c r="AI2" s="3110"/>
      <c r="AJ2" s="3110"/>
      <c r="AK2" s="3110"/>
      <c r="AL2" s="3111"/>
      <c r="AM2" s="1354" t="s">
        <v>481</v>
      </c>
      <c r="AO2" s="607"/>
      <c r="AP2" s="607" t="str">
        <f>IF(T2="","",T2)</f>
        <v>Наименование тарифа</v>
      </c>
      <c r="AQ2" s="607"/>
      <c r="AR2" s="607"/>
      <c r="AS2" s="1251">
        <v>0</v>
      </c>
    </row>
    <row customHeight="1" ht="21" hidden="1">
      <c r="A3" s="1459"/>
      <c r="B3" s="1459"/>
      <c r="C3" s="1459"/>
      <c r="D3" s="1459"/>
      <c r="E3" s="3116"/>
      <c r="F3" s="3115">
        <v>1</v>
      </c>
      <c r="G3" s="1459"/>
      <c r="H3" s="1459"/>
      <c r="I3" s="1459"/>
      <c r="J3" s="1459"/>
      <c r="K3" s="1459"/>
      <c r="L3" s="1460"/>
      <c r="M3" s="1461"/>
      <c r="N3" s="1461"/>
      <c r="O3" s="1461"/>
      <c r="P3" s="1428"/>
      <c r="Q3" s="459"/>
      <c r="R3" s="460"/>
      <c r="S3" s="1432">
        <f>INDEX(PT_DIFFERENTIATION_NUM_TER,MATCH(B3,PT_DIFFERENTIATION_TER_ID,0))</f>
      </c>
      <c r="T3" s="416" t="s">
        <v>482</v>
      </c>
      <c r="U3" s="408"/>
      <c r="V3" s="3109"/>
      <c r="W3" s="3110"/>
      <c r="X3" s="3110"/>
      <c r="Y3" s="3110"/>
      <c r="Z3" s="3110"/>
      <c r="AA3" s="3110"/>
      <c r="AB3" s="3110"/>
      <c r="AC3" s="3111"/>
      <c r="AD3" s="3109">
        <f>INDEX(PT_DIFFERENTIATION_TER,MATCH(B3,PT_DIFFERENTIATION_TER_ID,0))</f>
      </c>
      <c r="AE3" s="3110"/>
      <c r="AF3" s="3110"/>
      <c r="AG3" s="3110"/>
      <c r="AH3" s="3110"/>
      <c r="AI3" s="3110"/>
      <c r="AJ3" s="3110"/>
      <c r="AK3" s="3110"/>
      <c r="AL3" s="3111"/>
      <c r="AM3" s="1354" t="s">
        <v>483</v>
      </c>
      <c r="AO3" s="607"/>
      <c r="AP3" s="607" t="str">
        <f>IF(T3="","",T3)</f>
        <v>Территория действия тарифа</v>
      </c>
      <c r="AQ3" s="607"/>
      <c r="AR3" s="607"/>
      <c r="AS3" s="1251">
        <v>0</v>
      </c>
    </row>
    <row customHeight="1" ht="23.25" hidden="1">
      <c r="A4" s="1459"/>
      <c r="B4" s="1459"/>
      <c r="C4" s="1459"/>
      <c r="D4" s="1459"/>
      <c r="E4" s="3116"/>
      <c r="F4" s="3116"/>
      <c r="G4" s="3115">
        <v>1</v>
      </c>
      <c r="H4" s="1459"/>
      <c r="I4" s="1459"/>
      <c r="J4" s="1459"/>
      <c r="K4" s="1459"/>
      <c r="L4" s="1460"/>
      <c r="M4" s="1461"/>
      <c r="N4" s="1461"/>
      <c r="O4" s="1461"/>
      <c r="P4" s="461"/>
      <c r="Q4" s="459"/>
      <c r="R4" s="460"/>
      <c r="S4" s="1432">
        <f>INDEX(PT_DIFFERENTIATION_NUM_CS,MATCH(C4,PT_DIFFERENTIATION_CS_ID,0))</f>
      </c>
      <c r="T4" s="417" t="s">
        <v>484</v>
      </c>
      <c r="U4" s="408"/>
      <c r="V4" s="3109"/>
      <c r="W4" s="3110"/>
      <c r="X4" s="3110"/>
      <c r="Y4" s="3110"/>
      <c r="Z4" s="3110"/>
      <c r="AA4" s="3110"/>
      <c r="AB4" s="3110"/>
      <c r="AC4" s="3111"/>
      <c r="AD4" s="3109">
        <f>INDEX(PT_DIFFERENTIATION_CS,MATCH(C4,PT_DIFFERENTIATION_CS_ID,0))</f>
      </c>
      <c r="AE4" s="3110"/>
      <c r="AF4" s="3110"/>
      <c r="AG4" s="3110"/>
      <c r="AH4" s="3110"/>
      <c r="AI4" s="3110"/>
      <c r="AJ4" s="3110"/>
      <c r="AK4" s="3110"/>
      <c r="AL4" s="3111"/>
      <c r="AM4" s="1354" t="s">
        <v>485</v>
      </c>
      <c r="AO4" s="607"/>
      <c r="AP4" s="607" t="str">
        <f>IF(T4="","",T4)</f>
        <v>Наименование системы теплоснабжения </v>
      </c>
      <c r="AQ4" s="607"/>
      <c r="AR4" s="607"/>
      <c r="AS4" s="1251">
        <v>0</v>
      </c>
    </row>
    <row customHeight="1" ht="21" hidden="1">
      <c r="A5" s="1459"/>
      <c r="B5" s="1459"/>
      <c r="C5" s="1459"/>
      <c r="D5" s="1459"/>
      <c r="E5" s="3116"/>
      <c r="F5" s="3116"/>
      <c r="G5" s="3116"/>
      <c r="H5" s="3115">
        <v>1</v>
      </c>
      <c r="I5" s="1459"/>
      <c r="J5" s="1459"/>
      <c r="K5" s="1459"/>
      <c r="L5" s="1460"/>
      <c r="M5" s="1461"/>
      <c r="N5" s="1461"/>
      <c r="O5" s="1461"/>
      <c r="P5" s="461"/>
      <c r="Q5" s="459"/>
      <c r="R5" s="460"/>
      <c r="S5" s="1432">
        <f>INDEX(PT_DIFFERENTIATION_NUM_IST_TE,MATCH(D5,PT_DIFFERENTIATION_IST_TE_ID,0))</f>
      </c>
      <c r="T5" s="418" t="s">
        <v>486</v>
      </c>
      <c r="U5" s="408"/>
      <c r="V5" s="3109"/>
      <c r="W5" s="3110"/>
      <c r="X5" s="3110"/>
      <c r="Y5" s="3110"/>
      <c r="Z5" s="3110"/>
      <c r="AA5" s="3110"/>
      <c r="AB5" s="3110"/>
      <c r="AC5" s="3111"/>
      <c r="AD5" s="3109">
        <f>INDEX(PT_DIFFERENTIATION_IST_TE,MATCH(D5,PT_DIFFERENTIATION_IST_TE_ID,0))</f>
      </c>
      <c r="AE5" s="3110"/>
      <c r="AF5" s="3110"/>
      <c r="AG5" s="3110"/>
      <c r="AH5" s="3110"/>
      <c r="AI5" s="3110"/>
      <c r="AJ5" s="3110"/>
      <c r="AK5" s="3110"/>
      <c r="AL5" s="3111"/>
      <c r="AM5" s="1354" t="s">
        <v>487</v>
      </c>
      <c r="AO5" s="607"/>
      <c r="AP5" s="607" t="str">
        <f>IF(T5="","",T5)</f>
        <v>Источник тепловой энергии  </v>
      </c>
      <c r="AQ5" s="607"/>
      <c r="AR5" s="607"/>
      <c r="AS5" s="1251">
        <v>0</v>
      </c>
    </row>
    <row customHeight="1" ht="47.25" hidden="1">
      <c r="A6" s="1459"/>
      <c r="B6" s="1459"/>
      <c r="C6" s="1459"/>
      <c r="D6" s="1459"/>
      <c r="E6" s="3116"/>
      <c r="F6" s="3116"/>
      <c r="G6" s="3116"/>
      <c r="H6" s="3116"/>
      <c r="I6" s="3117">
        <f>S5&amp;".1"</f>
      </c>
      <c r="J6" s="1459"/>
      <c r="K6" s="1459"/>
      <c r="L6" s="1460" t="s">
        <v>488</v>
      </c>
      <c r="M6" s="644"/>
      <c r="P6" s="3119">
        <v>1</v>
      </c>
      <c r="Q6" s="1427"/>
      <c r="R6" s="463"/>
      <c r="S6" s="1432">
        <f>$I6</f>
      </c>
      <c r="T6" s="393" t="s">
        <v>489</v>
      </c>
      <c r="U6" s="408"/>
      <c r="V6" s="3103"/>
      <c r="W6" s="3104"/>
      <c r="X6" s="3104"/>
      <c r="Y6" s="3104"/>
      <c r="Z6" s="3104"/>
      <c r="AA6" s="3104"/>
      <c r="AB6" s="3104"/>
      <c r="AC6" s="3105"/>
      <c r="AD6" s="3103"/>
      <c r="AE6" s="3104"/>
      <c r="AF6" s="3104"/>
      <c r="AG6" s="3104"/>
      <c r="AH6" s="3104"/>
      <c r="AI6" s="3104"/>
      <c r="AJ6" s="3104"/>
      <c r="AK6" s="3104"/>
      <c r="AL6" s="3105"/>
      <c r="AM6" s="1354" t="s">
        <v>490</v>
      </c>
      <c r="AO6" s="607"/>
      <c r="AP6" s="607" t="str">
        <f>IF(T6="","",T6)</f>
        <v>Схема подключения теплопотребляющей установки к коллектору источника тепловой энергии</v>
      </c>
      <c r="AQ6" s="607"/>
      <c r="AR6" s="607"/>
      <c r="AS6" s="1251">
        <v>0</v>
      </c>
    </row>
    <row customHeight="1" ht="21" hidden="1">
      <c r="A7" s="1459"/>
      <c r="B7" s="1459"/>
      <c r="C7" s="1459"/>
      <c r="D7" s="1459"/>
      <c r="E7" s="3116"/>
      <c r="F7" s="3116"/>
      <c r="G7" s="3116"/>
      <c r="H7" s="3116"/>
      <c r="I7" s="3118"/>
      <c r="J7" s="3117">
        <f>I6&amp;".1"</f>
      </c>
      <c r="K7" s="1459"/>
      <c r="L7" s="1460" t="s">
        <v>491</v>
      </c>
      <c r="M7" s="644"/>
      <c r="N7" s="1462"/>
      <c r="P7" s="3119"/>
      <c r="Q7" s="3119">
        <v>1</v>
      </c>
      <c r="R7" s="464"/>
      <c r="S7" s="1432">
        <f>$J7</f>
      </c>
      <c r="T7" s="394" t="s">
        <v>492</v>
      </c>
      <c r="U7" s="408"/>
      <c r="V7" s="3103"/>
      <c r="W7" s="3104"/>
      <c r="X7" s="3104"/>
      <c r="Y7" s="3104"/>
      <c r="Z7" s="3104"/>
      <c r="AA7" s="3104"/>
      <c r="AB7" s="3104"/>
      <c r="AC7" s="3105"/>
      <c r="AD7" s="3103"/>
      <c r="AE7" s="3104"/>
      <c r="AF7" s="3104"/>
      <c r="AG7" s="3104"/>
      <c r="AH7" s="3104"/>
      <c r="AI7" s="3104"/>
      <c r="AJ7" s="3104"/>
      <c r="AK7" s="3104"/>
      <c r="AL7" s="3105"/>
      <c r="AM7" s="1354" t="s">
        <v>493</v>
      </c>
      <c r="AO7" s="607"/>
      <c r="AP7" s="607" t="str">
        <f>IF(T7="","",T7)</f>
        <v>Группа потребителей</v>
      </c>
      <c r="AQ7" s="607"/>
      <c r="AR7" s="607"/>
      <c r="AS7" s="1251">
        <v>0</v>
      </c>
    </row>
    <row customHeight="1" ht="21" hidden="1">
      <c r="A8" s="1459"/>
      <c r="B8" s="1459"/>
      <c r="C8" s="1459"/>
      <c r="D8" s="1459"/>
      <c r="E8" s="3116"/>
      <c r="F8" s="3116"/>
      <c r="G8" s="3116"/>
      <c r="H8" s="3116"/>
      <c r="I8" s="3118"/>
      <c r="J8" s="3118"/>
      <c r="K8" s="3117">
        <f>J7&amp;".1"</f>
      </c>
      <c r="L8" s="1460" t="s">
        <v>494</v>
      </c>
      <c r="M8" s="644"/>
      <c r="N8" s="1462"/>
      <c r="O8" s="1462"/>
      <c r="P8" s="3119"/>
      <c r="Q8" s="3119"/>
      <c r="R8" s="464">
        <v>1</v>
      </c>
      <c r="S8" s="1432">
        <f>$K8</f>
      </c>
      <c r="T8" s="1443"/>
      <c r="U8" s="408"/>
      <c r="V8" s="858"/>
      <c r="W8" s="433"/>
      <c r="X8" s="858"/>
      <c r="Y8" s="1353"/>
      <c r="Z8" s="3120"/>
      <c r="AA8" s="2989" t="s">
        <v>62</v>
      </c>
      <c r="AB8" s="3120"/>
      <c r="AC8" s="2989" t="s">
        <v>62</v>
      </c>
      <c r="AD8" s="858"/>
      <c r="AE8" s="433"/>
      <c r="AF8" s="858"/>
      <c r="AG8" s="1353"/>
      <c r="AH8" s="3120"/>
      <c r="AI8" s="2989" t="s">
        <v>62</v>
      </c>
      <c r="AJ8" s="3120"/>
      <c r="AK8" s="2989" t="s">
        <v>62</v>
      </c>
      <c r="AL8" s="433"/>
      <c r="AM8" s="3138" t="s">
        <v>495</v>
      </c>
      <c r="AN8" s="618">
        <f>STRCHECKDATE(V9:AL9)</f>
      </c>
      <c r="AO8" s="607"/>
      <c r="AP8" s="607" t="str">
        <f>IF(T8="","",T8)</f>
        <v/>
      </c>
      <c r="AQ8" s="607"/>
      <c r="AR8" s="607"/>
      <c r="AS8" s="1251">
        <v>0</v>
      </c>
    </row>
    <row customHeight="1" ht="0.75" hidden="1">
      <c r="A9" s="1459"/>
      <c r="B9" s="1459"/>
      <c r="C9" s="1459"/>
      <c r="D9" s="1459"/>
      <c r="E9" s="3116"/>
      <c r="F9" s="3116"/>
      <c r="G9" s="3116"/>
      <c r="H9" s="3116"/>
      <c r="I9" s="3118"/>
      <c r="J9" s="3118"/>
      <c r="K9" s="3117"/>
      <c r="L9" s="1460"/>
      <c r="M9" s="644"/>
      <c r="N9" s="1462"/>
      <c r="O9" s="1462"/>
      <c r="P9" s="3119"/>
      <c r="Q9" s="3119"/>
      <c r="R9" s="464"/>
      <c r="S9" s="1438"/>
      <c r="T9" s="408"/>
      <c r="U9" s="408"/>
      <c r="V9" s="433"/>
      <c r="W9" s="433"/>
      <c r="X9" s="433"/>
      <c r="Y9" s="436" t="str">
        <f>Z8&amp;"-"&amp;AB8</f>
        <v>-</v>
      </c>
      <c r="Z9" s="3121"/>
      <c r="AA9" s="2989"/>
      <c r="AB9" s="3121"/>
      <c r="AC9" s="2989"/>
      <c r="AD9" s="433"/>
      <c r="AE9" s="433"/>
      <c r="AF9" s="433"/>
      <c r="AG9" s="436" t="str">
        <f>AH8&amp;"-"&amp;AJ8</f>
        <v>-</v>
      </c>
      <c r="AH9" s="3121"/>
      <c r="AI9" s="2989"/>
      <c r="AJ9" s="3121"/>
      <c r="AK9" s="2989"/>
      <c r="AL9" s="433"/>
      <c r="AM9" s="3139"/>
      <c r="AO9" s="607"/>
      <c r="AP9" s="607" t="str">
        <f>IF(T9="","",T9)</f>
        <v/>
      </c>
      <c r="AQ9" s="607"/>
      <c r="AR9" s="607"/>
      <c r="AS9" s="1251">
        <v>0</v>
      </c>
    </row>
    <row customHeight="1" ht="15" hidden="1">
      <c r="A10" s="1459"/>
      <c r="B10" s="1459"/>
      <c r="C10" s="1459"/>
      <c r="D10" s="1459"/>
      <c r="E10" s="3116"/>
      <c r="F10" s="3116"/>
      <c r="G10" s="3116"/>
      <c r="H10" s="3116"/>
      <c r="I10" s="3118"/>
      <c r="J10" s="3117"/>
      <c r="K10" s="1459"/>
      <c r="L10" s="1460"/>
      <c r="M10" s="644"/>
      <c r="N10" s="1462"/>
      <c r="P10" s="3119"/>
      <c r="Q10" s="3119"/>
      <c r="R10" s="463"/>
      <c r="S10" s="1374"/>
      <c r="T10" s="396" t="s">
        <v>496</v>
      </c>
      <c r="U10" s="474"/>
      <c r="V10" s="474"/>
      <c r="W10" s="474"/>
      <c r="X10" s="474"/>
      <c r="Y10" s="474"/>
      <c r="Z10" s="474"/>
      <c r="AA10" s="474"/>
      <c r="AB10" s="474"/>
      <c r="AC10" s="474"/>
      <c r="AD10" s="474"/>
      <c r="AE10" s="474"/>
      <c r="AF10" s="474"/>
      <c r="AG10" s="474"/>
      <c r="AH10" s="474"/>
      <c r="AI10" s="474"/>
      <c r="AJ10" s="474"/>
      <c r="AK10" s="474"/>
      <c r="AL10" s="432"/>
      <c r="AM10" s="3140"/>
      <c r="AO10" s="607"/>
      <c r="AP10" s="607" t="str">
        <f>IF(T10="","",T10)</f>
        <v>Добавить вид теплоносителя (параметры теплоносителя)</v>
      </c>
      <c r="AQ10" s="607"/>
      <c r="AR10" s="607"/>
      <c r="AS10" s="1251">
        <v>0</v>
      </c>
    </row>
    <row customHeight="1" ht="15" hidden="1">
      <c r="A11" s="1459"/>
      <c r="B11" s="1459"/>
      <c r="C11" s="1459"/>
      <c r="D11" s="1459"/>
      <c r="E11" s="3116"/>
      <c r="F11" s="3116"/>
      <c r="G11" s="3116"/>
      <c r="H11" s="3116"/>
      <c r="I11" s="3117"/>
      <c r="J11" s="1459"/>
      <c r="K11" s="1459"/>
      <c r="L11" s="1460"/>
      <c r="M11" s="644"/>
      <c r="P11" s="3119"/>
      <c r="Q11" s="1427"/>
      <c r="R11" s="463"/>
      <c r="S11" s="1374"/>
      <c r="T11" s="395" t="s">
        <v>497</v>
      </c>
      <c r="U11" s="474"/>
      <c r="V11" s="474"/>
      <c r="W11" s="474"/>
      <c r="X11" s="474"/>
      <c r="Y11" s="474"/>
      <c r="Z11" s="474"/>
      <c r="AA11" s="474"/>
      <c r="AB11" s="474"/>
      <c r="AC11" s="473"/>
      <c r="AD11" s="474"/>
      <c r="AE11" s="474"/>
      <c r="AF11" s="474"/>
      <c r="AG11" s="474"/>
      <c r="AH11" s="474"/>
      <c r="AI11" s="474"/>
      <c r="AJ11" s="474"/>
      <c r="AK11" s="473"/>
      <c r="AL11" s="474"/>
      <c r="AM11" s="411"/>
      <c r="AO11" s="607"/>
      <c r="AP11" s="607" t="str">
        <f>IF(T11="","",T11)</f>
        <v>Добавить группу потребителей</v>
      </c>
      <c r="AQ11" s="607"/>
      <c r="AR11" s="607"/>
      <c r="AS11" s="1251">
        <v>0</v>
      </c>
    </row>
    <row customHeight="1" ht="14.25" hidden="1">
      <c r="A12" s="1459"/>
      <c r="B12" s="1459"/>
      <c r="C12" s="1459"/>
      <c r="D12" s="1459"/>
      <c r="E12" s="3116"/>
      <c r="F12" s="3116"/>
      <c r="G12" s="3116"/>
      <c r="H12" s="3115"/>
      <c r="I12" s="1459"/>
      <c r="J12" s="1459"/>
      <c r="K12" s="1459"/>
      <c r="L12" s="1460"/>
      <c r="M12" s="1461"/>
      <c r="N12" s="1461"/>
      <c r="O12" s="644"/>
      <c r="P12" s="467"/>
      <c r="Q12" s="482"/>
      <c r="R12" s="462"/>
      <c r="S12" s="1374"/>
      <c r="T12" s="472" t="s">
        <v>498</v>
      </c>
      <c r="U12" s="474"/>
      <c r="V12" s="474"/>
      <c r="W12" s="474"/>
      <c r="X12" s="474"/>
      <c r="Y12" s="474"/>
      <c r="Z12" s="474"/>
      <c r="AA12" s="474"/>
      <c r="AB12" s="474"/>
      <c r="AC12" s="473"/>
      <c r="AD12" s="474"/>
      <c r="AE12" s="474"/>
      <c r="AF12" s="474"/>
      <c r="AG12" s="474"/>
      <c r="AH12" s="474"/>
      <c r="AI12" s="474"/>
      <c r="AJ12" s="474"/>
      <c r="AK12" s="473"/>
      <c r="AL12" s="474"/>
      <c r="AM12" s="411"/>
      <c r="AO12" s="607"/>
      <c r="AP12" s="607" t="str">
        <f>IF(T12="","",T12)</f>
        <v>Добавить схему подключения</v>
      </c>
      <c r="AQ12" s="607"/>
      <c r="AR12" s="607"/>
      <c r="AS12" s="1251">
        <v>0</v>
      </c>
    </row>
    <row s="10307" customFormat="1" customHeight="1" ht="0.75" hidden="1">
      <c r="A13" s="1410"/>
      <c r="B13" s="1410"/>
      <c r="C13" s="1410"/>
      <c r="D13" s="1410"/>
      <c r="E13" s="3116"/>
      <c r="F13" s="3116"/>
      <c r="G13" s="3115"/>
      <c r="H13" s="1410"/>
      <c r="I13" s="1410"/>
      <c r="J13" s="1410"/>
      <c r="K13" s="1410"/>
      <c r="L13" s="1435"/>
      <c r="M13" s="1411"/>
      <c r="N13" s="1411"/>
      <c r="P13" s="1412"/>
      <c r="Q13" s="1413"/>
      <c r="R13" s="1412"/>
      <c r="S13" s="1414"/>
      <c r="T13" s="1415" t="s">
        <v>499</v>
      </c>
      <c r="U13" s="1416"/>
      <c r="V13" s="1416"/>
      <c r="W13" s="1416"/>
      <c r="X13" s="1416"/>
      <c r="Y13" s="1416"/>
      <c r="Z13" s="1416"/>
      <c r="AA13" s="1416"/>
      <c r="AB13" s="1416"/>
      <c r="AC13" s="1416"/>
      <c r="AD13" s="1416"/>
      <c r="AE13" s="1416"/>
      <c r="AF13" s="1416"/>
      <c r="AG13" s="1416"/>
      <c r="AH13" s="1416"/>
      <c r="AI13" s="1416"/>
      <c r="AJ13" s="1416"/>
      <c r="AK13" s="1416"/>
      <c r="AL13" s="1416"/>
      <c r="AM13" s="1416"/>
      <c r="AO13" s="890"/>
      <c r="AP13" s="890" t="str">
        <f>IF(T13="","",T13)</f>
        <v>Добавить источник для дифференциации</v>
      </c>
      <c r="AQ13" s="890"/>
      <c r="AR13" s="890"/>
      <c r="AS13" s="625">
        <v>0</v>
      </c>
    </row>
    <row s="10307" customFormat="1" customHeight="1" ht="0.75" hidden="1">
      <c r="A14" s="1410"/>
      <c r="B14" s="1410"/>
      <c r="C14" s="1410"/>
      <c r="D14" s="1410"/>
      <c r="E14" s="3116"/>
      <c r="F14" s="3115"/>
      <c r="G14" s="1410"/>
      <c r="H14" s="1410"/>
      <c r="I14" s="1410"/>
      <c r="J14" s="1410"/>
      <c r="K14" s="1410"/>
      <c r="L14" s="1435"/>
      <c r="M14" s="1417"/>
      <c r="N14" s="1417"/>
      <c r="P14" s="1412"/>
      <c r="Q14" s="1413"/>
      <c r="R14" s="1412"/>
      <c r="S14" s="1418"/>
      <c r="T14" s="1419" t="s">
        <v>500</v>
      </c>
      <c r="U14" s="1420"/>
      <c r="V14" s="1420"/>
      <c r="W14" s="1420"/>
      <c r="X14" s="1420"/>
      <c r="Y14" s="1420"/>
      <c r="Z14" s="1420"/>
      <c r="AA14" s="1420"/>
      <c r="AB14" s="1420"/>
      <c r="AC14" s="1420"/>
      <c r="AD14" s="1420"/>
      <c r="AE14" s="1420"/>
      <c r="AF14" s="1420"/>
      <c r="AG14" s="1420"/>
      <c r="AH14" s="1420"/>
      <c r="AI14" s="1420"/>
      <c r="AJ14" s="1420"/>
      <c r="AK14" s="1420"/>
      <c r="AL14" s="1420"/>
      <c r="AM14" s="1420"/>
      <c r="AO14" s="890"/>
      <c r="AP14" s="890" t="str">
        <f>IF(T14="","",T14)</f>
        <v>Добавить централизованную систему для дифференциации</v>
      </c>
      <c r="AQ14" s="890"/>
      <c r="AR14" s="890"/>
      <c r="AS14" s="625">
        <v>0</v>
      </c>
    </row>
    <row s="10307" customFormat="1" customHeight="1" ht="0.75" hidden="1">
      <c r="A15" s="1410"/>
      <c r="B15" s="1410"/>
      <c r="C15" s="1410"/>
      <c r="D15" s="1410"/>
      <c r="E15" s="3115"/>
      <c r="F15" s="1410"/>
      <c r="G15" s="1410"/>
      <c r="H15" s="1410"/>
      <c r="I15" s="1410"/>
      <c r="J15" s="1410"/>
      <c r="K15" s="1410"/>
      <c r="L15" s="1435"/>
      <c r="M15" s="1417"/>
      <c r="N15" s="1417"/>
      <c r="P15" s="1412"/>
      <c r="Q15" s="1413"/>
      <c r="R15" s="1412"/>
      <c r="S15" s="1418"/>
      <c r="T15" s="1421" t="s">
        <v>501</v>
      </c>
      <c r="U15" s="1420"/>
      <c r="V15" s="1420"/>
      <c r="W15" s="1420"/>
      <c r="X15" s="1420"/>
      <c r="Y15" s="1420"/>
      <c r="Z15" s="1420"/>
      <c r="AA15" s="1420"/>
      <c r="AB15" s="1420"/>
      <c r="AC15" s="1420"/>
      <c r="AD15" s="1420"/>
      <c r="AE15" s="1420"/>
      <c r="AF15" s="1420"/>
      <c r="AG15" s="1420"/>
      <c r="AH15" s="1420"/>
      <c r="AI15" s="1420"/>
      <c r="AJ15" s="1420"/>
      <c r="AK15" s="1420"/>
      <c r="AL15" s="1420"/>
      <c r="AM15" s="1420"/>
      <c r="AO15" s="890"/>
      <c r="AP15" s="890" t="str">
        <f>IF(T15="","",T15)</f>
        <v>Добавить территорию для дифференциации</v>
      </c>
      <c r="AQ15" s="890"/>
      <c r="AR15" s="890"/>
      <c r="AS15" s="625">
        <v>0</v>
      </c>
    </row>
    <row customHeight="1" ht="14.25" hidden="1">
      <c r="AC16" s="435"/>
      <c r="AK16" s="435"/>
      <c r="AS16" s="1251">
        <v>0</v>
      </c>
    </row>
    <row customHeight="1" ht="14.25" hidden="1">
      <c r="AD17" s="1456"/>
      <c r="AE17" s="1456"/>
      <c r="AF17" s="1456"/>
      <c r="AG17" s="1457"/>
      <c r="AH17" s="3113"/>
      <c r="AI17" s="3112" t="s">
        <v>62</v>
      </c>
      <c r="AJ17" s="3113"/>
      <c r="AK17" s="3112" t="s">
        <v>62</v>
      </c>
      <c r="AS17" s="1251">
        <v>0</v>
      </c>
    </row>
    <row customHeight="1" ht="14.25" hidden="1">
      <c r="AD18" s="1456"/>
      <c r="AE18" s="1456"/>
      <c r="AF18" s="1456"/>
      <c r="AG18" s="436" t="str">
        <f>AH17&amp;"-"&amp;AJ17</f>
        <v>-</v>
      </c>
      <c r="AH18" s="3112"/>
      <c r="AI18" s="3112"/>
      <c r="AJ18" s="3112"/>
      <c r="AK18" s="3112"/>
      <c r="AS18" s="1251">
        <v>0</v>
      </c>
    </row>
    <row customHeight="1" ht="14.25" hidden="1">
      <c r="AK19" s="435"/>
      <c r="AS19" s="1251">
        <v>0</v>
      </c>
    </row>
    <row s="10306" customFormat="1" customHeight="1" ht="22.5" hidden="1">
      <c r="L20" s="1425"/>
      <c r="M20" s="1458"/>
      <c r="N20" s="1458"/>
      <c r="O20" s="1463" t="s">
        <v>502</v>
      </c>
      <c r="P20" s="1458"/>
      <c r="Q20" s="1467"/>
      <c r="R20" s="1467"/>
      <c r="S20" s="836"/>
      <c r="Z20" s="1463"/>
      <c r="AB20" s="1463"/>
      <c r="AH20" s="1463"/>
      <c r="AJ20" s="1463"/>
      <c r="AN20" s="618"/>
      <c r="AO20" s="618"/>
      <c r="AP20" s="618"/>
      <c r="AQ20" s="618"/>
      <c r="AR20" s="618"/>
      <c r="AS20" s="1256">
        <v>0</v>
      </c>
    </row>
    <row s="10306" customFormat="1" customHeight="1" ht="14.25" hidden="1">
      <c r="L21" s="1425"/>
      <c r="M21" s="1458"/>
      <c r="N21" s="1458"/>
      <c r="O21" s="1458"/>
      <c r="P21" s="1458"/>
      <c r="Q21" s="1467"/>
      <c r="R21" s="1467"/>
      <c r="S21" s="836"/>
      <c r="AN21" s="618"/>
      <c r="AO21" s="618"/>
      <c r="AP21" s="618"/>
      <c r="AQ21" s="618"/>
      <c r="AR21" s="618"/>
      <c r="AS21" s="1256">
        <v>0</v>
      </c>
    </row>
    <row s="10306" customFormat="1" customHeight="1" ht="14.25" hidden="1">
      <c r="L22" s="1425"/>
      <c r="M22" s="1458"/>
      <c r="N22" s="1458"/>
      <c r="O22" s="1460" t="s">
        <v>503</v>
      </c>
      <c r="P22" s="1458"/>
      <c r="Q22" s="1467"/>
      <c r="R22" s="1467"/>
      <c r="S22" s="836"/>
      <c r="T22" s="1256" t="s">
        <v>504</v>
      </c>
      <c r="AA22" s="294" t="s">
        <v>505</v>
      </c>
      <c r="AC22" s="294" t="s">
        <v>506</v>
      </c>
      <c r="AD22" s="1256" t="s">
        <v>504</v>
      </c>
      <c r="AI22" s="294" t="s">
        <v>507</v>
      </c>
      <c r="AK22" s="294" t="s">
        <v>506</v>
      </c>
      <c r="AN22" s="618"/>
      <c r="AO22" s="618"/>
      <c r="AP22" s="618"/>
      <c r="AQ22" s="618"/>
      <c r="AR22" s="618"/>
      <c r="AS22" s="1256">
        <v>0</v>
      </c>
    </row>
    <row customHeight="1" ht="14.25" hidden="1">
      <c r="O23" s="1460"/>
      <c r="AS23" s="1251">
        <v>0</v>
      </c>
    </row>
    <row customHeight="1" ht="14.25" hidden="1">
      <c r="O24" s="1460"/>
      <c r="AS24" s="1251">
        <v>0</v>
      </c>
    </row>
    <row customHeight="1" ht="14.699999999999998">
      <c r="Q25" s="483"/>
      <c r="R25" s="483"/>
      <c r="S25" s="1371"/>
      <c r="T25" s="470"/>
      <c r="U25" s="470"/>
      <c r="V25" s="616"/>
      <c r="W25" s="616"/>
      <c r="X25" s="616"/>
      <c r="Y25" s="616"/>
      <c r="Z25" s="616"/>
      <c r="AA25" s="616"/>
      <c r="AB25" s="616"/>
      <c r="AC25" s="616"/>
      <c r="AD25" s="616"/>
      <c r="AE25" s="616"/>
      <c r="AF25" s="616"/>
      <c r="AG25" s="616"/>
      <c r="AH25" s="616"/>
      <c r="AI25" s="616"/>
      <c r="AJ25" s="616"/>
      <c r="AK25" s="616"/>
      <c r="AS25" s="1251">
        <v>14</v>
      </c>
    </row>
    <row customHeight="1" ht="14.699999999999998">
      <c r="Q26" s="483"/>
      <c r="R26" s="483"/>
      <c r="S26" s="30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96"/>
      <c r="U26" s="3096"/>
      <c r="V26" s="3096"/>
      <c r="W26" s="3096"/>
      <c r="X26" s="3096"/>
      <c r="Y26" s="3096"/>
      <c r="Z26" s="3096"/>
      <c r="AA26" s="3096"/>
      <c r="AB26" s="3096"/>
      <c r="AC26" s="3096"/>
      <c r="AD26" s="3096"/>
      <c r="AE26" s="3096"/>
      <c r="AF26" s="3096"/>
      <c r="AG26" s="3096"/>
      <c r="AH26" s="3096"/>
      <c r="AI26" s="3096"/>
      <c r="AJ26" s="3096"/>
      <c r="AK26" s="1339"/>
      <c r="AS26" s="1251">
        <v>14</v>
      </c>
    </row>
    <row customHeight="1" ht="14.699999999999998">
      <c r="Q27" s="483"/>
      <c r="R27" s="483"/>
      <c r="S27" s="3069" t="str">
        <f>IF(org=0,"Не определено",org)</f>
        <v>АО "ДГК"</v>
      </c>
      <c r="T27" s="3069"/>
      <c r="U27" s="3069"/>
      <c r="V27" s="3069"/>
      <c r="W27" s="3069"/>
      <c r="X27" s="3069"/>
      <c r="Y27" s="3069"/>
      <c r="Z27" s="3069"/>
      <c r="AA27" s="3069"/>
      <c r="AB27" s="3069"/>
      <c r="AC27" s="3069"/>
      <c r="AD27" s="3069"/>
      <c r="AE27" s="3069"/>
      <c r="AF27" s="3069"/>
      <c r="AG27" s="3069"/>
      <c r="AH27" s="3069"/>
      <c r="AI27" s="3069"/>
      <c r="AJ27" s="3069"/>
      <c r="AK27" s="1339"/>
      <c r="AS27" s="1251">
        <v>14</v>
      </c>
    </row>
    <row customHeight="1" ht="14.25" hidden="1">
      <c r="Q28" s="483"/>
      <c r="R28" s="483"/>
      <c r="S28" s="1371"/>
      <c r="T28" s="470"/>
      <c r="U28" s="470"/>
      <c r="V28" s="430"/>
      <c r="W28" s="430"/>
      <c r="X28" s="430"/>
      <c r="Y28" s="430"/>
      <c r="Z28" s="430"/>
      <c r="AA28" s="430"/>
      <c r="AB28" s="430"/>
      <c r="AC28" s="430"/>
      <c r="AD28" s="430"/>
      <c r="AE28" s="430"/>
      <c r="AF28" s="430"/>
      <c r="AG28" s="430"/>
      <c r="AH28" s="430"/>
      <c r="AI28" s="430"/>
      <c r="AJ28" s="430"/>
      <c r="AK28" s="430"/>
      <c r="AL28" s="616"/>
      <c r="AS28" s="1251">
        <v>0</v>
      </c>
    </row>
    <row s="10446" customFormat="1" customHeight="1" ht="25.5" hidden="1">
      <c r="A29" s="1464"/>
      <c r="B29" s="1464"/>
      <c r="C29" s="1464"/>
      <c r="D29" s="1464"/>
      <c r="E29" s="1464"/>
      <c r="F29" s="1464"/>
      <c r="G29" s="1464"/>
      <c r="H29" s="1464"/>
      <c r="I29" s="1464"/>
      <c r="J29" s="1464"/>
      <c r="K29" s="1464"/>
      <c r="L29" s="1465"/>
      <c r="M29" s="1464"/>
      <c r="N29" s="1464"/>
      <c r="O29" s="1464"/>
      <c r="S29" s="3106" t="s">
        <v>41</v>
      </c>
      <c r="T29" s="3106"/>
      <c r="U29" s="1468"/>
      <c r="V29" s="3108" t="str">
        <f>IF(TITLE_NAME_OR_PR_CHANGE="",IF(TITLE_NAME_OR_PR="","",TITLE_NAME_OR_PR),TITLE_NAME_OR_PR_CHANGE)</f>
        <v/>
      </c>
      <c r="W29" s="3108"/>
      <c r="X29" s="3108"/>
      <c r="Y29" s="3108"/>
      <c r="Z29" s="3108"/>
      <c r="AA29" s="3108"/>
      <c r="AB29" s="3108"/>
      <c r="AC29" s="434"/>
      <c r="AD29" s="3108" t="str">
        <f>IF(TITLE_NAME_OR_PR_CHANGE="",IF(TITLE_NAME_OR_PR="","",TITLE_NAME_OR_PR),TITLE_NAME_OR_PR_CHANGE)</f>
        <v/>
      </c>
      <c r="AE29" s="3108"/>
      <c r="AF29" s="3108"/>
      <c r="AG29" s="3108"/>
      <c r="AH29" s="3108"/>
      <c r="AI29" s="3108"/>
      <c r="AJ29" s="3108"/>
      <c r="AK29" s="434"/>
      <c r="AL29" s="434"/>
      <c r="AM29" s="388"/>
      <c r="AN29" s="475"/>
      <c r="AO29" s="475"/>
      <c r="AP29" s="475"/>
      <c r="AQ29" s="475"/>
      <c r="AR29" s="475"/>
      <c r="AS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508</v>
      </c>
      <c r="T30" s="3106"/>
      <c r="U30" s="1468"/>
      <c r="V30" s="3107" t="str">
        <f>IF(TITLE_DATE_PR_CHANGE="",IF(TITLE_DATE_PR="","",TITLE_DATE_PR),TITLE_DATE_PR_CHANGE)</f>
        <v/>
      </c>
      <c r="W30" s="3107"/>
      <c r="X30" s="3107"/>
      <c r="Y30" s="3107"/>
      <c r="Z30" s="3107"/>
      <c r="AA30" s="3107"/>
      <c r="AB30" s="3107"/>
      <c r="AC30" s="434"/>
      <c r="AD30" s="3107" t="str">
        <f>IF(TITLE_DATE_PR_CHANGE="",IF(TITLE_DATE_PR="","",TITLE_DATE_PR),TITLE_DATE_PR_CHANGE)</f>
        <v/>
      </c>
      <c r="AE30" s="3107"/>
      <c r="AF30" s="3107"/>
      <c r="AG30" s="3107"/>
      <c r="AH30" s="3107"/>
      <c r="AI30" s="3107"/>
      <c r="AJ30" s="3107"/>
      <c r="AK30" s="434"/>
      <c r="AL30" s="434"/>
      <c r="AM30" s="388"/>
      <c r="AN30" s="475"/>
      <c r="AO30" s="475"/>
      <c r="AP30" s="475"/>
      <c r="AQ30" s="475"/>
      <c r="AR30" s="475"/>
      <c r="AS30" s="525">
        <v>0</v>
      </c>
    </row>
    <row s="10446" customFormat="1" customHeight="1" ht="18.75" hidden="1">
      <c r="A31" s="1464"/>
      <c r="B31" s="1464"/>
      <c r="C31" s="1464"/>
      <c r="D31" s="1464"/>
      <c r="E31" s="1464"/>
      <c r="F31" s="1464"/>
      <c r="G31" s="1464"/>
      <c r="H31" s="1464"/>
      <c r="I31" s="1464"/>
      <c r="J31" s="1464"/>
      <c r="K31" s="1464"/>
      <c r="L31" s="1465"/>
      <c r="M31" s="1464"/>
      <c r="N31" s="1464"/>
      <c r="O31" s="1464"/>
      <c r="S31" s="3106" t="s">
        <v>509</v>
      </c>
      <c r="T31" s="3106"/>
      <c r="U31" s="1468"/>
      <c r="V31" s="3108" t="str">
        <f>IF(TITLE_NUMBER_PR_CHANGE="",IF(TITLE_NUMBER_PR="","",TITLE_NUMBER_PR),TITLE_NUMBER_PR_CHANGE)</f>
        <v/>
      </c>
      <c r="W31" s="3108"/>
      <c r="X31" s="3108"/>
      <c r="Y31" s="3108"/>
      <c r="Z31" s="3108"/>
      <c r="AA31" s="3108"/>
      <c r="AB31" s="3108"/>
      <c r="AC31" s="434"/>
      <c r="AD31" s="3108" t="str">
        <f>IF(TITLE_NUMBER_PR_CHANGE="",IF(TITLE_NUMBER_PR="","",TITLE_NUMBER_PR),TITLE_NUMBER_PR_CHANGE)</f>
        <v/>
      </c>
      <c r="AE31" s="3108"/>
      <c r="AF31" s="3108"/>
      <c r="AG31" s="3108"/>
      <c r="AH31" s="3108"/>
      <c r="AI31" s="3108"/>
      <c r="AJ31" s="3108"/>
      <c r="AK31" s="434"/>
      <c r="AL31" s="434"/>
      <c r="AM31" s="388"/>
      <c r="AN31" s="475"/>
      <c r="AO31" s="475"/>
      <c r="AP31" s="475"/>
      <c r="AQ31" s="475"/>
      <c r="AR31" s="475"/>
      <c r="AS31" s="525">
        <v>0</v>
      </c>
    </row>
    <row s="10446" customFormat="1" customHeight="1" ht="18.75" hidden="1">
      <c r="A32" s="1464"/>
      <c r="B32" s="1464"/>
      <c r="C32" s="1464"/>
      <c r="D32" s="1464"/>
      <c r="E32" s="1464"/>
      <c r="F32" s="1464"/>
      <c r="G32" s="1464"/>
      <c r="H32" s="1464"/>
      <c r="I32" s="1464"/>
      <c r="J32" s="1464"/>
      <c r="K32" s="1464"/>
      <c r="L32" s="1465"/>
      <c r="M32" s="1464"/>
      <c r="N32" s="1464"/>
      <c r="O32" s="1464"/>
      <c r="S32" s="3106" t="s">
        <v>42</v>
      </c>
      <c r="T32" s="3106"/>
      <c r="U32" s="1468"/>
      <c r="V32" s="3108" t="str">
        <f>IF(TITLE_IST_PUB_CHANGE="",IF(TITLE_IST_PUB="","",TITLE_IST_PUB),TITLE_IST_PUB_CHANGE)</f>
        <v/>
      </c>
      <c r="W32" s="3108"/>
      <c r="X32" s="3108"/>
      <c r="Y32" s="3108"/>
      <c r="Z32" s="3108"/>
      <c r="AA32" s="3108"/>
      <c r="AB32" s="3108"/>
      <c r="AC32" s="434"/>
      <c r="AD32" s="3108" t="str">
        <f>IF(TITLE_IST_PUB_CHANGE="",IF(TITLE_IST_PUB="","",TITLE_IST_PUB),TITLE_IST_PUB_CHANGE)</f>
        <v/>
      </c>
      <c r="AE32" s="3108"/>
      <c r="AF32" s="3108"/>
      <c r="AG32" s="3108"/>
      <c r="AH32" s="3108"/>
      <c r="AI32" s="3108"/>
      <c r="AJ32" s="3108"/>
      <c r="AK32" s="434"/>
      <c r="AL32" s="434"/>
      <c r="AM32" s="388"/>
      <c r="AN32" s="475"/>
      <c r="AO32" s="475"/>
      <c r="AP32" s="475"/>
      <c r="AQ32" s="475"/>
      <c r="AR32" s="475"/>
      <c r="AS32" s="525">
        <v>0</v>
      </c>
    </row>
    <row customHeight="1" ht="14.25" hidden="1">
      <c r="Q33" s="483"/>
      <c r="R33" s="483"/>
      <c r="S33" s="1371"/>
      <c r="T33" s="470"/>
      <c r="U33" s="470"/>
      <c r="V33" s="430"/>
      <c r="W33" s="430"/>
      <c r="X33" s="430"/>
      <c r="Y33" s="430"/>
      <c r="Z33" s="430"/>
      <c r="AA33" s="430"/>
      <c r="AB33" s="430"/>
      <c r="AC33" s="430"/>
      <c r="AD33" s="430"/>
      <c r="AE33" s="430"/>
      <c r="AF33" s="430"/>
      <c r="AG33" s="430"/>
      <c r="AH33" s="430"/>
      <c r="AI33" s="430"/>
      <c r="AJ33" s="430"/>
      <c r="AK33" s="430"/>
      <c r="AL33" s="616"/>
      <c r="AS33" s="1251">
        <v>0</v>
      </c>
    </row>
    <row s="10446" customFormat="1" customHeight="1" ht="18.75" hidden="1">
      <c r="A34" s="1464"/>
      <c r="B34" s="1464"/>
      <c r="C34" s="1464"/>
      <c r="D34" s="1464"/>
      <c r="E34" s="1464"/>
      <c r="F34" s="1464"/>
      <c r="G34" s="1464"/>
      <c r="H34" s="1464"/>
      <c r="I34" s="1464"/>
      <c r="J34" s="1464"/>
      <c r="K34" s="1464"/>
      <c r="L34" s="1465"/>
      <c r="M34" s="1464"/>
      <c r="N34" s="1464"/>
      <c r="O34" s="1464"/>
      <c r="S34" s="3106" t="s">
        <v>510</v>
      </c>
      <c r="T34" s="3106"/>
      <c r="U34" s="1468"/>
      <c r="V34" s="3107" t="str">
        <f>IF(TITLE_DATE_PR_CHANGE="",IF(TITLE_DATE_PR="","",TITLE_DATE_PR),TITLE_DATE_PR_CHANGE)</f>
        <v/>
      </c>
      <c r="W34" s="3107"/>
      <c r="X34" s="3107"/>
      <c r="Y34" s="3107"/>
      <c r="Z34" s="3107"/>
      <c r="AA34" s="3107"/>
      <c r="AB34" s="3107"/>
      <c r="AC34" s="434"/>
      <c r="AD34" s="3107" t="str">
        <f>IF(TITLE_DATE_PR_CHANGE="",IF(TITLE_DATE_PR="","",TITLE_DATE_PR),TITLE_DATE_PR_CHANGE)</f>
        <v/>
      </c>
      <c r="AE34" s="3107"/>
      <c r="AF34" s="3107"/>
      <c r="AG34" s="3107"/>
      <c r="AH34" s="3107"/>
      <c r="AI34" s="3107"/>
      <c r="AJ34" s="3107"/>
      <c r="AK34" s="434"/>
      <c r="AL34" s="434"/>
      <c r="AM34" s="388"/>
      <c r="AN34" s="475"/>
      <c r="AO34" s="475"/>
      <c r="AP34" s="475"/>
      <c r="AQ34" s="475"/>
      <c r="AR34" s="475"/>
      <c r="AS34" s="525">
        <v>0</v>
      </c>
    </row>
    <row s="10446" customFormat="1" customHeight="1" ht="18.75" hidden="1">
      <c r="A35" s="1464"/>
      <c r="B35" s="1464"/>
      <c r="C35" s="1464"/>
      <c r="D35" s="1464"/>
      <c r="E35" s="1464"/>
      <c r="F35" s="1464"/>
      <c r="G35" s="1464"/>
      <c r="H35" s="1464"/>
      <c r="I35" s="1464"/>
      <c r="J35" s="1464"/>
      <c r="K35" s="1464"/>
      <c r="L35" s="1465"/>
      <c r="M35" s="1464"/>
      <c r="N35" s="1464"/>
      <c r="O35" s="1464"/>
      <c r="S35" s="3106" t="s">
        <v>511</v>
      </c>
      <c r="T35" s="3106"/>
      <c r="U35" s="1468"/>
      <c r="V35" s="3108" t="str">
        <f>IF(TITLE_NUMBER_PR_CHANGE="",IF(TITLE_NUMBER_PR="","",TITLE_NUMBER_PR),TITLE_NUMBER_PR_CHANGE)</f>
        <v/>
      </c>
      <c r="W35" s="3108"/>
      <c r="X35" s="3108"/>
      <c r="Y35" s="3108"/>
      <c r="Z35" s="3108"/>
      <c r="AA35" s="3108"/>
      <c r="AB35" s="3108"/>
      <c r="AC35" s="434"/>
      <c r="AD35" s="3108" t="str">
        <f>IF(TITLE_NUMBER_PR_CHANGE="",IF(TITLE_NUMBER_PR="","",TITLE_NUMBER_PR),TITLE_NUMBER_PR_CHANGE)</f>
        <v/>
      </c>
      <c r="AE35" s="3108"/>
      <c r="AF35" s="3108"/>
      <c r="AG35" s="3108"/>
      <c r="AH35" s="3108"/>
      <c r="AI35" s="3108"/>
      <c r="AJ35" s="3108"/>
      <c r="AK35" s="434"/>
      <c r="AL35" s="434"/>
      <c r="AM35" s="388"/>
      <c r="AN35" s="475"/>
      <c r="AO35" s="475"/>
      <c r="AP35" s="475"/>
      <c r="AQ35" s="475"/>
      <c r="AR35" s="475"/>
      <c r="AS35" s="525">
        <v>0</v>
      </c>
    </row>
    <row s="10446" customFormat="1" customHeight="1" ht="14.25" hidden="1">
      <c r="A36" s="1464"/>
      <c r="B36" s="1464"/>
      <c r="C36" s="1464"/>
      <c r="D36" s="1464"/>
      <c r="E36" s="1464"/>
      <c r="F36" s="1464"/>
      <c r="G36" s="1464"/>
      <c r="H36" s="1464"/>
      <c r="I36" s="1464"/>
      <c r="J36" s="1464"/>
      <c r="K36" s="1464"/>
      <c r="L36" s="1465"/>
      <c r="M36" s="1464"/>
      <c r="N36" s="1464"/>
      <c r="O36" s="1464"/>
      <c r="S36" s="431"/>
      <c r="T36" s="431"/>
      <c r="U36" s="1436"/>
      <c r="V36" s="434"/>
      <c r="W36" s="434"/>
      <c r="X36" s="434"/>
      <c r="Y36" s="434"/>
      <c r="Z36" s="434"/>
      <c r="AA36" s="434"/>
      <c r="AB36" s="434"/>
      <c r="AC36" s="386" t="s">
        <v>512</v>
      </c>
      <c r="AD36" s="434"/>
      <c r="AE36" s="434"/>
      <c r="AF36" s="434"/>
      <c r="AG36" s="434"/>
      <c r="AH36" s="434"/>
      <c r="AI36" s="434"/>
      <c r="AJ36" s="434"/>
      <c r="AK36" s="386" t="s">
        <v>512</v>
      </c>
      <c r="AN36" s="475"/>
      <c r="AO36" s="475"/>
      <c r="AP36" s="475"/>
      <c r="AQ36" s="475"/>
      <c r="AR36" s="475"/>
      <c r="AS36" s="525">
        <v>0</v>
      </c>
    </row>
    <row customHeight="1" ht="14.699999999999998">
      <c r="Q37" s="483"/>
      <c r="R37" s="483"/>
      <c r="S37" s="1371"/>
      <c r="T37" s="470"/>
      <c r="U37" s="1340"/>
      <c r="V37" s="3127"/>
      <c r="W37" s="3127"/>
      <c r="X37" s="3127"/>
      <c r="Y37" s="3127"/>
      <c r="Z37" s="3127"/>
      <c r="AA37" s="3127"/>
      <c r="AB37" s="3127"/>
      <c r="AC37" s="3127"/>
      <c r="AD37" s="3127"/>
      <c r="AE37" s="3127"/>
      <c r="AF37" s="3127"/>
      <c r="AG37" s="3127"/>
      <c r="AH37" s="3127"/>
      <c r="AI37" s="3127"/>
      <c r="AJ37" s="3127"/>
      <c r="AK37" s="3127"/>
      <c r="AS37" s="1251">
        <v>14</v>
      </c>
    </row>
    <row customHeight="1" ht="14.699999999999998">
      <c r="Q38" s="483"/>
      <c r="R38" s="483"/>
      <c r="S38" s="2978" t="s">
        <v>385</v>
      </c>
      <c r="T38" s="2978"/>
      <c r="U38" s="2978"/>
      <c r="V38" s="2978"/>
      <c r="W38" s="2978"/>
      <c r="X38" s="2978"/>
      <c r="Y38" s="2978"/>
      <c r="Z38" s="2978"/>
      <c r="AA38" s="2978"/>
      <c r="AB38" s="2978"/>
      <c r="AC38" s="2978"/>
      <c r="AD38" s="2978"/>
      <c r="AE38" s="2978"/>
      <c r="AF38" s="2978"/>
      <c r="AG38" s="2978"/>
      <c r="AH38" s="2978"/>
      <c r="AI38" s="2978"/>
      <c r="AJ38" s="2978"/>
      <c r="AK38" s="2978"/>
      <c r="AL38" s="2978"/>
      <c r="AM38" s="2978" t="s">
        <v>386</v>
      </c>
      <c r="AS38" s="1251">
        <v>14</v>
      </c>
    </row>
    <row customHeight="1" ht="14.699999999999998">
      <c r="Q39" s="483"/>
      <c r="R39" s="483"/>
      <c r="S39" s="3128" t="s">
        <v>88</v>
      </c>
      <c r="T39" s="3077" t="s">
        <v>513</v>
      </c>
      <c r="U39" s="409"/>
      <c r="V39" s="3129" t="s">
        <v>514</v>
      </c>
      <c r="W39" s="3130"/>
      <c r="X39" s="3130"/>
      <c r="Y39" s="3130"/>
      <c r="Z39" s="3130"/>
      <c r="AA39" s="3130"/>
      <c r="AB39" s="3131"/>
      <c r="AC39" s="3132" t="s">
        <v>515</v>
      </c>
      <c r="AD39" s="3129" t="s">
        <v>514</v>
      </c>
      <c r="AE39" s="3130"/>
      <c r="AF39" s="3130"/>
      <c r="AG39" s="3130"/>
      <c r="AH39" s="3130"/>
      <c r="AI39" s="3130"/>
      <c r="AJ39" s="3131"/>
      <c r="AK39" s="3132" t="s">
        <v>516</v>
      </c>
      <c r="AL39" s="3135" t="s">
        <v>517</v>
      </c>
      <c r="AM39" s="2978"/>
      <c r="AS39" s="1251">
        <v>14</v>
      </c>
    </row>
    <row customHeight="1" ht="35.699999999999996">
      <c r="Q40" s="483"/>
      <c r="R40" s="483"/>
      <c r="S40" s="3128"/>
      <c r="T40" s="3077"/>
      <c r="U40" s="1131"/>
      <c r="V40" s="3047" t="s">
        <v>518</v>
      </c>
      <c r="W40" s="3124" t="s">
        <v>519</v>
      </c>
      <c r="X40" s="2959" t="s">
        <v>520</v>
      </c>
      <c r="Y40" s="2958"/>
      <c r="Z40" s="2959" t="s">
        <v>534</v>
      </c>
      <c r="AA40" s="2965"/>
      <c r="AB40" s="2958"/>
      <c r="AC40" s="3133"/>
      <c r="AD40" s="3047" t="s">
        <v>518</v>
      </c>
      <c r="AE40" s="3124" t="s">
        <v>519</v>
      </c>
      <c r="AF40" s="2959" t="s">
        <v>520</v>
      </c>
      <c r="AG40" s="2958"/>
      <c r="AH40" s="2959" t="s">
        <v>521</v>
      </c>
      <c r="AI40" s="2965"/>
      <c r="AJ40" s="2958"/>
      <c r="AK40" s="3133"/>
      <c r="AL40" s="3136"/>
      <c r="AM40" s="2978"/>
      <c r="AS40" s="1251">
        <v>34</v>
      </c>
    </row>
    <row customHeight="1" ht="35.699999999999996">
      <c r="A41" s="1466"/>
      <c r="B41" s="1466" t="s">
        <v>222</v>
      </c>
      <c r="C41" s="1466" t="s">
        <v>223</v>
      </c>
      <c r="D41" s="1466" t="s">
        <v>224</v>
      </c>
      <c r="E41" s="1460" t="s">
        <v>522</v>
      </c>
      <c r="F41" s="1460" t="s">
        <v>523</v>
      </c>
      <c r="G41" s="1460" t="s">
        <v>524</v>
      </c>
      <c r="H41" s="1460" t="s">
        <v>525</v>
      </c>
      <c r="I41" s="1460" t="s">
        <v>526</v>
      </c>
      <c r="J41" s="1460" t="s">
        <v>527</v>
      </c>
      <c r="K41" s="1460" t="s">
        <v>528</v>
      </c>
      <c r="L41" s="1460" t="s">
        <v>503</v>
      </c>
      <c r="Q41" s="483"/>
      <c r="R41" s="483"/>
      <c r="S41" s="3128"/>
      <c r="T41" s="3077"/>
      <c r="U41" s="410"/>
      <c r="V41" s="3101"/>
      <c r="W41" s="3125"/>
      <c r="X41" s="1318" t="s">
        <v>529</v>
      </c>
      <c r="Y41" s="1318" t="s">
        <v>530</v>
      </c>
      <c r="Z41" s="1434" t="s">
        <v>531</v>
      </c>
      <c r="AA41" s="3082" t="s">
        <v>532</v>
      </c>
      <c r="AB41" s="3095"/>
      <c r="AC41" s="3134"/>
      <c r="AD41" s="3101"/>
      <c r="AE41" s="3125"/>
      <c r="AF41" s="1318" t="s">
        <v>529</v>
      </c>
      <c r="AG41" s="1318" t="s">
        <v>530</v>
      </c>
      <c r="AH41" s="1434" t="s">
        <v>531</v>
      </c>
      <c r="AI41" s="3082" t="s">
        <v>532</v>
      </c>
      <c r="AJ41" s="3095"/>
      <c r="AK41" s="3134"/>
      <c r="AL41" s="3137"/>
      <c r="AM41" s="2978"/>
      <c r="AS41" s="1251">
        <v>34</v>
      </c>
    </row>
    <row s="10851" customFormat="1" customHeight="1" ht="11.25" hidden="1">
      <c r="A42" s="1466"/>
      <c r="B42" s="1466"/>
      <c r="C42" s="1466"/>
      <c r="D42" s="1466"/>
      <c r="E42" s="1466"/>
      <c r="F42" s="1466"/>
      <c r="G42" s="1466"/>
      <c r="H42" s="1466"/>
      <c r="I42" s="1466"/>
      <c r="J42" s="1466"/>
      <c r="K42" s="1466"/>
      <c r="L42" s="1460"/>
      <c r="M42" s="1458"/>
      <c r="N42" s="1458"/>
      <c r="O42" s="1458"/>
      <c r="P42" s="1342"/>
      <c r="Q42" s="1343"/>
      <c r="R42" s="1350">
        <v>1</v>
      </c>
      <c r="S42" s="1373" t="s">
        <v>144</v>
      </c>
      <c r="T42" s="1351" t="s">
        <v>102</v>
      </c>
      <c r="U42" s="1341" t="str">
        <f>OFFSET(U42,0,-1)</f>
        <v>2</v>
      </c>
      <c r="V42" s="1431">
        <f>OFFSET(V42,0,-1)+1</f>
        <v>3</v>
      </c>
      <c r="W42" s="1431"/>
      <c r="X42" s="1431">
        <f>OFFSET(X42,0,-1)+1</f>
        <v>1</v>
      </c>
      <c r="Y42" s="1431">
        <f>OFFSET(Y42,0,-1)+1</f>
        <v>2</v>
      </c>
      <c r="Z42" s="1431">
        <f>OFFSET(Z42,0,-1)+1</f>
        <v>3</v>
      </c>
      <c r="AA42" s="3126">
        <f>OFFSET(AA42,0,-1)+1</f>
        <v>4</v>
      </c>
      <c r="AB42" s="3126"/>
      <c r="AC42" s="1431">
        <f>OFFSET(AC42,0,-2)+1</f>
        <v>5</v>
      </c>
      <c r="AD42" s="1431">
        <f>OFFSET(AD42,0,-1)+1</f>
        <v>6</v>
      </c>
      <c r="AE42" s="1431"/>
      <c r="AF42" s="1431">
        <f>OFFSET(AF42,0,-1)+1</f>
        <v>1</v>
      </c>
      <c r="AG42" s="1431">
        <f>OFFSET(AG42,0,-1)+1</f>
        <v>2</v>
      </c>
      <c r="AH42" s="1431">
        <f>OFFSET(AH42,0,-1)+1</f>
        <v>3</v>
      </c>
      <c r="AI42" s="3126">
        <f>OFFSET(AI42,0,-1)+1</f>
        <v>4</v>
      </c>
      <c r="AJ42" s="3126"/>
      <c r="AK42" s="1431">
        <f>OFFSET(AK42,0,-2)+1</f>
        <v>5</v>
      </c>
      <c r="AL42" s="1341">
        <f>OFFSET(AL42,0,-1)</f>
        <v>5</v>
      </c>
      <c r="AM42" s="1431">
        <f>OFFSET(AM42,0,-1)+1</f>
        <v>6</v>
      </c>
      <c r="AN42" s="618"/>
      <c r="AO42" s="618"/>
      <c r="AP42" s="618"/>
      <c r="AQ42" s="618"/>
      <c r="AR42" s="618"/>
      <c r="AS42" s="603">
        <v>0</v>
      </c>
    </row>
    <row customHeight="1" ht="22.049999999999997">
      <c r="A43" s="1459" t="s">
        <v>248</v>
      </c>
      <c r="B43" s="1459"/>
      <c r="C43" s="1459"/>
      <c r="D43" s="1459"/>
      <c r="E43" s="3115">
        <v>1</v>
      </c>
      <c r="F43" s="1459"/>
      <c r="G43" s="1459"/>
      <c r="H43" s="1459"/>
      <c r="I43" s="1459"/>
      <c r="J43" s="1459"/>
      <c r="K43" s="1459"/>
      <c r="L43" s="1460"/>
      <c r="M43" s="1461"/>
      <c r="N43" s="1461"/>
      <c r="O43" s="1461"/>
      <c r="P43" s="468"/>
      <c r="Q43" s="467"/>
      <c r="R43" s="462"/>
      <c r="S43" s="1432">
        <f>INDEX(PT_DIFFERENTIATION_NUM_NTAR,MATCH(A43,PT_DIFFERENTIATION_NTAR_ID,0))</f>
        <v>0</v>
      </c>
      <c r="T43" s="406" t="s">
        <v>210</v>
      </c>
      <c r="U43" s="408"/>
      <c r="V43" s="3109"/>
      <c r="W43" s="3110"/>
      <c r="X43" s="3110"/>
      <c r="Y43" s="3110"/>
      <c r="Z43" s="3110"/>
      <c r="AA43" s="3110"/>
      <c r="AB43" s="3110"/>
      <c r="AC43" s="3111"/>
      <c r="AD43" s="3109" t="str">
        <f>INDEX(PT_DIFFERENTIATION_NTAR,MATCH(A43,PT_DIFFERENTIATION_NTAR_ID,0))</f>
        <v/>
      </c>
      <c r="AE43" s="3110"/>
      <c r="AF43" s="3110"/>
      <c r="AG43" s="3110"/>
      <c r="AH43" s="3110"/>
      <c r="AI43" s="3110"/>
      <c r="AJ43" s="3110"/>
      <c r="AK43" s="3110"/>
      <c r="AL43" s="3111"/>
      <c r="AM43" s="13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7"/>
      <c r="AP43" s="607" t="str">
        <f>IF(T43="","",T43)</f>
        <v>Наименование тарифа</v>
      </c>
      <c r="AQ43" s="607"/>
      <c r="AR43" s="607"/>
      <c r="AS43" s="1251">
        <v>21</v>
      </c>
    </row>
    <row customHeight="1" ht="22.049999999999997">
      <c r="A44" s="1459" t="s">
        <v>248</v>
      </c>
      <c r="B44" s="1459" t="s">
        <v>249</v>
      </c>
      <c r="C44" s="1459"/>
      <c r="D44" s="1459"/>
      <c r="E44" s="3116"/>
      <c r="F44" s="3115">
        <v>1</v>
      </c>
      <c r="G44" s="1459"/>
      <c r="H44" s="1459"/>
      <c r="I44" s="1459"/>
      <c r="J44" s="1459"/>
      <c r="K44" s="1459"/>
      <c r="L44" s="1460"/>
      <c r="M44" s="1461"/>
      <c r="N44" s="1461"/>
      <c r="O44" s="1461"/>
      <c r="P44" s="1428"/>
      <c r="Q44" s="459"/>
      <c r="R44" s="460"/>
      <c r="S44" s="1432" t="str">
        <f>INDEX(PT_DIFFERENTIATION_NUM_TER,MATCH(B44,PT_DIFFERENTIATION_TER_ID,0))</f>
        <v>.</v>
      </c>
      <c r="T44" s="416" t="s">
        <v>482</v>
      </c>
      <c r="U44" s="408"/>
      <c r="V44" s="3109"/>
      <c r="W44" s="3110"/>
      <c r="X44" s="3110"/>
      <c r="Y44" s="3110"/>
      <c r="Z44" s="3110"/>
      <c r="AA44" s="3110"/>
      <c r="AB44" s="3110"/>
      <c r="AC44" s="3111"/>
      <c r="AD44" s="3109" t="str">
        <f>INDEX(PT_DIFFERENTIATION_TER,MATCH(B44,PT_DIFFERENTIATION_TER_ID,0))</f>
        <v/>
      </c>
      <c r="AE44" s="3110"/>
      <c r="AF44" s="3110"/>
      <c r="AG44" s="3110"/>
      <c r="AH44" s="3110"/>
      <c r="AI44" s="3110"/>
      <c r="AJ44" s="3110"/>
      <c r="AK44" s="3110"/>
      <c r="AL44" s="3111"/>
      <c r="AM44" s="1354" t="s">
        <v>483</v>
      </c>
      <c r="AO44" s="607"/>
      <c r="AP44" s="607" t="str">
        <f>IF(T44="","",T44)</f>
        <v>Территория действия тарифа</v>
      </c>
      <c r="AQ44" s="607"/>
      <c r="AR44" s="607"/>
      <c r="AS44" s="1251">
        <v>21</v>
      </c>
    </row>
    <row customHeight="1" ht="24">
      <c r="A45" s="1459" t="s">
        <v>248</v>
      </c>
      <c r="B45" s="1459" t="s">
        <v>249</v>
      </c>
      <c r="C45" s="1459" t="s">
        <v>250</v>
      </c>
      <c r="D45" s="1459"/>
      <c r="E45" s="3116"/>
      <c r="F45" s="3116"/>
      <c r="G45" s="3115">
        <v>1</v>
      </c>
      <c r="H45" s="1459"/>
      <c r="I45" s="1459"/>
      <c r="J45" s="1459"/>
      <c r="K45" s="1459"/>
      <c r="L45" s="1460"/>
      <c r="M45" s="1461"/>
      <c r="N45" s="1461"/>
      <c r="O45" s="1461"/>
      <c r="P45" s="461"/>
      <c r="Q45" s="459"/>
      <c r="R45" s="460"/>
      <c r="S45" s="1432" t="str">
        <f>INDEX(PT_DIFFERENTIATION_NUM_CS,MATCH(C45,PT_DIFFERENTIATION_CS_ID,0))</f>
        <v>..</v>
      </c>
      <c r="T45" s="417" t="s">
        <v>484</v>
      </c>
      <c r="U45" s="408"/>
      <c r="V45" s="3109"/>
      <c r="W45" s="3110"/>
      <c r="X45" s="3110"/>
      <c r="Y45" s="3110"/>
      <c r="Z45" s="3110"/>
      <c r="AA45" s="3110"/>
      <c r="AB45" s="3110"/>
      <c r="AC45" s="3111"/>
      <c r="AD45" s="3109" t="str">
        <f>INDEX(PT_DIFFERENTIATION_CS,MATCH(C45,PT_DIFFERENTIATION_CS_ID,0))</f>
        <v/>
      </c>
      <c r="AE45" s="3110"/>
      <c r="AF45" s="3110"/>
      <c r="AG45" s="3110"/>
      <c r="AH45" s="3110"/>
      <c r="AI45" s="3110"/>
      <c r="AJ45" s="3110"/>
      <c r="AK45" s="3110"/>
      <c r="AL45" s="3111"/>
      <c r="AM45" s="1354" t="s">
        <v>485</v>
      </c>
      <c r="AO45" s="607"/>
      <c r="AP45" s="607" t="str">
        <f>IF(T45="","",T45)</f>
        <v>Наименование системы теплоснабжения </v>
      </c>
      <c r="AQ45" s="607"/>
      <c r="AR45" s="607"/>
      <c r="AS45" s="1251">
        <v>23</v>
      </c>
    </row>
    <row customHeight="1" ht="22.049999999999997">
      <c r="A46" s="1459" t="s">
        <v>248</v>
      </c>
      <c r="B46" s="1459" t="s">
        <v>249</v>
      </c>
      <c r="C46" s="1459" t="s">
        <v>250</v>
      </c>
      <c r="D46" s="1459" t="s">
        <v>251</v>
      </c>
      <c r="E46" s="3116"/>
      <c r="F46" s="3116"/>
      <c r="G46" s="3116"/>
      <c r="H46" s="3115">
        <v>1</v>
      </c>
      <c r="I46" s="1459"/>
      <c r="J46" s="1459"/>
      <c r="K46" s="1459"/>
      <c r="L46" s="1460"/>
      <c r="M46" s="1461"/>
      <c r="N46" s="1461"/>
      <c r="O46" s="1461"/>
      <c r="P46" s="461"/>
      <c r="Q46" s="459"/>
      <c r="R46" s="460"/>
      <c r="S46" s="1432" t="str">
        <f>INDEX(PT_DIFFERENTIATION_NUM_IST_TE,MATCH(D46,PT_DIFFERENTIATION_IST_TE_ID,0))</f>
        <v>...</v>
      </c>
      <c r="T46" s="418" t="s">
        <v>486</v>
      </c>
      <c r="U46" s="408"/>
      <c r="V46" s="3109"/>
      <c r="W46" s="3110"/>
      <c r="X46" s="3110"/>
      <c r="Y46" s="3110"/>
      <c r="Z46" s="3110"/>
      <c r="AA46" s="3110"/>
      <c r="AB46" s="3110"/>
      <c r="AC46" s="3111"/>
      <c r="AD46" s="3109" t="str">
        <f>INDEX(PT_DIFFERENTIATION_IST_TE,MATCH(D46,PT_DIFFERENTIATION_IST_TE_ID,0))</f>
        <v/>
      </c>
      <c r="AE46" s="3110"/>
      <c r="AF46" s="3110"/>
      <c r="AG46" s="3110"/>
      <c r="AH46" s="3110"/>
      <c r="AI46" s="3110"/>
      <c r="AJ46" s="3110"/>
      <c r="AK46" s="3110"/>
      <c r="AL46" s="3111"/>
      <c r="AM46" s="1354" t="s">
        <v>487</v>
      </c>
      <c r="AO46" s="607"/>
      <c r="AP46" s="607" t="str">
        <f>IF(T46="","",T46)</f>
        <v>Источник тепловой энергии  </v>
      </c>
      <c r="AQ46" s="607"/>
      <c r="AR46" s="607"/>
      <c r="AS46" s="1251">
        <v>21</v>
      </c>
    </row>
    <row customHeight="1" ht="49.5">
      <c r="A47" s="1459" t="s">
        <v>248</v>
      </c>
      <c r="B47" s="1459" t="s">
        <v>249</v>
      </c>
      <c r="C47" s="1459" t="s">
        <v>250</v>
      </c>
      <c r="D47" s="1459" t="s">
        <v>251</v>
      </c>
      <c r="E47" s="3116"/>
      <c r="F47" s="3116"/>
      <c r="G47" s="3116"/>
      <c r="H47" s="3116"/>
      <c r="I47" s="3117" t="str">
        <f>S46&amp;".1"</f>
        <v>....1</v>
      </c>
      <c r="J47" s="1459"/>
      <c r="K47" s="1459"/>
      <c r="L47" s="1460" t="s">
        <v>488</v>
      </c>
      <c r="P47" s="3119">
        <v>1</v>
      </c>
      <c r="Q47" s="1427"/>
      <c r="R47" s="463"/>
      <c r="S47" s="1432" t="str">
        <f>$I47</f>
        <v>....1</v>
      </c>
      <c r="T47" s="393" t="s">
        <v>489</v>
      </c>
      <c r="U47" s="408"/>
      <c r="V47" s="3103"/>
      <c r="W47" s="3104"/>
      <c r="X47" s="3104"/>
      <c r="Y47" s="3104"/>
      <c r="Z47" s="3104"/>
      <c r="AA47" s="3104"/>
      <c r="AB47" s="3104"/>
      <c r="AC47" s="3105"/>
      <c r="AD47" s="3103"/>
      <c r="AE47" s="3104"/>
      <c r="AF47" s="3104"/>
      <c r="AG47" s="3104"/>
      <c r="AH47" s="3104"/>
      <c r="AI47" s="3104"/>
      <c r="AJ47" s="3104"/>
      <c r="AK47" s="3104"/>
      <c r="AL47" s="3105"/>
      <c r="AM47" s="1354" t="s">
        <v>490</v>
      </c>
      <c r="AO47" s="607"/>
      <c r="AP47" s="607" t="str">
        <f>IF(T47="","",T47)</f>
        <v>Схема подключения теплопотребляющей установки к коллектору источника тепловой энергии</v>
      </c>
      <c r="AQ47" s="607"/>
      <c r="AR47" s="607"/>
      <c r="AS47" s="1251">
        <v>47</v>
      </c>
    </row>
    <row customHeight="1" ht="22.049999999999997">
      <c r="A48" s="1459" t="s">
        <v>248</v>
      </c>
      <c r="B48" s="1459" t="s">
        <v>249</v>
      </c>
      <c r="C48" s="1459" t="s">
        <v>250</v>
      </c>
      <c r="D48" s="1459" t="s">
        <v>251</v>
      </c>
      <c r="E48" s="3116"/>
      <c r="F48" s="3116"/>
      <c r="G48" s="3116"/>
      <c r="H48" s="3116"/>
      <c r="I48" s="3118"/>
      <c r="J48" s="3117" t="str">
        <f>I47&amp;".1"</f>
        <v>....1.1</v>
      </c>
      <c r="K48" s="1459"/>
      <c r="L48" s="1460" t="s">
        <v>491</v>
      </c>
      <c r="P48" s="3119"/>
      <c r="Q48" s="3119">
        <v>1</v>
      </c>
      <c r="R48" s="464"/>
      <c r="S48" s="1432" t="str">
        <f>$J48</f>
        <v>....1.1</v>
      </c>
      <c r="T48" s="394" t="s">
        <v>492</v>
      </c>
      <c r="U48" s="408"/>
      <c r="V48" s="3103"/>
      <c r="W48" s="3104"/>
      <c r="X48" s="3104"/>
      <c r="Y48" s="3104"/>
      <c r="Z48" s="3104"/>
      <c r="AA48" s="3104"/>
      <c r="AB48" s="3104"/>
      <c r="AC48" s="3105"/>
      <c r="AD48" s="3103"/>
      <c r="AE48" s="3104"/>
      <c r="AF48" s="3104"/>
      <c r="AG48" s="3104"/>
      <c r="AH48" s="3104"/>
      <c r="AI48" s="3104"/>
      <c r="AJ48" s="3104"/>
      <c r="AK48" s="3104"/>
      <c r="AL48" s="3105"/>
      <c r="AM48" s="1354" t="s">
        <v>493</v>
      </c>
      <c r="AO48" s="607"/>
      <c r="AP48" s="607" t="str">
        <f>IF(T48="","",T48)</f>
        <v>Группа потребителей</v>
      </c>
      <c r="AQ48" s="607"/>
      <c r="AR48" s="607"/>
      <c r="AS48" s="1251">
        <v>21</v>
      </c>
    </row>
    <row customHeight="1" ht="22.049999999999997">
      <c r="A49" s="1459" t="s">
        <v>248</v>
      </c>
      <c r="B49" s="1459" t="s">
        <v>249</v>
      </c>
      <c r="C49" s="1459" t="s">
        <v>250</v>
      </c>
      <c r="D49" s="1459" t="s">
        <v>251</v>
      </c>
      <c r="E49" s="3116"/>
      <c r="F49" s="3116"/>
      <c r="G49" s="3116"/>
      <c r="H49" s="3116"/>
      <c r="I49" s="3118"/>
      <c r="J49" s="3118"/>
      <c r="K49" s="3117" t="str">
        <f>J48&amp;".1"</f>
        <v>....1.1.1</v>
      </c>
      <c r="L49" s="1460" t="s">
        <v>494</v>
      </c>
      <c r="P49" s="3119"/>
      <c r="Q49" s="3119"/>
      <c r="R49" s="464">
        <v>1</v>
      </c>
      <c r="S49" s="1432" t="str">
        <f>$K49</f>
        <v>....1.1.1</v>
      </c>
      <c r="T49" s="1443"/>
      <c r="U49" s="408"/>
      <c r="V49" s="858"/>
      <c r="W49" s="433"/>
      <c r="X49" s="858"/>
      <c r="Y49" s="1353"/>
      <c r="Z49" s="3120"/>
      <c r="AA49" s="2989" t="s">
        <v>62</v>
      </c>
      <c r="AB49" s="3120"/>
      <c r="AC49" s="2989" t="s">
        <v>62</v>
      </c>
      <c r="AD49" s="858"/>
      <c r="AE49" s="433"/>
      <c r="AF49" s="858"/>
      <c r="AG49" s="1353"/>
      <c r="AH49" s="3120"/>
      <c r="AI49" s="2989" t="s">
        <v>62</v>
      </c>
      <c r="AJ49" s="3122"/>
      <c r="AK49" s="2989" t="s">
        <v>62</v>
      </c>
      <c r="AL49" s="1444"/>
      <c r="AM49" s="3138" t="s">
        <v>495</v>
      </c>
      <c r="AN49" s="618">
        <f>STRCHECKDATE(V50:AL50)</f>
      </c>
      <c r="AO49" s="607"/>
      <c r="AP49" s="607" t="str">
        <f>IF(T49="","",T49)</f>
        <v/>
      </c>
      <c r="AQ49" s="607"/>
      <c r="AR49" s="607"/>
      <c r="AS49" s="1251">
        <v>21</v>
      </c>
    </row>
    <row customHeight="1" ht="1.05">
      <c r="A50" s="1459" t="s">
        <v>248</v>
      </c>
      <c r="B50" s="1459" t="s">
        <v>249</v>
      </c>
      <c r="C50" s="1459" t="s">
        <v>250</v>
      </c>
      <c r="D50" s="1459" t="s">
        <v>251</v>
      </c>
      <c r="E50" s="3116"/>
      <c r="F50" s="3116"/>
      <c r="G50" s="3116"/>
      <c r="H50" s="3116"/>
      <c r="I50" s="3118"/>
      <c r="J50" s="3118"/>
      <c r="K50" s="3117"/>
      <c r="L50" s="1460"/>
      <c r="P50" s="3119"/>
      <c r="Q50" s="3119"/>
      <c r="R50" s="464"/>
      <c r="S50" s="1438"/>
      <c r="T50" s="408"/>
      <c r="U50" s="408"/>
      <c r="V50" s="433"/>
      <c r="W50" s="433"/>
      <c r="X50" s="433"/>
      <c r="Y50" s="436" t="str">
        <f>Z49&amp;"-"&amp;AB49</f>
        <v>-</v>
      </c>
      <c r="Z50" s="3121"/>
      <c r="AA50" s="2989"/>
      <c r="AB50" s="3121"/>
      <c r="AC50" s="2989"/>
      <c r="AD50" s="433"/>
      <c r="AE50" s="433"/>
      <c r="AF50" s="433"/>
      <c r="AG50" s="436" t="str">
        <f>AH49&amp;"-"&amp;AJ49</f>
        <v>-</v>
      </c>
      <c r="AH50" s="3121"/>
      <c r="AI50" s="2989"/>
      <c r="AJ50" s="3123"/>
      <c r="AK50" s="2989"/>
      <c r="AL50" s="1445"/>
      <c r="AM50" s="3139"/>
      <c r="AO50" s="607"/>
      <c r="AP50" s="607" t="str">
        <f>IF(T50="","",T50)</f>
        <v/>
      </c>
      <c r="AQ50" s="607"/>
      <c r="AR50" s="607"/>
      <c r="AS50" s="1251">
        <v>1</v>
      </c>
    </row>
    <row customHeight="1" ht="11.549999999999999">
      <c r="A51" s="1459" t="s">
        <v>248</v>
      </c>
      <c r="B51" s="1459" t="s">
        <v>249</v>
      </c>
      <c r="C51" s="1459" t="s">
        <v>250</v>
      </c>
      <c r="D51" s="1459" t="s">
        <v>251</v>
      </c>
      <c r="E51" s="3116"/>
      <c r="F51" s="3116"/>
      <c r="G51" s="3116"/>
      <c r="H51" s="3116"/>
      <c r="I51" s="3118"/>
      <c r="J51" s="3117"/>
      <c r="K51" s="1459"/>
      <c r="L51" s="1460"/>
      <c r="P51" s="3119"/>
      <c r="Q51" s="3119"/>
      <c r="R51" s="463"/>
      <c r="S51" s="1374"/>
      <c r="T51" s="396" t="s">
        <v>496</v>
      </c>
      <c r="U51" s="474"/>
      <c r="V51" s="474"/>
      <c r="W51" s="474"/>
      <c r="X51" s="474"/>
      <c r="Y51" s="474"/>
      <c r="Z51" s="474"/>
      <c r="AA51" s="474"/>
      <c r="AB51" s="474"/>
      <c r="AC51" s="474"/>
      <c r="AD51" s="474"/>
      <c r="AE51" s="474"/>
      <c r="AF51" s="474"/>
      <c r="AG51" s="474"/>
      <c r="AH51" s="474"/>
      <c r="AI51" s="474"/>
      <c r="AJ51" s="474"/>
      <c r="AK51" s="474"/>
      <c r="AL51" s="432"/>
      <c r="AM51" s="3140"/>
      <c r="AO51" s="607"/>
      <c r="AP51" s="607" t="str">
        <f>IF(T51="","",T51)</f>
        <v>Добавить вид теплоносителя (параметры теплоносителя)</v>
      </c>
      <c r="AQ51" s="607"/>
      <c r="AR51" s="607"/>
      <c r="AS51" s="1251">
        <v>11</v>
      </c>
    </row>
    <row customHeight="1" ht="11.549999999999999">
      <c r="A52" s="1459" t="s">
        <v>248</v>
      </c>
      <c r="B52" s="1459" t="s">
        <v>249</v>
      </c>
      <c r="C52" s="1459" t="s">
        <v>250</v>
      </c>
      <c r="D52" s="1459" t="s">
        <v>251</v>
      </c>
      <c r="E52" s="3116"/>
      <c r="F52" s="3116"/>
      <c r="G52" s="3116"/>
      <c r="H52" s="3116"/>
      <c r="I52" s="3117"/>
      <c r="J52" s="1459"/>
      <c r="K52" s="1459"/>
      <c r="L52" s="1460"/>
      <c r="P52" s="3119"/>
      <c r="Q52" s="1427"/>
      <c r="R52" s="463"/>
      <c r="S52" s="1374"/>
      <c r="T52" s="395" t="s">
        <v>497</v>
      </c>
      <c r="U52" s="474"/>
      <c r="V52" s="474"/>
      <c r="W52" s="474"/>
      <c r="X52" s="474"/>
      <c r="Y52" s="474"/>
      <c r="Z52" s="474"/>
      <c r="AA52" s="474"/>
      <c r="AB52" s="474"/>
      <c r="AC52" s="473"/>
      <c r="AD52" s="474"/>
      <c r="AE52" s="474"/>
      <c r="AF52" s="474"/>
      <c r="AG52" s="474"/>
      <c r="AH52" s="474"/>
      <c r="AI52" s="474"/>
      <c r="AJ52" s="474"/>
      <c r="AK52" s="473"/>
      <c r="AL52" s="474"/>
      <c r="AM52" s="411"/>
      <c r="AO52" s="607"/>
      <c r="AP52" s="607" t="str">
        <f>IF(T52="","",T52)</f>
        <v>Добавить группу потребителей</v>
      </c>
      <c r="AQ52" s="607"/>
      <c r="AR52" s="607"/>
      <c r="AS52" s="1251">
        <v>11</v>
      </c>
    </row>
    <row customHeight="1" ht="14.699999999999998">
      <c r="A53" s="1459" t="s">
        <v>248</v>
      </c>
      <c r="B53" s="1459" t="s">
        <v>249</v>
      </c>
      <c r="C53" s="1459" t="s">
        <v>250</v>
      </c>
      <c r="D53" s="1459" t="s">
        <v>251</v>
      </c>
      <c r="E53" s="3116"/>
      <c r="F53" s="3116"/>
      <c r="G53" s="3116"/>
      <c r="H53" s="3115"/>
      <c r="I53" s="1459"/>
      <c r="J53" s="1459"/>
      <c r="K53" s="1459"/>
      <c r="L53" s="1460"/>
      <c r="M53" s="1461"/>
      <c r="N53" s="1461"/>
      <c r="O53" s="644"/>
      <c r="P53" s="467"/>
      <c r="Q53" s="482"/>
      <c r="R53" s="462"/>
      <c r="S53" s="1374"/>
      <c r="T53" s="472" t="s">
        <v>498</v>
      </c>
      <c r="U53" s="474"/>
      <c r="V53" s="474"/>
      <c r="W53" s="474"/>
      <c r="X53" s="474"/>
      <c r="Y53" s="474"/>
      <c r="Z53" s="474"/>
      <c r="AA53" s="474"/>
      <c r="AB53" s="474"/>
      <c r="AC53" s="473"/>
      <c r="AD53" s="474"/>
      <c r="AE53" s="474"/>
      <c r="AF53" s="474"/>
      <c r="AG53" s="474"/>
      <c r="AH53" s="474"/>
      <c r="AI53" s="474"/>
      <c r="AJ53" s="474"/>
      <c r="AK53" s="473"/>
      <c r="AL53" s="474"/>
      <c r="AM53" s="411"/>
      <c r="AO53" s="607"/>
      <c r="AP53" s="607" t="str">
        <f>IF(T53="","",T53)</f>
        <v>Добавить схему подключения</v>
      </c>
      <c r="AQ53" s="607"/>
      <c r="AR53" s="607"/>
      <c r="AS53" s="1251">
        <v>14</v>
      </c>
    </row>
    <row s="10307" customFormat="1" customHeight="1" ht="1.05">
      <c r="A54" s="1439" t="s">
        <v>248</v>
      </c>
      <c r="B54" s="1439" t="s">
        <v>249</v>
      </c>
      <c r="C54" s="1439" t="s">
        <v>250</v>
      </c>
      <c r="D54" s="1410"/>
      <c r="E54" s="3116"/>
      <c r="F54" s="3116"/>
      <c r="G54" s="3115"/>
      <c r="H54" s="1410"/>
      <c r="I54" s="1410"/>
      <c r="J54" s="1410"/>
      <c r="K54" s="1410"/>
      <c r="L54" s="1435"/>
      <c r="M54" s="1411"/>
      <c r="N54" s="1411"/>
      <c r="P54" s="1412"/>
      <c r="Q54" s="1413"/>
      <c r="R54" s="1412"/>
      <c r="S54" s="1418"/>
      <c r="T54" s="1421" t="s">
        <v>499</v>
      </c>
      <c r="U54" s="1420"/>
      <c r="V54" s="1420"/>
      <c r="W54" s="1420"/>
      <c r="X54" s="1420"/>
      <c r="Y54" s="1420"/>
      <c r="Z54" s="1420"/>
      <c r="AA54" s="1420"/>
      <c r="AB54" s="1420"/>
      <c r="AC54" s="1420"/>
      <c r="AD54" s="1420"/>
      <c r="AE54" s="1420"/>
      <c r="AF54" s="1420"/>
      <c r="AG54" s="1420"/>
      <c r="AH54" s="1420"/>
      <c r="AI54" s="1420"/>
      <c r="AJ54" s="1420"/>
      <c r="AK54" s="1420"/>
      <c r="AL54" s="1420"/>
      <c r="AM54" s="1420"/>
      <c r="AO54" s="890"/>
      <c r="AP54" s="890" t="str">
        <f>IF(T54="","",T54)</f>
        <v>Добавить источник для дифференциации</v>
      </c>
      <c r="AQ54" s="890"/>
      <c r="AR54" s="890"/>
      <c r="AS54" s="625">
        <v>1</v>
      </c>
    </row>
    <row s="10307" customFormat="1" customHeight="1" ht="1.05">
      <c r="A55" s="1439" t="s">
        <v>248</v>
      </c>
      <c r="B55" s="1439" t="s">
        <v>249</v>
      </c>
      <c r="C55" s="1410"/>
      <c r="D55" s="1410"/>
      <c r="E55" s="3116"/>
      <c r="F55" s="3115"/>
      <c r="G55" s="1410"/>
      <c r="H55" s="1410"/>
      <c r="I55" s="1410"/>
      <c r="J55" s="1410"/>
      <c r="K55" s="1410"/>
      <c r="L55" s="1435"/>
      <c r="M55" s="1417"/>
      <c r="N55" s="1417"/>
      <c r="P55" s="1412"/>
      <c r="Q55" s="1413"/>
      <c r="R55" s="1412"/>
      <c r="S55" s="1418"/>
      <c r="T55" s="1421" t="s">
        <v>500</v>
      </c>
      <c r="U55" s="1420"/>
      <c r="V55" s="1420"/>
      <c r="W55" s="1420"/>
      <c r="X55" s="1420"/>
      <c r="Y55" s="1420"/>
      <c r="Z55" s="1420"/>
      <c r="AA55" s="1420"/>
      <c r="AB55" s="1420"/>
      <c r="AC55" s="1420"/>
      <c r="AD55" s="1420"/>
      <c r="AE55" s="1420"/>
      <c r="AF55" s="1420"/>
      <c r="AG55" s="1420"/>
      <c r="AH55" s="1420"/>
      <c r="AI55" s="1420"/>
      <c r="AJ55" s="1420"/>
      <c r="AK55" s="1420"/>
      <c r="AL55" s="1420"/>
      <c r="AM55" s="1420"/>
      <c r="AO55" s="890"/>
      <c r="AP55" s="890" t="str">
        <f>IF(T55="","",T55)</f>
        <v>Добавить централизованную систему для дифференциации</v>
      </c>
      <c r="AQ55" s="890"/>
      <c r="AR55" s="890"/>
      <c r="AS55" s="625">
        <v>1</v>
      </c>
    </row>
    <row s="10307" customFormat="1" customHeight="1" ht="1.05">
      <c r="A56" s="1439" t="s">
        <v>248</v>
      </c>
      <c r="B56" s="1439"/>
      <c r="C56" s="1439"/>
      <c r="D56" s="1439"/>
      <c r="E56" s="3115"/>
      <c r="F56" s="1439"/>
      <c r="G56" s="1439"/>
      <c r="H56" s="1439"/>
      <c r="I56" s="1439"/>
      <c r="J56" s="1439"/>
      <c r="K56" s="1439"/>
      <c r="L56" s="1442"/>
      <c r="M56" s="1417"/>
      <c r="N56" s="1417"/>
      <c r="O56" s="625"/>
      <c r="P56" s="487"/>
      <c r="Q56" s="1440"/>
      <c r="R56" s="487"/>
      <c r="S56" s="1418"/>
      <c r="T56" s="1421" t="s">
        <v>501</v>
      </c>
      <c r="U56" s="1420"/>
      <c r="V56" s="1420"/>
      <c r="W56" s="1420"/>
      <c r="X56" s="1420"/>
      <c r="Y56" s="1420"/>
      <c r="Z56" s="1420"/>
      <c r="AA56" s="1420"/>
      <c r="AB56" s="1420"/>
      <c r="AC56" s="1420"/>
      <c r="AD56" s="1420"/>
      <c r="AE56" s="1420"/>
      <c r="AF56" s="1420"/>
      <c r="AG56" s="1420"/>
      <c r="AH56" s="1420"/>
      <c r="AI56" s="1420"/>
      <c r="AJ56" s="1420"/>
      <c r="AK56" s="1420"/>
      <c r="AL56" s="1420"/>
      <c r="AM56" s="1420"/>
      <c r="AO56" s="607"/>
      <c r="AP56" s="607" t="str">
        <f>IF(T56="","",T56)</f>
        <v>Добавить территорию для дифференциации</v>
      </c>
      <c r="AQ56" s="607"/>
      <c r="AR56" s="607"/>
      <c r="AS56" s="618">
        <v>1</v>
      </c>
    </row>
    <row s="10307" customFormat="1" customHeight="1" ht="1.05">
      <c r="A57" s="1410"/>
      <c r="B57" s="1410"/>
      <c r="C57" s="1410"/>
      <c r="D57" s="1410"/>
      <c r="E57" s="1439"/>
      <c r="F57" s="1410"/>
      <c r="G57" s="1410"/>
      <c r="H57" s="1410"/>
      <c r="I57" s="1410"/>
      <c r="J57" s="1410"/>
      <c r="K57" s="1410"/>
      <c r="L57" s="1435"/>
      <c r="M57" s="1417"/>
      <c r="N57" s="1417"/>
      <c r="P57" s="1412"/>
      <c r="Q57" s="1413"/>
      <c r="R57" s="1412"/>
      <c r="S57" s="1418"/>
      <c r="T57" s="1421" t="s">
        <v>533</v>
      </c>
      <c r="U57" s="1420"/>
      <c r="V57" s="1420"/>
      <c r="W57" s="1420"/>
      <c r="X57" s="1420"/>
      <c r="Y57" s="1420"/>
      <c r="Z57" s="1420"/>
      <c r="AA57" s="1420"/>
      <c r="AB57" s="1420"/>
      <c r="AC57" s="1420"/>
      <c r="AD57" s="1420"/>
      <c r="AE57" s="1420"/>
      <c r="AF57" s="1420"/>
      <c r="AG57" s="1420"/>
      <c r="AH57" s="1420"/>
      <c r="AI57" s="1420"/>
      <c r="AJ57" s="1420"/>
      <c r="AK57" s="1420"/>
      <c r="AL57" s="1420"/>
      <c r="AM57" s="1420"/>
      <c r="AO57" s="890"/>
      <c r="AP57" s="890" t="str">
        <f>IF(T57="","",T57)</f>
        <v>Добавить наименование тарифа</v>
      </c>
      <c r="AQ57" s="890"/>
      <c r="AR57" s="890"/>
      <c r="AS57" s="625">
        <v>1</v>
      </c>
    </row>
    <row customHeight="1" ht="11.549999999999999">
      <c r="M58" s="1256"/>
      <c r="N58" s="1256"/>
      <c r="O58" s="644"/>
      <c r="P58" s="1251"/>
      <c r="Q58" s="1251"/>
      <c r="R58" s="1251"/>
      <c r="S58" s="1251"/>
      <c r="AN58" s="1251"/>
      <c r="AO58" s="1251"/>
      <c r="AP58" s="1251"/>
      <c r="AQ58" s="1251"/>
      <c r="AR58" s="1251"/>
      <c r="AS58" s="1251">
        <v>11</v>
      </c>
    </row>
    <row customHeight="1" ht="28.5">
      <c r="O59" s="644"/>
      <c r="S59" s="1349"/>
      <c r="T59" s="3114"/>
      <c r="U59" s="3114"/>
      <c r="V59" s="3114"/>
      <c r="W59" s="3114"/>
      <c r="X59" s="3114"/>
      <c r="Y59" s="3114"/>
      <c r="Z59" s="3114"/>
      <c r="AA59" s="3114"/>
      <c r="AB59" s="3114"/>
      <c r="AC59" s="3114"/>
      <c r="AD59" s="3114"/>
      <c r="AE59" s="3114"/>
      <c r="AF59" s="3114"/>
      <c r="AG59" s="3114"/>
      <c r="AH59" s="3114"/>
      <c r="AI59" s="3114"/>
      <c r="AJ59" s="3114"/>
      <c r="AK59" s="3114"/>
      <c r="AL59" s="3114"/>
      <c r="AM59" s="3114"/>
      <c r="AS59" s="1251">
        <v>27</v>
      </c>
    </row>
    <row customHeight="1" ht="65.25">
      <c r="O60" s="644"/>
      <c r="T60" s="3114"/>
      <c r="U60" s="3114"/>
      <c r="V60" s="3114"/>
      <c r="W60" s="3114"/>
      <c r="X60" s="3114"/>
      <c r="Y60" s="3114"/>
      <c r="Z60" s="3114"/>
      <c r="AA60" s="3114"/>
      <c r="AB60" s="3114"/>
      <c r="AC60" s="3114"/>
      <c r="AD60" s="3114"/>
      <c r="AE60" s="3114"/>
      <c r="AF60" s="3114"/>
      <c r="AG60" s="3114"/>
      <c r="AH60" s="3114"/>
      <c r="AI60" s="3114"/>
      <c r="AJ60" s="3114"/>
      <c r="AK60" s="3114"/>
      <c r="AL60" s="3114"/>
      <c r="AM60" s="3114"/>
      <c r="AS60" s="1251">
        <v>62</v>
      </c>
    </row>
    <row customHeight="1" ht="14.699999999999998">
      <c r="O61" s="644"/>
      <c r="AS61" s="1251">
        <v>14</v>
      </c>
    </row>
    <row customHeight="1" ht="18.75">
      <c r="O62" s="644"/>
      <c r="S62" s="1349"/>
      <c r="T62" s="3114"/>
      <c r="U62" s="3114"/>
      <c r="V62" s="3114"/>
      <c r="W62" s="3114"/>
      <c r="X62" s="3114"/>
      <c r="Y62" s="3114"/>
      <c r="Z62" s="3114"/>
      <c r="AA62" s="3114"/>
      <c r="AB62" s="3114"/>
      <c r="AC62" s="3114"/>
      <c r="AD62" s="3114"/>
      <c r="AE62" s="3114"/>
      <c r="AF62" s="3114"/>
      <c r="AG62" s="3114"/>
      <c r="AH62" s="3114"/>
      <c r="AI62" s="3114"/>
      <c r="AJ62" s="3114"/>
      <c r="AK62" s="3114"/>
      <c r="AL62" s="3114"/>
      <c r="AM62" s="3114"/>
      <c r="AS62" s="1251">
        <v>18</v>
      </c>
    </row>
    <row customHeight="1" ht="18.75">
      <c r="O63" s="644"/>
      <c r="T63" s="3114"/>
      <c r="U63" s="3114"/>
      <c r="V63" s="3114"/>
      <c r="W63" s="3114"/>
      <c r="X63" s="3114"/>
      <c r="Y63" s="3114"/>
      <c r="Z63" s="3114"/>
      <c r="AA63" s="3114"/>
      <c r="AB63" s="3114"/>
      <c r="AC63" s="3114"/>
      <c r="AD63" s="3114"/>
      <c r="AE63" s="3114"/>
      <c r="AF63" s="3114"/>
      <c r="AG63" s="3114"/>
      <c r="AH63" s="3114"/>
      <c r="AI63" s="3114"/>
      <c r="AJ63" s="3114"/>
      <c r="AK63" s="3114"/>
      <c r="AL63" s="3114"/>
      <c r="AM63" s="3114"/>
      <c r="AS63" s="1251">
        <v>18</v>
      </c>
    </row>
    <row customHeight="1" ht="29.25">
      <c r="O64" s="644"/>
      <c r="S64" s="1349"/>
      <c r="T64" s="3114"/>
      <c r="U64" s="3114"/>
      <c r="V64" s="3114"/>
      <c r="W64" s="3114"/>
      <c r="X64" s="3114"/>
      <c r="Y64" s="3114"/>
      <c r="Z64" s="3114"/>
      <c r="AA64" s="3114"/>
      <c r="AB64" s="3114"/>
      <c r="AC64" s="3114"/>
      <c r="AD64" s="3114"/>
      <c r="AE64" s="3114"/>
      <c r="AF64" s="3114"/>
      <c r="AG64" s="3114"/>
      <c r="AH64" s="3114"/>
      <c r="AI64" s="3114"/>
      <c r="AJ64" s="3114"/>
      <c r="AK64" s="3114"/>
      <c r="AL64" s="3114"/>
      <c r="AM64" s="3114"/>
      <c r="AS64" s="1251">
        <v>28</v>
      </c>
    </row>
    <row customHeight="1" ht="22.5" hidden="1">
      <c r="A65" s="1256" t="s">
        <v>82</v>
      </c>
      <c r="B65" s="1256">
        <v>0</v>
      </c>
      <c r="C65" s="1256">
        <v>0</v>
      </c>
      <c r="D65" s="1256">
        <v>0</v>
      </c>
      <c r="E65" s="1256">
        <v>0</v>
      </c>
      <c r="F65" s="1256">
        <v>0</v>
      </c>
      <c r="G65" s="1256">
        <v>0</v>
      </c>
      <c r="H65" s="1256">
        <v>0</v>
      </c>
      <c r="I65" s="1256">
        <v>0</v>
      </c>
      <c r="J65" s="1256">
        <v>0</v>
      </c>
      <c r="K65" s="1256">
        <v>0</v>
      </c>
      <c r="L65" s="1425">
        <v>0</v>
      </c>
      <c r="M65" s="1458">
        <v>0</v>
      </c>
      <c r="N65" s="1458">
        <v>0</v>
      </c>
      <c r="O65" s="1458">
        <v>0</v>
      </c>
      <c r="P65" s="1424">
        <v>3</v>
      </c>
      <c r="Q65" s="452">
        <v>3</v>
      </c>
      <c r="R65" s="452">
        <v>3</v>
      </c>
      <c r="S65" s="688">
        <v>12</v>
      </c>
      <c r="T65" s="1251">
        <v>31</v>
      </c>
      <c r="U65" s="1251">
        <v>0</v>
      </c>
      <c r="V65" s="1251">
        <v>0</v>
      </c>
      <c r="W65" s="1251">
        <v>0</v>
      </c>
      <c r="X65" s="1251">
        <v>0</v>
      </c>
      <c r="Y65" s="1251">
        <v>0</v>
      </c>
      <c r="Z65" s="1251">
        <v>0</v>
      </c>
      <c r="AA65" s="1251">
        <v>0</v>
      </c>
      <c r="AB65" s="1251">
        <v>0</v>
      </c>
      <c r="AC65" s="1251">
        <v>0</v>
      </c>
      <c r="AD65" s="1251">
        <v>24</v>
      </c>
      <c r="AE65" s="1251">
        <v>0</v>
      </c>
      <c r="AF65" s="1251">
        <v>24</v>
      </c>
      <c r="AG65" s="1251">
        <v>24</v>
      </c>
      <c r="AH65" s="1251">
        <v>11</v>
      </c>
      <c r="AI65" s="1251">
        <v>3</v>
      </c>
      <c r="AJ65" s="1251">
        <v>11</v>
      </c>
      <c r="AK65" s="1251">
        <v>0</v>
      </c>
      <c r="AL65" s="1251">
        <v>4</v>
      </c>
      <c r="AM65" s="1251">
        <v>115</v>
      </c>
      <c r="AN65" s="618">
        <v>10</v>
      </c>
      <c r="AO65" s="618">
        <v>10</v>
      </c>
      <c r="AP65" s="618">
        <v>10</v>
      </c>
      <c r="AQ65" s="618">
        <v>10</v>
      </c>
      <c r="AR65" s="618">
        <v>10</v>
      </c>
      <c r="AS65" s="1251">
        <v>23</v>
      </c>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CDDA8-8995-D7A9-8733-50976054D28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232" width="10.57421875" hidden="1"/>
    <col min="2" max="2" style="10232" width="11.00390625" hidden="1" customWidth="1"/>
    <col min="3" max="3" style="10232" width="10.57421875" hidden="1"/>
    <col min="4" max="4" style="10232" width="11.8515625" hidden="1" customWidth="1"/>
    <col min="5" max="5" style="10232" width="10.00390625" hidden="1" customWidth="1"/>
    <col min="6" max="6" style="10232" width="8.7109375" hidden="1" customWidth="1"/>
    <col min="7" max="7" style="10232" width="7.57421875" hidden="1" customWidth="1"/>
    <col min="8" max="8" style="10232" width="11.421875" hidden="1" customWidth="1"/>
    <col min="9" max="9" style="10232" width="12.00390625" hidden="1" customWidth="1"/>
    <col min="10" max="10" style="10232" width="9.8515625" hidden="1" customWidth="1"/>
    <col min="11" max="11" style="10232" width="11.421875" hidden="1" customWidth="1"/>
    <col min="12" max="12" style="10304" width="19.140625" hidden="1" customWidth="1"/>
    <col min="13" max="14" style="11081" width="12.28125" hidden="1" customWidth="1"/>
    <col min="15" max="15" style="11081" width="23.421875" hidden="1" customWidth="1"/>
    <col min="16" max="16" style="11081" width="3.00390625" customWidth="1"/>
    <col min="17" max="18" style="11082" width="3.00390625" customWidth="1"/>
    <col min="19" max="19" style="11083" width="12.00390625" customWidth="1"/>
    <col min="20" max="20" style="10232" width="31.00390625" customWidth="1"/>
    <col min="21" max="21" style="10232" width="0.140625" customWidth="1"/>
    <col min="22" max="22" style="10232" width="24.7109375" hidden="1" customWidth="1"/>
    <col min="23" max="23" style="10232" width="0.140625" hidden="1" customWidth="1"/>
    <col min="24" max="25" style="10232" width="24.7109375" hidden="1" customWidth="1"/>
    <col min="26" max="26" style="10232" width="11.7109375" hidden="1" customWidth="1"/>
    <col min="27" max="27" style="10232" width="3.7109375" hidden="1" customWidth="1"/>
    <col min="28" max="28" style="10232" width="11.7109375" hidden="1" customWidth="1"/>
    <col min="29" max="29" style="10232" width="8.57421875" hidden="1" customWidth="1"/>
    <col min="30" max="30" style="10232" width="24.7109375" customWidth="1"/>
    <col min="31" max="31" style="10232" width="0.140625" customWidth="1"/>
    <col min="32" max="33" style="10232" width="24.00390625" customWidth="1"/>
    <col min="34" max="34" style="10232" width="11.00390625" customWidth="1"/>
    <col min="35" max="35" style="10232" width="3.7109375" customWidth="1"/>
    <col min="36" max="36" style="10232" width="11.00390625" customWidth="1"/>
    <col min="37" max="37" style="10232" width="8.57421875" hidden="1" customWidth="1"/>
    <col min="38" max="38" style="10232" width="4.00390625" customWidth="1"/>
    <col min="39" max="39" style="10232" width="115.00390625" customWidth="1"/>
    <col min="40" max="44" style="10307" width="10.00390625" customWidth="1"/>
    <col min="45" max="45" style="10232" width="10.57421875" hidden="1"/>
  </cols>
  <sheetData>
    <row customHeight="1" ht="22.5" hidden="1">
      <c r="AS1" s="1727" t="s">
        <v>14</v>
      </c>
    </row>
    <row customHeight="1" ht="21" hidden="1">
      <c r="A2" s="1363"/>
      <c r="B2" s="1363"/>
      <c r="C2" s="1363"/>
      <c r="D2" s="1363"/>
      <c r="E2" s="3141">
        <v>1</v>
      </c>
      <c r="F2" s="1363"/>
      <c r="G2" s="1363"/>
      <c r="H2" s="1363"/>
      <c r="I2" s="1363"/>
      <c r="J2" s="1363"/>
      <c r="K2" s="1363"/>
      <c r="L2" s="1406"/>
      <c r="M2" s="1706"/>
      <c r="N2" s="1706"/>
      <c r="O2" s="1706"/>
      <c r="P2" s="1686"/>
      <c r="Q2" s="467"/>
      <c r="R2" s="462"/>
      <c r="S2" s="2049">
        <f>INDEX(PT_DIFFERENTIATION_NUM_NTAR,MATCH(A2,PT_DIFFERENTIATION_NTAR_ID,0))</f>
      </c>
      <c r="T2" s="1621" t="s">
        <v>210</v>
      </c>
      <c r="U2" s="408"/>
      <c r="V2" s="3109"/>
      <c r="W2" s="3110"/>
      <c r="X2" s="3110"/>
      <c r="Y2" s="3110"/>
      <c r="Z2" s="3110"/>
      <c r="AA2" s="3110"/>
      <c r="AB2" s="3110"/>
      <c r="AC2" s="3111"/>
      <c r="AD2" s="3109">
        <f>INDEX(PT_DIFFERENTIATION_NTAR,MATCH(A2,PT_DIFFERENTIATION_NTAR_ID,0))</f>
      </c>
      <c r="AE2" s="3110"/>
      <c r="AF2" s="3110"/>
      <c r="AG2" s="3110"/>
      <c r="AH2" s="3110"/>
      <c r="AI2" s="3110"/>
      <c r="AJ2" s="3110"/>
      <c r="AK2" s="3110"/>
      <c r="AL2" s="3111"/>
      <c r="AM2" s="1354" t="s">
        <v>481</v>
      </c>
      <c r="AO2" s="1720"/>
      <c r="AP2" s="1720" t="str">
        <f>IF(T2="","",T2)</f>
        <v>Наименование тарифа</v>
      </c>
      <c r="AQ2" s="1720"/>
      <c r="AR2" s="1720"/>
      <c r="AS2" s="1727">
        <v>0</v>
      </c>
    </row>
    <row customHeight="1" ht="21" hidden="1">
      <c r="A3" s="1363"/>
      <c r="B3" s="1363"/>
      <c r="C3" s="1363"/>
      <c r="D3" s="1363"/>
      <c r="E3" s="3142"/>
      <c r="F3" s="3141">
        <v>1</v>
      </c>
      <c r="G3" s="1363"/>
      <c r="H3" s="1363"/>
      <c r="I3" s="1363"/>
      <c r="J3" s="1363"/>
      <c r="K3" s="1363"/>
      <c r="L3" s="1406"/>
      <c r="M3" s="1706"/>
      <c r="N3" s="1706"/>
      <c r="O3" s="1706"/>
      <c r="P3" s="2031"/>
      <c r="Q3" s="459"/>
      <c r="R3" s="460"/>
      <c r="S3" s="2049">
        <f>INDEX(PT_DIFFERENTIATION_NUM_TER,MATCH(B3,PT_DIFFERENTIATION_TER_ID,0))</f>
      </c>
      <c r="T3" s="1618" t="s">
        <v>482</v>
      </c>
      <c r="U3" s="408"/>
      <c r="V3" s="3109"/>
      <c r="W3" s="3110"/>
      <c r="X3" s="3110"/>
      <c r="Y3" s="3110"/>
      <c r="Z3" s="3110"/>
      <c r="AA3" s="3110"/>
      <c r="AB3" s="3110"/>
      <c r="AC3" s="3111"/>
      <c r="AD3" s="3109">
        <f>INDEX(PT_DIFFERENTIATION_TER,MATCH(B3,PT_DIFFERENTIATION_TER_ID,0))</f>
      </c>
      <c r="AE3" s="3110"/>
      <c r="AF3" s="3110"/>
      <c r="AG3" s="3110"/>
      <c r="AH3" s="3110"/>
      <c r="AI3" s="3110"/>
      <c r="AJ3" s="3110"/>
      <c r="AK3" s="3110"/>
      <c r="AL3" s="3111"/>
      <c r="AM3" s="1354" t="s">
        <v>483</v>
      </c>
      <c r="AO3" s="1720"/>
      <c r="AP3" s="1720" t="str">
        <f>IF(T3="","",T3)</f>
        <v>Территория действия тарифа</v>
      </c>
      <c r="AQ3" s="1720"/>
      <c r="AR3" s="1720"/>
      <c r="AS3" s="1727">
        <v>0</v>
      </c>
    </row>
    <row customHeight="1" ht="23.25" hidden="1">
      <c r="A4" s="1363"/>
      <c r="B4" s="1363"/>
      <c r="C4" s="1363"/>
      <c r="D4" s="1363"/>
      <c r="E4" s="3142"/>
      <c r="F4" s="3142"/>
      <c r="G4" s="3141">
        <v>1</v>
      </c>
      <c r="H4" s="1363"/>
      <c r="I4" s="1363"/>
      <c r="J4" s="1363"/>
      <c r="K4" s="1363"/>
      <c r="L4" s="1406"/>
      <c r="M4" s="1706"/>
      <c r="N4" s="1706"/>
      <c r="O4" s="1706"/>
      <c r="P4" s="461"/>
      <c r="Q4" s="459"/>
      <c r="R4" s="460"/>
      <c r="S4" s="2049">
        <f>INDEX(PT_DIFFERENTIATION_NUM_CS,MATCH(C4,PT_DIFFERENTIATION_CS_ID,0))</f>
      </c>
      <c r="T4" s="417" t="s">
        <v>484</v>
      </c>
      <c r="U4" s="408"/>
      <c r="V4" s="3109"/>
      <c r="W4" s="3110"/>
      <c r="X4" s="3110"/>
      <c r="Y4" s="3110"/>
      <c r="Z4" s="3110"/>
      <c r="AA4" s="3110"/>
      <c r="AB4" s="3110"/>
      <c r="AC4" s="3111"/>
      <c r="AD4" s="3109">
        <f>INDEX(PT_DIFFERENTIATION_CS,MATCH(C4,PT_DIFFERENTIATION_CS_ID,0))</f>
      </c>
      <c r="AE4" s="3110"/>
      <c r="AF4" s="3110"/>
      <c r="AG4" s="3110"/>
      <c r="AH4" s="3110"/>
      <c r="AI4" s="3110"/>
      <c r="AJ4" s="3110"/>
      <c r="AK4" s="3110"/>
      <c r="AL4" s="3111"/>
      <c r="AM4" s="1354" t="s">
        <v>485</v>
      </c>
      <c r="AO4" s="1720"/>
      <c r="AP4" s="1720" t="str">
        <f>IF(T4="","",T4)</f>
        <v>Наименование системы теплоснабжения </v>
      </c>
      <c r="AQ4" s="1720"/>
      <c r="AR4" s="1720"/>
      <c r="AS4" s="1727">
        <v>0</v>
      </c>
    </row>
    <row customHeight="1" ht="21" hidden="1">
      <c r="A5" s="1363"/>
      <c r="B5" s="1363"/>
      <c r="C5" s="1363"/>
      <c r="D5" s="1363"/>
      <c r="E5" s="3142"/>
      <c r="F5" s="3142"/>
      <c r="G5" s="3142"/>
      <c r="H5" s="3141">
        <v>1</v>
      </c>
      <c r="I5" s="1363"/>
      <c r="J5" s="1363"/>
      <c r="K5" s="1363"/>
      <c r="L5" s="1406"/>
      <c r="M5" s="1706"/>
      <c r="N5" s="1706"/>
      <c r="O5" s="1706"/>
      <c r="P5" s="461"/>
      <c r="Q5" s="459"/>
      <c r="R5" s="460"/>
      <c r="S5" s="2049">
        <f>INDEX(PT_DIFFERENTIATION_NUM_IST_TE,MATCH(D5,PT_DIFFERENTIATION_IST_TE_ID,0))</f>
      </c>
      <c r="T5" s="418" t="s">
        <v>486</v>
      </c>
      <c r="U5" s="408"/>
      <c r="V5" s="3109"/>
      <c r="W5" s="3110"/>
      <c r="X5" s="3110"/>
      <c r="Y5" s="3110"/>
      <c r="Z5" s="3110"/>
      <c r="AA5" s="3110"/>
      <c r="AB5" s="3110"/>
      <c r="AC5" s="3111"/>
      <c r="AD5" s="3109">
        <f>INDEX(PT_DIFFERENTIATION_IST_TE,MATCH(D5,PT_DIFFERENTIATION_IST_TE_ID,0))</f>
      </c>
      <c r="AE5" s="3110"/>
      <c r="AF5" s="3110"/>
      <c r="AG5" s="3110"/>
      <c r="AH5" s="3110"/>
      <c r="AI5" s="3110"/>
      <c r="AJ5" s="3110"/>
      <c r="AK5" s="3110"/>
      <c r="AL5" s="3111"/>
      <c r="AM5" s="1354" t="s">
        <v>487</v>
      </c>
      <c r="AO5" s="1720"/>
      <c r="AP5" s="1720" t="str">
        <f>IF(T5="","",T5)</f>
        <v>Источник тепловой энергии  </v>
      </c>
      <c r="AQ5" s="1720"/>
      <c r="AR5" s="1720"/>
      <c r="AS5" s="1727">
        <v>0</v>
      </c>
    </row>
    <row customHeight="1" ht="47.25" hidden="1">
      <c r="A6" s="1363"/>
      <c r="B6" s="1363"/>
      <c r="C6" s="1363"/>
      <c r="D6" s="1363"/>
      <c r="E6" s="3142"/>
      <c r="F6" s="3142"/>
      <c r="G6" s="3142"/>
      <c r="H6" s="3142"/>
      <c r="I6" s="2978">
        <f>S5&amp;".1"</f>
      </c>
      <c r="J6" s="1363"/>
      <c r="K6" s="1363"/>
      <c r="L6" s="1406" t="s">
        <v>488</v>
      </c>
      <c r="M6" s="1731"/>
      <c r="P6" s="3119">
        <v>1</v>
      </c>
      <c r="Q6" s="2045"/>
      <c r="R6" s="463"/>
      <c r="S6" s="2049">
        <f>$I6</f>
      </c>
      <c r="T6" s="393" t="s">
        <v>489</v>
      </c>
      <c r="U6" s="408"/>
      <c r="V6" s="3103"/>
      <c r="W6" s="3104"/>
      <c r="X6" s="3104"/>
      <c r="Y6" s="3104"/>
      <c r="Z6" s="3104"/>
      <c r="AA6" s="3104"/>
      <c r="AB6" s="3104"/>
      <c r="AC6" s="3105"/>
      <c r="AD6" s="3103"/>
      <c r="AE6" s="3104"/>
      <c r="AF6" s="3104"/>
      <c r="AG6" s="3104"/>
      <c r="AH6" s="3104"/>
      <c r="AI6" s="3104"/>
      <c r="AJ6" s="3104"/>
      <c r="AK6" s="3104"/>
      <c r="AL6" s="3105"/>
      <c r="AM6" s="1354" t="s">
        <v>490</v>
      </c>
      <c r="AO6" s="1720"/>
      <c r="AP6" s="1720" t="str">
        <f>IF(T6="","",T6)</f>
        <v>Схема подключения теплопотребляющей установки к коллектору источника тепловой энергии</v>
      </c>
      <c r="AQ6" s="1720"/>
      <c r="AR6" s="1720"/>
      <c r="AS6" s="1727">
        <v>0</v>
      </c>
    </row>
    <row customHeight="1" ht="21" hidden="1">
      <c r="A7" s="1363"/>
      <c r="B7" s="1363"/>
      <c r="C7" s="1363"/>
      <c r="D7" s="1363"/>
      <c r="E7" s="3142"/>
      <c r="F7" s="3142"/>
      <c r="G7" s="3142"/>
      <c r="H7" s="3142"/>
      <c r="I7" s="2959"/>
      <c r="J7" s="2978">
        <f>I6&amp;".1"</f>
      </c>
      <c r="K7" s="1363"/>
      <c r="L7" s="1406" t="s">
        <v>491</v>
      </c>
      <c r="M7" s="1731"/>
      <c r="N7" s="1727"/>
      <c r="P7" s="3119"/>
      <c r="Q7" s="3119">
        <v>1</v>
      </c>
      <c r="R7" s="464"/>
      <c r="S7" s="2049">
        <f>$J7</f>
      </c>
      <c r="T7" s="394" t="s">
        <v>492</v>
      </c>
      <c r="U7" s="408"/>
      <c r="V7" s="3103"/>
      <c r="W7" s="3104"/>
      <c r="X7" s="3104"/>
      <c r="Y7" s="3104"/>
      <c r="Z7" s="3104"/>
      <c r="AA7" s="3104"/>
      <c r="AB7" s="3104"/>
      <c r="AC7" s="3105"/>
      <c r="AD7" s="3103"/>
      <c r="AE7" s="3104"/>
      <c r="AF7" s="3104"/>
      <c r="AG7" s="3104"/>
      <c r="AH7" s="3104"/>
      <c r="AI7" s="3104"/>
      <c r="AJ7" s="3104"/>
      <c r="AK7" s="3104"/>
      <c r="AL7" s="3105"/>
      <c r="AM7" s="1354" t="s">
        <v>493</v>
      </c>
      <c r="AO7" s="1720"/>
      <c r="AP7" s="1720" t="str">
        <f>IF(T7="","",T7)</f>
        <v>Группа потребителей</v>
      </c>
      <c r="AQ7" s="1720"/>
      <c r="AR7" s="1720"/>
      <c r="AS7" s="1727">
        <v>0</v>
      </c>
    </row>
    <row customHeight="1" ht="21" hidden="1">
      <c r="A8" s="1363"/>
      <c r="B8" s="1363"/>
      <c r="C8" s="1363"/>
      <c r="D8" s="1363"/>
      <c r="E8" s="3142"/>
      <c r="F8" s="3142"/>
      <c r="G8" s="3142"/>
      <c r="H8" s="3142"/>
      <c r="I8" s="2959"/>
      <c r="J8" s="2959"/>
      <c r="K8" s="2978">
        <f>J7&amp;".1"</f>
      </c>
      <c r="L8" s="1406" t="s">
        <v>494</v>
      </c>
      <c r="M8" s="1731"/>
      <c r="N8" s="1727"/>
      <c r="O8" s="1727"/>
      <c r="P8" s="3119"/>
      <c r="Q8" s="3119"/>
      <c r="R8" s="464">
        <v>1</v>
      </c>
      <c r="S8" s="2049">
        <f>$K8</f>
      </c>
      <c r="T8" s="1443"/>
      <c r="U8" s="408"/>
      <c r="V8" s="858"/>
      <c r="W8" s="433"/>
      <c r="X8" s="858"/>
      <c r="Y8" s="1353"/>
      <c r="Z8" s="3120"/>
      <c r="AA8" s="2989" t="s">
        <v>62</v>
      </c>
      <c r="AB8" s="3120"/>
      <c r="AC8" s="2989" t="s">
        <v>62</v>
      </c>
      <c r="AD8" s="858"/>
      <c r="AE8" s="433"/>
      <c r="AF8" s="858"/>
      <c r="AG8" s="1353"/>
      <c r="AH8" s="3120"/>
      <c r="AI8" s="2989" t="s">
        <v>62</v>
      </c>
      <c r="AJ8" s="3120"/>
      <c r="AK8" s="2989" t="s">
        <v>62</v>
      </c>
      <c r="AL8" s="433"/>
      <c r="AM8" s="3138" t="s">
        <v>495</v>
      </c>
      <c r="AN8" s="1732">
        <f>STRCHECKDATE(V9:AL9)</f>
      </c>
      <c r="AO8" s="1720"/>
      <c r="AP8" s="1720" t="str">
        <f>IF(T8="","",T8)</f>
        <v/>
      </c>
      <c r="AQ8" s="1720"/>
      <c r="AR8" s="1720"/>
      <c r="AS8" s="1727">
        <v>0</v>
      </c>
    </row>
    <row customHeight="1" ht="0.75" hidden="1">
      <c r="A9" s="1363"/>
      <c r="B9" s="1363"/>
      <c r="C9" s="1363"/>
      <c r="D9" s="1363"/>
      <c r="E9" s="3142"/>
      <c r="F9" s="3142"/>
      <c r="G9" s="3142"/>
      <c r="H9" s="3142"/>
      <c r="I9" s="2959"/>
      <c r="J9" s="2959"/>
      <c r="K9" s="2978"/>
      <c r="L9" s="1406"/>
      <c r="M9" s="1731"/>
      <c r="N9" s="1727"/>
      <c r="O9" s="1727"/>
      <c r="P9" s="3119"/>
      <c r="Q9" s="3119"/>
      <c r="R9" s="464"/>
      <c r="S9" s="2058"/>
      <c r="T9" s="408"/>
      <c r="U9" s="408"/>
      <c r="V9" s="433"/>
      <c r="W9" s="433"/>
      <c r="X9" s="433"/>
      <c r="Y9" s="436" t="str">
        <f>Z8&amp;"-"&amp;AB8</f>
        <v>-</v>
      </c>
      <c r="Z9" s="3121"/>
      <c r="AA9" s="2989"/>
      <c r="AB9" s="3121"/>
      <c r="AC9" s="2989"/>
      <c r="AD9" s="433"/>
      <c r="AE9" s="433"/>
      <c r="AF9" s="433"/>
      <c r="AG9" s="436" t="str">
        <f>AH8&amp;"-"&amp;AJ8</f>
        <v>-</v>
      </c>
      <c r="AH9" s="3121"/>
      <c r="AI9" s="2989"/>
      <c r="AJ9" s="3121"/>
      <c r="AK9" s="2989"/>
      <c r="AL9" s="433"/>
      <c r="AM9" s="3139"/>
      <c r="AO9" s="1720"/>
      <c r="AP9" s="1720" t="str">
        <f>IF(T9="","",T9)</f>
        <v/>
      </c>
      <c r="AQ9" s="1720"/>
      <c r="AR9" s="1720"/>
      <c r="AS9" s="1727">
        <v>0</v>
      </c>
    </row>
    <row customHeight="1" ht="15" hidden="1">
      <c r="A10" s="1363"/>
      <c r="B10" s="1363"/>
      <c r="C10" s="1363"/>
      <c r="D10" s="1363"/>
      <c r="E10" s="3142"/>
      <c r="F10" s="3142"/>
      <c r="G10" s="3142"/>
      <c r="H10" s="3142"/>
      <c r="I10" s="2959"/>
      <c r="J10" s="2978"/>
      <c r="K10" s="1363"/>
      <c r="L10" s="1406"/>
      <c r="M10" s="1731"/>
      <c r="N10" s="1727"/>
      <c r="P10" s="3119"/>
      <c r="Q10" s="3119"/>
      <c r="R10" s="463"/>
      <c r="S10" s="1374"/>
      <c r="T10" s="396" t="s">
        <v>496</v>
      </c>
      <c r="U10" s="707"/>
      <c r="V10" s="707"/>
      <c r="W10" s="707"/>
      <c r="X10" s="707"/>
      <c r="Y10" s="707"/>
      <c r="Z10" s="707"/>
      <c r="AA10" s="707"/>
      <c r="AB10" s="707"/>
      <c r="AC10" s="707"/>
      <c r="AD10" s="707"/>
      <c r="AE10" s="707"/>
      <c r="AF10" s="707"/>
      <c r="AG10" s="707"/>
      <c r="AH10" s="707"/>
      <c r="AI10" s="707"/>
      <c r="AJ10" s="707"/>
      <c r="AK10" s="707"/>
      <c r="AL10" s="432"/>
      <c r="AM10" s="3140"/>
      <c r="AO10" s="1720"/>
      <c r="AP10" s="1720" t="str">
        <f>IF(T10="","",T10)</f>
        <v>Добавить вид теплоносителя (параметры теплоносителя)</v>
      </c>
      <c r="AQ10" s="1720"/>
      <c r="AR10" s="1720"/>
      <c r="AS10" s="1727">
        <v>0</v>
      </c>
    </row>
    <row customHeight="1" ht="15" hidden="1">
      <c r="A11" s="1363"/>
      <c r="B11" s="1363"/>
      <c r="C11" s="1363"/>
      <c r="D11" s="1363"/>
      <c r="E11" s="3142"/>
      <c r="F11" s="3142"/>
      <c r="G11" s="3142"/>
      <c r="H11" s="3142"/>
      <c r="I11" s="2978"/>
      <c r="J11" s="1363"/>
      <c r="K11" s="1363"/>
      <c r="L11" s="1406"/>
      <c r="M11" s="1731"/>
      <c r="P11" s="3119"/>
      <c r="Q11" s="2045"/>
      <c r="R11" s="463"/>
      <c r="S11" s="1374"/>
      <c r="T11" s="395" t="s">
        <v>497</v>
      </c>
      <c r="U11" s="707"/>
      <c r="V11" s="707"/>
      <c r="W11" s="707"/>
      <c r="X11" s="707"/>
      <c r="Y11" s="707"/>
      <c r="Z11" s="707"/>
      <c r="AA11" s="707"/>
      <c r="AB11" s="707"/>
      <c r="AC11" s="473"/>
      <c r="AD11" s="707"/>
      <c r="AE11" s="707"/>
      <c r="AF11" s="707"/>
      <c r="AG11" s="707"/>
      <c r="AH11" s="707"/>
      <c r="AI11" s="707"/>
      <c r="AJ11" s="707"/>
      <c r="AK11" s="473"/>
      <c r="AL11" s="707"/>
      <c r="AM11" s="411"/>
      <c r="AO11" s="1720"/>
      <c r="AP11" s="1720" t="str">
        <f>IF(T11="","",T11)</f>
        <v>Добавить группу потребителей</v>
      </c>
      <c r="AQ11" s="1720"/>
      <c r="AR11" s="1720"/>
      <c r="AS11" s="1727">
        <v>0</v>
      </c>
    </row>
    <row customHeight="1" ht="14.25" hidden="1">
      <c r="A12" s="1363"/>
      <c r="B12" s="1363"/>
      <c r="C12" s="1363"/>
      <c r="D12" s="1363"/>
      <c r="E12" s="3142"/>
      <c r="F12" s="3142"/>
      <c r="G12" s="3142"/>
      <c r="H12" s="3141"/>
      <c r="I12" s="1363"/>
      <c r="J12" s="1363"/>
      <c r="K12" s="1363"/>
      <c r="L12" s="1406"/>
      <c r="M12" s="1706"/>
      <c r="N12" s="1706"/>
      <c r="O12" s="1731"/>
      <c r="P12" s="467"/>
      <c r="Q12" s="482"/>
      <c r="R12" s="462"/>
      <c r="S12" s="1374"/>
      <c r="T12" s="472" t="s">
        <v>498</v>
      </c>
      <c r="U12" s="707"/>
      <c r="V12" s="707"/>
      <c r="W12" s="707"/>
      <c r="X12" s="707"/>
      <c r="Y12" s="707"/>
      <c r="Z12" s="707"/>
      <c r="AA12" s="707"/>
      <c r="AB12" s="707"/>
      <c r="AC12" s="473"/>
      <c r="AD12" s="707"/>
      <c r="AE12" s="707"/>
      <c r="AF12" s="707"/>
      <c r="AG12" s="707"/>
      <c r="AH12" s="707"/>
      <c r="AI12" s="707"/>
      <c r="AJ12" s="707"/>
      <c r="AK12" s="473"/>
      <c r="AL12" s="707"/>
      <c r="AM12" s="411"/>
      <c r="AO12" s="1720"/>
      <c r="AP12" s="1720" t="str">
        <f>IF(T12="","",T12)</f>
        <v>Добавить схему подключения</v>
      </c>
      <c r="AQ12" s="1720"/>
      <c r="AR12" s="1720"/>
      <c r="AS12" s="1727">
        <v>0</v>
      </c>
    </row>
    <row s="10307" customFormat="1" customHeight="1" ht="0.75" hidden="1">
      <c r="A13" s="1470"/>
      <c r="B13" s="1470"/>
      <c r="C13" s="1470"/>
      <c r="D13" s="1470"/>
      <c r="E13" s="3142"/>
      <c r="F13" s="3142"/>
      <c r="G13" s="3141"/>
      <c r="H13" s="1470"/>
      <c r="I13" s="1470"/>
      <c r="J13" s="1470"/>
      <c r="K13" s="1470"/>
      <c r="L13" s="1473"/>
      <c r="M13" s="1474"/>
      <c r="N13" s="1474"/>
      <c r="O13" s="458"/>
      <c r="P13" s="1412"/>
      <c r="Q13" s="1413"/>
      <c r="R13" s="1412"/>
      <c r="S13" s="1414"/>
      <c r="T13" s="1415" t="s">
        <v>499</v>
      </c>
      <c r="U13" s="1416"/>
      <c r="V13" s="1416"/>
      <c r="W13" s="1416"/>
      <c r="X13" s="1416"/>
      <c r="Y13" s="1416"/>
      <c r="Z13" s="1416"/>
      <c r="AA13" s="1416"/>
      <c r="AB13" s="1416"/>
      <c r="AC13" s="1416"/>
      <c r="AD13" s="1416"/>
      <c r="AE13" s="1416"/>
      <c r="AF13" s="1416"/>
      <c r="AG13" s="1416"/>
      <c r="AH13" s="1416"/>
      <c r="AI13" s="1416"/>
      <c r="AJ13" s="1416"/>
      <c r="AK13" s="1416"/>
      <c r="AL13" s="1416"/>
      <c r="AM13" s="1416"/>
      <c r="AO13" s="1347"/>
      <c r="AP13" s="1347" t="str">
        <f>IF(T13="","",T13)</f>
        <v>Добавить источник для дифференциации</v>
      </c>
      <c r="AQ13" s="1347"/>
      <c r="AR13" s="1347"/>
      <c r="AS13" s="1738">
        <v>0</v>
      </c>
    </row>
    <row s="10307" customFormat="1" customHeight="1" ht="0.75" hidden="1">
      <c r="A14" s="1470"/>
      <c r="B14" s="1470"/>
      <c r="C14" s="1470"/>
      <c r="D14" s="1470"/>
      <c r="E14" s="3142"/>
      <c r="F14" s="3141"/>
      <c r="G14" s="1470"/>
      <c r="H14" s="1470"/>
      <c r="I14" s="1470"/>
      <c r="J14" s="1470"/>
      <c r="K14" s="1470"/>
      <c r="L14" s="1473"/>
      <c r="M14" s="1475"/>
      <c r="N14" s="1475"/>
      <c r="O14" s="458"/>
      <c r="P14" s="1412"/>
      <c r="Q14" s="1413"/>
      <c r="R14" s="1412"/>
      <c r="S14" s="1418"/>
      <c r="T14" s="1419" t="s">
        <v>500</v>
      </c>
      <c r="U14" s="1420"/>
      <c r="V14" s="1420"/>
      <c r="W14" s="1420"/>
      <c r="X14" s="1420"/>
      <c r="Y14" s="1420"/>
      <c r="Z14" s="1420"/>
      <c r="AA14" s="1420"/>
      <c r="AB14" s="1420"/>
      <c r="AC14" s="1420"/>
      <c r="AD14" s="1420"/>
      <c r="AE14" s="1420"/>
      <c r="AF14" s="1420"/>
      <c r="AG14" s="1420"/>
      <c r="AH14" s="1420"/>
      <c r="AI14" s="1420"/>
      <c r="AJ14" s="1420"/>
      <c r="AK14" s="1420"/>
      <c r="AL14" s="1420"/>
      <c r="AM14" s="1420"/>
      <c r="AO14" s="1347"/>
      <c r="AP14" s="1347" t="str">
        <f>IF(T14="","",T14)</f>
        <v>Добавить централизованную систему для дифференциации</v>
      </c>
      <c r="AQ14" s="1347"/>
      <c r="AR14" s="1347"/>
      <c r="AS14" s="1738">
        <v>0</v>
      </c>
    </row>
    <row s="10307" customFormat="1" customHeight="1" ht="0.75" hidden="1">
      <c r="A15" s="1470"/>
      <c r="B15" s="1470"/>
      <c r="C15" s="1470"/>
      <c r="D15" s="1470"/>
      <c r="E15" s="3141"/>
      <c r="F15" s="1470"/>
      <c r="G15" s="1470"/>
      <c r="H15" s="1470"/>
      <c r="I15" s="1470"/>
      <c r="J15" s="1470"/>
      <c r="K15" s="1470"/>
      <c r="L15" s="1473"/>
      <c r="M15" s="1475"/>
      <c r="N15" s="1475"/>
      <c r="O15" s="458"/>
      <c r="P15" s="1412"/>
      <c r="Q15" s="1413"/>
      <c r="R15" s="1412"/>
      <c r="S15" s="1418"/>
      <c r="T15" s="1421" t="s">
        <v>501</v>
      </c>
      <c r="U15" s="1420"/>
      <c r="V15" s="1420"/>
      <c r="W15" s="1420"/>
      <c r="X15" s="1420"/>
      <c r="Y15" s="1420"/>
      <c r="Z15" s="1420"/>
      <c r="AA15" s="1420"/>
      <c r="AB15" s="1420"/>
      <c r="AC15" s="1420"/>
      <c r="AD15" s="1420"/>
      <c r="AE15" s="1420"/>
      <c r="AF15" s="1420"/>
      <c r="AG15" s="1420"/>
      <c r="AH15" s="1420"/>
      <c r="AI15" s="1420"/>
      <c r="AJ15" s="1420"/>
      <c r="AK15" s="1420"/>
      <c r="AL15" s="1420"/>
      <c r="AM15" s="1420"/>
      <c r="AO15" s="1347"/>
      <c r="AP15" s="1347" t="str">
        <f>IF(T15="","",T15)</f>
        <v>Добавить территорию для дифференциации</v>
      </c>
      <c r="AQ15" s="1347"/>
      <c r="AR15" s="1347"/>
      <c r="AS15" s="1738">
        <v>0</v>
      </c>
    </row>
    <row customHeight="1" ht="14.25" hidden="1">
      <c r="AS16" s="1727">
        <v>0</v>
      </c>
    </row>
    <row customHeight="1" ht="14.25" hidden="1">
      <c r="AD17" s="1456"/>
      <c r="AE17" s="1456"/>
      <c r="AF17" s="1456"/>
      <c r="AG17" s="1457"/>
      <c r="AH17" s="3113"/>
      <c r="AI17" s="3112" t="s">
        <v>62</v>
      </c>
      <c r="AJ17" s="3113"/>
      <c r="AK17" s="3112" t="s">
        <v>62</v>
      </c>
      <c r="AS17" s="1727">
        <v>0</v>
      </c>
    </row>
    <row customHeight="1" ht="14.25" hidden="1">
      <c r="AD18" s="1456"/>
      <c r="AE18" s="1456"/>
      <c r="AF18" s="1456"/>
      <c r="AG18" s="436" t="str">
        <f>AH17&amp;"-"&amp;AJ17</f>
        <v>-</v>
      </c>
      <c r="AH18" s="3112"/>
      <c r="AI18" s="3112"/>
      <c r="AJ18" s="3112"/>
      <c r="AK18" s="3112"/>
      <c r="AS18" s="1727">
        <v>0</v>
      </c>
    </row>
    <row customHeight="1" ht="14.25" hidden="1">
      <c r="AS19" s="1727">
        <v>0</v>
      </c>
    </row>
    <row s="10306" customFormat="1" customHeight="1" ht="22.5" hidden="1">
      <c r="A20" s="1727"/>
      <c r="B20" s="1727"/>
      <c r="C20" s="1727"/>
      <c r="D20" s="1727"/>
      <c r="E20" s="1727"/>
      <c r="F20" s="1727"/>
      <c r="G20" s="1727"/>
      <c r="H20" s="1727"/>
      <c r="I20" s="1727"/>
      <c r="J20" s="1727"/>
      <c r="K20" s="1727"/>
      <c r="L20" s="2030"/>
      <c r="M20" s="2056"/>
      <c r="N20" s="2056"/>
      <c r="O20" s="1441" t="s">
        <v>502</v>
      </c>
      <c r="P20" s="1458"/>
      <c r="Q20" s="1467"/>
      <c r="R20" s="1467"/>
      <c r="S20" s="836"/>
      <c r="Z20" s="1463"/>
      <c r="AB20" s="1463"/>
      <c r="AH20" s="1463"/>
      <c r="AJ20" s="1463"/>
      <c r="AN20" s="1732"/>
      <c r="AO20" s="1732"/>
      <c r="AP20" s="1732"/>
      <c r="AQ20" s="1732"/>
      <c r="AR20" s="1732"/>
      <c r="AS20" s="1462">
        <v>0</v>
      </c>
    </row>
    <row s="10306" customFormat="1" customHeight="1" ht="14.25" hidden="1">
      <c r="A21" s="1727"/>
      <c r="B21" s="1727"/>
      <c r="C21" s="1727"/>
      <c r="D21" s="1727"/>
      <c r="E21" s="1727"/>
      <c r="F21" s="1727"/>
      <c r="G21" s="1727"/>
      <c r="H21" s="1727"/>
      <c r="I21" s="1727"/>
      <c r="J21" s="1727"/>
      <c r="K21" s="1727"/>
      <c r="L21" s="2030"/>
      <c r="M21" s="2056"/>
      <c r="N21" s="2056"/>
      <c r="O21" s="2056"/>
      <c r="P21" s="1458"/>
      <c r="Q21" s="1467"/>
      <c r="R21" s="1467"/>
      <c r="S21" s="836"/>
      <c r="AN21" s="1732"/>
      <c r="AO21" s="1732"/>
      <c r="AP21" s="1732"/>
      <c r="AQ21" s="1732"/>
      <c r="AR21" s="1732"/>
      <c r="AS21" s="1462">
        <v>0</v>
      </c>
    </row>
    <row s="10306" customFormat="1" customHeight="1" ht="14.25" hidden="1">
      <c r="A22" s="1727"/>
      <c r="B22" s="1727"/>
      <c r="C22" s="1727"/>
      <c r="D22" s="1727"/>
      <c r="E22" s="1727"/>
      <c r="F22" s="1727"/>
      <c r="G22" s="1727"/>
      <c r="H22" s="1727"/>
      <c r="I22" s="1727"/>
      <c r="J22" s="1727"/>
      <c r="K22" s="1727"/>
      <c r="L22" s="2030"/>
      <c r="M22" s="2056"/>
      <c r="N22" s="2056"/>
      <c r="O22" s="1406" t="s">
        <v>503</v>
      </c>
      <c r="P22" s="1458"/>
      <c r="Q22" s="1467"/>
      <c r="R22" s="1467"/>
      <c r="S22" s="836"/>
      <c r="T22" s="1462" t="s">
        <v>504</v>
      </c>
      <c r="AA22" s="702" t="s">
        <v>505</v>
      </c>
      <c r="AC22" s="702" t="s">
        <v>506</v>
      </c>
      <c r="AD22" s="1462" t="s">
        <v>504</v>
      </c>
      <c r="AI22" s="702" t="s">
        <v>507</v>
      </c>
      <c r="AK22" s="702" t="s">
        <v>506</v>
      </c>
      <c r="AN22" s="1732"/>
      <c r="AO22" s="1732"/>
      <c r="AP22" s="1732"/>
      <c r="AQ22" s="1732"/>
      <c r="AR22" s="1732"/>
      <c r="AS22" s="1462">
        <v>0</v>
      </c>
    </row>
    <row customHeight="1" ht="14.25" hidden="1">
      <c r="O23" s="1406"/>
      <c r="AS23" s="1727">
        <v>0</v>
      </c>
    </row>
    <row customHeight="1" ht="14.25" hidden="1">
      <c r="O24" s="1406"/>
      <c r="AS24" s="1727">
        <v>0</v>
      </c>
    </row>
    <row customHeight="1" ht="14.699999999999998">
      <c r="Q25" s="483"/>
      <c r="R25" s="483"/>
      <c r="S25" s="1371"/>
      <c r="T25" s="564"/>
      <c r="U25" s="564"/>
      <c r="AS25" s="1727">
        <v>14</v>
      </c>
    </row>
    <row customHeight="1" ht="14.699999999999998">
      <c r="Q26" s="483"/>
      <c r="R26" s="483"/>
      <c r="S26" s="30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96"/>
      <c r="U26" s="3096"/>
      <c r="V26" s="3096"/>
      <c r="W26" s="3096"/>
      <c r="X26" s="3096"/>
      <c r="Y26" s="3096"/>
      <c r="Z26" s="3096"/>
      <c r="AA26" s="3096"/>
      <c r="AB26" s="3096"/>
      <c r="AC26" s="3096"/>
      <c r="AD26" s="3096"/>
      <c r="AE26" s="3096"/>
      <c r="AF26" s="3096"/>
      <c r="AG26" s="3096"/>
      <c r="AH26" s="3096"/>
      <c r="AI26" s="3096"/>
      <c r="AJ26" s="3096"/>
      <c r="AK26" s="1339"/>
      <c r="AS26" s="1727">
        <v>14</v>
      </c>
    </row>
    <row customHeight="1" ht="14.699999999999998">
      <c r="Q27" s="483"/>
      <c r="R27" s="483"/>
      <c r="S27" s="3069" t="str">
        <f>IF(org=0,"Не определено",org)</f>
        <v>АО "ДГК"</v>
      </c>
      <c r="T27" s="3069"/>
      <c r="U27" s="3069"/>
      <c r="V27" s="3069"/>
      <c r="W27" s="3069"/>
      <c r="X27" s="3069"/>
      <c r="Y27" s="3069"/>
      <c r="Z27" s="3069"/>
      <c r="AA27" s="3069"/>
      <c r="AB27" s="3069"/>
      <c r="AC27" s="3069"/>
      <c r="AD27" s="3069"/>
      <c r="AE27" s="3069"/>
      <c r="AF27" s="3069"/>
      <c r="AG27" s="3069"/>
      <c r="AH27" s="3069"/>
      <c r="AI27" s="3069"/>
      <c r="AJ27" s="3069"/>
      <c r="AK27" s="1339"/>
      <c r="AS27" s="1727">
        <v>14</v>
      </c>
    </row>
    <row customHeight="1" ht="14.25" hidden="1">
      <c r="Q28" s="483"/>
      <c r="R28" s="483"/>
      <c r="S28" s="1371"/>
      <c r="T28" s="564"/>
      <c r="U28" s="564"/>
      <c r="V28" s="430"/>
      <c r="W28" s="430"/>
      <c r="X28" s="430"/>
      <c r="Y28" s="430"/>
      <c r="Z28" s="430"/>
      <c r="AA28" s="430"/>
      <c r="AB28" s="430"/>
      <c r="AC28" s="430"/>
      <c r="AD28" s="430"/>
      <c r="AE28" s="430"/>
      <c r="AF28" s="430"/>
      <c r="AG28" s="430"/>
      <c r="AH28" s="430"/>
      <c r="AI28" s="430"/>
      <c r="AJ28" s="430"/>
      <c r="AK28" s="430"/>
      <c r="AS28" s="1727">
        <v>0</v>
      </c>
    </row>
    <row s="10446" customFormat="1" customHeight="1" ht="25.5" hidden="1">
      <c r="A29" s="1344"/>
      <c r="B29" s="1344"/>
      <c r="C29" s="1344"/>
      <c r="D29" s="1344"/>
      <c r="E29" s="1344"/>
      <c r="F29" s="1344"/>
      <c r="G29" s="1344"/>
      <c r="H29" s="1344"/>
      <c r="I29" s="1344"/>
      <c r="J29" s="1344"/>
      <c r="K29" s="1344"/>
      <c r="L29" s="1476"/>
      <c r="M29" s="1344"/>
      <c r="N29" s="1344"/>
      <c r="O29" s="1344"/>
      <c r="S29" s="3106" t="s">
        <v>41</v>
      </c>
      <c r="T29" s="3106"/>
      <c r="U29" s="1468"/>
      <c r="V29" s="3108" t="str">
        <f>IF(TITLE_NAME_OR_PR_CHANGE="",IF(TITLE_NAME_OR_PR="","",TITLE_NAME_OR_PR),TITLE_NAME_OR_PR_CHANGE)</f>
        <v/>
      </c>
      <c r="W29" s="3108"/>
      <c r="X29" s="3108"/>
      <c r="Y29" s="3108"/>
      <c r="Z29" s="3108"/>
      <c r="AA29" s="3108"/>
      <c r="AB29" s="3108"/>
      <c r="AC29" s="1731"/>
      <c r="AD29" s="3108" t="str">
        <f>IF(TITLE_NAME_OR_PR_CHANGE="",IF(TITLE_NAME_OR_PR="","",TITLE_NAME_OR_PR),TITLE_NAME_OR_PR_CHANGE)</f>
        <v/>
      </c>
      <c r="AE29" s="3108"/>
      <c r="AF29" s="3108"/>
      <c r="AG29" s="3108"/>
      <c r="AH29" s="3108"/>
      <c r="AI29" s="3108"/>
      <c r="AJ29" s="3108"/>
      <c r="AK29" s="1731"/>
      <c r="AL29" s="1731"/>
      <c r="AM29" s="388"/>
      <c r="AN29" s="475"/>
      <c r="AO29" s="475"/>
      <c r="AP29" s="475"/>
      <c r="AQ29" s="475"/>
      <c r="AR29" s="475"/>
      <c r="AS29" s="525">
        <v>0</v>
      </c>
    </row>
    <row s="10446" customFormat="1" customHeight="1" ht="18.75" hidden="1">
      <c r="A30" s="1344"/>
      <c r="B30" s="1344"/>
      <c r="C30" s="1344"/>
      <c r="D30" s="1344"/>
      <c r="E30" s="1344"/>
      <c r="F30" s="1344"/>
      <c r="G30" s="1344"/>
      <c r="H30" s="1344"/>
      <c r="I30" s="1344"/>
      <c r="J30" s="1344"/>
      <c r="K30" s="1344"/>
      <c r="L30" s="1476"/>
      <c r="M30" s="1344"/>
      <c r="N30" s="1344"/>
      <c r="O30" s="1344"/>
      <c r="S30" s="3106" t="s">
        <v>508</v>
      </c>
      <c r="T30" s="3106"/>
      <c r="U30" s="1468"/>
      <c r="V30" s="3107" t="str">
        <f>IF(TITLE_DATE_PR_CHANGE="",IF(TITLE_DATE_PR="","",TITLE_DATE_PR),TITLE_DATE_PR_CHANGE)</f>
        <v/>
      </c>
      <c r="W30" s="3107"/>
      <c r="X30" s="3107"/>
      <c r="Y30" s="3107"/>
      <c r="Z30" s="3107"/>
      <c r="AA30" s="3107"/>
      <c r="AB30" s="3107"/>
      <c r="AC30" s="1731"/>
      <c r="AD30" s="3107" t="str">
        <f>IF(TITLE_DATE_PR_CHANGE="",IF(TITLE_DATE_PR="","",TITLE_DATE_PR),TITLE_DATE_PR_CHANGE)</f>
        <v/>
      </c>
      <c r="AE30" s="3107"/>
      <c r="AF30" s="3107"/>
      <c r="AG30" s="3107"/>
      <c r="AH30" s="3107"/>
      <c r="AI30" s="3107"/>
      <c r="AJ30" s="3107"/>
      <c r="AK30" s="1731"/>
      <c r="AL30" s="1731"/>
      <c r="AM30" s="388"/>
      <c r="AN30" s="475"/>
      <c r="AO30" s="475"/>
      <c r="AP30" s="475"/>
      <c r="AQ30" s="475"/>
      <c r="AR30" s="475"/>
      <c r="AS30" s="525">
        <v>0</v>
      </c>
    </row>
    <row s="10446" customFormat="1" customHeight="1" ht="18.75" hidden="1">
      <c r="A31" s="1344"/>
      <c r="B31" s="1344"/>
      <c r="C31" s="1344"/>
      <c r="D31" s="1344"/>
      <c r="E31" s="1344"/>
      <c r="F31" s="1344"/>
      <c r="G31" s="1344"/>
      <c r="H31" s="1344"/>
      <c r="I31" s="1344"/>
      <c r="J31" s="1344"/>
      <c r="K31" s="1344"/>
      <c r="L31" s="1476"/>
      <c r="M31" s="1344"/>
      <c r="N31" s="1344"/>
      <c r="O31" s="1344"/>
      <c r="S31" s="3106" t="s">
        <v>509</v>
      </c>
      <c r="T31" s="3106"/>
      <c r="U31" s="1468"/>
      <c r="V31" s="3108" t="str">
        <f>IF(TITLE_NUMBER_PR_CHANGE="",IF(TITLE_NUMBER_PR="","",TITLE_NUMBER_PR),TITLE_NUMBER_PR_CHANGE)</f>
        <v/>
      </c>
      <c r="W31" s="3108"/>
      <c r="X31" s="3108"/>
      <c r="Y31" s="3108"/>
      <c r="Z31" s="3108"/>
      <c r="AA31" s="3108"/>
      <c r="AB31" s="3108"/>
      <c r="AC31" s="1731"/>
      <c r="AD31" s="3108" t="str">
        <f>IF(TITLE_NUMBER_PR_CHANGE="",IF(TITLE_NUMBER_PR="","",TITLE_NUMBER_PR),TITLE_NUMBER_PR_CHANGE)</f>
        <v/>
      </c>
      <c r="AE31" s="3108"/>
      <c r="AF31" s="3108"/>
      <c r="AG31" s="3108"/>
      <c r="AH31" s="3108"/>
      <c r="AI31" s="3108"/>
      <c r="AJ31" s="3108"/>
      <c r="AK31" s="1731"/>
      <c r="AL31" s="1731"/>
      <c r="AM31" s="388"/>
      <c r="AN31" s="475"/>
      <c r="AO31" s="475"/>
      <c r="AP31" s="475"/>
      <c r="AQ31" s="475"/>
      <c r="AR31" s="475"/>
      <c r="AS31" s="525">
        <v>0</v>
      </c>
    </row>
    <row s="10446" customFormat="1" customHeight="1" ht="18.75" hidden="1">
      <c r="A32" s="1344"/>
      <c r="B32" s="1344"/>
      <c r="C32" s="1344"/>
      <c r="D32" s="1344"/>
      <c r="E32" s="1344"/>
      <c r="F32" s="1344"/>
      <c r="G32" s="1344"/>
      <c r="H32" s="1344"/>
      <c r="I32" s="1344"/>
      <c r="J32" s="1344"/>
      <c r="K32" s="1344"/>
      <c r="L32" s="1476"/>
      <c r="M32" s="1344"/>
      <c r="N32" s="1344"/>
      <c r="O32" s="1344"/>
      <c r="S32" s="3106" t="s">
        <v>42</v>
      </c>
      <c r="T32" s="3106"/>
      <c r="U32" s="1468"/>
      <c r="V32" s="3108" t="str">
        <f>IF(TITLE_IST_PUB_CHANGE="",IF(TITLE_IST_PUB="","",TITLE_IST_PUB),TITLE_IST_PUB_CHANGE)</f>
        <v/>
      </c>
      <c r="W32" s="3108"/>
      <c r="X32" s="3108"/>
      <c r="Y32" s="3108"/>
      <c r="Z32" s="3108"/>
      <c r="AA32" s="3108"/>
      <c r="AB32" s="3108"/>
      <c r="AC32" s="1731"/>
      <c r="AD32" s="3108" t="str">
        <f>IF(TITLE_IST_PUB_CHANGE="",IF(TITLE_IST_PUB="","",TITLE_IST_PUB),TITLE_IST_PUB_CHANGE)</f>
        <v/>
      </c>
      <c r="AE32" s="3108"/>
      <c r="AF32" s="3108"/>
      <c r="AG32" s="3108"/>
      <c r="AH32" s="3108"/>
      <c r="AI32" s="3108"/>
      <c r="AJ32" s="3108"/>
      <c r="AK32" s="1731"/>
      <c r="AL32" s="1731"/>
      <c r="AM32" s="388"/>
      <c r="AN32" s="475"/>
      <c r="AO32" s="475"/>
      <c r="AP32" s="475"/>
      <c r="AQ32" s="475"/>
      <c r="AR32" s="475"/>
      <c r="AS32" s="525">
        <v>0</v>
      </c>
    </row>
    <row customHeight="1" ht="14.25" hidden="1">
      <c r="Q33" s="483"/>
      <c r="R33" s="483"/>
      <c r="S33" s="1371"/>
      <c r="T33" s="564"/>
      <c r="U33" s="564"/>
      <c r="V33" s="430"/>
      <c r="W33" s="430"/>
      <c r="X33" s="430"/>
      <c r="Y33" s="430"/>
      <c r="Z33" s="430"/>
      <c r="AA33" s="430"/>
      <c r="AB33" s="430"/>
      <c r="AC33" s="430"/>
      <c r="AD33" s="430"/>
      <c r="AE33" s="430"/>
      <c r="AF33" s="430"/>
      <c r="AG33" s="430"/>
      <c r="AH33" s="430"/>
      <c r="AI33" s="430"/>
      <c r="AJ33" s="430"/>
      <c r="AK33" s="430"/>
      <c r="AS33" s="1727">
        <v>0</v>
      </c>
    </row>
    <row s="10446" customFormat="1" customHeight="1" ht="18.75" hidden="1">
      <c r="A34" s="1344"/>
      <c r="B34" s="1344"/>
      <c r="C34" s="1344"/>
      <c r="D34" s="1344"/>
      <c r="E34" s="1344"/>
      <c r="F34" s="1344"/>
      <c r="G34" s="1344"/>
      <c r="H34" s="1344"/>
      <c r="I34" s="1344"/>
      <c r="J34" s="1344"/>
      <c r="K34" s="1344"/>
      <c r="L34" s="1476"/>
      <c r="M34" s="1344"/>
      <c r="N34" s="1344"/>
      <c r="O34" s="1344"/>
      <c r="S34" s="3106" t="s">
        <v>510</v>
      </c>
      <c r="T34" s="3106"/>
      <c r="U34" s="1468"/>
      <c r="V34" s="3107" t="str">
        <f>IF(TITLE_DATE_PR_CHANGE="",IF(TITLE_DATE_PR="","",TITLE_DATE_PR),TITLE_DATE_PR_CHANGE)</f>
        <v/>
      </c>
      <c r="W34" s="3107"/>
      <c r="X34" s="3107"/>
      <c r="Y34" s="3107"/>
      <c r="Z34" s="3107"/>
      <c r="AA34" s="3107"/>
      <c r="AB34" s="3107"/>
      <c r="AC34" s="1731"/>
      <c r="AD34" s="3107" t="str">
        <f>IF(TITLE_DATE_PR_CHANGE="",IF(TITLE_DATE_PR="","",TITLE_DATE_PR),TITLE_DATE_PR_CHANGE)</f>
        <v/>
      </c>
      <c r="AE34" s="3107"/>
      <c r="AF34" s="3107"/>
      <c r="AG34" s="3107"/>
      <c r="AH34" s="3107"/>
      <c r="AI34" s="3107"/>
      <c r="AJ34" s="3107"/>
      <c r="AK34" s="1731"/>
      <c r="AL34" s="1731"/>
      <c r="AM34" s="388"/>
      <c r="AN34" s="475"/>
      <c r="AO34" s="475"/>
      <c r="AP34" s="475"/>
      <c r="AQ34" s="475"/>
      <c r="AR34" s="475"/>
      <c r="AS34" s="525">
        <v>0</v>
      </c>
    </row>
    <row s="10446" customFormat="1" customHeight="1" ht="18.75" hidden="1">
      <c r="A35" s="1344"/>
      <c r="B35" s="1344"/>
      <c r="C35" s="1344"/>
      <c r="D35" s="1344"/>
      <c r="E35" s="1344"/>
      <c r="F35" s="1344"/>
      <c r="G35" s="1344"/>
      <c r="H35" s="1344"/>
      <c r="I35" s="1344"/>
      <c r="J35" s="1344"/>
      <c r="K35" s="1344"/>
      <c r="L35" s="1476"/>
      <c r="M35" s="1344"/>
      <c r="N35" s="1344"/>
      <c r="O35" s="1344"/>
      <c r="S35" s="3106" t="s">
        <v>511</v>
      </c>
      <c r="T35" s="3106"/>
      <c r="U35" s="1468"/>
      <c r="V35" s="3108" t="str">
        <f>IF(TITLE_NUMBER_PR_CHANGE="",IF(TITLE_NUMBER_PR="","",TITLE_NUMBER_PR),TITLE_NUMBER_PR_CHANGE)</f>
        <v/>
      </c>
      <c r="W35" s="3108"/>
      <c r="X35" s="3108"/>
      <c r="Y35" s="3108"/>
      <c r="Z35" s="3108"/>
      <c r="AA35" s="3108"/>
      <c r="AB35" s="3108"/>
      <c r="AC35" s="1731"/>
      <c r="AD35" s="3108" t="str">
        <f>IF(TITLE_NUMBER_PR_CHANGE="",IF(TITLE_NUMBER_PR="","",TITLE_NUMBER_PR),TITLE_NUMBER_PR_CHANGE)</f>
        <v/>
      </c>
      <c r="AE35" s="3108"/>
      <c r="AF35" s="3108"/>
      <c r="AG35" s="3108"/>
      <c r="AH35" s="3108"/>
      <c r="AI35" s="3108"/>
      <c r="AJ35" s="3108"/>
      <c r="AK35" s="1731"/>
      <c r="AL35" s="1731"/>
      <c r="AM35" s="388"/>
      <c r="AN35" s="475"/>
      <c r="AO35" s="475"/>
      <c r="AP35" s="475"/>
      <c r="AQ35" s="475"/>
      <c r="AR35" s="475"/>
      <c r="AS35" s="525">
        <v>0</v>
      </c>
    </row>
    <row s="10446" customFormat="1" customHeight="1" ht="14.25" hidden="1">
      <c r="A36" s="1344"/>
      <c r="B36" s="1344"/>
      <c r="C36" s="1344"/>
      <c r="D36" s="1344"/>
      <c r="E36" s="1344"/>
      <c r="F36" s="1344"/>
      <c r="G36" s="1344"/>
      <c r="H36" s="1344"/>
      <c r="I36" s="1344"/>
      <c r="J36" s="1344"/>
      <c r="K36" s="1344"/>
      <c r="L36" s="1476"/>
      <c r="M36" s="1344"/>
      <c r="N36" s="1344"/>
      <c r="O36" s="1344"/>
      <c r="S36" s="1731"/>
      <c r="T36" s="1731"/>
      <c r="U36" s="2061"/>
      <c r="V36" s="1731"/>
      <c r="W36" s="1731"/>
      <c r="X36" s="1731"/>
      <c r="Y36" s="1731"/>
      <c r="Z36" s="1731"/>
      <c r="AA36" s="1731"/>
      <c r="AB36" s="1731"/>
      <c r="AC36" s="1738" t="s">
        <v>512</v>
      </c>
      <c r="AD36" s="1731"/>
      <c r="AE36" s="1731"/>
      <c r="AF36" s="1731"/>
      <c r="AG36" s="1731"/>
      <c r="AH36" s="1731"/>
      <c r="AI36" s="1731"/>
      <c r="AJ36" s="1731"/>
      <c r="AK36" s="1738" t="s">
        <v>512</v>
      </c>
      <c r="AN36" s="475"/>
      <c r="AO36" s="475"/>
      <c r="AP36" s="475"/>
      <c r="AQ36" s="475"/>
      <c r="AR36" s="475"/>
      <c r="AS36" s="525">
        <v>0</v>
      </c>
    </row>
    <row customHeight="1" ht="14.699999999999998">
      <c r="Q37" s="483"/>
      <c r="R37" s="483"/>
      <c r="S37" s="1371"/>
      <c r="T37" s="564"/>
      <c r="U37" s="1340"/>
      <c r="V37" s="3127"/>
      <c r="W37" s="3127"/>
      <c r="X37" s="3127"/>
      <c r="Y37" s="3127"/>
      <c r="Z37" s="3127"/>
      <c r="AA37" s="3127"/>
      <c r="AB37" s="3127"/>
      <c r="AC37" s="3127"/>
      <c r="AD37" s="3127"/>
      <c r="AE37" s="3127"/>
      <c r="AF37" s="3127"/>
      <c r="AG37" s="3127"/>
      <c r="AH37" s="3127"/>
      <c r="AI37" s="3127"/>
      <c r="AJ37" s="3127"/>
      <c r="AK37" s="3127"/>
      <c r="AS37" s="1727">
        <v>14</v>
      </c>
    </row>
    <row customHeight="1" ht="14.699999999999998">
      <c r="Q38" s="483"/>
      <c r="R38" s="483"/>
      <c r="S38" s="2978" t="s">
        <v>385</v>
      </c>
      <c r="T38" s="2978"/>
      <c r="U38" s="2978"/>
      <c r="V38" s="2978"/>
      <c r="W38" s="2978"/>
      <c r="X38" s="2978"/>
      <c r="Y38" s="2978"/>
      <c r="Z38" s="2978"/>
      <c r="AA38" s="2978"/>
      <c r="AB38" s="2978"/>
      <c r="AC38" s="2978"/>
      <c r="AD38" s="2978"/>
      <c r="AE38" s="2978"/>
      <c r="AF38" s="2978"/>
      <c r="AG38" s="2978"/>
      <c r="AH38" s="2978"/>
      <c r="AI38" s="2978"/>
      <c r="AJ38" s="2978"/>
      <c r="AK38" s="2978"/>
      <c r="AL38" s="2978"/>
      <c r="AM38" s="2978" t="s">
        <v>386</v>
      </c>
      <c r="AS38" s="1727">
        <v>14</v>
      </c>
    </row>
    <row customHeight="1" ht="14.699999999999998">
      <c r="Q39" s="483"/>
      <c r="R39" s="483"/>
      <c r="S39" s="3128" t="s">
        <v>88</v>
      </c>
      <c r="T39" s="3077" t="s">
        <v>513</v>
      </c>
      <c r="U39" s="445"/>
      <c r="V39" s="3129" t="s">
        <v>514</v>
      </c>
      <c r="W39" s="3130"/>
      <c r="X39" s="3130"/>
      <c r="Y39" s="3130"/>
      <c r="Z39" s="3130"/>
      <c r="AA39" s="3130"/>
      <c r="AB39" s="3131"/>
      <c r="AC39" s="3132" t="s">
        <v>515</v>
      </c>
      <c r="AD39" s="3129" t="s">
        <v>514</v>
      </c>
      <c r="AE39" s="3130"/>
      <c r="AF39" s="3130"/>
      <c r="AG39" s="3130"/>
      <c r="AH39" s="3130"/>
      <c r="AI39" s="3130"/>
      <c r="AJ39" s="3131"/>
      <c r="AK39" s="3132" t="s">
        <v>516</v>
      </c>
      <c r="AL39" s="3135" t="s">
        <v>517</v>
      </c>
      <c r="AM39" s="2978"/>
      <c r="AS39" s="1727">
        <v>14</v>
      </c>
    </row>
    <row customHeight="1" ht="35.699999999999996">
      <c r="Q40" s="483"/>
      <c r="R40" s="483"/>
      <c r="S40" s="3128"/>
      <c r="T40" s="3077"/>
      <c r="U40" s="1131"/>
      <c r="V40" s="3047" t="s">
        <v>518</v>
      </c>
      <c r="W40" s="3124" t="s">
        <v>519</v>
      </c>
      <c r="X40" s="2959" t="s">
        <v>520</v>
      </c>
      <c r="Y40" s="2958"/>
      <c r="Z40" s="2959" t="s">
        <v>534</v>
      </c>
      <c r="AA40" s="2965"/>
      <c r="AB40" s="2958"/>
      <c r="AC40" s="3133"/>
      <c r="AD40" s="3047" t="s">
        <v>518</v>
      </c>
      <c r="AE40" s="3124" t="s">
        <v>519</v>
      </c>
      <c r="AF40" s="2959" t="s">
        <v>520</v>
      </c>
      <c r="AG40" s="2958"/>
      <c r="AH40" s="2959" t="s">
        <v>521</v>
      </c>
      <c r="AI40" s="2965"/>
      <c r="AJ40" s="2958"/>
      <c r="AK40" s="3133"/>
      <c r="AL40" s="3136"/>
      <c r="AM40" s="2978"/>
      <c r="AS40" s="1727">
        <v>34</v>
      </c>
    </row>
    <row customHeight="1" ht="35.699999999999996">
      <c r="A41" s="1362"/>
      <c r="B41" s="1362" t="s">
        <v>222</v>
      </c>
      <c r="C41" s="1362" t="s">
        <v>223</v>
      </c>
      <c r="D41" s="1362" t="s">
        <v>224</v>
      </c>
      <c r="E41" s="1406" t="s">
        <v>522</v>
      </c>
      <c r="F41" s="1406" t="s">
        <v>523</v>
      </c>
      <c r="G41" s="1406" t="s">
        <v>524</v>
      </c>
      <c r="H41" s="1406" t="s">
        <v>525</v>
      </c>
      <c r="I41" s="1406" t="s">
        <v>526</v>
      </c>
      <c r="J41" s="1406" t="s">
        <v>527</v>
      </c>
      <c r="K41" s="1406" t="s">
        <v>528</v>
      </c>
      <c r="L41" s="1406" t="s">
        <v>503</v>
      </c>
      <c r="Q41" s="483"/>
      <c r="R41" s="483"/>
      <c r="S41" s="3128"/>
      <c r="T41" s="3077"/>
      <c r="U41" s="410"/>
      <c r="V41" s="3101"/>
      <c r="W41" s="3125"/>
      <c r="X41" s="2029" t="s">
        <v>529</v>
      </c>
      <c r="Y41" s="2029" t="s">
        <v>530</v>
      </c>
      <c r="Z41" s="2029" t="s">
        <v>531</v>
      </c>
      <c r="AA41" s="3082" t="s">
        <v>532</v>
      </c>
      <c r="AB41" s="3095"/>
      <c r="AC41" s="3134"/>
      <c r="AD41" s="3101"/>
      <c r="AE41" s="3125"/>
      <c r="AF41" s="2029" t="s">
        <v>529</v>
      </c>
      <c r="AG41" s="2029" t="s">
        <v>530</v>
      </c>
      <c r="AH41" s="2029" t="s">
        <v>531</v>
      </c>
      <c r="AI41" s="3082" t="s">
        <v>532</v>
      </c>
      <c r="AJ41" s="3095"/>
      <c r="AK41" s="3134"/>
      <c r="AL41" s="3137"/>
      <c r="AM41" s="2978"/>
      <c r="AS41" s="1727">
        <v>34</v>
      </c>
    </row>
    <row s="10851" customFormat="1" customHeight="1" ht="11.25" hidden="1">
      <c r="A42" s="1362"/>
      <c r="B42" s="1362"/>
      <c r="C42" s="1362"/>
      <c r="D42" s="1362"/>
      <c r="E42" s="1362"/>
      <c r="F42" s="1362"/>
      <c r="G42" s="1362"/>
      <c r="H42" s="1362"/>
      <c r="I42" s="1362"/>
      <c r="J42" s="1362"/>
      <c r="K42" s="1362"/>
      <c r="L42" s="1406"/>
      <c r="M42" s="2056"/>
      <c r="N42" s="2056"/>
      <c r="O42" s="2056"/>
      <c r="P42" s="1342"/>
      <c r="Q42" s="1343"/>
      <c r="R42" s="1350">
        <v>1</v>
      </c>
      <c r="S42" s="1373" t="s">
        <v>144</v>
      </c>
      <c r="T42" s="1351" t="s">
        <v>102</v>
      </c>
      <c r="U42" s="1341" t="str">
        <f>OFFSET(U42,0,-1)</f>
        <v>2</v>
      </c>
      <c r="V42" s="2047">
        <f>OFFSET(V42,0,-1)+1</f>
        <v>3</v>
      </c>
      <c r="W42" s="2047"/>
      <c r="X42" s="2047">
        <f>OFFSET(X42,0,-1)+1</f>
        <v>1</v>
      </c>
      <c r="Y42" s="2047">
        <f>OFFSET(Y42,0,-1)+1</f>
        <v>2</v>
      </c>
      <c r="Z42" s="2047">
        <f>OFFSET(Z42,0,-1)+1</f>
        <v>3</v>
      </c>
      <c r="AA42" s="3126">
        <f>OFFSET(AA42,0,-1)+1</f>
        <v>4</v>
      </c>
      <c r="AB42" s="3126"/>
      <c r="AC42" s="2047">
        <f>OFFSET(AC42,0,-2)+1</f>
        <v>5</v>
      </c>
      <c r="AD42" s="2047">
        <f>OFFSET(AD42,0,-1)+1</f>
        <v>6</v>
      </c>
      <c r="AE42" s="2047"/>
      <c r="AF42" s="2047">
        <f>OFFSET(AF42,0,-1)+1</f>
        <v>1</v>
      </c>
      <c r="AG42" s="2047">
        <f>OFFSET(AG42,0,-1)+1</f>
        <v>2</v>
      </c>
      <c r="AH42" s="2047">
        <f>OFFSET(AH42,0,-1)+1</f>
        <v>3</v>
      </c>
      <c r="AI42" s="3126">
        <f>OFFSET(AI42,0,-1)+1</f>
        <v>4</v>
      </c>
      <c r="AJ42" s="3126"/>
      <c r="AK42" s="2047">
        <f>OFFSET(AK42,0,-2)+1</f>
        <v>5</v>
      </c>
      <c r="AL42" s="1341">
        <f>OFFSET(AL42,0,-1)</f>
        <v>5</v>
      </c>
      <c r="AM42" s="2047">
        <f>OFFSET(AM42,0,-1)+1</f>
        <v>6</v>
      </c>
      <c r="AN42" s="1732"/>
      <c r="AO42" s="1732"/>
      <c r="AP42" s="1732"/>
      <c r="AQ42" s="1732"/>
      <c r="AR42" s="1732"/>
      <c r="AS42" s="1737">
        <v>0</v>
      </c>
    </row>
    <row customHeight="1" ht="22.049999999999997">
      <c r="A43" s="1363" t="s">
        <v>297</v>
      </c>
      <c r="B43" s="1363"/>
      <c r="C43" s="1363"/>
      <c r="D43" s="1363"/>
      <c r="E43" s="3141">
        <v>1</v>
      </c>
      <c r="F43" s="1363"/>
      <c r="G43" s="1363"/>
      <c r="H43" s="1363"/>
      <c r="I43" s="1363"/>
      <c r="J43" s="1363"/>
      <c r="K43" s="1363"/>
      <c r="L43" s="1406"/>
      <c r="M43" s="1706"/>
      <c r="N43" s="1706"/>
      <c r="O43" s="1706"/>
      <c r="P43" s="1686"/>
      <c r="Q43" s="467"/>
      <c r="R43" s="462"/>
      <c r="S43" s="2049">
        <f>INDEX(PT_DIFFERENTIATION_NUM_NTAR,MATCH(A43,PT_DIFFERENTIATION_NTAR_ID,0))</f>
        <v>0</v>
      </c>
      <c r="T43" s="1621" t="s">
        <v>210</v>
      </c>
      <c r="U43" s="408"/>
      <c r="V43" s="3109"/>
      <c r="W43" s="3110"/>
      <c r="X43" s="3110"/>
      <c r="Y43" s="3110"/>
      <c r="Z43" s="3110"/>
      <c r="AA43" s="3110"/>
      <c r="AB43" s="3110"/>
      <c r="AC43" s="3111"/>
      <c r="AD43" s="3109" t="str">
        <f>INDEX(PT_DIFFERENTIATION_NTAR,MATCH(A43,PT_DIFFERENTIATION_NTAR_ID,0))</f>
        <v/>
      </c>
      <c r="AE43" s="3110"/>
      <c r="AF43" s="3110"/>
      <c r="AG43" s="3110"/>
      <c r="AH43" s="3110"/>
      <c r="AI43" s="3110"/>
      <c r="AJ43" s="3110"/>
      <c r="AK43" s="3110"/>
      <c r="AL43" s="3111"/>
      <c r="AM43" s="13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20"/>
      <c r="AP43" s="1720" t="str">
        <f>IF(T43="","",T43)</f>
        <v>Наименование тарифа</v>
      </c>
      <c r="AQ43" s="1720"/>
      <c r="AR43" s="1720"/>
      <c r="AS43" s="1727">
        <v>21</v>
      </c>
    </row>
    <row customHeight="1" ht="22.049999999999997">
      <c r="A44" s="1363" t="s">
        <v>297</v>
      </c>
      <c r="B44" s="1363" t="s">
        <v>298</v>
      </c>
      <c r="C44" s="1363"/>
      <c r="D44" s="1363"/>
      <c r="E44" s="3142"/>
      <c r="F44" s="3141">
        <v>1</v>
      </c>
      <c r="G44" s="1363"/>
      <c r="H44" s="1363"/>
      <c r="I44" s="1363"/>
      <c r="J44" s="1363"/>
      <c r="K44" s="1363"/>
      <c r="L44" s="1406"/>
      <c r="M44" s="1706"/>
      <c r="N44" s="1706"/>
      <c r="O44" s="1706"/>
      <c r="P44" s="2031"/>
      <c r="Q44" s="459"/>
      <c r="R44" s="460"/>
      <c r="S44" s="2049" t="str">
        <f>INDEX(PT_DIFFERENTIATION_NUM_TER,MATCH(B44,PT_DIFFERENTIATION_TER_ID,0))</f>
        <v>.</v>
      </c>
      <c r="T44" s="1618" t="s">
        <v>482</v>
      </c>
      <c r="U44" s="408"/>
      <c r="V44" s="3109"/>
      <c r="W44" s="3110"/>
      <c r="X44" s="3110"/>
      <c r="Y44" s="3110"/>
      <c r="Z44" s="3110"/>
      <c r="AA44" s="3110"/>
      <c r="AB44" s="3110"/>
      <c r="AC44" s="3111"/>
      <c r="AD44" s="3109" t="str">
        <f>INDEX(PT_DIFFERENTIATION_TER,MATCH(B44,PT_DIFFERENTIATION_TER_ID,0))</f>
        <v/>
      </c>
      <c r="AE44" s="3110"/>
      <c r="AF44" s="3110"/>
      <c r="AG44" s="3110"/>
      <c r="AH44" s="3110"/>
      <c r="AI44" s="3110"/>
      <c r="AJ44" s="3110"/>
      <c r="AK44" s="3110"/>
      <c r="AL44" s="3111"/>
      <c r="AM44" s="1354" t="s">
        <v>483</v>
      </c>
      <c r="AO44" s="1720"/>
      <c r="AP44" s="1720" t="str">
        <f>IF(T44="","",T44)</f>
        <v>Территория действия тарифа</v>
      </c>
      <c r="AQ44" s="1720"/>
      <c r="AR44" s="1720"/>
      <c r="AS44" s="1727">
        <v>21</v>
      </c>
    </row>
    <row customHeight="1" ht="24">
      <c r="A45" s="1363" t="s">
        <v>297</v>
      </c>
      <c r="B45" s="1363" t="s">
        <v>298</v>
      </c>
      <c r="C45" s="1363" t="s">
        <v>299</v>
      </c>
      <c r="D45" s="1363"/>
      <c r="E45" s="3142"/>
      <c r="F45" s="3142"/>
      <c r="G45" s="3141">
        <v>1</v>
      </c>
      <c r="H45" s="1363"/>
      <c r="I45" s="1363"/>
      <c r="J45" s="1363"/>
      <c r="K45" s="1363"/>
      <c r="L45" s="1406"/>
      <c r="M45" s="1706"/>
      <c r="N45" s="1706"/>
      <c r="O45" s="1706"/>
      <c r="P45" s="461"/>
      <c r="Q45" s="459"/>
      <c r="R45" s="460"/>
      <c r="S45" s="2049" t="str">
        <f>INDEX(PT_DIFFERENTIATION_NUM_CS,MATCH(C45,PT_DIFFERENTIATION_CS_ID,0))</f>
        <v>..</v>
      </c>
      <c r="T45" s="417" t="s">
        <v>484</v>
      </c>
      <c r="U45" s="408"/>
      <c r="V45" s="3109"/>
      <c r="W45" s="3110"/>
      <c r="X45" s="3110"/>
      <c r="Y45" s="3110"/>
      <c r="Z45" s="3110"/>
      <c r="AA45" s="3110"/>
      <c r="AB45" s="3110"/>
      <c r="AC45" s="3111"/>
      <c r="AD45" s="3109" t="str">
        <f>INDEX(PT_DIFFERENTIATION_CS,MATCH(C45,PT_DIFFERENTIATION_CS_ID,0))</f>
        <v/>
      </c>
      <c r="AE45" s="3110"/>
      <c r="AF45" s="3110"/>
      <c r="AG45" s="3110"/>
      <c r="AH45" s="3110"/>
      <c r="AI45" s="3110"/>
      <c r="AJ45" s="3110"/>
      <c r="AK45" s="3110"/>
      <c r="AL45" s="3111"/>
      <c r="AM45" s="1354" t="s">
        <v>485</v>
      </c>
      <c r="AO45" s="1720"/>
      <c r="AP45" s="1720" t="str">
        <f>IF(T45="","",T45)</f>
        <v>Наименование системы теплоснабжения </v>
      </c>
      <c r="AQ45" s="1720"/>
      <c r="AR45" s="1720"/>
      <c r="AS45" s="1727">
        <v>23</v>
      </c>
    </row>
    <row customHeight="1" ht="22.049999999999997">
      <c r="A46" s="1363" t="s">
        <v>297</v>
      </c>
      <c r="B46" s="1363" t="s">
        <v>298</v>
      </c>
      <c r="C46" s="1363" t="s">
        <v>299</v>
      </c>
      <c r="D46" s="1363" t="s">
        <v>300</v>
      </c>
      <c r="E46" s="3142"/>
      <c r="F46" s="3142"/>
      <c r="G46" s="3142"/>
      <c r="H46" s="3141">
        <v>1</v>
      </c>
      <c r="I46" s="1363"/>
      <c r="J46" s="1363"/>
      <c r="K46" s="1363"/>
      <c r="L46" s="1406"/>
      <c r="M46" s="1706"/>
      <c r="N46" s="1706"/>
      <c r="O46" s="1706"/>
      <c r="P46" s="461"/>
      <c r="Q46" s="459"/>
      <c r="R46" s="460"/>
      <c r="S46" s="2049" t="str">
        <f>INDEX(PT_DIFFERENTIATION_NUM_IST_TE,MATCH(D46,PT_DIFFERENTIATION_IST_TE_ID,0))</f>
        <v>...</v>
      </c>
      <c r="T46" s="418" t="s">
        <v>486</v>
      </c>
      <c r="U46" s="408"/>
      <c r="V46" s="3109"/>
      <c r="W46" s="3110"/>
      <c r="X46" s="3110"/>
      <c r="Y46" s="3110"/>
      <c r="Z46" s="3110"/>
      <c r="AA46" s="3110"/>
      <c r="AB46" s="3110"/>
      <c r="AC46" s="3111"/>
      <c r="AD46" s="3109" t="str">
        <f>INDEX(PT_DIFFERENTIATION_IST_TE,MATCH(D46,PT_DIFFERENTIATION_IST_TE_ID,0))</f>
        <v/>
      </c>
      <c r="AE46" s="3110"/>
      <c r="AF46" s="3110"/>
      <c r="AG46" s="3110"/>
      <c r="AH46" s="3110"/>
      <c r="AI46" s="3110"/>
      <c r="AJ46" s="3110"/>
      <c r="AK46" s="3110"/>
      <c r="AL46" s="3111"/>
      <c r="AM46" s="1354" t="s">
        <v>487</v>
      </c>
      <c r="AO46" s="1720"/>
      <c r="AP46" s="1720" t="str">
        <f>IF(T46="","",T46)</f>
        <v>Источник тепловой энергии  </v>
      </c>
      <c r="AQ46" s="1720"/>
      <c r="AR46" s="1720"/>
      <c r="AS46" s="1727">
        <v>21</v>
      </c>
    </row>
    <row customHeight="1" ht="49.5">
      <c r="A47" s="1363" t="s">
        <v>297</v>
      </c>
      <c r="B47" s="1363" t="s">
        <v>298</v>
      </c>
      <c r="C47" s="1363" t="s">
        <v>299</v>
      </c>
      <c r="D47" s="1363" t="s">
        <v>300</v>
      </c>
      <c r="E47" s="3142"/>
      <c r="F47" s="3142"/>
      <c r="G47" s="3142"/>
      <c r="H47" s="3142"/>
      <c r="I47" s="2978" t="str">
        <f>S46&amp;".1"</f>
        <v>....1</v>
      </c>
      <c r="J47" s="1363"/>
      <c r="K47" s="1363"/>
      <c r="L47" s="1406" t="s">
        <v>488</v>
      </c>
      <c r="P47" s="3119">
        <v>1</v>
      </c>
      <c r="Q47" s="2045"/>
      <c r="R47" s="463"/>
      <c r="S47" s="2049" t="str">
        <f>$I47</f>
        <v>....1</v>
      </c>
      <c r="T47" s="393" t="s">
        <v>489</v>
      </c>
      <c r="U47" s="408"/>
      <c r="V47" s="3103"/>
      <c r="W47" s="3104"/>
      <c r="X47" s="3104"/>
      <c r="Y47" s="3104"/>
      <c r="Z47" s="3104"/>
      <c r="AA47" s="3104"/>
      <c r="AB47" s="3104"/>
      <c r="AC47" s="3105"/>
      <c r="AD47" s="3103"/>
      <c r="AE47" s="3104"/>
      <c r="AF47" s="3104"/>
      <c r="AG47" s="3104"/>
      <c r="AH47" s="3104"/>
      <c r="AI47" s="3104"/>
      <c r="AJ47" s="3104"/>
      <c r="AK47" s="3104"/>
      <c r="AL47" s="3105"/>
      <c r="AM47" s="1354" t="s">
        <v>490</v>
      </c>
      <c r="AO47" s="1720"/>
      <c r="AP47" s="1720" t="str">
        <f>IF(T47="","",T47)</f>
        <v>Схема подключения теплопотребляющей установки к коллектору источника тепловой энергии</v>
      </c>
      <c r="AQ47" s="1720"/>
      <c r="AR47" s="1720"/>
      <c r="AS47" s="1727">
        <v>47</v>
      </c>
    </row>
    <row customHeight="1" ht="22.049999999999997">
      <c r="A48" s="1363" t="s">
        <v>297</v>
      </c>
      <c r="B48" s="1363" t="s">
        <v>298</v>
      </c>
      <c r="C48" s="1363" t="s">
        <v>299</v>
      </c>
      <c r="D48" s="1363" t="s">
        <v>300</v>
      </c>
      <c r="E48" s="3142"/>
      <c r="F48" s="3142"/>
      <c r="G48" s="3142"/>
      <c r="H48" s="3142"/>
      <c r="I48" s="2959"/>
      <c r="J48" s="2978" t="str">
        <f>I47&amp;".1"</f>
        <v>....1.1</v>
      </c>
      <c r="K48" s="1363"/>
      <c r="L48" s="1406" t="s">
        <v>491</v>
      </c>
      <c r="P48" s="3119"/>
      <c r="Q48" s="3119">
        <v>1</v>
      </c>
      <c r="R48" s="464"/>
      <c r="S48" s="2049" t="str">
        <f>$J48</f>
        <v>....1.1</v>
      </c>
      <c r="T48" s="394" t="s">
        <v>492</v>
      </c>
      <c r="U48" s="408"/>
      <c r="V48" s="3103"/>
      <c r="W48" s="3104"/>
      <c r="X48" s="3104"/>
      <c r="Y48" s="3104"/>
      <c r="Z48" s="3104"/>
      <c r="AA48" s="3104"/>
      <c r="AB48" s="3104"/>
      <c r="AC48" s="3105"/>
      <c r="AD48" s="3103"/>
      <c r="AE48" s="3104"/>
      <c r="AF48" s="3104"/>
      <c r="AG48" s="3104"/>
      <c r="AH48" s="3104"/>
      <c r="AI48" s="3104"/>
      <c r="AJ48" s="3104"/>
      <c r="AK48" s="3104"/>
      <c r="AL48" s="3105"/>
      <c r="AM48" s="1354" t="s">
        <v>493</v>
      </c>
      <c r="AO48" s="1720"/>
      <c r="AP48" s="1720" t="str">
        <f>IF(T48="","",T48)</f>
        <v>Группа потребителей</v>
      </c>
      <c r="AQ48" s="1720"/>
      <c r="AR48" s="1720"/>
      <c r="AS48" s="1727">
        <v>21</v>
      </c>
    </row>
    <row customHeight="1" ht="22.049999999999997">
      <c r="A49" s="1363" t="s">
        <v>297</v>
      </c>
      <c r="B49" s="1363" t="s">
        <v>298</v>
      </c>
      <c r="C49" s="1363" t="s">
        <v>299</v>
      </c>
      <c r="D49" s="1363" t="s">
        <v>300</v>
      </c>
      <c r="E49" s="3142"/>
      <c r="F49" s="3142"/>
      <c r="G49" s="3142"/>
      <c r="H49" s="3142"/>
      <c r="I49" s="2959"/>
      <c r="J49" s="2959"/>
      <c r="K49" s="2978" t="str">
        <f>J48&amp;".1"</f>
        <v>....1.1.1</v>
      </c>
      <c r="L49" s="1406" t="s">
        <v>494</v>
      </c>
      <c r="P49" s="3119"/>
      <c r="Q49" s="3119"/>
      <c r="R49" s="464">
        <v>1</v>
      </c>
      <c r="S49" s="2049" t="str">
        <f>$K49</f>
        <v>....1.1.1</v>
      </c>
      <c r="T49" s="1443"/>
      <c r="U49" s="408"/>
      <c r="V49" s="858"/>
      <c r="W49" s="433"/>
      <c r="X49" s="858"/>
      <c r="Y49" s="1353"/>
      <c r="Z49" s="3120"/>
      <c r="AA49" s="2989" t="s">
        <v>62</v>
      </c>
      <c r="AB49" s="3120"/>
      <c r="AC49" s="2989" t="s">
        <v>62</v>
      </c>
      <c r="AD49" s="858"/>
      <c r="AE49" s="433"/>
      <c r="AF49" s="858"/>
      <c r="AG49" s="1353"/>
      <c r="AH49" s="3120"/>
      <c r="AI49" s="2989" t="s">
        <v>62</v>
      </c>
      <c r="AJ49" s="3122"/>
      <c r="AK49" s="2989" t="s">
        <v>62</v>
      </c>
      <c r="AL49" s="1444"/>
      <c r="AM49" s="3138" t="s">
        <v>495</v>
      </c>
      <c r="AN49" s="1732">
        <f>STRCHECKDATE(V50:AL50)</f>
      </c>
      <c r="AO49" s="1720"/>
      <c r="AP49" s="1720" t="str">
        <f>IF(T49="","",T49)</f>
        <v/>
      </c>
      <c r="AQ49" s="1720"/>
      <c r="AR49" s="1720"/>
      <c r="AS49" s="1727">
        <v>21</v>
      </c>
    </row>
    <row customHeight="1" ht="1.05">
      <c r="A50" s="1363" t="s">
        <v>297</v>
      </c>
      <c r="B50" s="1363" t="s">
        <v>298</v>
      </c>
      <c r="C50" s="1363" t="s">
        <v>299</v>
      </c>
      <c r="D50" s="1363" t="s">
        <v>300</v>
      </c>
      <c r="E50" s="3142"/>
      <c r="F50" s="3142"/>
      <c r="G50" s="3142"/>
      <c r="H50" s="3142"/>
      <c r="I50" s="2959"/>
      <c r="J50" s="2959"/>
      <c r="K50" s="2978"/>
      <c r="L50" s="1406"/>
      <c r="P50" s="3119"/>
      <c r="Q50" s="3119"/>
      <c r="R50" s="464"/>
      <c r="S50" s="2058"/>
      <c r="T50" s="408"/>
      <c r="U50" s="408"/>
      <c r="V50" s="433"/>
      <c r="W50" s="433"/>
      <c r="X50" s="433"/>
      <c r="Y50" s="436" t="str">
        <f>Z49&amp;"-"&amp;AB49</f>
        <v>-</v>
      </c>
      <c r="Z50" s="3121"/>
      <c r="AA50" s="2989"/>
      <c r="AB50" s="3121"/>
      <c r="AC50" s="2989"/>
      <c r="AD50" s="433"/>
      <c r="AE50" s="433"/>
      <c r="AF50" s="433"/>
      <c r="AG50" s="436" t="str">
        <f>AH49&amp;"-"&amp;AJ49</f>
        <v>-</v>
      </c>
      <c r="AH50" s="3121"/>
      <c r="AI50" s="2989"/>
      <c r="AJ50" s="3123"/>
      <c r="AK50" s="2989"/>
      <c r="AL50" s="1445"/>
      <c r="AM50" s="3139"/>
      <c r="AO50" s="1720"/>
      <c r="AP50" s="1720" t="str">
        <f>IF(T50="","",T50)</f>
        <v/>
      </c>
      <c r="AQ50" s="1720"/>
      <c r="AR50" s="1720"/>
      <c r="AS50" s="1727">
        <v>1</v>
      </c>
    </row>
    <row customHeight="1" ht="11.549999999999999">
      <c r="A51" s="1363" t="s">
        <v>297</v>
      </c>
      <c r="B51" s="1363" t="s">
        <v>298</v>
      </c>
      <c r="C51" s="1363" t="s">
        <v>299</v>
      </c>
      <c r="D51" s="1363" t="s">
        <v>300</v>
      </c>
      <c r="E51" s="3142"/>
      <c r="F51" s="3142"/>
      <c r="G51" s="3142"/>
      <c r="H51" s="3142"/>
      <c r="I51" s="2959"/>
      <c r="J51" s="2978"/>
      <c r="K51" s="1363"/>
      <c r="L51" s="1406"/>
      <c r="P51" s="3119"/>
      <c r="Q51" s="3119"/>
      <c r="R51" s="463"/>
      <c r="S51" s="1374"/>
      <c r="T51" s="396" t="s">
        <v>496</v>
      </c>
      <c r="U51" s="707"/>
      <c r="V51" s="707"/>
      <c r="W51" s="707"/>
      <c r="X51" s="707"/>
      <c r="Y51" s="707"/>
      <c r="Z51" s="707"/>
      <c r="AA51" s="707"/>
      <c r="AB51" s="707"/>
      <c r="AC51" s="707"/>
      <c r="AD51" s="707"/>
      <c r="AE51" s="707"/>
      <c r="AF51" s="707"/>
      <c r="AG51" s="707"/>
      <c r="AH51" s="707"/>
      <c r="AI51" s="707"/>
      <c r="AJ51" s="707"/>
      <c r="AK51" s="707"/>
      <c r="AL51" s="432"/>
      <c r="AM51" s="3140"/>
      <c r="AO51" s="1720"/>
      <c r="AP51" s="1720" t="str">
        <f>IF(T51="","",T51)</f>
        <v>Добавить вид теплоносителя (параметры теплоносителя)</v>
      </c>
      <c r="AQ51" s="1720"/>
      <c r="AR51" s="1720"/>
      <c r="AS51" s="1727">
        <v>11</v>
      </c>
    </row>
    <row customHeight="1" ht="11.549999999999999">
      <c r="A52" s="1363" t="s">
        <v>297</v>
      </c>
      <c r="B52" s="1363" t="s">
        <v>298</v>
      </c>
      <c r="C52" s="1363" t="s">
        <v>299</v>
      </c>
      <c r="D52" s="1363" t="s">
        <v>300</v>
      </c>
      <c r="E52" s="3142"/>
      <c r="F52" s="3142"/>
      <c r="G52" s="3142"/>
      <c r="H52" s="3142"/>
      <c r="I52" s="2978"/>
      <c r="J52" s="1363"/>
      <c r="K52" s="1363"/>
      <c r="L52" s="1406"/>
      <c r="P52" s="3119"/>
      <c r="Q52" s="2045"/>
      <c r="R52" s="463"/>
      <c r="S52" s="1374"/>
      <c r="T52" s="395" t="s">
        <v>497</v>
      </c>
      <c r="U52" s="707"/>
      <c r="V52" s="707"/>
      <c r="W52" s="707"/>
      <c r="X52" s="707"/>
      <c r="Y52" s="707"/>
      <c r="Z52" s="707"/>
      <c r="AA52" s="707"/>
      <c r="AB52" s="707"/>
      <c r="AC52" s="473"/>
      <c r="AD52" s="707"/>
      <c r="AE52" s="707"/>
      <c r="AF52" s="707"/>
      <c r="AG52" s="707"/>
      <c r="AH52" s="707"/>
      <c r="AI52" s="707"/>
      <c r="AJ52" s="707"/>
      <c r="AK52" s="473"/>
      <c r="AL52" s="707"/>
      <c r="AM52" s="411"/>
      <c r="AO52" s="1720"/>
      <c r="AP52" s="1720" t="str">
        <f>IF(T52="","",T52)</f>
        <v>Добавить группу потребителей</v>
      </c>
      <c r="AQ52" s="1720"/>
      <c r="AR52" s="1720"/>
      <c r="AS52" s="1727">
        <v>11</v>
      </c>
    </row>
    <row customHeight="1" ht="14.699999999999998">
      <c r="A53" s="1363" t="s">
        <v>297</v>
      </c>
      <c r="B53" s="1363" t="s">
        <v>298</v>
      </c>
      <c r="C53" s="1363" t="s">
        <v>299</v>
      </c>
      <c r="D53" s="1363" t="s">
        <v>300</v>
      </c>
      <c r="E53" s="3142"/>
      <c r="F53" s="3142"/>
      <c r="G53" s="3142"/>
      <c r="H53" s="3141"/>
      <c r="I53" s="1363"/>
      <c r="J53" s="1363"/>
      <c r="K53" s="1363"/>
      <c r="L53" s="1406"/>
      <c r="M53" s="1706"/>
      <c r="N53" s="1706"/>
      <c r="O53" s="1731"/>
      <c r="P53" s="467"/>
      <c r="Q53" s="482"/>
      <c r="R53" s="462"/>
      <c r="S53" s="1374"/>
      <c r="T53" s="472" t="s">
        <v>498</v>
      </c>
      <c r="U53" s="707"/>
      <c r="V53" s="707"/>
      <c r="W53" s="707"/>
      <c r="X53" s="707"/>
      <c r="Y53" s="707"/>
      <c r="Z53" s="707"/>
      <c r="AA53" s="707"/>
      <c r="AB53" s="707"/>
      <c r="AC53" s="473"/>
      <c r="AD53" s="707"/>
      <c r="AE53" s="707"/>
      <c r="AF53" s="707"/>
      <c r="AG53" s="707"/>
      <c r="AH53" s="707"/>
      <c r="AI53" s="707"/>
      <c r="AJ53" s="707"/>
      <c r="AK53" s="473"/>
      <c r="AL53" s="707"/>
      <c r="AM53" s="411"/>
      <c r="AO53" s="1720"/>
      <c r="AP53" s="1720" t="str">
        <f>IF(T53="","",T53)</f>
        <v>Добавить схему подключения</v>
      </c>
      <c r="AQ53" s="1720"/>
      <c r="AR53" s="1720"/>
      <c r="AS53" s="1727">
        <v>14</v>
      </c>
    </row>
    <row s="10307" customFormat="1" customHeight="1" ht="4.2">
      <c r="A54" s="1471" t="s">
        <v>297</v>
      </c>
      <c r="B54" s="1471" t="s">
        <v>298</v>
      </c>
      <c r="C54" s="1471" t="s">
        <v>299</v>
      </c>
      <c r="D54" s="1470"/>
      <c r="E54" s="3142"/>
      <c r="F54" s="3142"/>
      <c r="G54" s="3141"/>
      <c r="H54" s="1470"/>
      <c r="I54" s="1470"/>
      <c r="J54" s="1470"/>
      <c r="K54" s="1470"/>
      <c r="L54" s="1473"/>
      <c r="M54" s="1474"/>
      <c r="N54" s="1474"/>
      <c r="O54" s="458"/>
      <c r="P54" s="1412"/>
      <c r="Q54" s="1413"/>
      <c r="R54" s="1412"/>
      <c r="S54" s="1418"/>
      <c r="T54" s="1421" t="s">
        <v>499</v>
      </c>
      <c r="U54" s="1420"/>
      <c r="V54" s="1420"/>
      <c r="W54" s="1420"/>
      <c r="X54" s="1420"/>
      <c r="Y54" s="1420"/>
      <c r="Z54" s="1420"/>
      <c r="AA54" s="1420"/>
      <c r="AB54" s="1420"/>
      <c r="AC54" s="1420"/>
      <c r="AD54" s="1420"/>
      <c r="AE54" s="1420"/>
      <c r="AF54" s="1420"/>
      <c r="AG54" s="1420"/>
      <c r="AH54" s="1420"/>
      <c r="AI54" s="1420"/>
      <c r="AJ54" s="1420"/>
      <c r="AK54" s="1420"/>
      <c r="AL54" s="1420"/>
      <c r="AM54" s="1420"/>
      <c r="AO54" s="1347"/>
      <c r="AP54" s="1347" t="str">
        <f>IF(T54="","",T54)</f>
        <v>Добавить источник для дифференциации</v>
      </c>
      <c r="AQ54" s="1347"/>
      <c r="AR54" s="1347"/>
      <c r="AS54" s="1738">
        <v>4</v>
      </c>
    </row>
    <row s="10307" customFormat="1" customHeight="1" ht="4.2">
      <c r="A55" s="1471" t="s">
        <v>297</v>
      </c>
      <c r="B55" s="1471" t="s">
        <v>298</v>
      </c>
      <c r="C55" s="1470"/>
      <c r="D55" s="1470"/>
      <c r="E55" s="3142"/>
      <c r="F55" s="3141"/>
      <c r="G55" s="1470"/>
      <c r="H55" s="1470"/>
      <c r="I55" s="1470"/>
      <c r="J55" s="1470"/>
      <c r="K55" s="1470"/>
      <c r="L55" s="1473"/>
      <c r="M55" s="1475"/>
      <c r="N55" s="1475"/>
      <c r="O55" s="458"/>
      <c r="P55" s="1412"/>
      <c r="Q55" s="1413"/>
      <c r="R55" s="1412"/>
      <c r="S55" s="1418"/>
      <c r="T55" s="1421" t="s">
        <v>500</v>
      </c>
      <c r="U55" s="1420"/>
      <c r="V55" s="1420"/>
      <c r="W55" s="1420"/>
      <c r="X55" s="1420"/>
      <c r="Y55" s="1420"/>
      <c r="Z55" s="1420"/>
      <c r="AA55" s="1420"/>
      <c r="AB55" s="1420"/>
      <c r="AC55" s="1420"/>
      <c r="AD55" s="1420"/>
      <c r="AE55" s="1420"/>
      <c r="AF55" s="1420"/>
      <c r="AG55" s="1420"/>
      <c r="AH55" s="1420"/>
      <c r="AI55" s="1420"/>
      <c r="AJ55" s="1420"/>
      <c r="AK55" s="1420"/>
      <c r="AL55" s="1420"/>
      <c r="AM55" s="1420"/>
      <c r="AO55" s="1347"/>
      <c r="AP55" s="1347" t="str">
        <f>IF(T55="","",T55)</f>
        <v>Добавить централизованную систему для дифференциации</v>
      </c>
      <c r="AQ55" s="1347"/>
      <c r="AR55" s="1347"/>
      <c r="AS55" s="1738">
        <v>4</v>
      </c>
    </row>
    <row s="10307" customFormat="1" customHeight="1" ht="4.2">
      <c r="A56" s="1471" t="s">
        <v>297</v>
      </c>
      <c r="B56" s="1471"/>
      <c r="C56" s="1471"/>
      <c r="D56" s="1471"/>
      <c r="E56" s="3141"/>
      <c r="F56" s="1471"/>
      <c r="G56" s="1471"/>
      <c r="H56" s="1471"/>
      <c r="I56" s="1471"/>
      <c r="J56" s="1471"/>
      <c r="K56" s="1471"/>
      <c r="L56" s="1477"/>
      <c r="M56" s="1475"/>
      <c r="N56" s="1475"/>
      <c r="O56" s="458"/>
      <c r="P56" s="487"/>
      <c r="Q56" s="1440"/>
      <c r="R56" s="487"/>
      <c r="S56" s="1418"/>
      <c r="T56" s="1421" t="s">
        <v>501</v>
      </c>
      <c r="U56" s="1420"/>
      <c r="V56" s="1420"/>
      <c r="W56" s="1420"/>
      <c r="X56" s="1420"/>
      <c r="Y56" s="1420"/>
      <c r="Z56" s="1420"/>
      <c r="AA56" s="1420"/>
      <c r="AB56" s="1420"/>
      <c r="AC56" s="1420"/>
      <c r="AD56" s="1420"/>
      <c r="AE56" s="1420"/>
      <c r="AF56" s="1420"/>
      <c r="AG56" s="1420"/>
      <c r="AH56" s="1420"/>
      <c r="AI56" s="1420"/>
      <c r="AJ56" s="1420"/>
      <c r="AK56" s="1420"/>
      <c r="AL56" s="1420"/>
      <c r="AM56" s="1420"/>
      <c r="AO56" s="1720"/>
      <c r="AP56" s="1720" t="str">
        <f>IF(T56="","",T56)</f>
        <v>Добавить территорию для дифференциации</v>
      </c>
      <c r="AQ56" s="1720"/>
      <c r="AR56" s="1720"/>
      <c r="AS56" s="1732">
        <v>4</v>
      </c>
    </row>
    <row s="10307" customFormat="1" customHeight="1" ht="4.2">
      <c r="A57" s="1470"/>
      <c r="B57" s="1470"/>
      <c r="C57" s="1470"/>
      <c r="D57" s="1470"/>
      <c r="E57" s="1471"/>
      <c r="F57" s="1470"/>
      <c r="G57" s="1470"/>
      <c r="H57" s="1470"/>
      <c r="I57" s="1470"/>
      <c r="J57" s="1470"/>
      <c r="K57" s="1470"/>
      <c r="L57" s="1473"/>
      <c r="M57" s="1475"/>
      <c r="N57" s="1475"/>
      <c r="O57" s="458"/>
      <c r="P57" s="1412"/>
      <c r="Q57" s="1413"/>
      <c r="R57" s="1412"/>
      <c r="S57" s="1418"/>
      <c r="T57" s="1421" t="s">
        <v>533</v>
      </c>
      <c r="U57" s="1420"/>
      <c r="V57" s="1420"/>
      <c r="W57" s="1420"/>
      <c r="X57" s="1420"/>
      <c r="Y57" s="1420"/>
      <c r="Z57" s="1420"/>
      <c r="AA57" s="1420"/>
      <c r="AB57" s="1420"/>
      <c r="AC57" s="1420"/>
      <c r="AD57" s="1420"/>
      <c r="AE57" s="1420"/>
      <c r="AF57" s="1420"/>
      <c r="AG57" s="1420"/>
      <c r="AH57" s="1420"/>
      <c r="AI57" s="1420"/>
      <c r="AJ57" s="1420"/>
      <c r="AK57" s="1420"/>
      <c r="AL57" s="1420"/>
      <c r="AM57" s="1420"/>
      <c r="AO57" s="1347"/>
      <c r="AP57" s="1347" t="str">
        <f>IF(T57="","",T57)</f>
        <v>Добавить наименование тарифа</v>
      </c>
      <c r="AQ57" s="1347"/>
      <c r="AR57" s="1347"/>
      <c r="AS57" s="1738">
        <v>4</v>
      </c>
    </row>
    <row customHeight="1" ht="11.549999999999999">
      <c r="M58" s="1727"/>
      <c r="N58" s="1727"/>
      <c r="O58" s="1731"/>
      <c r="P58" s="1727"/>
      <c r="Q58" s="1727"/>
      <c r="R58" s="1727"/>
      <c r="S58" s="1727"/>
      <c r="AN58" s="1727"/>
      <c r="AO58" s="1727"/>
      <c r="AP58" s="1727"/>
      <c r="AQ58" s="1727"/>
      <c r="AR58" s="1727"/>
      <c r="AS58" s="1727">
        <v>11</v>
      </c>
    </row>
    <row customHeight="1" ht="28.5">
      <c r="O59" s="1731"/>
      <c r="S59" s="1349"/>
      <c r="T59" s="3114"/>
      <c r="U59" s="3114"/>
      <c r="V59" s="3114"/>
      <c r="W59" s="3114"/>
      <c r="X59" s="3114"/>
      <c r="Y59" s="3114"/>
      <c r="Z59" s="3114"/>
      <c r="AA59" s="3114"/>
      <c r="AB59" s="3114"/>
      <c r="AC59" s="3114"/>
      <c r="AD59" s="3114"/>
      <c r="AE59" s="3114"/>
      <c r="AF59" s="3114"/>
      <c r="AG59" s="3114"/>
      <c r="AH59" s="3114"/>
      <c r="AI59" s="3114"/>
      <c r="AJ59" s="3114"/>
      <c r="AK59" s="3114"/>
      <c r="AL59" s="3114"/>
      <c r="AM59" s="3114"/>
      <c r="AS59" s="1727">
        <v>27</v>
      </c>
    </row>
    <row customHeight="1" ht="65.25">
      <c r="O60" s="1731"/>
      <c r="T60" s="3114"/>
      <c r="U60" s="3114"/>
      <c r="V60" s="3114"/>
      <c r="W60" s="3114"/>
      <c r="X60" s="3114"/>
      <c r="Y60" s="3114"/>
      <c r="Z60" s="3114"/>
      <c r="AA60" s="3114"/>
      <c r="AB60" s="3114"/>
      <c r="AC60" s="3114"/>
      <c r="AD60" s="3114"/>
      <c r="AE60" s="3114"/>
      <c r="AF60" s="3114"/>
      <c r="AG60" s="3114"/>
      <c r="AH60" s="3114"/>
      <c r="AI60" s="3114"/>
      <c r="AJ60" s="3114"/>
      <c r="AK60" s="3114"/>
      <c r="AL60" s="3114"/>
      <c r="AM60" s="3114"/>
      <c r="AS60" s="1727">
        <v>62</v>
      </c>
    </row>
    <row customHeight="1" ht="14.699999999999998">
      <c r="O61" s="1731"/>
      <c r="AS61" s="1727">
        <v>14</v>
      </c>
    </row>
    <row customHeight="1" ht="18.75">
      <c r="O62" s="1731"/>
      <c r="S62" s="1349"/>
      <c r="T62" s="3114"/>
      <c r="U62" s="3114"/>
      <c r="V62" s="3114"/>
      <c r="W62" s="3114"/>
      <c r="X62" s="3114"/>
      <c r="Y62" s="3114"/>
      <c r="Z62" s="3114"/>
      <c r="AA62" s="3114"/>
      <c r="AB62" s="3114"/>
      <c r="AC62" s="3114"/>
      <c r="AD62" s="3114"/>
      <c r="AE62" s="3114"/>
      <c r="AF62" s="3114"/>
      <c r="AG62" s="3114"/>
      <c r="AH62" s="3114"/>
      <c r="AI62" s="3114"/>
      <c r="AJ62" s="3114"/>
      <c r="AK62" s="3114"/>
      <c r="AL62" s="3114"/>
      <c r="AM62" s="3114"/>
      <c r="AS62" s="1727">
        <v>18</v>
      </c>
    </row>
    <row customHeight="1" ht="18.75">
      <c r="O63" s="1731"/>
      <c r="T63" s="3114"/>
      <c r="U63" s="3114"/>
      <c r="V63" s="3114"/>
      <c r="W63" s="3114"/>
      <c r="X63" s="3114"/>
      <c r="Y63" s="3114"/>
      <c r="Z63" s="3114"/>
      <c r="AA63" s="3114"/>
      <c r="AB63" s="3114"/>
      <c r="AC63" s="3114"/>
      <c r="AD63" s="3114"/>
      <c r="AE63" s="3114"/>
      <c r="AF63" s="3114"/>
      <c r="AG63" s="3114"/>
      <c r="AH63" s="3114"/>
      <c r="AI63" s="3114"/>
      <c r="AJ63" s="3114"/>
      <c r="AK63" s="3114"/>
      <c r="AL63" s="3114"/>
      <c r="AM63" s="3114"/>
      <c r="AS63" s="1727">
        <v>18</v>
      </c>
    </row>
    <row customHeight="1" ht="29.25">
      <c r="O64" s="1731"/>
      <c r="S64" s="1349"/>
      <c r="T64" s="3114"/>
      <c r="U64" s="3114"/>
      <c r="V64" s="3114"/>
      <c r="W64" s="3114"/>
      <c r="X64" s="3114"/>
      <c r="Y64" s="3114"/>
      <c r="Z64" s="3114"/>
      <c r="AA64" s="3114"/>
      <c r="AB64" s="3114"/>
      <c r="AC64" s="3114"/>
      <c r="AD64" s="3114"/>
      <c r="AE64" s="3114"/>
      <c r="AF64" s="3114"/>
      <c r="AG64" s="3114"/>
      <c r="AH64" s="3114"/>
      <c r="AI64" s="3114"/>
      <c r="AJ64" s="3114"/>
      <c r="AK64" s="3114"/>
      <c r="AL64" s="3114"/>
      <c r="AM64" s="3114"/>
      <c r="AS64" s="1727">
        <v>28</v>
      </c>
    </row>
    <row customHeight="1" ht="22.5" hidden="1">
      <c r="A65" s="1727" t="s">
        <v>82</v>
      </c>
      <c r="B65" s="1727">
        <v>0</v>
      </c>
      <c r="C65" s="1727">
        <v>0</v>
      </c>
      <c r="D65" s="1727">
        <v>0</v>
      </c>
      <c r="E65" s="1727">
        <v>0</v>
      </c>
      <c r="F65" s="1727">
        <v>0</v>
      </c>
      <c r="G65" s="1727">
        <v>0</v>
      </c>
      <c r="H65" s="1727">
        <v>0</v>
      </c>
      <c r="I65" s="1727">
        <v>0</v>
      </c>
      <c r="J65" s="1727">
        <v>0</v>
      </c>
      <c r="K65" s="1727">
        <v>0</v>
      </c>
      <c r="L65" s="2030">
        <v>0</v>
      </c>
      <c r="M65" s="2056">
        <v>0</v>
      </c>
      <c r="N65" s="2056">
        <v>0</v>
      </c>
      <c r="O65" s="2056">
        <v>0</v>
      </c>
      <c r="P65" s="2056">
        <v>3</v>
      </c>
      <c r="Q65" s="452">
        <v>3</v>
      </c>
      <c r="R65" s="452">
        <v>3</v>
      </c>
      <c r="S65" s="688">
        <v>12</v>
      </c>
      <c r="T65" s="1727">
        <v>31</v>
      </c>
      <c r="U65" s="1727">
        <v>0</v>
      </c>
      <c r="V65" s="1727">
        <v>0</v>
      </c>
      <c r="W65" s="1727">
        <v>0</v>
      </c>
      <c r="X65" s="1727">
        <v>0</v>
      </c>
      <c r="Y65" s="1727">
        <v>0</v>
      </c>
      <c r="Z65" s="1727">
        <v>0</v>
      </c>
      <c r="AA65" s="1727">
        <v>0</v>
      </c>
      <c r="AB65" s="1727">
        <v>0</v>
      </c>
      <c r="AC65" s="1727">
        <v>0</v>
      </c>
      <c r="AD65" s="1727">
        <v>24</v>
      </c>
      <c r="AE65" s="1727">
        <v>0</v>
      </c>
      <c r="AF65" s="1727">
        <v>24</v>
      </c>
      <c r="AG65" s="1727">
        <v>24</v>
      </c>
      <c r="AH65" s="1727">
        <v>11</v>
      </c>
      <c r="AI65" s="1727">
        <v>3</v>
      </c>
      <c r="AJ65" s="1727">
        <v>11</v>
      </c>
      <c r="AK65" s="1727">
        <v>0</v>
      </c>
      <c r="AL65" s="1727">
        <v>4</v>
      </c>
      <c r="AM65" s="1727">
        <v>115</v>
      </c>
      <c r="AN65" s="1732">
        <v>10</v>
      </c>
      <c r="AO65" s="1732">
        <v>10</v>
      </c>
      <c r="AP65" s="1732">
        <v>10</v>
      </c>
      <c r="AQ65" s="1732">
        <v>10</v>
      </c>
      <c r="AR65" s="1732">
        <v>10</v>
      </c>
      <c r="AS65" s="1727">
        <v>23</v>
      </c>
    </row>
  </sheetData>
  <sheetProtection autoFilter="0" sort="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54C6C-348E-471D-9A72-363B9864D21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232" width="10.57421875" hidden="1"/>
    <col min="2" max="2" style="10232" width="11.00390625" hidden="1" customWidth="1"/>
    <col min="3" max="3" style="10232" width="10.57421875" hidden="1"/>
    <col min="4" max="4" style="10232" width="11.8515625" hidden="1" customWidth="1"/>
    <col min="5" max="5" style="10232" width="10.00390625" hidden="1" customWidth="1"/>
    <col min="6" max="6" style="10232" width="8.7109375" hidden="1" customWidth="1"/>
    <col min="7" max="7" style="10232" width="7.57421875" hidden="1" customWidth="1"/>
    <col min="8" max="8" style="10232" width="11.421875" hidden="1" customWidth="1"/>
    <col min="9" max="9" style="10232" width="12.00390625" hidden="1" customWidth="1"/>
    <col min="10" max="10" style="10232" width="9.8515625" hidden="1" customWidth="1"/>
    <col min="11" max="11" style="10232" width="11.421875" hidden="1" customWidth="1"/>
    <col min="12" max="12" style="10304" width="19.140625" hidden="1" customWidth="1"/>
    <col min="13" max="14" style="11081" width="12.28125" hidden="1" customWidth="1"/>
    <col min="15" max="15" style="11081" width="23.421875" hidden="1" customWidth="1"/>
    <col min="16" max="16" style="11081" width="3.00390625" customWidth="1"/>
    <col min="17" max="18" style="11082" width="3.00390625" customWidth="1"/>
    <col min="19" max="19" style="11083" width="12.00390625" customWidth="1"/>
    <col min="20" max="20" style="10232" width="31.00390625" customWidth="1"/>
    <col min="21" max="21" style="10232" width="0.140625" customWidth="1"/>
    <col min="22" max="22" style="10232" width="24.7109375" hidden="1" customWidth="1"/>
    <col min="23" max="23" style="10232" width="0.140625" hidden="1" customWidth="1"/>
    <col min="24" max="25" style="10232" width="24.7109375" hidden="1" customWidth="1"/>
    <col min="26" max="26" style="10232" width="11.7109375" hidden="1" customWidth="1"/>
    <col min="27" max="27" style="10232" width="3.7109375" hidden="1" customWidth="1"/>
    <col min="28" max="28" style="10232" width="11.7109375" hidden="1" customWidth="1"/>
    <col min="29" max="29" style="10232" width="8.57421875" hidden="1" customWidth="1"/>
    <col min="30" max="30" style="10232" width="24.7109375" customWidth="1"/>
    <col min="31" max="31" style="10232" width="0.140625" customWidth="1"/>
    <col min="32" max="33" style="10232" width="24.00390625" customWidth="1"/>
    <col min="34" max="34" style="10232" width="11.00390625" customWidth="1"/>
    <col min="35" max="35" style="10232" width="3.7109375" customWidth="1"/>
    <col min="36" max="36" style="10232" width="11.00390625" customWidth="1"/>
    <col min="37" max="37" style="10232" width="8.57421875" hidden="1" customWidth="1"/>
    <col min="38" max="38" style="10232" width="4.00390625" customWidth="1"/>
    <col min="39" max="39" style="10232" width="115.00390625" customWidth="1"/>
    <col min="40" max="44" style="10307" width="10.00390625" customWidth="1"/>
    <col min="45" max="45" style="10232" width="10.57421875" hidden="1"/>
  </cols>
  <sheetData>
    <row customHeight="1" ht="22.5" hidden="1">
      <c r="AS1" s="1727" t="s">
        <v>14</v>
      </c>
    </row>
    <row customHeight="1" ht="21" hidden="1">
      <c r="A2" s="1363"/>
      <c r="B2" s="1363"/>
      <c r="C2" s="1363"/>
      <c r="D2" s="1363"/>
      <c r="E2" s="3141">
        <v>1</v>
      </c>
      <c r="F2" s="1363"/>
      <c r="G2" s="1363"/>
      <c r="H2" s="1363"/>
      <c r="I2" s="1363"/>
      <c r="J2" s="1363"/>
      <c r="K2" s="1363"/>
      <c r="L2" s="1406"/>
      <c r="M2" s="1706"/>
      <c r="N2" s="1706"/>
      <c r="O2" s="1706"/>
      <c r="P2" s="1686"/>
      <c r="Q2" s="467"/>
      <c r="R2" s="462"/>
      <c r="S2" s="2049">
        <f>INDEX(PT_DIFFERENTIATION_NUM_NTAR,MATCH(A2,PT_DIFFERENTIATION_NTAR_ID,0))</f>
      </c>
      <c r="T2" s="1621" t="s">
        <v>210</v>
      </c>
      <c r="U2" s="408"/>
      <c r="V2" s="3109"/>
      <c r="W2" s="3110"/>
      <c r="X2" s="3110"/>
      <c r="Y2" s="3110"/>
      <c r="Z2" s="3110"/>
      <c r="AA2" s="3110"/>
      <c r="AB2" s="3110"/>
      <c r="AC2" s="3111"/>
      <c r="AD2" s="3109">
        <f>INDEX(PT_DIFFERENTIATION_NTAR,MATCH(A2,PT_DIFFERENTIATION_NTAR_ID,0))</f>
      </c>
      <c r="AE2" s="3110"/>
      <c r="AF2" s="3110"/>
      <c r="AG2" s="3110"/>
      <c r="AH2" s="3110"/>
      <c r="AI2" s="3110"/>
      <c r="AJ2" s="3110"/>
      <c r="AK2" s="3110"/>
      <c r="AL2" s="3111"/>
      <c r="AM2" s="1354" t="s">
        <v>481</v>
      </c>
      <c r="AO2" s="1720"/>
      <c r="AP2" s="1720" t="str">
        <f>IF(T2="","",T2)</f>
        <v>Наименование тарифа</v>
      </c>
      <c r="AQ2" s="1720"/>
      <c r="AR2" s="1720"/>
      <c r="AS2" s="1727">
        <v>0</v>
      </c>
    </row>
    <row customHeight="1" ht="21" hidden="1">
      <c r="A3" s="1363"/>
      <c r="B3" s="1363"/>
      <c r="C3" s="1363"/>
      <c r="D3" s="1363"/>
      <c r="E3" s="3142"/>
      <c r="F3" s="3141">
        <v>1</v>
      </c>
      <c r="G3" s="1363"/>
      <c r="H3" s="1363"/>
      <c r="I3" s="1363"/>
      <c r="J3" s="1363"/>
      <c r="K3" s="1363"/>
      <c r="L3" s="1406"/>
      <c r="M3" s="1706"/>
      <c r="N3" s="1706"/>
      <c r="O3" s="1706"/>
      <c r="P3" s="2031"/>
      <c r="Q3" s="459"/>
      <c r="R3" s="460"/>
      <c r="S3" s="2049">
        <f>INDEX(PT_DIFFERENTIATION_NUM_TER,MATCH(B3,PT_DIFFERENTIATION_TER_ID,0))</f>
      </c>
      <c r="T3" s="1618" t="s">
        <v>482</v>
      </c>
      <c r="U3" s="408"/>
      <c r="V3" s="3109"/>
      <c r="W3" s="3110"/>
      <c r="X3" s="3110"/>
      <c r="Y3" s="3110"/>
      <c r="Z3" s="3110"/>
      <c r="AA3" s="3110"/>
      <c r="AB3" s="3110"/>
      <c r="AC3" s="3111"/>
      <c r="AD3" s="3109">
        <f>INDEX(PT_DIFFERENTIATION_TER,MATCH(B3,PT_DIFFERENTIATION_TER_ID,0))</f>
      </c>
      <c r="AE3" s="3110"/>
      <c r="AF3" s="3110"/>
      <c r="AG3" s="3110"/>
      <c r="AH3" s="3110"/>
      <c r="AI3" s="3110"/>
      <c r="AJ3" s="3110"/>
      <c r="AK3" s="3110"/>
      <c r="AL3" s="3111"/>
      <c r="AM3" s="1354" t="s">
        <v>483</v>
      </c>
      <c r="AO3" s="1720"/>
      <c r="AP3" s="1720" t="str">
        <f>IF(T3="","",T3)</f>
        <v>Территория действия тарифа</v>
      </c>
      <c r="AQ3" s="1720"/>
      <c r="AR3" s="1720"/>
      <c r="AS3" s="1727">
        <v>0</v>
      </c>
    </row>
    <row customHeight="1" ht="23.25" hidden="1">
      <c r="A4" s="1363"/>
      <c r="B4" s="1363"/>
      <c r="C4" s="1363"/>
      <c r="D4" s="1363"/>
      <c r="E4" s="3142"/>
      <c r="F4" s="3142"/>
      <c r="G4" s="3141">
        <v>1</v>
      </c>
      <c r="H4" s="1363"/>
      <c r="I4" s="1363"/>
      <c r="J4" s="1363"/>
      <c r="K4" s="1363"/>
      <c r="L4" s="1406"/>
      <c r="M4" s="1706"/>
      <c r="N4" s="1706"/>
      <c r="O4" s="1706"/>
      <c r="P4" s="461"/>
      <c r="Q4" s="459"/>
      <c r="R4" s="460"/>
      <c r="S4" s="2049">
        <f>INDEX(PT_DIFFERENTIATION_NUM_CS,MATCH(C4,PT_DIFFERENTIATION_CS_ID,0))</f>
      </c>
      <c r="T4" s="417" t="s">
        <v>484</v>
      </c>
      <c r="U4" s="408"/>
      <c r="V4" s="3109"/>
      <c r="W4" s="3110"/>
      <c r="X4" s="3110"/>
      <c r="Y4" s="3110"/>
      <c r="Z4" s="3110"/>
      <c r="AA4" s="3110"/>
      <c r="AB4" s="3110"/>
      <c r="AC4" s="3111"/>
      <c r="AD4" s="3109">
        <f>INDEX(PT_DIFFERENTIATION_CS,MATCH(C4,PT_DIFFERENTIATION_CS_ID,0))</f>
      </c>
      <c r="AE4" s="3110"/>
      <c r="AF4" s="3110"/>
      <c r="AG4" s="3110"/>
      <c r="AH4" s="3110"/>
      <c r="AI4" s="3110"/>
      <c r="AJ4" s="3110"/>
      <c r="AK4" s="3110"/>
      <c r="AL4" s="3111"/>
      <c r="AM4" s="1354" t="s">
        <v>485</v>
      </c>
      <c r="AO4" s="1720"/>
      <c r="AP4" s="1720" t="str">
        <f>IF(T4="","",T4)</f>
        <v>Наименование системы теплоснабжения </v>
      </c>
      <c r="AQ4" s="1720"/>
      <c r="AR4" s="1720"/>
      <c r="AS4" s="1727">
        <v>0</v>
      </c>
    </row>
    <row customHeight="1" ht="21" hidden="1">
      <c r="A5" s="1363"/>
      <c r="B5" s="1363"/>
      <c r="C5" s="1363"/>
      <c r="D5" s="1363"/>
      <c r="E5" s="3142"/>
      <c r="F5" s="3142"/>
      <c r="G5" s="3142"/>
      <c r="H5" s="3141">
        <v>1</v>
      </c>
      <c r="I5" s="1363"/>
      <c r="J5" s="1363"/>
      <c r="K5" s="1363"/>
      <c r="L5" s="1406"/>
      <c r="M5" s="1706"/>
      <c r="N5" s="1706"/>
      <c r="O5" s="1706"/>
      <c r="P5" s="461"/>
      <c r="Q5" s="459"/>
      <c r="R5" s="460"/>
      <c r="S5" s="2049">
        <f>INDEX(PT_DIFFERENTIATION_NUM_IST_TE,MATCH(D5,PT_DIFFERENTIATION_IST_TE_ID,0))</f>
      </c>
      <c r="T5" s="418" t="s">
        <v>486</v>
      </c>
      <c r="U5" s="408"/>
      <c r="V5" s="3109"/>
      <c r="W5" s="3110"/>
      <c r="X5" s="3110"/>
      <c r="Y5" s="3110"/>
      <c r="Z5" s="3110"/>
      <c r="AA5" s="3110"/>
      <c r="AB5" s="3110"/>
      <c r="AC5" s="3111"/>
      <c r="AD5" s="3109">
        <f>INDEX(PT_DIFFERENTIATION_IST_TE,MATCH(D5,PT_DIFFERENTIATION_IST_TE_ID,0))</f>
      </c>
      <c r="AE5" s="3110"/>
      <c r="AF5" s="3110"/>
      <c r="AG5" s="3110"/>
      <c r="AH5" s="3110"/>
      <c r="AI5" s="3110"/>
      <c r="AJ5" s="3110"/>
      <c r="AK5" s="3110"/>
      <c r="AL5" s="3111"/>
      <c r="AM5" s="1354" t="s">
        <v>487</v>
      </c>
      <c r="AO5" s="1720"/>
      <c r="AP5" s="1720" t="str">
        <f>IF(T5="","",T5)</f>
        <v>Источник тепловой энергии  </v>
      </c>
      <c r="AQ5" s="1720"/>
      <c r="AR5" s="1720"/>
      <c r="AS5" s="1727">
        <v>0</v>
      </c>
    </row>
    <row customHeight="1" ht="47.25" hidden="1">
      <c r="A6" s="1363"/>
      <c r="B6" s="1363"/>
      <c r="C6" s="1363"/>
      <c r="D6" s="1363"/>
      <c r="E6" s="3142"/>
      <c r="F6" s="3142"/>
      <c r="G6" s="3142"/>
      <c r="H6" s="3142"/>
      <c r="I6" s="2978">
        <f>S5&amp;".1"</f>
      </c>
      <c r="J6" s="1363"/>
      <c r="K6" s="1363"/>
      <c r="L6" s="1406" t="s">
        <v>488</v>
      </c>
      <c r="M6" s="1731"/>
      <c r="P6" s="3119">
        <v>1</v>
      </c>
      <c r="Q6" s="2045"/>
      <c r="R6" s="463"/>
      <c r="S6" s="2049">
        <f>$I6</f>
      </c>
      <c r="T6" s="393" t="s">
        <v>489</v>
      </c>
      <c r="U6" s="408"/>
      <c r="V6" s="3103"/>
      <c r="W6" s="3104"/>
      <c r="X6" s="3104"/>
      <c r="Y6" s="3104"/>
      <c r="Z6" s="3104"/>
      <c r="AA6" s="3104"/>
      <c r="AB6" s="3104"/>
      <c r="AC6" s="3105"/>
      <c r="AD6" s="3103"/>
      <c r="AE6" s="3104"/>
      <c r="AF6" s="3104"/>
      <c r="AG6" s="3104"/>
      <c r="AH6" s="3104"/>
      <c r="AI6" s="3104"/>
      <c r="AJ6" s="3104"/>
      <c r="AK6" s="3104"/>
      <c r="AL6" s="3105"/>
      <c r="AM6" s="1354" t="s">
        <v>490</v>
      </c>
      <c r="AO6" s="1720"/>
      <c r="AP6" s="1720" t="str">
        <f>IF(T6="","",T6)</f>
        <v>Схема подключения теплопотребляющей установки к коллектору источника тепловой энергии</v>
      </c>
      <c r="AQ6" s="1720"/>
      <c r="AR6" s="1720"/>
      <c r="AS6" s="1727">
        <v>0</v>
      </c>
    </row>
    <row customHeight="1" ht="21" hidden="1">
      <c r="A7" s="1363"/>
      <c r="B7" s="1363"/>
      <c r="C7" s="1363"/>
      <c r="D7" s="1363"/>
      <c r="E7" s="3142"/>
      <c r="F7" s="3142"/>
      <c r="G7" s="3142"/>
      <c r="H7" s="3142"/>
      <c r="I7" s="2959"/>
      <c r="J7" s="2978">
        <f>I6&amp;".1"</f>
      </c>
      <c r="K7" s="1363"/>
      <c r="L7" s="1406" t="s">
        <v>491</v>
      </c>
      <c r="M7" s="1731"/>
      <c r="N7" s="1727"/>
      <c r="P7" s="3119"/>
      <c r="Q7" s="3119">
        <v>1</v>
      </c>
      <c r="R7" s="464"/>
      <c r="S7" s="2049">
        <f>$J7</f>
      </c>
      <c r="T7" s="394" t="s">
        <v>492</v>
      </c>
      <c r="U7" s="408"/>
      <c r="V7" s="3103"/>
      <c r="W7" s="3104"/>
      <c r="X7" s="3104"/>
      <c r="Y7" s="3104"/>
      <c r="Z7" s="3104"/>
      <c r="AA7" s="3104"/>
      <c r="AB7" s="3104"/>
      <c r="AC7" s="3105"/>
      <c r="AD7" s="3103"/>
      <c r="AE7" s="3104"/>
      <c r="AF7" s="3104"/>
      <c r="AG7" s="3104"/>
      <c r="AH7" s="3104"/>
      <c r="AI7" s="3104"/>
      <c r="AJ7" s="3104"/>
      <c r="AK7" s="3104"/>
      <c r="AL7" s="3105"/>
      <c r="AM7" s="1354" t="s">
        <v>493</v>
      </c>
      <c r="AO7" s="1720"/>
      <c r="AP7" s="1720" t="str">
        <f>IF(T7="","",T7)</f>
        <v>Группа потребителей</v>
      </c>
      <c r="AQ7" s="1720"/>
      <c r="AR7" s="1720"/>
      <c r="AS7" s="1727">
        <v>0</v>
      </c>
    </row>
    <row customHeight="1" ht="21" hidden="1">
      <c r="A8" s="1363"/>
      <c r="B8" s="1363"/>
      <c r="C8" s="1363"/>
      <c r="D8" s="1363"/>
      <c r="E8" s="3142"/>
      <c r="F8" s="3142"/>
      <c r="G8" s="3142"/>
      <c r="H8" s="3142"/>
      <c r="I8" s="2959"/>
      <c r="J8" s="2959"/>
      <c r="K8" s="2978">
        <f>J7&amp;".1"</f>
      </c>
      <c r="L8" s="1406" t="s">
        <v>494</v>
      </c>
      <c r="M8" s="1731"/>
      <c r="N8" s="1727"/>
      <c r="O8" s="1727"/>
      <c r="P8" s="3119"/>
      <c r="Q8" s="3119"/>
      <c r="R8" s="464">
        <v>1</v>
      </c>
      <c r="S8" s="2049">
        <f>$K8</f>
      </c>
      <c r="T8" s="1443"/>
      <c r="U8" s="408"/>
      <c r="V8" s="858"/>
      <c r="W8" s="433"/>
      <c r="X8" s="858"/>
      <c r="Y8" s="1353"/>
      <c r="Z8" s="3120"/>
      <c r="AA8" s="2989" t="s">
        <v>62</v>
      </c>
      <c r="AB8" s="3120"/>
      <c r="AC8" s="2989" t="s">
        <v>62</v>
      </c>
      <c r="AD8" s="858"/>
      <c r="AE8" s="433"/>
      <c r="AF8" s="858"/>
      <c r="AG8" s="1353"/>
      <c r="AH8" s="3120"/>
      <c r="AI8" s="2989" t="s">
        <v>62</v>
      </c>
      <c r="AJ8" s="3120"/>
      <c r="AK8" s="2989" t="s">
        <v>62</v>
      </c>
      <c r="AL8" s="433"/>
      <c r="AM8" s="3138" t="s">
        <v>495</v>
      </c>
      <c r="AN8" s="1732">
        <f>STRCHECKDATE(V9:AL9)</f>
      </c>
      <c r="AO8" s="1720"/>
      <c r="AP8" s="1720" t="str">
        <f>IF(T8="","",T8)</f>
        <v/>
      </c>
      <c r="AQ8" s="1720"/>
      <c r="AR8" s="1720"/>
      <c r="AS8" s="1727">
        <v>0</v>
      </c>
    </row>
    <row customHeight="1" ht="0.75" hidden="1">
      <c r="A9" s="1363"/>
      <c r="B9" s="1363"/>
      <c r="C9" s="1363"/>
      <c r="D9" s="1363"/>
      <c r="E9" s="3142"/>
      <c r="F9" s="3142"/>
      <c r="G9" s="3142"/>
      <c r="H9" s="3142"/>
      <c r="I9" s="2959"/>
      <c r="J9" s="2959"/>
      <c r="K9" s="2978"/>
      <c r="L9" s="1406"/>
      <c r="M9" s="1731"/>
      <c r="N9" s="1727"/>
      <c r="O9" s="1727"/>
      <c r="P9" s="3119"/>
      <c r="Q9" s="3119"/>
      <c r="R9" s="464"/>
      <c r="S9" s="2058"/>
      <c r="T9" s="408"/>
      <c r="U9" s="408"/>
      <c r="V9" s="433"/>
      <c r="W9" s="433"/>
      <c r="X9" s="433"/>
      <c r="Y9" s="436" t="str">
        <f>Z8&amp;"-"&amp;AB8</f>
        <v>-</v>
      </c>
      <c r="Z9" s="3121"/>
      <c r="AA9" s="2989"/>
      <c r="AB9" s="3121"/>
      <c r="AC9" s="2989"/>
      <c r="AD9" s="433"/>
      <c r="AE9" s="433"/>
      <c r="AF9" s="433"/>
      <c r="AG9" s="436" t="str">
        <f>AH8&amp;"-"&amp;AJ8</f>
        <v>-</v>
      </c>
      <c r="AH9" s="3121"/>
      <c r="AI9" s="2989"/>
      <c r="AJ9" s="3121"/>
      <c r="AK9" s="2989"/>
      <c r="AL9" s="433"/>
      <c r="AM9" s="3139"/>
      <c r="AO9" s="1720"/>
      <c r="AP9" s="1720" t="str">
        <f>IF(T9="","",T9)</f>
        <v/>
      </c>
      <c r="AQ9" s="1720"/>
      <c r="AR9" s="1720"/>
      <c r="AS9" s="1727">
        <v>0</v>
      </c>
    </row>
    <row customHeight="1" ht="15" hidden="1">
      <c r="A10" s="1363"/>
      <c r="B10" s="1363"/>
      <c r="C10" s="1363"/>
      <c r="D10" s="1363"/>
      <c r="E10" s="3142"/>
      <c r="F10" s="3142"/>
      <c r="G10" s="3142"/>
      <c r="H10" s="3142"/>
      <c r="I10" s="2959"/>
      <c r="J10" s="2978"/>
      <c r="K10" s="1363"/>
      <c r="L10" s="1406"/>
      <c r="M10" s="1731"/>
      <c r="N10" s="1727"/>
      <c r="P10" s="3119"/>
      <c r="Q10" s="3119"/>
      <c r="R10" s="463"/>
      <c r="S10" s="1374"/>
      <c r="T10" s="396" t="s">
        <v>496</v>
      </c>
      <c r="U10" s="707"/>
      <c r="V10" s="707"/>
      <c r="W10" s="707"/>
      <c r="X10" s="707"/>
      <c r="Y10" s="707"/>
      <c r="Z10" s="707"/>
      <c r="AA10" s="707"/>
      <c r="AB10" s="707"/>
      <c r="AC10" s="707"/>
      <c r="AD10" s="707"/>
      <c r="AE10" s="707"/>
      <c r="AF10" s="707"/>
      <c r="AG10" s="707"/>
      <c r="AH10" s="707"/>
      <c r="AI10" s="707"/>
      <c r="AJ10" s="707"/>
      <c r="AK10" s="707"/>
      <c r="AL10" s="432"/>
      <c r="AM10" s="3140"/>
      <c r="AO10" s="1720"/>
      <c r="AP10" s="1720" t="str">
        <f>IF(T10="","",T10)</f>
        <v>Добавить вид теплоносителя (параметры теплоносителя)</v>
      </c>
      <c r="AQ10" s="1720"/>
      <c r="AR10" s="1720"/>
      <c r="AS10" s="1727">
        <v>0</v>
      </c>
    </row>
    <row customHeight="1" ht="15" hidden="1">
      <c r="A11" s="1363"/>
      <c r="B11" s="1363"/>
      <c r="C11" s="1363"/>
      <c r="D11" s="1363"/>
      <c r="E11" s="3142"/>
      <c r="F11" s="3142"/>
      <c r="G11" s="3142"/>
      <c r="H11" s="3142"/>
      <c r="I11" s="2978"/>
      <c r="J11" s="1363"/>
      <c r="K11" s="1363"/>
      <c r="L11" s="1406"/>
      <c r="M11" s="1731"/>
      <c r="P11" s="3119"/>
      <c r="Q11" s="2045"/>
      <c r="R11" s="463"/>
      <c r="S11" s="1374"/>
      <c r="T11" s="395" t="s">
        <v>497</v>
      </c>
      <c r="U11" s="707"/>
      <c r="V11" s="707"/>
      <c r="W11" s="707"/>
      <c r="X11" s="707"/>
      <c r="Y11" s="707"/>
      <c r="Z11" s="707"/>
      <c r="AA11" s="707"/>
      <c r="AB11" s="707"/>
      <c r="AC11" s="473"/>
      <c r="AD11" s="707"/>
      <c r="AE11" s="707"/>
      <c r="AF11" s="707"/>
      <c r="AG11" s="707"/>
      <c r="AH11" s="707"/>
      <c r="AI11" s="707"/>
      <c r="AJ11" s="707"/>
      <c r="AK11" s="473"/>
      <c r="AL11" s="707"/>
      <c r="AM11" s="411"/>
      <c r="AO11" s="1720"/>
      <c r="AP11" s="1720" t="str">
        <f>IF(T11="","",T11)</f>
        <v>Добавить группу потребителей</v>
      </c>
      <c r="AQ11" s="1720"/>
      <c r="AR11" s="1720"/>
      <c r="AS11" s="1727">
        <v>0</v>
      </c>
    </row>
    <row customHeight="1" ht="14.25" hidden="1">
      <c r="A12" s="1363"/>
      <c r="B12" s="1363"/>
      <c r="C12" s="1363"/>
      <c r="D12" s="1363"/>
      <c r="E12" s="3142"/>
      <c r="F12" s="3142"/>
      <c r="G12" s="3142"/>
      <c r="H12" s="3141"/>
      <c r="I12" s="1363"/>
      <c r="J12" s="1363"/>
      <c r="K12" s="1363"/>
      <c r="L12" s="1406"/>
      <c r="M12" s="1706"/>
      <c r="N12" s="1706"/>
      <c r="O12" s="1731"/>
      <c r="P12" s="467"/>
      <c r="Q12" s="482"/>
      <c r="R12" s="462"/>
      <c r="S12" s="1374"/>
      <c r="T12" s="472" t="s">
        <v>498</v>
      </c>
      <c r="U12" s="707"/>
      <c r="V12" s="707"/>
      <c r="W12" s="707"/>
      <c r="X12" s="707"/>
      <c r="Y12" s="707"/>
      <c r="Z12" s="707"/>
      <c r="AA12" s="707"/>
      <c r="AB12" s="707"/>
      <c r="AC12" s="473"/>
      <c r="AD12" s="707"/>
      <c r="AE12" s="707"/>
      <c r="AF12" s="707"/>
      <c r="AG12" s="707"/>
      <c r="AH12" s="707"/>
      <c r="AI12" s="707"/>
      <c r="AJ12" s="707"/>
      <c r="AK12" s="473"/>
      <c r="AL12" s="707"/>
      <c r="AM12" s="411"/>
      <c r="AO12" s="1720"/>
      <c r="AP12" s="1720" t="str">
        <f>IF(T12="","",T12)</f>
        <v>Добавить схему подключения</v>
      </c>
      <c r="AQ12" s="1720"/>
      <c r="AR12" s="1720"/>
      <c r="AS12" s="1727">
        <v>0</v>
      </c>
    </row>
    <row s="10307" customFormat="1" customHeight="1" ht="0.75" hidden="1">
      <c r="A13" s="2065"/>
      <c r="B13" s="2065"/>
      <c r="C13" s="2065"/>
      <c r="D13" s="2065"/>
      <c r="E13" s="3142"/>
      <c r="F13" s="3142"/>
      <c r="G13" s="3141"/>
      <c r="H13" s="2065"/>
      <c r="I13" s="2065"/>
      <c r="J13" s="2065"/>
      <c r="K13" s="2065"/>
      <c r="L13" s="1476"/>
      <c r="M13" s="1706"/>
      <c r="N13" s="1706"/>
      <c r="O13" s="1731"/>
      <c r="P13" s="1412"/>
      <c r="Q13" s="1413"/>
      <c r="R13" s="1412"/>
      <c r="S13" s="1414"/>
      <c r="T13" s="1415" t="s">
        <v>499</v>
      </c>
      <c r="U13" s="1416"/>
      <c r="V13" s="1416"/>
      <c r="W13" s="1416"/>
      <c r="X13" s="1416"/>
      <c r="Y13" s="1416"/>
      <c r="Z13" s="1416"/>
      <c r="AA13" s="1416"/>
      <c r="AB13" s="1416"/>
      <c r="AC13" s="1416"/>
      <c r="AD13" s="1416"/>
      <c r="AE13" s="1416"/>
      <c r="AF13" s="1416"/>
      <c r="AG13" s="1416"/>
      <c r="AH13" s="1416"/>
      <c r="AI13" s="1416"/>
      <c r="AJ13" s="1416"/>
      <c r="AK13" s="1416"/>
      <c r="AL13" s="1416"/>
      <c r="AM13" s="1416"/>
      <c r="AO13" s="1347"/>
      <c r="AP13" s="1347" t="str">
        <f>IF(T13="","",T13)</f>
        <v>Добавить источник для дифференциации</v>
      </c>
      <c r="AQ13" s="1347"/>
      <c r="AR13" s="1347"/>
      <c r="AS13" s="1738">
        <v>0</v>
      </c>
    </row>
    <row s="10307" customFormat="1" customHeight="1" ht="0.75" hidden="1">
      <c r="A14" s="2065"/>
      <c r="B14" s="2065"/>
      <c r="C14" s="2065"/>
      <c r="D14" s="2065"/>
      <c r="E14" s="3142"/>
      <c r="F14" s="3141"/>
      <c r="G14" s="2065"/>
      <c r="H14" s="2065"/>
      <c r="I14" s="2065"/>
      <c r="J14" s="2065"/>
      <c r="K14" s="2065"/>
      <c r="L14" s="1476"/>
      <c r="M14" s="2066"/>
      <c r="N14" s="2066"/>
      <c r="O14" s="1731"/>
      <c r="P14" s="1412"/>
      <c r="Q14" s="1413"/>
      <c r="R14" s="1412"/>
      <c r="S14" s="1418"/>
      <c r="T14" s="1419" t="s">
        <v>500</v>
      </c>
      <c r="U14" s="1420"/>
      <c r="V14" s="1420"/>
      <c r="W14" s="1420"/>
      <c r="X14" s="1420"/>
      <c r="Y14" s="1420"/>
      <c r="Z14" s="1420"/>
      <c r="AA14" s="1420"/>
      <c r="AB14" s="1420"/>
      <c r="AC14" s="1420"/>
      <c r="AD14" s="1420"/>
      <c r="AE14" s="1420"/>
      <c r="AF14" s="1420"/>
      <c r="AG14" s="1420"/>
      <c r="AH14" s="1420"/>
      <c r="AI14" s="1420"/>
      <c r="AJ14" s="1420"/>
      <c r="AK14" s="1420"/>
      <c r="AL14" s="1420"/>
      <c r="AM14" s="1420"/>
      <c r="AO14" s="1347"/>
      <c r="AP14" s="1347" t="str">
        <f>IF(T14="","",T14)</f>
        <v>Добавить централизованную систему для дифференциации</v>
      </c>
      <c r="AQ14" s="1347"/>
      <c r="AR14" s="1347"/>
      <c r="AS14" s="1738">
        <v>0</v>
      </c>
    </row>
    <row s="10307" customFormat="1" customHeight="1" ht="0.75" hidden="1">
      <c r="A15" s="2065"/>
      <c r="B15" s="2065"/>
      <c r="C15" s="2065"/>
      <c r="D15" s="2065"/>
      <c r="E15" s="3141"/>
      <c r="F15" s="2065"/>
      <c r="G15" s="2065"/>
      <c r="H15" s="2065"/>
      <c r="I15" s="2065"/>
      <c r="J15" s="2065"/>
      <c r="K15" s="2065"/>
      <c r="L15" s="1476"/>
      <c r="M15" s="2066"/>
      <c r="N15" s="2066"/>
      <c r="O15" s="1731"/>
      <c r="P15" s="1412"/>
      <c r="Q15" s="1413"/>
      <c r="R15" s="1412"/>
      <c r="S15" s="1418"/>
      <c r="T15" s="1421" t="s">
        <v>501</v>
      </c>
      <c r="U15" s="1420"/>
      <c r="V15" s="1420"/>
      <c r="W15" s="1420"/>
      <c r="X15" s="1420"/>
      <c r="Y15" s="1420"/>
      <c r="Z15" s="1420"/>
      <c r="AA15" s="1420"/>
      <c r="AB15" s="1420"/>
      <c r="AC15" s="1420"/>
      <c r="AD15" s="1420"/>
      <c r="AE15" s="1420"/>
      <c r="AF15" s="1420"/>
      <c r="AG15" s="1420"/>
      <c r="AH15" s="1420"/>
      <c r="AI15" s="1420"/>
      <c r="AJ15" s="1420"/>
      <c r="AK15" s="1420"/>
      <c r="AL15" s="1420"/>
      <c r="AM15" s="1420"/>
      <c r="AO15" s="1347"/>
      <c r="AP15" s="1347" t="str">
        <f>IF(T15="","",T15)</f>
        <v>Добавить территорию для дифференциации</v>
      </c>
      <c r="AQ15" s="1347"/>
      <c r="AR15" s="1347"/>
      <c r="AS15" s="1738">
        <v>0</v>
      </c>
    </row>
    <row customHeight="1" ht="14.25" hidden="1">
      <c r="AS16" s="1727">
        <v>0</v>
      </c>
    </row>
    <row customHeight="1" ht="14.25" hidden="1">
      <c r="AD17" s="1456"/>
      <c r="AE17" s="1456"/>
      <c r="AF17" s="1456"/>
      <c r="AG17" s="1457"/>
      <c r="AH17" s="3113"/>
      <c r="AI17" s="3112" t="s">
        <v>62</v>
      </c>
      <c r="AJ17" s="3113"/>
      <c r="AK17" s="3112" t="s">
        <v>62</v>
      </c>
      <c r="AS17" s="1727">
        <v>0</v>
      </c>
    </row>
    <row customHeight="1" ht="14.25" hidden="1">
      <c r="AD18" s="1456"/>
      <c r="AE18" s="1456"/>
      <c r="AF18" s="1456"/>
      <c r="AG18" s="436" t="str">
        <f>AH17&amp;"-"&amp;AJ17</f>
        <v>-</v>
      </c>
      <c r="AH18" s="3112"/>
      <c r="AI18" s="3112"/>
      <c r="AJ18" s="3112"/>
      <c r="AK18" s="3112"/>
      <c r="AS18" s="1727">
        <v>0</v>
      </c>
    </row>
    <row customHeight="1" ht="14.25" hidden="1">
      <c r="AS19" s="1727">
        <v>0</v>
      </c>
    </row>
    <row s="10306" customFormat="1" customHeight="1" ht="22.5" hidden="1">
      <c r="A20" s="1727"/>
      <c r="B20" s="1727"/>
      <c r="C20" s="1727"/>
      <c r="D20" s="1727"/>
      <c r="E20" s="1727"/>
      <c r="F20" s="1727"/>
      <c r="G20" s="1727"/>
      <c r="H20" s="1727"/>
      <c r="I20" s="1727"/>
      <c r="J20" s="1727"/>
      <c r="K20" s="1727"/>
      <c r="L20" s="2030"/>
      <c r="M20" s="2056"/>
      <c r="N20" s="2056"/>
      <c r="O20" s="1441" t="s">
        <v>502</v>
      </c>
      <c r="P20" s="1458"/>
      <c r="Q20" s="1467"/>
      <c r="R20" s="1467"/>
      <c r="S20" s="836"/>
      <c r="Z20" s="1463"/>
      <c r="AB20" s="1463"/>
      <c r="AH20" s="1463"/>
      <c r="AJ20" s="1463"/>
      <c r="AN20" s="1732"/>
      <c r="AO20" s="1732"/>
      <c r="AP20" s="1732"/>
      <c r="AQ20" s="1732"/>
      <c r="AR20" s="1732"/>
      <c r="AS20" s="1462">
        <v>0</v>
      </c>
    </row>
    <row s="10306" customFormat="1" customHeight="1" ht="14.25" hidden="1">
      <c r="A21" s="1727"/>
      <c r="B21" s="1727"/>
      <c r="C21" s="1727"/>
      <c r="D21" s="1727"/>
      <c r="E21" s="1727"/>
      <c r="F21" s="1727"/>
      <c r="G21" s="1727"/>
      <c r="H21" s="1727"/>
      <c r="I21" s="1727"/>
      <c r="J21" s="1727"/>
      <c r="K21" s="1727"/>
      <c r="L21" s="2030"/>
      <c r="M21" s="2056"/>
      <c r="N21" s="2056"/>
      <c r="O21" s="2056"/>
      <c r="P21" s="1458"/>
      <c r="Q21" s="1467"/>
      <c r="R21" s="1467"/>
      <c r="S21" s="836"/>
      <c r="AN21" s="1732"/>
      <c r="AO21" s="1732"/>
      <c r="AP21" s="1732"/>
      <c r="AQ21" s="1732"/>
      <c r="AR21" s="1732"/>
      <c r="AS21" s="1462">
        <v>0</v>
      </c>
    </row>
    <row s="10306" customFormat="1" customHeight="1" ht="14.25" hidden="1">
      <c r="A22" s="1727"/>
      <c r="B22" s="1727"/>
      <c r="C22" s="1727"/>
      <c r="D22" s="1727"/>
      <c r="E22" s="1727"/>
      <c r="F22" s="1727"/>
      <c r="G22" s="1727"/>
      <c r="H22" s="1727"/>
      <c r="I22" s="1727"/>
      <c r="J22" s="1727"/>
      <c r="K22" s="1727"/>
      <c r="L22" s="2030"/>
      <c r="M22" s="2056"/>
      <c r="N22" s="2056"/>
      <c r="O22" s="1406" t="s">
        <v>503</v>
      </c>
      <c r="P22" s="1458"/>
      <c r="Q22" s="1467"/>
      <c r="R22" s="1467"/>
      <c r="S22" s="836"/>
      <c r="T22" s="1462" t="s">
        <v>504</v>
      </c>
      <c r="AA22" s="702" t="s">
        <v>505</v>
      </c>
      <c r="AC22" s="702" t="s">
        <v>506</v>
      </c>
      <c r="AD22" s="1462" t="s">
        <v>504</v>
      </c>
      <c r="AI22" s="702" t="s">
        <v>507</v>
      </c>
      <c r="AK22" s="702" t="s">
        <v>506</v>
      </c>
      <c r="AN22" s="1732"/>
      <c r="AO22" s="1732"/>
      <c r="AP22" s="1732"/>
      <c r="AQ22" s="1732"/>
      <c r="AR22" s="1732"/>
      <c r="AS22" s="1462">
        <v>0</v>
      </c>
    </row>
    <row customHeight="1" ht="14.25" hidden="1">
      <c r="O23" s="1406"/>
      <c r="AS23" s="1727">
        <v>0</v>
      </c>
    </row>
    <row customHeight="1" ht="14.25" hidden="1">
      <c r="O24" s="1406"/>
      <c r="AS24" s="1727">
        <v>0</v>
      </c>
    </row>
    <row customHeight="1" ht="14.699999999999998">
      <c r="Q25" s="483"/>
      <c r="R25" s="483"/>
      <c r="S25" s="1371"/>
      <c r="T25" s="564"/>
      <c r="U25" s="564"/>
      <c r="AS25" s="1727">
        <v>14</v>
      </c>
    </row>
    <row customHeight="1" ht="14.699999999999998">
      <c r="Q26" s="483"/>
      <c r="R26" s="483"/>
      <c r="S26" s="30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96"/>
      <c r="U26" s="3096"/>
      <c r="V26" s="3096"/>
      <c r="W26" s="3096"/>
      <c r="X26" s="3096"/>
      <c r="Y26" s="3096"/>
      <c r="Z26" s="3096"/>
      <c r="AA26" s="3096"/>
      <c r="AB26" s="3096"/>
      <c r="AC26" s="3096"/>
      <c r="AD26" s="3096"/>
      <c r="AE26" s="3096"/>
      <c r="AF26" s="3096"/>
      <c r="AG26" s="3096"/>
      <c r="AH26" s="3096"/>
      <c r="AI26" s="3096"/>
      <c r="AJ26" s="3096"/>
      <c r="AK26" s="1339"/>
      <c r="AS26" s="1727">
        <v>14</v>
      </c>
    </row>
    <row customHeight="1" ht="14.699999999999998">
      <c r="Q27" s="483"/>
      <c r="R27" s="483"/>
      <c r="S27" s="3069" t="str">
        <f>IF(org=0,"Не определено",org)</f>
        <v>АО "ДГК"</v>
      </c>
      <c r="T27" s="3069"/>
      <c r="U27" s="3069"/>
      <c r="V27" s="3069"/>
      <c r="W27" s="3069"/>
      <c r="X27" s="3069"/>
      <c r="Y27" s="3069"/>
      <c r="Z27" s="3069"/>
      <c r="AA27" s="3069"/>
      <c r="AB27" s="3069"/>
      <c r="AC27" s="3069"/>
      <c r="AD27" s="3069"/>
      <c r="AE27" s="3069"/>
      <c r="AF27" s="3069"/>
      <c r="AG27" s="3069"/>
      <c r="AH27" s="3069"/>
      <c r="AI27" s="3069"/>
      <c r="AJ27" s="3069"/>
      <c r="AK27" s="1339"/>
      <c r="AS27" s="1727">
        <v>14</v>
      </c>
    </row>
    <row customHeight="1" ht="14.25" hidden="1">
      <c r="Q28" s="483"/>
      <c r="R28" s="483"/>
      <c r="S28" s="1371"/>
      <c r="T28" s="564"/>
      <c r="U28" s="564"/>
      <c r="V28" s="430"/>
      <c r="W28" s="430"/>
      <c r="X28" s="430"/>
      <c r="Y28" s="430"/>
      <c r="Z28" s="430"/>
      <c r="AA28" s="430"/>
      <c r="AB28" s="430"/>
      <c r="AC28" s="430"/>
      <c r="AD28" s="430"/>
      <c r="AE28" s="430"/>
      <c r="AF28" s="430"/>
      <c r="AG28" s="430"/>
      <c r="AH28" s="430"/>
      <c r="AI28" s="430"/>
      <c r="AJ28" s="430"/>
      <c r="AK28" s="430"/>
      <c r="AS28" s="1727">
        <v>0</v>
      </c>
    </row>
    <row s="10446" customFormat="1" customHeight="1" ht="25.5" hidden="1">
      <c r="A29" s="1344"/>
      <c r="B29" s="1344"/>
      <c r="C29" s="1344"/>
      <c r="D29" s="1344"/>
      <c r="E29" s="1344"/>
      <c r="F29" s="1344"/>
      <c r="G29" s="1344"/>
      <c r="H29" s="1344"/>
      <c r="I29" s="1344"/>
      <c r="J29" s="1344"/>
      <c r="K29" s="1344"/>
      <c r="L29" s="1476"/>
      <c r="M29" s="1344"/>
      <c r="N29" s="1344"/>
      <c r="O29" s="1344"/>
      <c r="S29" s="3106" t="s">
        <v>41</v>
      </c>
      <c r="T29" s="3106"/>
      <c r="U29" s="1468"/>
      <c r="V29" s="3108" t="str">
        <f>IF(TITLE_NAME_OR_PR_CHANGE="",IF(TITLE_NAME_OR_PR="","",TITLE_NAME_OR_PR),TITLE_NAME_OR_PR_CHANGE)</f>
        <v/>
      </c>
      <c r="W29" s="3108"/>
      <c r="X29" s="3108"/>
      <c r="Y29" s="3108"/>
      <c r="Z29" s="3108"/>
      <c r="AA29" s="3108"/>
      <c r="AB29" s="3108"/>
      <c r="AC29" s="1731"/>
      <c r="AD29" s="3108" t="str">
        <f>IF(TITLE_NAME_OR_PR_CHANGE="",IF(TITLE_NAME_OR_PR="","",TITLE_NAME_OR_PR),TITLE_NAME_OR_PR_CHANGE)</f>
        <v/>
      </c>
      <c r="AE29" s="3108"/>
      <c r="AF29" s="3108"/>
      <c r="AG29" s="3108"/>
      <c r="AH29" s="3108"/>
      <c r="AI29" s="3108"/>
      <c r="AJ29" s="3108"/>
      <c r="AK29" s="1731"/>
      <c r="AL29" s="1731"/>
      <c r="AM29" s="388"/>
      <c r="AN29" s="475"/>
      <c r="AO29" s="475"/>
      <c r="AP29" s="475"/>
      <c r="AQ29" s="475"/>
      <c r="AR29" s="475"/>
      <c r="AS29" s="525">
        <v>0</v>
      </c>
    </row>
    <row s="10446" customFormat="1" customHeight="1" ht="18.75" hidden="1">
      <c r="A30" s="1344"/>
      <c r="B30" s="1344"/>
      <c r="C30" s="1344"/>
      <c r="D30" s="1344"/>
      <c r="E30" s="1344"/>
      <c r="F30" s="1344"/>
      <c r="G30" s="1344"/>
      <c r="H30" s="1344"/>
      <c r="I30" s="1344"/>
      <c r="J30" s="1344"/>
      <c r="K30" s="1344"/>
      <c r="L30" s="1476"/>
      <c r="M30" s="1344"/>
      <c r="N30" s="1344"/>
      <c r="O30" s="1344"/>
      <c r="S30" s="3106" t="s">
        <v>508</v>
      </c>
      <c r="T30" s="3106"/>
      <c r="U30" s="1468"/>
      <c r="V30" s="3107" t="str">
        <f>IF(TITLE_DATE_PR_CHANGE="",IF(TITLE_DATE_PR="","",TITLE_DATE_PR),TITLE_DATE_PR_CHANGE)</f>
        <v/>
      </c>
      <c r="W30" s="3107"/>
      <c r="X30" s="3107"/>
      <c r="Y30" s="3107"/>
      <c r="Z30" s="3107"/>
      <c r="AA30" s="3107"/>
      <c r="AB30" s="3107"/>
      <c r="AC30" s="1731"/>
      <c r="AD30" s="3107" t="str">
        <f>IF(TITLE_DATE_PR_CHANGE="",IF(TITLE_DATE_PR="","",TITLE_DATE_PR),TITLE_DATE_PR_CHANGE)</f>
        <v/>
      </c>
      <c r="AE30" s="3107"/>
      <c r="AF30" s="3107"/>
      <c r="AG30" s="3107"/>
      <c r="AH30" s="3107"/>
      <c r="AI30" s="3107"/>
      <c r="AJ30" s="3107"/>
      <c r="AK30" s="1731"/>
      <c r="AL30" s="1731"/>
      <c r="AM30" s="388"/>
      <c r="AN30" s="475"/>
      <c r="AO30" s="475"/>
      <c r="AP30" s="475"/>
      <c r="AQ30" s="475"/>
      <c r="AR30" s="475"/>
      <c r="AS30" s="525">
        <v>0</v>
      </c>
    </row>
    <row s="10446" customFormat="1" customHeight="1" ht="18.75" hidden="1">
      <c r="A31" s="1344"/>
      <c r="B31" s="1344"/>
      <c r="C31" s="1344"/>
      <c r="D31" s="1344"/>
      <c r="E31" s="1344"/>
      <c r="F31" s="1344"/>
      <c r="G31" s="1344"/>
      <c r="H31" s="1344"/>
      <c r="I31" s="1344"/>
      <c r="J31" s="1344"/>
      <c r="K31" s="1344"/>
      <c r="L31" s="1476"/>
      <c r="M31" s="1344"/>
      <c r="N31" s="1344"/>
      <c r="O31" s="1344"/>
      <c r="S31" s="3106" t="s">
        <v>509</v>
      </c>
      <c r="T31" s="3106"/>
      <c r="U31" s="1468"/>
      <c r="V31" s="3108" t="str">
        <f>IF(TITLE_NUMBER_PR_CHANGE="",IF(TITLE_NUMBER_PR="","",TITLE_NUMBER_PR),TITLE_NUMBER_PR_CHANGE)</f>
        <v/>
      </c>
      <c r="W31" s="3108"/>
      <c r="X31" s="3108"/>
      <c r="Y31" s="3108"/>
      <c r="Z31" s="3108"/>
      <c r="AA31" s="3108"/>
      <c r="AB31" s="3108"/>
      <c r="AC31" s="1731"/>
      <c r="AD31" s="3108" t="str">
        <f>IF(TITLE_NUMBER_PR_CHANGE="",IF(TITLE_NUMBER_PR="","",TITLE_NUMBER_PR),TITLE_NUMBER_PR_CHANGE)</f>
        <v/>
      </c>
      <c r="AE31" s="3108"/>
      <c r="AF31" s="3108"/>
      <c r="AG31" s="3108"/>
      <c r="AH31" s="3108"/>
      <c r="AI31" s="3108"/>
      <c r="AJ31" s="3108"/>
      <c r="AK31" s="1731"/>
      <c r="AL31" s="1731"/>
      <c r="AM31" s="388"/>
      <c r="AN31" s="475"/>
      <c r="AO31" s="475"/>
      <c r="AP31" s="475"/>
      <c r="AQ31" s="475"/>
      <c r="AR31" s="475"/>
      <c r="AS31" s="525">
        <v>0</v>
      </c>
    </row>
    <row s="10446" customFormat="1" customHeight="1" ht="18.75" hidden="1">
      <c r="A32" s="1344"/>
      <c r="B32" s="1344"/>
      <c r="C32" s="1344"/>
      <c r="D32" s="1344"/>
      <c r="E32" s="1344"/>
      <c r="F32" s="1344"/>
      <c r="G32" s="1344"/>
      <c r="H32" s="1344"/>
      <c r="I32" s="1344"/>
      <c r="J32" s="1344"/>
      <c r="K32" s="1344"/>
      <c r="L32" s="1476"/>
      <c r="M32" s="1344"/>
      <c r="N32" s="1344"/>
      <c r="O32" s="1344"/>
      <c r="S32" s="3106" t="s">
        <v>42</v>
      </c>
      <c r="T32" s="3106"/>
      <c r="U32" s="1468"/>
      <c r="V32" s="3108" t="str">
        <f>IF(TITLE_IST_PUB_CHANGE="",IF(TITLE_IST_PUB="","",TITLE_IST_PUB),TITLE_IST_PUB_CHANGE)</f>
        <v/>
      </c>
      <c r="W32" s="3108"/>
      <c r="X32" s="3108"/>
      <c r="Y32" s="3108"/>
      <c r="Z32" s="3108"/>
      <c r="AA32" s="3108"/>
      <c r="AB32" s="3108"/>
      <c r="AC32" s="1731"/>
      <c r="AD32" s="3108" t="str">
        <f>IF(TITLE_IST_PUB_CHANGE="",IF(TITLE_IST_PUB="","",TITLE_IST_PUB),TITLE_IST_PUB_CHANGE)</f>
        <v/>
      </c>
      <c r="AE32" s="3108"/>
      <c r="AF32" s="3108"/>
      <c r="AG32" s="3108"/>
      <c r="AH32" s="3108"/>
      <c r="AI32" s="3108"/>
      <c r="AJ32" s="3108"/>
      <c r="AK32" s="1731"/>
      <c r="AL32" s="1731"/>
      <c r="AM32" s="388"/>
      <c r="AN32" s="475"/>
      <c r="AO32" s="475"/>
      <c r="AP32" s="475"/>
      <c r="AQ32" s="475"/>
      <c r="AR32" s="475"/>
      <c r="AS32" s="525">
        <v>0</v>
      </c>
    </row>
    <row customHeight="1" ht="14.25" hidden="1">
      <c r="Q33" s="483"/>
      <c r="R33" s="483"/>
      <c r="S33" s="1371"/>
      <c r="T33" s="564"/>
      <c r="U33" s="564"/>
      <c r="V33" s="430"/>
      <c r="W33" s="430"/>
      <c r="X33" s="430"/>
      <c r="Y33" s="430"/>
      <c r="Z33" s="430"/>
      <c r="AA33" s="430"/>
      <c r="AB33" s="430"/>
      <c r="AC33" s="430"/>
      <c r="AD33" s="430"/>
      <c r="AE33" s="430"/>
      <c r="AF33" s="430"/>
      <c r="AG33" s="430"/>
      <c r="AH33" s="430"/>
      <c r="AI33" s="430"/>
      <c r="AJ33" s="430"/>
      <c r="AK33" s="430"/>
      <c r="AS33" s="1727">
        <v>0</v>
      </c>
    </row>
    <row s="10446" customFormat="1" customHeight="1" ht="18.75" hidden="1">
      <c r="A34" s="1344"/>
      <c r="B34" s="1344"/>
      <c r="C34" s="1344"/>
      <c r="D34" s="1344"/>
      <c r="E34" s="1344"/>
      <c r="F34" s="1344"/>
      <c r="G34" s="1344"/>
      <c r="H34" s="1344"/>
      <c r="I34" s="1344"/>
      <c r="J34" s="1344"/>
      <c r="K34" s="1344"/>
      <c r="L34" s="1476"/>
      <c r="M34" s="1344"/>
      <c r="N34" s="1344"/>
      <c r="O34" s="1344"/>
      <c r="S34" s="3106" t="s">
        <v>510</v>
      </c>
      <c r="T34" s="3106"/>
      <c r="U34" s="1468"/>
      <c r="V34" s="3107" t="str">
        <f>IF(TITLE_DATE_PR_CHANGE="",IF(TITLE_DATE_PR="","",TITLE_DATE_PR),TITLE_DATE_PR_CHANGE)</f>
        <v/>
      </c>
      <c r="W34" s="3107"/>
      <c r="X34" s="3107"/>
      <c r="Y34" s="3107"/>
      <c r="Z34" s="3107"/>
      <c r="AA34" s="3107"/>
      <c r="AB34" s="3107"/>
      <c r="AC34" s="1731"/>
      <c r="AD34" s="3107" t="str">
        <f>IF(TITLE_DATE_PR_CHANGE="",IF(TITLE_DATE_PR="","",TITLE_DATE_PR),TITLE_DATE_PR_CHANGE)</f>
        <v/>
      </c>
      <c r="AE34" s="3107"/>
      <c r="AF34" s="3107"/>
      <c r="AG34" s="3107"/>
      <c r="AH34" s="3107"/>
      <c r="AI34" s="3107"/>
      <c r="AJ34" s="3107"/>
      <c r="AK34" s="1731"/>
      <c r="AL34" s="1731"/>
      <c r="AM34" s="388"/>
      <c r="AN34" s="475"/>
      <c r="AO34" s="475"/>
      <c r="AP34" s="475"/>
      <c r="AQ34" s="475"/>
      <c r="AR34" s="475"/>
      <c r="AS34" s="525">
        <v>0</v>
      </c>
    </row>
    <row s="10446" customFormat="1" customHeight="1" ht="18.75" hidden="1">
      <c r="A35" s="1344"/>
      <c r="B35" s="1344"/>
      <c r="C35" s="1344"/>
      <c r="D35" s="1344"/>
      <c r="E35" s="1344"/>
      <c r="F35" s="1344"/>
      <c r="G35" s="1344"/>
      <c r="H35" s="1344"/>
      <c r="I35" s="1344"/>
      <c r="J35" s="1344"/>
      <c r="K35" s="1344"/>
      <c r="L35" s="1476"/>
      <c r="M35" s="1344"/>
      <c r="N35" s="1344"/>
      <c r="O35" s="1344"/>
      <c r="S35" s="3106" t="s">
        <v>511</v>
      </c>
      <c r="T35" s="3106"/>
      <c r="U35" s="1468"/>
      <c r="V35" s="3108" t="str">
        <f>IF(TITLE_NUMBER_PR_CHANGE="",IF(TITLE_NUMBER_PR="","",TITLE_NUMBER_PR),TITLE_NUMBER_PR_CHANGE)</f>
        <v/>
      </c>
      <c r="W35" s="3108"/>
      <c r="X35" s="3108"/>
      <c r="Y35" s="3108"/>
      <c r="Z35" s="3108"/>
      <c r="AA35" s="3108"/>
      <c r="AB35" s="3108"/>
      <c r="AC35" s="1731"/>
      <c r="AD35" s="3108" t="str">
        <f>IF(TITLE_NUMBER_PR_CHANGE="",IF(TITLE_NUMBER_PR="","",TITLE_NUMBER_PR),TITLE_NUMBER_PR_CHANGE)</f>
        <v/>
      </c>
      <c r="AE35" s="3108"/>
      <c r="AF35" s="3108"/>
      <c r="AG35" s="3108"/>
      <c r="AH35" s="3108"/>
      <c r="AI35" s="3108"/>
      <c r="AJ35" s="3108"/>
      <c r="AK35" s="1731"/>
      <c r="AL35" s="1731"/>
      <c r="AM35" s="388"/>
      <c r="AN35" s="475"/>
      <c r="AO35" s="475"/>
      <c r="AP35" s="475"/>
      <c r="AQ35" s="475"/>
      <c r="AR35" s="475"/>
      <c r="AS35" s="525">
        <v>0</v>
      </c>
    </row>
    <row s="10446" customFormat="1" customHeight="1" ht="14.25" hidden="1">
      <c r="A36" s="1344"/>
      <c r="B36" s="1344"/>
      <c r="C36" s="1344"/>
      <c r="D36" s="1344"/>
      <c r="E36" s="1344"/>
      <c r="F36" s="1344"/>
      <c r="G36" s="1344"/>
      <c r="H36" s="1344"/>
      <c r="I36" s="1344"/>
      <c r="J36" s="1344"/>
      <c r="K36" s="1344"/>
      <c r="L36" s="1476"/>
      <c r="M36" s="1344"/>
      <c r="N36" s="1344"/>
      <c r="O36" s="1344"/>
      <c r="S36" s="1731"/>
      <c r="T36" s="1731"/>
      <c r="U36" s="2061"/>
      <c r="V36" s="1731"/>
      <c r="W36" s="1731"/>
      <c r="X36" s="1731"/>
      <c r="Y36" s="1731"/>
      <c r="Z36" s="1731"/>
      <c r="AA36" s="1731"/>
      <c r="AB36" s="1731"/>
      <c r="AC36" s="1738" t="s">
        <v>512</v>
      </c>
      <c r="AD36" s="1731"/>
      <c r="AE36" s="1731"/>
      <c r="AF36" s="1731"/>
      <c r="AG36" s="1731"/>
      <c r="AH36" s="1731"/>
      <c r="AI36" s="1731"/>
      <c r="AJ36" s="1731"/>
      <c r="AK36" s="1738" t="s">
        <v>512</v>
      </c>
      <c r="AN36" s="475"/>
      <c r="AO36" s="475"/>
      <c r="AP36" s="475"/>
      <c r="AQ36" s="475"/>
      <c r="AR36" s="475"/>
      <c r="AS36" s="525">
        <v>0</v>
      </c>
    </row>
    <row customHeight="1" ht="14.699999999999998">
      <c r="Q37" s="483"/>
      <c r="R37" s="483"/>
      <c r="S37" s="1371"/>
      <c r="T37" s="564"/>
      <c r="U37" s="1340"/>
      <c r="V37" s="3127"/>
      <c r="W37" s="3127"/>
      <c r="X37" s="3127"/>
      <c r="Y37" s="3127"/>
      <c r="Z37" s="3127"/>
      <c r="AA37" s="3127"/>
      <c r="AB37" s="3127"/>
      <c r="AC37" s="3127"/>
      <c r="AD37" s="3127"/>
      <c r="AE37" s="3127"/>
      <c r="AF37" s="3127"/>
      <c r="AG37" s="3127"/>
      <c r="AH37" s="3127"/>
      <c r="AI37" s="3127"/>
      <c r="AJ37" s="3127"/>
      <c r="AK37" s="3127"/>
      <c r="AS37" s="1727">
        <v>14</v>
      </c>
    </row>
    <row customHeight="1" ht="14.699999999999998">
      <c r="Q38" s="483"/>
      <c r="R38" s="483"/>
      <c r="S38" s="2978" t="s">
        <v>385</v>
      </c>
      <c r="T38" s="2978"/>
      <c r="U38" s="2978"/>
      <c r="V38" s="2978"/>
      <c r="W38" s="2978"/>
      <c r="X38" s="2978"/>
      <c r="Y38" s="2978"/>
      <c r="Z38" s="2978"/>
      <c r="AA38" s="2978"/>
      <c r="AB38" s="2978"/>
      <c r="AC38" s="2978"/>
      <c r="AD38" s="2978"/>
      <c r="AE38" s="2978"/>
      <c r="AF38" s="2978"/>
      <c r="AG38" s="2978"/>
      <c r="AH38" s="2978"/>
      <c r="AI38" s="2978"/>
      <c r="AJ38" s="2978"/>
      <c r="AK38" s="2978"/>
      <c r="AL38" s="2978"/>
      <c r="AM38" s="2978" t="s">
        <v>386</v>
      </c>
      <c r="AS38" s="1727">
        <v>14</v>
      </c>
    </row>
    <row customHeight="1" ht="14.699999999999998">
      <c r="Q39" s="483"/>
      <c r="R39" s="483"/>
      <c r="S39" s="3128" t="s">
        <v>88</v>
      </c>
      <c r="T39" s="3077" t="s">
        <v>513</v>
      </c>
      <c r="U39" s="445"/>
      <c r="V39" s="3129" t="s">
        <v>514</v>
      </c>
      <c r="W39" s="3130"/>
      <c r="X39" s="3130"/>
      <c r="Y39" s="3130"/>
      <c r="Z39" s="3130"/>
      <c r="AA39" s="3130"/>
      <c r="AB39" s="3131"/>
      <c r="AC39" s="3132" t="s">
        <v>515</v>
      </c>
      <c r="AD39" s="3129" t="s">
        <v>514</v>
      </c>
      <c r="AE39" s="3130"/>
      <c r="AF39" s="3130"/>
      <c r="AG39" s="3130"/>
      <c r="AH39" s="3130"/>
      <c r="AI39" s="3130"/>
      <c r="AJ39" s="3131"/>
      <c r="AK39" s="3132" t="s">
        <v>516</v>
      </c>
      <c r="AL39" s="3135" t="s">
        <v>517</v>
      </c>
      <c r="AM39" s="2978"/>
      <c r="AS39" s="1727">
        <v>14</v>
      </c>
    </row>
    <row customHeight="1" ht="35.699999999999996">
      <c r="Q40" s="483"/>
      <c r="R40" s="483"/>
      <c r="S40" s="3128"/>
      <c r="T40" s="3077"/>
      <c r="U40" s="1131"/>
      <c r="V40" s="3047" t="s">
        <v>518</v>
      </c>
      <c r="W40" s="3124" t="s">
        <v>519</v>
      </c>
      <c r="X40" s="2959" t="s">
        <v>520</v>
      </c>
      <c r="Y40" s="2958"/>
      <c r="Z40" s="2959" t="s">
        <v>534</v>
      </c>
      <c r="AA40" s="2965"/>
      <c r="AB40" s="2958"/>
      <c r="AC40" s="3133"/>
      <c r="AD40" s="3047" t="s">
        <v>518</v>
      </c>
      <c r="AE40" s="3124" t="s">
        <v>519</v>
      </c>
      <c r="AF40" s="2959" t="s">
        <v>520</v>
      </c>
      <c r="AG40" s="2958"/>
      <c r="AH40" s="2959" t="s">
        <v>521</v>
      </c>
      <c r="AI40" s="2965"/>
      <c r="AJ40" s="2958"/>
      <c r="AK40" s="3133"/>
      <c r="AL40" s="3136"/>
      <c r="AM40" s="2978"/>
      <c r="AS40" s="1727">
        <v>34</v>
      </c>
    </row>
    <row customHeight="1" ht="35.699999999999996">
      <c r="A41" s="1362"/>
      <c r="B41" s="1362" t="s">
        <v>222</v>
      </c>
      <c r="C41" s="1362" t="s">
        <v>223</v>
      </c>
      <c r="D41" s="1362" t="s">
        <v>224</v>
      </c>
      <c r="E41" s="1406" t="s">
        <v>522</v>
      </c>
      <c r="F41" s="1406" t="s">
        <v>523</v>
      </c>
      <c r="G41" s="1406" t="s">
        <v>524</v>
      </c>
      <c r="H41" s="1406" t="s">
        <v>525</v>
      </c>
      <c r="I41" s="1406" t="s">
        <v>526</v>
      </c>
      <c r="J41" s="1406" t="s">
        <v>527</v>
      </c>
      <c r="K41" s="1406" t="s">
        <v>528</v>
      </c>
      <c r="L41" s="1406" t="s">
        <v>503</v>
      </c>
      <c r="Q41" s="483"/>
      <c r="R41" s="483"/>
      <c r="S41" s="3128"/>
      <c r="T41" s="3077"/>
      <c r="U41" s="410"/>
      <c r="V41" s="3101"/>
      <c r="W41" s="3125"/>
      <c r="X41" s="2029" t="s">
        <v>529</v>
      </c>
      <c r="Y41" s="2029" t="s">
        <v>530</v>
      </c>
      <c r="Z41" s="2029" t="s">
        <v>531</v>
      </c>
      <c r="AA41" s="3082" t="s">
        <v>532</v>
      </c>
      <c r="AB41" s="3095"/>
      <c r="AC41" s="3134"/>
      <c r="AD41" s="3101"/>
      <c r="AE41" s="3125"/>
      <c r="AF41" s="2029" t="s">
        <v>529</v>
      </c>
      <c r="AG41" s="2029" t="s">
        <v>530</v>
      </c>
      <c r="AH41" s="2029" t="s">
        <v>531</v>
      </c>
      <c r="AI41" s="3082" t="s">
        <v>532</v>
      </c>
      <c r="AJ41" s="3095"/>
      <c r="AK41" s="3134"/>
      <c r="AL41" s="3137"/>
      <c r="AM41" s="2978"/>
      <c r="AS41" s="1727">
        <v>34</v>
      </c>
    </row>
    <row s="10851" customFormat="1" customHeight="1" ht="11.25" hidden="1">
      <c r="A42" s="1362"/>
      <c r="B42" s="1362"/>
      <c r="C42" s="1362"/>
      <c r="D42" s="1362"/>
      <c r="E42" s="1362"/>
      <c r="F42" s="1362"/>
      <c r="G42" s="1362"/>
      <c r="H42" s="1362"/>
      <c r="I42" s="1362"/>
      <c r="J42" s="1362"/>
      <c r="K42" s="1362"/>
      <c r="L42" s="1406"/>
      <c r="M42" s="2056"/>
      <c r="N42" s="2056"/>
      <c r="O42" s="2056"/>
      <c r="P42" s="1342"/>
      <c r="Q42" s="1343"/>
      <c r="R42" s="1350">
        <v>1</v>
      </c>
      <c r="S42" s="1373" t="s">
        <v>144</v>
      </c>
      <c r="T42" s="1351" t="s">
        <v>102</v>
      </c>
      <c r="U42" s="1341" t="str">
        <f>OFFSET(U42,0,-1)</f>
        <v>2</v>
      </c>
      <c r="V42" s="2047">
        <f>OFFSET(V42,0,-1)+1</f>
        <v>3</v>
      </c>
      <c r="W42" s="2047"/>
      <c r="X42" s="2047">
        <f>OFFSET(X42,0,-1)+1</f>
        <v>1</v>
      </c>
      <c r="Y42" s="2047">
        <f>OFFSET(Y42,0,-1)+1</f>
        <v>2</v>
      </c>
      <c r="Z42" s="2047">
        <f>OFFSET(Z42,0,-1)+1</f>
        <v>3</v>
      </c>
      <c r="AA42" s="3126">
        <f>OFFSET(AA42,0,-1)+1</f>
        <v>4</v>
      </c>
      <c r="AB42" s="3126"/>
      <c r="AC42" s="2047">
        <f>OFFSET(AC42,0,-2)+1</f>
        <v>5</v>
      </c>
      <c r="AD42" s="2047">
        <f>OFFSET(AD42,0,-1)+1</f>
        <v>6</v>
      </c>
      <c r="AE42" s="2047"/>
      <c r="AF42" s="2047">
        <f>OFFSET(AF42,0,-1)+1</f>
        <v>1</v>
      </c>
      <c r="AG42" s="2047">
        <f>OFFSET(AG42,0,-1)+1</f>
        <v>2</v>
      </c>
      <c r="AH42" s="2047">
        <f>OFFSET(AH42,0,-1)+1</f>
        <v>3</v>
      </c>
      <c r="AI42" s="3126">
        <f>OFFSET(AI42,0,-1)+1</f>
        <v>4</v>
      </c>
      <c r="AJ42" s="3126"/>
      <c r="AK42" s="2047">
        <f>OFFSET(AK42,0,-2)+1</f>
        <v>5</v>
      </c>
      <c r="AL42" s="1341">
        <f>OFFSET(AL42,0,-1)</f>
        <v>5</v>
      </c>
      <c r="AM42" s="2047">
        <f>OFFSET(AM42,0,-1)+1</f>
        <v>6</v>
      </c>
      <c r="AN42" s="1732"/>
      <c r="AO42" s="1732"/>
      <c r="AP42" s="1732"/>
      <c r="AQ42" s="1732"/>
      <c r="AR42" s="1732"/>
      <c r="AS42" s="1737">
        <v>0</v>
      </c>
    </row>
    <row customHeight="1" ht="22.049999999999997">
      <c r="A43" s="1363" t="s">
        <v>297</v>
      </c>
      <c r="B43" s="1363"/>
      <c r="C43" s="1363"/>
      <c r="D43" s="1363"/>
      <c r="E43" s="3141">
        <v>1</v>
      </c>
      <c r="F43" s="1363"/>
      <c r="G43" s="1363"/>
      <c r="H43" s="1363"/>
      <c r="I43" s="1363"/>
      <c r="J43" s="1363"/>
      <c r="K43" s="1363"/>
      <c r="L43" s="1406"/>
      <c r="M43" s="1706"/>
      <c r="N43" s="1706"/>
      <c r="O43" s="1706"/>
      <c r="P43" s="1686"/>
      <c r="Q43" s="467"/>
      <c r="R43" s="462"/>
      <c r="S43" s="2049">
        <f>INDEX(PT_DIFFERENTIATION_NUM_NTAR,MATCH(A43,PT_DIFFERENTIATION_NTAR_ID,0))</f>
        <v>0</v>
      </c>
      <c r="T43" s="1621" t="s">
        <v>210</v>
      </c>
      <c r="U43" s="408"/>
      <c r="V43" s="3109"/>
      <c r="W43" s="3110"/>
      <c r="X43" s="3110"/>
      <c r="Y43" s="3110"/>
      <c r="Z43" s="3110"/>
      <c r="AA43" s="3110"/>
      <c r="AB43" s="3110"/>
      <c r="AC43" s="3111"/>
      <c r="AD43" s="3109" t="str">
        <f>INDEX(PT_DIFFERENTIATION_NTAR,MATCH(A43,PT_DIFFERENTIATION_NTAR_ID,0))</f>
        <v/>
      </c>
      <c r="AE43" s="3110"/>
      <c r="AF43" s="3110"/>
      <c r="AG43" s="3110"/>
      <c r="AH43" s="3110"/>
      <c r="AI43" s="3110"/>
      <c r="AJ43" s="3110"/>
      <c r="AK43" s="3110"/>
      <c r="AL43" s="3111"/>
      <c r="AM43" s="13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20"/>
      <c r="AP43" s="1720" t="str">
        <f>IF(T43="","",T43)</f>
        <v>Наименование тарифа</v>
      </c>
      <c r="AQ43" s="1720"/>
      <c r="AR43" s="1720"/>
      <c r="AS43" s="1727">
        <v>21</v>
      </c>
    </row>
    <row customHeight="1" ht="22.049999999999997">
      <c r="A44" s="1363" t="s">
        <v>297</v>
      </c>
      <c r="B44" s="1363" t="s">
        <v>298</v>
      </c>
      <c r="C44" s="1363"/>
      <c r="D44" s="1363"/>
      <c r="E44" s="3142"/>
      <c r="F44" s="3141">
        <v>1</v>
      </c>
      <c r="G44" s="1363"/>
      <c r="H44" s="1363"/>
      <c r="I44" s="1363"/>
      <c r="J44" s="1363"/>
      <c r="K44" s="1363"/>
      <c r="L44" s="1406"/>
      <c r="M44" s="1706"/>
      <c r="N44" s="1706"/>
      <c r="O44" s="1706"/>
      <c r="P44" s="2031"/>
      <c r="Q44" s="459"/>
      <c r="R44" s="460"/>
      <c r="S44" s="2049" t="str">
        <f>INDEX(PT_DIFFERENTIATION_NUM_TER,MATCH(B44,PT_DIFFERENTIATION_TER_ID,0))</f>
        <v>.</v>
      </c>
      <c r="T44" s="1618" t="s">
        <v>482</v>
      </c>
      <c r="U44" s="408"/>
      <c r="V44" s="3109"/>
      <c r="W44" s="3110"/>
      <c r="X44" s="3110"/>
      <c r="Y44" s="3110"/>
      <c r="Z44" s="3110"/>
      <c r="AA44" s="3110"/>
      <c r="AB44" s="3110"/>
      <c r="AC44" s="3111"/>
      <c r="AD44" s="3109" t="str">
        <f>INDEX(PT_DIFFERENTIATION_TER,MATCH(B44,PT_DIFFERENTIATION_TER_ID,0))</f>
        <v/>
      </c>
      <c r="AE44" s="3110"/>
      <c r="AF44" s="3110"/>
      <c r="AG44" s="3110"/>
      <c r="AH44" s="3110"/>
      <c r="AI44" s="3110"/>
      <c r="AJ44" s="3110"/>
      <c r="AK44" s="3110"/>
      <c r="AL44" s="3111"/>
      <c r="AM44" s="1354" t="s">
        <v>483</v>
      </c>
      <c r="AO44" s="1720"/>
      <c r="AP44" s="1720" t="str">
        <f>IF(T44="","",T44)</f>
        <v>Территория действия тарифа</v>
      </c>
      <c r="AQ44" s="1720"/>
      <c r="AR44" s="1720"/>
      <c r="AS44" s="1727">
        <v>21</v>
      </c>
    </row>
    <row customHeight="1" ht="24">
      <c r="A45" s="1363" t="s">
        <v>297</v>
      </c>
      <c r="B45" s="1363" t="s">
        <v>298</v>
      </c>
      <c r="C45" s="1363" t="s">
        <v>299</v>
      </c>
      <c r="D45" s="1363"/>
      <c r="E45" s="3142"/>
      <c r="F45" s="3142"/>
      <c r="G45" s="3141">
        <v>1</v>
      </c>
      <c r="H45" s="1363"/>
      <c r="I45" s="1363"/>
      <c r="J45" s="1363"/>
      <c r="K45" s="1363"/>
      <c r="L45" s="1406"/>
      <c r="M45" s="1706"/>
      <c r="N45" s="1706"/>
      <c r="O45" s="1706"/>
      <c r="P45" s="461"/>
      <c r="Q45" s="459"/>
      <c r="R45" s="460"/>
      <c r="S45" s="2049" t="str">
        <f>INDEX(PT_DIFFERENTIATION_NUM_CS,MATCH(C45,PT_DIFFERENTIATION_CS_ID,0))</f>
        <v>..</v>
      </c>
      <c r="T45" s="417" t="s">
        <v>484</v>
      </c>
      <c r="U45" s="408"/>
      <c r="V45" s="3109"/>
      <c r="W45" s="3110"/>
      <c r="X45" s="3110"/>
      <c r="Y45" s="3110"/>
      <c r="Z45" s="3110"/>
      <c r="AA45" s="3110"/>
      <c r="AB45" s="3110"/>
      <c r="AC45" s="3111"/>
      <c r="AD45" s="3109" t="str">
        <f>INDEX(PT_DIFFERENTIATION_CS,MATCH(C45,PT_DIFFERENTIATION_CS_ID,0))</f>
        <v/>
      </c>
      <c r="AE45" s="3110"/>
      <c r="AF45" s="3110"/>
      <c r="AG45" s="3110"/>
      <c r="AH45" s="3110"/>
      <c r="AI45" s="3110"/>
      <c r="AJ45" s="3110"/>
      <c r="AK45" s="3110"/>
      <c r="AL45" s="3111"/>
      <c r="AM45" s="1354" t="s">
        <v>485</v>
      </c>
      <c r="AO45" s="1720"/>
      <c r="AP45" s="1720" t="str">
        <f>IF(T45="","",T45)</f>
        <v>Наименование системы теплоснабжения </v>
      </c>
      <c r="AQ45" s="1720"/>
      <c r="AR45" s="1720"/>
      <c r="AS45" s="1727">
        <v>23</v>
      </c>
    </row>
    <row customHeight="1" ht="22.049999999999997">
      <c r="A46" s="1363" t="s">
        <v>297</v>
      </c>
      <c r="B46" s="1363" t="s">
        <v>298</v>
      </c>
      <c r="C46" s="1363" t="s">
        <v>299</v>
      </c>
      <c r="D46" s="1363" t="s">
        <v>300</v>
      </c>
      <c r="E46" s="3142"/>
      <c r="F46" s="3142"/>
      <c r="G46" s="3142"/>
      <c r="H46" s="3141">
        <v>1</v>
      </c>
      <c r="I46" s="1363"/>
      <c r="J46" s="1363"/>
      <c r="K46" s="1363"/>
      <c r="L46" s="1406"/>
      <c r="M46" s="1706"/>
      <c r="N46" s="1706"/>
      <c r="O46" s="1706"/>
      <c r="P46" s="461"/>
      <c r="Q46" s="459"/>
      <c r="R46" s="460"/>
      <c r="S46" s="2049" t="str">
        <f>INDEX(PT_DIFFERENTIATION_NUM_IST_TE,MATCH(D46,PT_DIFFERENTIATION_IST_TE_ID,0))</f>
        <v>...</v>
      </c>
      <c r="T46" s="418" t="s">
        <v>486</v>
      </c>
      <c r="U46" s="408"/>
      <c r="V46" s="3109"/>
      <c r="W46" s="3110"/>
      <c r="X46" s="3110"/>
      <c r="Y46" s="3110"/>
      <c r="Z46" s="3110"/>
      <c r="AA46" s="3110"/>
      <c r="AB46" s="3110"/>
      <c r="AC46" s="3111"/>
      <c r="AD46" s="3109" t="str">
        <f>INDEX(PT_DIFFERENTIATION_IST_TE,MATCH(D46,PT_DIFFERENTIATION_IST_TE_ID,0))</f>
        <v/>
      </c>
      <c r="AE46" s="3110"/>
      <c r="AF46" s="3110"/>
      <c r="AG46" s="3110"/>
      <c r="AH46" s="3110"/>
      <c r="AI46" s="3110"/>
      <c r="AJ46" s="3110"/>
      <c r="AK46" s="3110"/>
      <c r="AL46" s="3111"/>
      <c r="AM46" s="1354" t="s">
        <v>487</v>
      </c>
      <c r="AO46" s="1720"/>
      <c r="AP46" s="1720" t="str">
        <f>IF(T46="","",T46)</f>
        <v>Источник тепловой энергии  </v>
      </c>
      <c r="AQ46" s="1720"/>
      <c r="AR46" s="1720"/>
      <c r="AS46" s="1727">
        <v>21</v>
      </c>
    </row>
    <row customHeight="1" ht="49.5">
      <c r="A47" s="1363" t="s">
        <v>297</v>
      </c>
      <c r="B47" s="1363" t="s">
        <v>298</v>
      </c>
      <c r="C47" s="1363" t="s">
        <v>299</v>
      </c>
      <c r="D47" s="1363" t="s">
        <v>300</v>
      </c>
      <c r="E47" s="3142"/>
      <c r="F47" s="3142"/>
      <c r="G47" s="3142"/>
      <c r="H47" s="3142"/>
      <c r="I47" s="2978" t="str">
        <f>S46&amp;".1"</f>
        <v>....1</v>
      </c>
      <c r="J47" s="1363"/>
      <c r="K47" s="1363"/>
      <c r="L47" s="1406" t="s">
        <v>488</v>
      </c>
      <c r="P47" s="3119">
        <v>1</v>
      </c>
      <c r="Q47" s="2045"/>
      <c r="R47" s="463"/>
      <c r="S47" s="2049" t="str">
        <f>$I47</f>
        <v>....1</v>
      </c>
      <c r="T47" s="393" t="s">
        <v>489</v>
      </c>
      <c r="U47" s="408"/>
      <c r="V47" s="3103"/>
      <c r="W47" s="3104"/>
      <c r="X47" s="3104"/>
      <c r="Y47" s="3104"/>
      <c r="Z47" s="3104"/>
      <c r="AA47" s="3104"/>
      <c r="AB47" s="3104"/>
      <c r="AC47" s="3105"/>
      <c r="AD47" s="3103"/>
      <c r="AE47" s="3104"/>
      <c r="AF47" s="3104"/>
      <c r="AG47" s="3104"/>
      <c r="AH47" s="3104"/>
      <c r="AI47" s="3104"/>
      <c r="AJ47" s="3104"/>
      <c r="AK47" s="3104"/>
      <c r="AL47" s="3105"/>
      <c r="AM47" s="1354" t="s">
        <v>490</v>
      </c>
      <c r="AO47" s="1720"/>
      <c r="AP47" s="1720" t="str">
        <f>IF(T47="","",T47)</f>
        <v>Схема подключения теплопотребляющей установки к коллектору источника тепловой энергии</v>
      </c>
      <c r="AQ47" s="1720"/>
      <c r="AR47" s="1720"/>
      <c r="AS47" s="1727">
        <v>47</v>
      </c>
    </row>
    <row customHeight="1" ht="22.049999999999997">
      <c r="A48" s="1363" t="s">
        <v>297</v>
      </c>
      <c r="B48" s="1363" t="s">
        <v>298</v>
      </c>
      <c r="C48" s="1363" t="s">
        <v>299</v>
      </c>
      <c r="D48" s="1363" t="s">
        <v>300</v>
      </c>
      <c r="E48" s="3142"/>
      <c r="F48" s="3142"/>
      <c r="G48" s="3142"/>
      <c r="H48" s="3142"/>
      <c r="I48" s="2959"/>
      <c r="J48" s="2978" t="str">
        <f>I47&amp;".1"</f>
        <v>....1.1</v>
      </c>
      <c r="K48" s="1363"/>
      <c r="L48" s="1406" t="s">
        <v>491</v>
      </c>
      <c r="P48" s="3119"/>
      <c r="Q48" s="3119">
        <v>1</v>
      </c>
      <c r="R48" s="464"/>
      <c r="S48" s="2049" t="str">
        <f>$J48</f>
        <v>....1.1</v>
      </c>
      <c r="T48" s="394" t="s">
        <v>492</v>
      </c>
      <c r="U48" s="408"/>
      <c r="V48" s="3103"/>
      <c r="W48" s="3104"/>
      <c r="X48" s="3104"/>
      <c r="Y48" s="3104"/>
      <c r="Z48" s="3104"/>
      <c r="AA48" s="3104"/>
      <c r="AB48" s="3104"/>
      <c r="AC48" s="3105"/>
      <c r="AD48" s="3103"/>
      <c r="AE48" s="3104"/>
      <c r="AF48" s="3104"/>
      <c r="AG48" s="3104"/>
      <c r="AH48" s="3104"/>
      <c r="AI48" s="3104"/>
      <c r="AJ48" s="3104"/>
      <c r="AK48" s="3104"/>
      <c r="AL48" s="3105"/>
      <c r="AM48" s="1354" t="s">
        <v>493</v>
      </c>
      <c r="AO48" s="1720"/>
      <c r="AP48" s="1720" t="str">
        <f>IF(T48="","",T48)</f>
        <v>Группа потребителей</v>
      </c>
      <c r="AQ48" s="1720"/>
      <c r="AR48" s="1720"/>
      <c r="AS48" s="1727">
        <v>21</v>
      </c>
    </row>
    <row customHeight="1" ht="22.049999999999997">
      <c r="A49" s="1363" t="s">
        <v>297</v>
      </c>
      <c r="B49" s="1363" t="s">
        <v>298</v>
      </c>
      <c r="C49" s="1363" t="s">
        <v>299</v>
      </c>
      <c r="D49" s="1363" t="s">
        <v>300</v>
      </c>
      <c r="E49" s="3142"/>
      <c r="F49" s="3142"/>
      <c r="G49" s="3142"/>
      <c r="H49" s="3142"/>
      <c r="I49" s="2959"/>
      <c r="J49" s="2959"/>
      <c r="K49" s="2978" t="str">
        <f>J48&amp;".1"</f>
        <v>....1.1.1</v>
      </c>
      <c r="L49" s="1406" t="s">
        <v>494</v>
      </c>
      <c r="P49" s="3119"/>
      <c r="Q49" s="3119"/>
      <c r="R49" s="464">
        <v>1</v>
      </c>
      <c r="S49" s="2049" t="str">
        <f>$K49</f>
        <v>....1.1.1</v>
      </c>
      <c r="T49" s="1443"/>
      <c r="U49" s="408"/>
      <c r="V49" s="858"/>
      <c r="W49" s="433"/>
      <c r="X49" s="858"/>
      <c r="Y49" s="1353"/>
      <c r="Z49" s="3120"/>
      <c r="AA49" s="2989" t="s">
        <v>62</v>
      </c>
      <c r="AB49" s="3120"/>
      <c r="AC49" s="2989" t="s">
        <v>62</v>
      </c>
      <c r="AD49" s="858"/>
      <c r="AE49" s="433"/>
      <c r="AF49" s="858"/>
      <c r="AG49" s="1353"/>
      <c r="AH49" s="3120"/>
      <c r="AI49" s="2989" t="s">
        <v>62</v>
      </c>
      <c r="AJ49" s="3122"/>
      <c r="AK49" s="2989" t="s">
        <v>62</v>
      </c>
      <c r="AL49" s="1444"/>
      <c r="AM49" s="3138" t="s">
        <v>495</v>
      </c>
      <c r="AN49" s="1732">
        <f>STRCHECKDATE(V50:AL50)</f>
      </c>
      <c r="AO49" s="1720"/>
      <c r="AP49" s="1720" t="str">
        <f>IF(T49="","",T49)</f>
        <v/>
      </c>
      <c r="AQ49" s="1720"/>
      <c r="AR49" s="1720"/>
      <c r="AS49" s="1727">
        <v>21</v>
      </c>
    </row>
    <row customHeight="1" ht="1.05">
      <c r="A50" s="1363" t="s">
        <v>297</v>
      </c>
      <c r="B50" s="1363" t="s">
        <v>298</v>
      </c>
      <c r="C50" s="1363" t="s">
        <v>299</v>
      </c>
      <c r="D50" s="1363" t="s">
        <v>300</v>
      </c>
      <c r="E50" s="3142"/>
      <c r="F50" s="3142"/>
      <c r="G50" s="3142"/>
      <c r="H50" s="3142"/>
      <c r="I50" s="2959"/>
      <c r="J50" s="2959"/>
      <c r="K50" s="2978"/>
      <c r="L50" s="1406"/>
      <c r="P50" s="3119"/>
      <c r="Q50" s="3119"/>
      <c r="R50" s="464"/>
      <c r="S50" s="2058"/>
      <c r="T50" s="408"/>
      <c r="U50" s="408"/>
      <c r="V50" s="433"/>
      <c r="W50" s="433"/>
      <c r="X50" s="433"/>
      <c r="Y50" s="436" t="str">
        <f>Z49&amp;"-"&amp;AB49</f>
        <v>-</v>
      </c>
      <c r="Z50" s="3121"/>
      <c r="AA50" s="2989"/>
      <c r="AB50" s="3121"/>
      <c r="AC50" s="2989"/>
      <c r="AD50" s="433"/>
      <c r="AE50" s="433"/>
      <c r="AF50" s="433"/>
      <c r="AG50" s="436" t="str">
        <f>AH49&amp;"-"&amp;AJ49</f>
        <v>-</v>
      </c>
      <c r="AH50" s="3121"/>
      <c r="AI50" s="2989"/>
      <c r="AJ50" s="3123"/>
      <c r="AK50" s="2989"/>
      <c r="AL50" s="1445"/>
      <c r="AM50" s="3139"/>
      <c r="AO50" s="1720"/>
      <c r="AP50" s="1720" t="str">
        <f>IF(T50="","",T50)</f>
        <v/>
      </c>
      <c r="AQ50" s="1720"/>
      <c r="AR50" s="1720"/>
      <c r="AS50" s="1727">
        <v>1</v>
      </c>
    </row>
    <row customHeight="1" ht="11.549999999999999">
      <c r="A51" s="1363" t="s">
        <v>297</v>
      </c>
      <c r="B51" s="1363" t="s">
        <v>298</v>
      </c>
      <c r="C51" s="1363" t="s">
        <v>299</v>
      </c>
      <c r="D51" s="1363" t="s">
        <v>300</v>
      </c>
      <c r="E51" s="3142"/>
      <c r="F51" s="3142"/>
      <c r="G51" s="3142"/>
      <c r="H51" s="3142"/>
      <c r="I51" s="2959"/>
      <c r="J51" s="2978"/>
      <c r="K51" s="1363"/>
      <c r="L51" s="1406"/>
      <c r="P51" s="3119"/>
      <c r="Q51" s="3119"/>
      <c r="R51" s="463"/>
      <c r="S51" s="1374"/>
      <c r="T51" s="396" t="s">
        <v>496</v>
      </c>
      <c r="U51" s="707"/>
      <c r="V51" s="707"/>
      <c r="W51" s="707"/>
      <c r="X51" s="707"/>
      <c r="Y51" s="707"/>
      <c r="Z51" s="707"/>
      <c r="AA51" s="707"/>
      <c r="AB51" s="707"/>
      <c r="AC51" s="707"/>
      <c r="AD51" s="707"/>
      <c r="AE51" s="707"/>
      <c r="AF51" s="707"/>
      <c r="AG51" s="707"/>
      <c r="AH51" s="707"/>
      <c r="AI51" s="707"/>
      <c r="AJ51" s="707"/>
      <c r="AK51" s="707"/>
      <c r="AL51" s="432"/>
      <c r="AM51" s="3140"/>
      <c r="AO51" s="1720"/>
      <c r="AP51" s="1720" t="str">
        <f>IF(T51="","",T51)</f>
        <v>Добавить вид теплоносителя (параметры теплоносителя)</v>
      </c>
      <c r="AQ51" s="1720"/>
      <c r="AR51" s="1720"/>
      <c r="AS51" s="1727">
        <v>11</v>
      </c>
    </row>
    <row customHeight="1" ht="11.549999999999999">
      <c r="A52" s="1363" t="s">
        <v>297</v>
      </c>
      <c r="B52" s="1363" t="s">
        <v>298</v>
      </c>
      <c r="C52" s="1363" t="s">
        <v>299</v>
      </c>
      <c r="D52" s="1363" t="s">
        <v>300</v>
      </c>
      <c r="E52" s="3142"/>
      <c r="F52" s="3142"/>
      <c r="G52" s="3142"/>
      <c r="H52" s="3142"/>
      <c r="I52" s="2978"/>
      <c r="J52" s="1363"/>
      <c r="K52" s="1363"/>
      <c r="L52" s="1406"/>
      <c r="P52" s="3119"/>
      <c r="Q52" s="2045"/>
      <c r="R52" s="463"/>
      <c r="S52" s="1374"/>
      <c r="T52" s="395" t="s">
        <v>497</v>
      </c>
      <c r="U52" s="707"/>
      <c r="V52" s="707"/>
      <c r="W52" s="707"/>
      <c r="X52" s="707"/>
      <c r="Y52" s="707"/>
      <c r="Z52" s="707"/>
      <c r="AA52" s="707"/>
      <c r="AB52" s="707"/>
      <c r="AC52" s="473"/>
      <c r="AD52" s="707"/>
      <c r="AE52" s="707"/>
      <c r="AF52" s="707"/>
      <c r="AG52" s="707"/>
      <c r="AH52" s="707"/>
      <c r="AI52" s="707"/>
      <c r="AJ52" s="707"/>
      <c r="AK52" s="473"/>
      <c r="AL52" s="707"/>
      <c r="AM52" s="411"/>
      <c r="AO52" s="1720"/>
      <c r="AP52" s="1720" t="str">
        <f>IF(T52="","",T52)</f>
        <v>Добавить группу потребителей</v>
      </c>
      <c r="AQ52" s="1720"/>
      <c r="AR52" s="1720"/>
      <c r="AS52" s="1727">
        <v>11</v>
      </c>
    </row>
    <row customHeight="1" ht="14.699999999999998">
      <c r="A53" s="1363" t="s">
        <v>297</v>
      </c>
      <c r="B53" s="1363" t="s">
        <v>298</v>
      </c>
      <c r="C53" s="1363" t="s">
        <v>299</v>
      </c>
      <c r="D53" s="1363" t="s">
        <v>300</v>
      </c>
      <c r="E53" s="3142"/>
      <c r="F53" s="3142"/>
      <c r="G53" s="3142"/>
      <c r="H53" s="3141"/>
      <c r="I53" s="1363"/>
      <c r="J53" s="1363"/>
      <c r="K53" s="1363"/>
      <c r="L53" s="1406"/>
      <c r="M53" s="1706"/>
      <c r="N53" s="1706"/>
      <c r="O53" s="1731"/>
      <c r="P53" s="467"/>
      <c r="Q53" s="482"/>
      <c r="R53" s="462"/>
      <c r="S53" s="1374"/>
      <c r="T53" s="472" t="s">
        <v>498</v>
      </c>
      <c r="U53" s="707"/>
      <c r="V53" s="707"/>
      <c r="W53" s="707"/>
      <c r="X53" s="707"/>
      <c r="Y53" s="707"/>
      <c r="Z53" s="707"/>
      <c r="AA53" s="707"/>
      <c r="AB53" s="707"/>
      <c r="AC53" s="473"/>
      <c r="AD53" s="707"/>
      <c r="AE53" s="707"/>
      <c r="AF53" s="707"/>
      <c r="AG53" s="707"/>
      <c r="AH53" s="707"/>
      <c r="AI53" s="707"/>
      <c r="AJ53" s="707"/>
      <c r="AK53" s="473"/>
      <c r="AL53" s="707"/>
      <c r="AM53" s="411"/>
      <c r="AO53" s="1720"/>
      <c r="AP53" s="1720" t="str">
        <f>IF(T53="","",T53)</f>
        <v>Добавить схему подключения</v>
      </c>
      <c r="AQ53" s="1720"/>
      <c r="AR53" s="1720"/>
      <c r="AS53" s="1727">
        <v>14</v>
      </c>
    </row>
    <row s="10307" customFormat="1" customHeight="1" ht="1.05">
      <c r="A54" s="1363" t="s">
        <v>297</v>
      </c>
      <c r="B54" s="1363" t="s">
        <v>298</v>
      </c>
      <c r="C54" s="1363" t="s">
        <v>299</v>
      </c>
      <c r="D54" s="2065"/>
      <c r="E54" s="3142"/>
      <c r="F54" s="3142"/>
      <c r="G54" s="3141"/>
      <c r="H54" s="2065"/>
      <c r="I54" s="2065"/>
      <c r="J54" s="2065"/>
      <c r="K54" s="2065"/>
      <c r="L54" s="1476"/>
      <c r="M54" s="1706"/>
      <c r="N54" s="1706"/>
      <c r="O54" s="1731"/>
      <c r="P54" s="1412"/>
      <c r="Q54" s="1413"/>
      <c r="R54" s="1412"/>
      <c r="S54" s="1418"/>
      <c r="T54" s="1421" t="s">
        <v>499</v>
      </c>
      <c r="U54" s="1420"/>
      <c r="V54" s="1420"/>
      <c r="W54" s="1420"/>
      <c r="X54" s="1420"/>
      <c r="Y54" s="1420"/>
      <c r="Z54" s="1420"/>
      <c r="AA54" s="1420"/>
      <c r="AB54" s="1420"/>
      <c r="AC54" s="1420"/>
      <c r="AD54" s="1420"/>
      <c r="AE54" s="1420"/>
      <c r="AF54" s="1420"/>
      <c r="AG54" s="1420"/>
      <c r="AH54" s="1420"/>
      <c r="AI54" s="1420"/>
      <c r="AJ54" s="1420"/>
      <c r="AK54" s="1420"/>
      <c r="AL54" s="1420"/>
      <c r="AM54" s="1420"/>
      <c r="AO54" s="1347"/>
      <c r="AP54" s="1347" t="str">
        <f>IF(T54="","",T54)</f>
        <v>Добавить источник для дифференциации</v>
      </c>
      <c r="AQ54" s="1347"/>
      <c r="AR54" s="1347"/>
      <c r="AS54" s="1738">
        <v>1</v>
      </c>
    </row>
    <row s="10307" customFormat="1" customHeight="1" ht="1.05">
      <c r="A55" s="1363" t="s">
        <v>297</v>
      </c>
      <c r="B55" s="1363" t="s">
        <v>298</v>
      </c>
      <c r="C55" s="2065"/>
      <c r="D55" s="2065"/>
      <c r="E55" s="3142"/>
      <c r="F55" s="3141"/>
      <c r="G55" s="2065"/>
      <c r="H55" s="2065"/>
      <c r="I55" s="2065"/>
      <c r="J55" s="2065"/>
      <c r="K55" s="2065"/>
      <c r="L55" s="1476"/>
      <c r="M55" s="2066"/>
      <c r="N55" s="2066"/>
      <c r="O55" s="1731"/>
      <c r="P55" s="1412"/>
      <c r="Q55" s="1413"/>
      <c r="R55" s="1412"/>
      <c r="S55" s="1418"/>
      <c r="T55" s="1421" t="s">
        <v>500</v>
      </c>
      <c r="U55" s="1420"/>
      <c r="V55" s="1420"/>
      <c r="W55" s="1420"/>
      <c r="X55" s="1420"/>
      <c r="Y55" s="1420"/>
      <c r="Z55" s="1420"/>
      <c r="AA55" s="1420"/>
      <c r="AB55" s="1420"/>
      <c r="AC55" s="1420"/>
      <c r="AD55" s="1420"/>
      <c r="AE55" s="1420"/>
      <c r="AF55" s="1420"/>
      <c r="AG55" s="1420"/>
      <c r="AH55" s="1420"/>
      <c r="AI55" s="1420"/>
      <c r="AJ55" s="1420"/>
      <c r="AK55" s="1420"/>
      <c r="AL55" s="1420"/>
      <c r="AM55" s="1420"/>
      <c r="AO55" s="1347"/>
      <c r="AP55" s="1347" t="str">
        <f>IF(T55="","",T55)</f>
        <v>Добавить централизованную систему для дифференциации</v>
      </c>
      <c r="AQ55" s="1347"/>
      <c r="AR55" s="1347"/>
      <c r="AS55" s="1738">
        <v>1</v>
      </c>
    </row>
    <row s="10307" customFormat="1" customHeight="1" ht="1.05">
      <c r="A56" s="1363" t="s">
        <v>297</v>
      </c>
      <c r="B56" s="1363"/>
      <c r="C56" s="1363"/>
      <c r="D56" s="1363"/>
      <c r="E56" s="3141"/>
      <c r="F56" s="1363"/>
      <c r="G56" s="1363"/>
      <c r="H56" s="1363"/>
      <c r="I56" s="1363"/>
      <c r="J56" s="1363"/>
      <c r="K56" s="1363"/>
      <c r="L56" s="1406"/>
      <c r="M56" s="2066"/>
      <c r="N56" s="2066"/>
      <c r="O56" s="1731"/>
      <c r="P56" s="487"/>
      <c r="Q56" s="1440"/>
      <c r="R56" s="487"/>
      <c r="S56" s="1418"/>
      <c r="T56" s="1421" t="s">
        <v>501</v>
      </c>
      <c r="U56" s="1420"/>
      <c r="V56" s="1420"/>
      <c r="W56" s="1420"/>
      <c r="X56" s="1420"/>
      <c r="Y56" s="1420"/>
      <c r="Z56" s="1420"/>
      <c r="AA56" s="1420"/>
      <c r="AB56" s="1420"/>
      <c r="AC56" s="1420"/>
      <c r="AD56" s="1420"/>
      <c r="AE56" s="1420"/>
      <c r="AF56" s="1420"/>
      <c r="AG56" s="1420"/>
      <c r="AH56" s="1420"/>
      <c r="AI56" s="1420"/>
      <c r="AJ56" s="1420"/>
      <c r="AK56" s="1420"/>
      <c r="AL56" s="1420"/>
      <c r="AM56" s="1420"/>
      <c r="AO56" s="1720"/>
      <c r="AP56" s="1720" t="str">
        <f>IF(T56="","",T56)</f>
        <v>Добавить территорию для дифференциации</v>
      </c>
      <c r="AQ56" s="1720"/>
      <c r="AR56" s="1720"/>
      <c r="AS56" s="1732">
        <v>1</v>
      </c>
    </row>
    <row s="10307" customFormat="1" customHeight="1" ht="1.05">
      <c r="A57" s="2065"/>
      <c r="B57" s="2065"/>
      <c r="C57" s="2065"/>
      <c r="D57" s="2065"/>
      <c r="E57" s="1363"/>
      <c r="F57" s="2065"/>
      <c r="G57" s="2065"/>
      <c r="H57" s="2065"/>
      <c r="I57" s="2065"/>
      <c r="J57" s="2065"/>
      <c r="K57" s="2065"/>
      <c r="L57" s="1476"/>
      <c r="M57" s="2066"/>
      <c r="N57" s="2066"/>
      <c r="O57" s="1731"/>
      <c r="P57" s="1412"/>
      <c r="Q57" s="1413"/>
      <c r="R57" s="1412"/>
      <c r="S57" s="1418"/>
      <c r="T57" s="1421" t="s">
        <v>533</v>
      </c>
      <c r="U57" s="1420"/>
      <c r="V57" s="1420"/>
      <c r="W57" s="1420"/>
      <c r="X57" s="1420"/>
      <c r="Y57" s="1420"/>
      <c r="Z57" s="1420"/>
      <c r="AA57" s="1420"/>
      <c r="AB57" s="1420"/>
      <c r="AC57" s="1420"/>
      <c r="AD57" s="1420"/>
      <c r="AE57" s="1420"/>
      <c r="AF57" s="1420"/>
      <c r="AG57" s="1420"/>
      <c r="AH57" s="1420"/>
      <c r="AI57" s="1420"/>
      <c r="AJ57" s="1420"/>
      <c r="AK57" s="1420"/>
      <c r="AL57" s="1420"/>
      <c r="AM57" s="1420"/>
      <c r="AO57" s="1347"/>
      <c r="AP57" s="1347" t="str">
        <f>IF(T57="","",T57)</f>
        <v>Добавить наименование тарифа</v>
      </c>
      <c r="AQ57" s="1347"/>
      <c r="AR57" s="1347"/>
      <c r="AS57" s="1738">
        <v>1</v>
      </c>
    </row>
    <row customHeight="1" ht="11.549999999999999">
      <c r="M58" s="1727"/>
      <c r="N58" s="1727"/>
      <c r="O58" s="1731"/>
      <c r="P58" s="1727"/>
      <c r="Q58" s="1727"/>
      <c r="R58" s="1727"/>
      <c r="S58" s="1727"/>
      <c r="AN58" s="1727"/>
      <c r="AO58" s="1727"/>
      <c r="AP58" s="1727"/>
      <c r="AQ58" s="1727"/>
      <c r="AR58" s="1727"/>
      <c r="AS58" s="1727">
        <v>11</v>
      </c>
    </row>
    <row customHeight="1" ht="28.5">
      <c r="O59" s="1731"/>
      <c r="S59" s="1349"/>
      <c r="T59" s="3114"/>
      <c r="U59" s="3114"/>
      <c r="V59" s="3114"/>
      <c r="W59" s="3114"/>
      <c r="X59" s="3114"/>
      <c r="Y59" s="3114"/>
      <c r="Z59" s="3114"/>
      <c r="AA59" s="3114"/>
      <c r="AB59" s="3114"/>
      <c r="AC59" s="3114"/>
      <c r="AD59" s="3114"/>
      <c r="AE59" s="3114"/>
      <c r="AF59" s="3114"/>
      <c r="AG59" s="3114"/>
      <c r="AH59" s="3114"/>
      <c r="AI59" s="3114"/>
      <c r="AJ59" s="3114"/>
      <c r="AK59" s="3114"/>
      <c r="AL59" s="3114"/>
      <c r="AM59" s="3114"/>
      <c r="AS59" s="1727">
        <v>27</v>
      </c>
    </row>
    <row customHeight="1" ht="65.25">
      <c r="O60" s="1731"/>
      <c r="T60" s="3114"/>
      <c r="U60" s="3114"/>
      <c r="V60" s="3114"/>
      <c r="W60" s="3114"/>
      <c r="X60" s="3114"/>
      <c r="Y60" s="3114"/>
      <c r="Z60" s="3114"/>
      <c r="AA60" s="3114"/>
      <c r="AB60" s="3114"/>
      <c r="AC60" s="3114"/>
      <c r="AD60" s="3114"/>
      <c r="AE60" s="3114"/>
      <c r="AF60" s="3114"/>
      <c r="AG60" s="3114"/>
      <c r="AH60" s="3114"/>
      <c r="AI60" s="3114"/>
      <c r="AJ60" s="3114"/>
      <c r="AK60" s="3114"/>
      <c r="AL60" s="3114"/>
      <c r="AM60" s="3114"/>
      <c r="AS60" s="1727">
        <v>62</v>
      </c>
    </row>
    <row customHeight="1" ht="14.699999999999998">
      <c r="O61" s="1731"/>
      <c r="AS61" s="1727">
        <v>14</v>
      </c>
    </row>
    <row customHeight="1" ht="18.75">
      <c r="O62" s="1731"/>
      <c r="S62" s="1349"/>
      <c r="T62" s="3114"/>
      <c r="U62" s="3114"/>
      <c r="V62" s="3114"/>
      <c r="W62" s="3114"/>
      <c r="X62" s="3114"/>
      <c r="Y62" s="3114"/>
      <c r="Z62" s="3114"/>
      <c r="AA62" s="3114"/>
      <c r="AB62" s="3114"/>
      <c r="AC62" s="3114"/>
      <c r="AD62" s="3114"/>
      <c r="AE62" s="3114"/>
      <c r="AF62" s="3114"/>
      <c r="AG62" s="3114"/>
      <c r="AH62" s="3114"/>
      <c r="AI62" s="3114"/>
      <c r="AJ62" s="3114"/>
      <c r="AK62" s="3114"/>
      <c r="AL62" s="3114"/>
      <c r="AM62" s="3114"/>
      <c r="AS62" s="1727">
        <v>18</v>
      </c>
    </row>
    <row customHeight="1" ht="18.75">
      <c r="O63" s="1731"/>
      <c r="T63" s="3114"/>
      <c r="U63" s="3114"/>
      <c r="V63" s="3114"/>
      <c r="W63" s="3114"/>
      <c r="X63" s="3114"/>
      <c r="Y63" s="3114"/>
      <c r="Z63" s="3114"/>
      <c r="AA63" s="3114"/>
      <c r="AB63" s="3114"/>
      <c r="AC63" s="3114"/>
      <c r="AD63" s="3114"/>
      <c r="AE63" s="3114"/>
      <c r="AF63" s="3114"/>
      <c r="AG63" s="3114"/>
      <c r="AH63" s="3114"/>
      <c r="AI63" s="3114"/>
      <c r="AJ63" s="3114"/>
      <c r="AK63" s="3114"/>
      <c r="AL63" s="3114"/>
      <c r="AM63" s="3114"/>
      <c r="AS63" s="1727">
        <v>18</v>
      </c>
    </row>
    <row customHeight="1" ht="29.25">
      <c r="O64" s="1731"/>
      <c r="S64" s="1349"/>
      <c r="T64" s="3114"/>
      <c r="U64" s="3114"/>
      <c r="V64" s="3114"/>
      <c r="W64" s="3114"/>
      <c r="X64" s="3114"/>
      <c r="Y64" s="3114"/>
      <c r="Z64" s="3114"/>
      <c r="AA64" s="3114"/>
      <c r="AB64" s="3114"/>
      <c r="AC64" s="3114"/>
      <c r="AD64" s="3114"/>
      <c r="AE64" s="3114"/>
      <c r="AF64" s="3114"/>
      <c r="AG64" s="3114"/>
      <c r="AH64" s="3114"/>
      <c r="AI64" s="3114"/>
      <c r="AJ64" s="3114"/>
      <c r="AK64" s="3114"/>
      <c r="AL64" s="3114"/>
      <c r="AM64" s="3114"/>
      <c r="AS64" s="1727">
        <v>28</v>
      </c>
    </row>
    <row customHeight="1" ht="22.5" hidden="1">
      <c r="A65" s="1727" t="s">
        <v>82</v>
      </c>
      <c r="B65" s="1727">
        <v>0</v>
      </c>
      <c r="C65" s="1727">
        <v>0</v>
      </c>
      <c r="D65" s="1727">
        <v>0</v>
      </c>
      <c r="E65" s="1727">
        <v>0</v>
      </c>
      <c r="F65" s="1727">
        <v>0</v>
      </c>
      <c r="G65" s="1727">
        <v>0</v>
      </c>
      <c r="H65" s="1727">
        <v>0</v>
      </c>
      <c r="I65" s="1727">
        <v>0</v>
      </c>
      <c r="J65" s="1727">
        <v>0</v>
      </c>
      <c r="K65" s="1727">
        <v>0</v>
      </c>
      <c r="L65" s="2030">
        <v>0</v>
      </c>
      <c r="M65" s="2056">
        <v>0</v>
      </c>
      <c r="N65" s="2056">
        <v>0</v>
      </c>
      <c r="O65" s="2056">
        <v>0</v>
      </c>
      <c r="P65" s="2056">
        <v>3</v>
      </c>
      <c r="Q65" s="452">
        <v>3</v>
      </c>
      <c r="R65" s="452">
        <v>3</v>
      </c>
      <c r="S65" s="688">
        <v>12</v>
      </c>
      <c r="T65" s="1727">
        <v>31</v>
      </c>
      <c r="U65" s="1727">
        <v>0</v>
      </c>
      <c r="V65" s="1727">
        <v>0</v>
      </c>
      <c r="W65" s="1727">
        <v>0</v>
      </c>
      <c r="X65" s="1727">
        <v>0</v>
      </c>
      <c r="Y65" s="1727">
        <v>0</v>
      </c>
      <c r="Z65" s="1727">
        <v>0</v>
      </c>
      <c r="AA65" s="1727">
        <v>0</v>
      </c>
      <c r="AB65" s="1727">
        <v>0</v>
      </c>
      <c r="AC65" s="1727">
        <v>0</v>
      </c>
      <c r="AD65" s="1727">
        <v>24</v>
      </c>
      <c r="AE65" s="1727">
        <v>0</v>
      </c>
      <c r="AF65" s="1727">
        <v>24</v>
      </c>
      <c r="AG65" s="1727">
        <v>24</v>
      </c>
      <c r="AH65" s="1727">
        <v>11</v>
      </c>
      <c r="AI65" s="1727">
        <v>3</v>
      </c>
      <c r="AJ65" s="1727">
        <v>11</v>
      </c>
      <c r="AK65" s="1727">
        <v>0</v>
      </c>
      <c r="AL65" s="1727">
        <v>4</v>
      </c>
      <c r="AM65" s="1727">
        <v>115</v>
      </c>
      <c r="AN65" s="1732">
        <v>10</v>
      </c>
      <c r="AO65" s="1732">
        <v>10</v>
      </c>
      <c r="AP65" s="1732">
        <v>10</v>
      </c>
      <c r="AQ65" s="1732">
        <v>10</v>
      </c>
      <c r="AR65" s="1732">
        <v>10</v>
      </c>
      <c r="AS65" s="1727">
        <v>23</v>
      </c>
    </row>
  </sheetData>
  <sheetProtection autoFilter="0" sort="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9DFB9-12E2-DEC8-9A8C-A6130CD281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2.00390625" hidden="1" customWidth="1"/>
    <col min="10" max="10" style="10306" width="9.8515625" hidden="1" customWidth="1"/>
    <col min="11" max="11" style="10306" width="11.421875" hidden="1" customWidth="1"/>
    <col min="12" max="12" style="11079" width="19.140625" hidden="1" customWidth="1"/>
    <col min="13" max="14" style="11080" width="12.28125" hidden="1" customWidth="1"/>
    <col min="15" max="15" style="11080" width="23.421875" hidden="1" customWidth="1"/>
    <col min="16" max="16" style="11081" width="3.00390625" customWidth="1"/>
    <col min="17" max="18" style="11082" width="3.00390625" customWidth="1"/>
    <col min="19" max="19" style="11083" width="12.00390625" customWidth="1"/>
    <col min="20" max="20" style="10232" width="31.00390625" customWidth="1"/>
    <col min="21" max="21" style="10232" width="0.7109375" hidden="1" customWidth="1"/>
    <col min="22" max="22" style="10232" width="1.7109375" hidden="1" customWidth="1"/>
    <col min="23" max="23" style="10232" width="24.7109375" hidden="1" customWidth="1"/>
    <col min="24" max="25" style="10232" width="0.140625" hidden="1" customWidth="1"/>
    <col min="26" max="26" style="10232" width="11.7109375" hidden="1" customWidth="1"/>
    <col min="27" max="27" style="10232" width="3.7109375" hidden="1" customWidth="1"/>
    <col min="28" max="28" style="10232" width="11.7109375" hidden="1" customWidth="1"/>
    <col min="29" max="29" style="10232" width="8.57421875" hidden="1" customWidth="1"/>
    <col min="30" max="30" style="10232" width="0.140625" customWidth="1"/>
    <col min="31" max="31" style="10232" width="24.00390625" customWidth="1"/>
    <col min="32" max="33" style="10232" width="0.140625" customWidth="1"/>
    <col min="34" max="34" style="10232" width="11.00390625" customWidth="1"/>
    <col min="35" max="35" style="10232" width="3.7109375" customWidth="1"/>
    <col min="36" max="36" style="10232" width="11.00390625" customWidth="1"/>
    <col min="37" max="37" style="10232" width="8.57421875" hidden="1" customWidth="1"/>
    <col min="38" max="38" style="10232" width="4.00390625" customWidth="1"/>
    <col min="39" max="39" style="10232" width="115.00390625" customWidth="1"/>
    <col min="40" max="44" style="10307" width="10.00390625" customWidth="1"/>
    <col min="45" max="45" style="10232" width="10.57421875" hidden="1"/>
  </cols>
  <sheetData>
    <row customHeight="1" ht="22.5" hidden="1">
      <c r="Y1" s="435"/>
      <c r="Z1" s="435"/>
      <c r="AG1" s="435"/>
      <c r="AH1" s="435"/>
      <c r="AS1" s="1251" t="s">
        <v>14</v>
      </c>
    </row>
    <row customHeight="1" ht="21" hidden="1">
      <c r="A2" s="1459"/>
      <c r="B2" s="1459"/>
      <c r="C2" s="1459"/>
      <c r="D2" s="1459"/>
      <c r="E2" s="3115">
        <v>1</v>
      </c>
      <c r="F2" s="1459"/>
      <c r="G2" s="1459"/>
      <c r="H2" s="1459"/>
      <c r="I2" s="1459"/>
      <c r="J2" s="1459"/>
      <c r="K2" s="1459"/>
      <c r="L2" s="1460"/>
      <c r="M2" s="1461"/>
      <c r="N2" s="1461"/>
      <c r="O2" s="1461"/>
      <c r="P2" s="468"/>
      <c r="Q2" s="467"/>
      <c r="R2" s="462"/>
      <c r="S2" s="1432">
        <f>INDEX(PT_DIFFERENTIATION_NUM_NTAR,MATCH(A2,PT_DIFFERENTIATION_NTAR_ID,0))</f>
      </c>
      <c r="T2" s="406" t="s">
        <v>210</v>
      </c>
      <c r="U2" s="408"/>
      <c r="V2" s="3109"/>
      <c r="W2" s="3110"/>
      <c r="X2" s="3110"/>
      <c r="Y2" s="3110"/>
      <c r="Z2" s="3110"/>
      <c r="AA2" s="3110"/>
      <c r="AB2" s="3110"/>
      <c r="AC2" s="3111"/>
      <c r="AD2" s="3109">
        <f>INDEX(PT_DIFFERENTIATION_NTAR,MATCH(A2,PT_DIFFERENTIATION_NTAR_ID,0))</f>
      </c>
      <c r="AE2" s="3110"/>
      <c r="AF2" s="3110"/>
      <c r="AG2" s="3110"/>
      <c r="AH2" s="3110"/>
      <c r="AI2" s="3110"/>
      <c r="AJ2" s="3110"/>
      <c r="AK2" s="3110"/>
      <c r="AL2" s="3111"/>
      <c r="AM2" s="1354" t="s">
        <v>481</v>
      </c>
      <c r="AO2" s="607"/>
      <c r="AP2" s="607" t="str">
        <f>IF(T2="","",T2)</f>
        <v>Наименование тарифа</v>
      </c>
      <c r="AQ2" s="607"/>
      <c r="AR2" s="607"/>
      <c r="AS2" s="1251">
        <v>0</v>
      </c>
    </row>
    <row customHeight="1" ht="21" hidden="1">
      <c r="A3" s="1459"/>
      <c r="B3" s="1459"/>
      <c r="C3" s="1459"/>
      <c r="D3" s="1459"/>
      <c r="E3" s="3116"/>
      <c r="F3" s="3115">
        <v>1</v>
      </c>
      <c r="G3" s="1459"/>
      <c r="H3" s="1459"/>
      <c r="I3" s="1459"/>
      <c r="J3" s="1459"/>
      <c r="K3" s="1459"/>
      <c r="L3" s="1460"/>
      <c r="M3" s="1461"/>
      <c r="N3" s="1461"/>
      <c r="O3" s="1461"/>
      <c r="P3" s="1428"/>
      <c r="Q3" s="459"/>
      <c r="R3" s="460"/>
      <c r="S3" s="1432">
        <f>INDEX(PT_DIFFERENTIATION_NUM_TER,MATCH(B3,PT_DIFFERENTIATION_TER_ID,0))</f>
      </c>
      <c r="T3" s="416" t="s">
        <v>482</v>
      </c>
      <c r="U3" s="408"/>
      <c r="V3" s="3109"/>
      <c r="W3" s="3110"/>
      <c r="X3" s="3110"/>
      <c r="Y3" s="3110"/>
      <c r="Z3" s="3110"/>
      <c r="AA3" s="3110"/>
      <c r="AB3" s="3110"/>
      <c r="AC3" s="3111"/>
      <c r="AD3" s="3109">
        <f>INDEX(PT_DIFFERENTIATION_TER,MATCH(B3,PT_DIFFERENTIATION_TER_ID,0))</f>
      </c>
      <c r="AE3" s="3110"/>
      <c r="AF3" s="3110"/>
      <c r="AG3" s="3110"/>
      <c r="AH3" s="3110"/>
      <c r="AI3" s="3110"/>
      <c r="AJ3" s="3110"/>
      <c r="AK3" s="3110"/>
      <c r="AL3" s="3111"/>
      <c r="AM3" s="1354" t="s">
        <v>483</v>
      </c>
      <c r="AO3" s="607"/>
      <c r="AP3" s="607" t="str">
        <f>IF(T3="","",T3)</f>
        <v>Территория действия тарифа</v>
      </c>
      <c r="AQ3" s="607"/>
      <c r="AR3" s="607"/>
      <c r="AS3" s="1251">
        <v>0</v>
      </c>
    </row>
    <row customHeight="1" ht="23.25" hidden="1">
      <c r="A4" s="1459"/>
      <c r="B4" s="1459"/>
      <c r="C4" s="1459"/>
      <c r="D4" s="1459"/>
      <c r="E4" s="3116"/>
      <c r="F4" s="3116"/>
      <c r="G4" s="3115">
        <v>1</v>
      </c>
      <c r="H4" s="1459"/>
      <c r="I4" s="1459"/>
      <c r="J4" s="1459"/>
      <c r="K4" s="1459"/>
      <c r="L4" s="1460"/>
      <c r="M4" s="1461"/>
      <c r="N4" s="1461"/>
      <c r="O4" s="1461"/>
      <c r="P4" s="461"/>
      <c r="Q4" s="459"/>
      <c r="R4" s="460"/>
      <c r="S4" s="1432">
        <f>INDEX(PT_DIFFERENTIATION_NUM_CS,MATCH(C4,PT_DIFFERENTIATION_CS_ID,0))</f>
      </c>
      <c r="T4" s="417" t="s">
        <v>484</v>
      </c>
      <c r="U4" s="408"/>
      <c r="V4" s="3109"/>
      <c r="W4" s="3110"/>
      <c r="X4" s="3110"/>
      <c r="Y4" s="3110"/>
      <c r="Z4" s="3110"/>
      <c r="AA4" s="3110"/>
      <c r="AB4" s="3110"/>
      <c r="AC4" s="3111"/>
      <c r="AD4" s="3109">
        <f>INDEX(PT_DIFFERENTIATION_CS,MATCH(C4,PT_DIFFERENTIATION_CS_ID,0))</f>
      </c>
      <c r="AE4" s="3110"/>
      <c r="AF4" s="3110"/>
      <c r="AG4" s="3110"/>
      <c r="AH4" s="3110"/>
      <c r="AI4" s="3110"/>
      <c r="AJ4" s="3110"/>
      <c r="AK4" s="3110"/>
      <c r="AL4" s="3111"/>
      <c r="AM4" s="1354" t="s">
        <v>485</v>
      </c>
      <c r="AO4" s="607"/>
      <c r="AP4" s="607" t="str">
        <f>IF(T4="","",T4)</f>
        <v>Наименование системы теплоснабжения </v>
      </c>
      <c r="AQ4" s="607"/>
      <c r="AR4" s="607"/>
      <c r="AS4" s="1251">
        <v>0</v>
      </c>
    </row>
    <row customHeight="1" ht="21" hidden="1">
      <c r="A5" s="1459"/>
      <c r="B5" s="1459"/>
      <c r="C5" s="1459"/>
      <c r="D5" s="1459"/>
      <c r="E5" s="3116"/>
      <c r="F5" s="3116"/>
      <c r="G5" s="3116"/>
      <c r="H5" s="3115">
        <v>1</v>
      </c>
      <c r="I5" s="1459"/>
      <c r="J5" s="1459"/>
      <c r="K5" s="1459"/>
      <c r="L5" s="1460"/>
      <c r="M5" s="1461"/>
      <c r="N5" s="1461"/>
      <c r="O5" s="1461"/>
      <c r="P5" s="461"/>
      <c r="Q5" s="459"/>
      <c r="R5" s="460"/>
      <c r="S5" s="1432">
        <f>INDEX(PT_DIFFERENTIATION_NUM_IST_TE,MATCH(D5,PT_DIFFERENTIATION_IST_TE_ID,0))</f>
      </c>
      <c r="T5" s="418" t="s">
        <v>486</v>
      </c>
      <c r="U5" s="408"/>
      <c r="V5" s="3109"/>
      <c r="W5" s="3110"/>
      <c r="X5" s="3110"/>
      <c r="Y5" s="3110"/>
      <c r="Z5" s="3110"/>
      <c r="AA5" s="3110"/>
      <c r="AB5" s="3110"/>
      <c r="AC5" s="3111"/>
      <c r="AD5" s="3109">
        <f>INDEX(PT_DIFFERENTIATION_IST_TE,MATCH(D5,PT_DIFFERENTIATION_IST_TE_ID,0))</f>
      </c>
      <c r="AE5" s="3110"/>
      <c r="AF5" s="3110"/>
      <c r="AG5" s="3110"/>
      <c r="AH5" s="3110"/>
      <c r="AI5" s="3110"/>
      <c r="AJ5" s="3110"/>
      <c r="AK5" s="3110"/>
      <c r="AL5" s="3111"/>
      <c r="AM5" s="1354" t="s">
        <v>487</v>
      </c>
      <c r="AO5" s="607"/>
      <c r="AP5" s="607" t="str">
        <f>IF(T5="","",T5)</f>
        <v>Источник тепловой энергии  </v>
      </c>
      <c r="AQ5" s="607"/>
      <c r="AR5" s="607"/>
      <c r="AS5" s="1251">
        <v>0</v>
      </c>
    </row>
    <row customHeight="1" ht="47.25" hidden="1">
      <c r="A6" s="1459"/>
      <c r="B6" s="1459"/>
      <c r="C6" s="1459"/>
      <c r="D6" s="1459"/>
      <c r="E6" s="3116"/>
      <c r="F6" s="3116"/>
      <c r="G6" s="3116"/>
      <c r="H6" s="3116"/>
      <c r="I6" s="3117">
        <f>S5&amp;".1"</f>
      </c>
      <c r="J6" s="1459"/>
      <c r="K6" s="1459"/>
      <c r="L6" s="1460" t="s">
        <v>488</v>
      </c>
      <c r="M6" s="644"/>
      <c r="P6" s="3119">
        <v>1</v>
      </c>
      <c r="Q6" s="1427"/>
      <c r="R6" s="463"/>
      <c r="S6" s="1432">
        <f>$I6</f>
      </c>
      <c r="T6" s="393" t="s">
        <v>489</v>
      </c>
      <c r="U6" s="408"/>
      <c r="V6" s="3103"/>
      <c r="W6" s="3104"/>
      <c r="X6" s="3104"/>
      <c r="Y6" s="3104"/>
      <c r="Z6" s="3104"/>
      <c r="AA6" s="3104"/>
      <c r="AB6" s="3104"/>
      <c r="AC6" s="3105"/>
      <c r="AD6" s="3103"/>
      <c r="AE6" s="3104"/>
      <c r="AF6" s="3104"/>
      <c r="AG6" s="3104"/>
      <c r="AH6" s="3104"/>
      <c r="AI6" s="3104"/>
      <c r="AJ6" s="3104"/>
      <c r="AK6" s="3104"/>
      <c r="AL6" s="3105"/>
      <c r="AM6" s="1354" t="s">
        <v>490</v>
      </c>
      <c r="AO6" s="607"/>
      <c r="AP6" s="607" t="str">
        <f>IF(T6="","",T6)</f>
        <v>Схема подключения теплопотребляющей установки к коллектору источника тепловой энергии</v>
      </c>
      <c r="AQ6" s="607"/>
      <c r="AR6" s="607"/>
      <c r="AS6" s="1251">
        <v>0</v>
      </c>
    </row>
    <row customHeight="1" ht="21" hidden="1">
      <c r="A7" s="1459"/>
      <c r="B7" s="1459"/>
      <c r="C7" s="1459"/>
      <c r="D7" s="1459"/>
      <c r="E7" s="3116"/>
      <c r="F7" s="3116"/>
      <c r="G7" s="3116"/>
      <c r="H7" s="3116"/>
      <c r="I7" s="3118"/>
      <c r="J7" s="3117">
        <f>I6&amp;".1"</f>
      </c>
      <c r="K7" s="1459"/>
      <c r="L7" s="1460" t="s">
        <v>491</v>
      </c>
      <c r="M7" s="644"/>
      <c r="N7" s="1462"/>
      <c r="P7" s="3119"/>
      <c r="Q7" s="3119">
        <v>1</v>
      </c>
      <c r="R7" s="464"/>
      <c r="S7" s="1432">
        <f>$J7</f>
      </c>
      <c r="T7" s="394" t="s">
        <v>492</v>
      </c>
      <c r="U7" s="408"/>
      <c r="V7" s="3103"/>
      <c r="W7" s="3104"/>
      <c r="X7" s="3104"/>
      <c r="Y7" s="3104"/>
      <c r="Z7" s="3104"/>
      <c r="AA7" s="3104"/>
      <c r="AB7" s="3104"/>
      <c r="AC7" s="3105"/>
      <c r="AD7" s="3103"/>
      <c r="AE7" s="3104"/>
      <c r="AF7" s="3104"/>
      <c r="AG7" s="3104"/>
      <c r="AH7" s="3104"/>
      <c r="AI7" s="3104"/>
      <c r="AJ7" s="3104"/>
      <c r="AK7" s="3104"/>
      <c r="AL7" s="3105"/>
      <c r="AM7" s="1354" t="s">
        <v>493</v>
      </c>
      <c r="AO7" s="607"/>
      <c r="AP7" s="607" t="str">
        <f>IF(T7="","",T7)</f>
        <v>Группа потребителей</v>
      </c>
      <c r="AQ7" s="607"/>
      <c r="AR7" s="607"/>
      <c r="AS7" s="1251">
        <v>0</v>
      </c>
    </row>
    <row customHeight="1" ht="21" hidden="1">
      <c r="A8" s="1459"/>
      <c r="B8" s="1459"/>
      <c r="C8" s="1459"/>
      <c r="D8" s="1459"/>
      <c r="E8" s="3116"/>
      <c r="F8" s="3116"/>
      <c r="G8" s="3116"/>
      <c r="H8" s="3116"/>
      <c r="I8" s="3118"/>
      <c r="J8" s="3118"/>
      <c r="K8" s="3117">
        <f>J7&amp;".1"</f>
      </c>
      <c r="L8" s="1460" t="s">
        <v>494</v>
      </c>
      <c r="M8" s="644"/>
      <c r="N8" s="1462"/>
      <c r="O8" s="1462"/>
      <c r="P8" s="3119"/>
      <c r="Q8" s="3119"/>
      <c r="R8" s="464">
        <v>1</v>
      </c>
      <c r="S8" s="1432">
        <f>$K8</f>
      </c>
      <c r="T8" s="1443"/>
      <c r="U8" s="408"/>
      <c r="V8" s="433"/>
      <c r="W8" s="858"/>
      <c r="X8" s="433"/>
      <c r="Y8" s="491"/>
      <c r="Z8" s="3120"/>
      <c r="AA8" s="2989" t="s">
        <v>62</v>
      </c>
      <c r="AB8" s="3120"/>
      <c r="AC8" s="2989" t="s">
        <v>62</v>
      </c>
      <c r="AD8" s="433"/>
      <c r="AE8" s="858"/>
      <c r="AF8" s="433"/>
      <c r="AG8" s="491"/>
      <c r="AH8" s="3120"/>
      <c r="AI8" s="2989" t="s">
        <v>62</v>
      </c>
      <c r="AJ8" s="3120"/>
      <c r="AK8" s="2989" t="s">
        <v>62</v>
      </c>
      <c r="AL8" s="433"/>
      <c r="AM8" s="3138" t="s">
        <v>495</v>
      </c>
      <c r="AN8" s="618">
        <f>STRCHECKDATE(V9:AL9)</f>
      </c>
      <c r="AO8" s="607"/>
      <c r="AP8" s="607" t="str">
        <f>IF(T8="","",T8)</f>
        <v/>
      </c>
      <c r="AQ8" s="607"/>
      <c r="AR8" s="607"/>
      <c r="AS8" s="1251">
        <v>0</v>
      </c>
    </row>
    <row customHeight="1" ht="0.75" hidden="1">
      <c r="A9" s="1459"/>
      <c r="B9" s="1459"/>
      <c r="C9" s="1459"/>
      <c r="D9" s="1459"/>
      <c r="E9" s="3116"/>
      <c r="F9" s="3116"/>
      <c r="G9" s="3116"/>
      <c r="H9" s="3116"/>
      <c r="I9" s="3118"/>
      <c r="J9" s="3118"/>
      <c r="K9" s="3117"/>
      <c r="L9" s="1460"/>
      <c r="M9" s="644"/>
      <c r="N9" s="1462"/>
      <c r="O9" s="1462"/>
      <c r="P9" s="3119"/>
      <c r="Q9" s="3119"/>
      <c r="R9" s="464"/>
      <c r="S9" s="1438"/>
      <c r="T9" s="408"/>
      <c r="U9" s="408"/>
      <c r="V9" s="433"/>
      <c r="W9" s="433"/>
      <c r="X9" s="433"/>
      <c r="Y9" s="436" t="str">
        <f>Z8&amp;"-"&amp;AB8</f>
        <v>-</v>
      </c>
      <c r="Z9" s="3121"/>
      <c r="AA9" s="2989"/>
      <c r="AB9" s="3121"/>
      <c r="AC9" s="2989"/>
      <c r="AD9" s="433"/>
      <c r="AE9" s="433"/>
      <c r="AF9" s="433"/>
      <c r="AG9" s="436" t="str">
        <f>AH8&amp;"-"&amp;AJ8</f>
        <v>-</v>
      </c>
      <c r="AH9" s="3121"/>
      <c r="AI9" s="2989"/>
      <c r="AJ9" s="3121"/>
      <c r="AK9" s="2989"/>
      <c r="AL9" s="433"/>
      <c r="AM9" s="3139"/>
      <c r="AO9" s="607"/>
      <c r="AP9" s="607" t="str">
        <f>IF(T9="","",T9)</f>
        <v/>
      </c>
      <c r="AQ9" s="607"/>
      <c r="AR9" s="607"/>
      <c r="AS9" s="1251">
        <v>0</v>
      </c>
    </row>
    <row customHeight="1" ht="15" hidden="1">
      <c r="A10" s="1459"/>
      <c r="B10" s="1459"/>
      <c r="C10" s="1459"/>
      <c r="D10" s="1459"/>
      <c r="E10" s="3116"/>
      <c r="F10" s="3116"/>
      <c r="G10" s="3116"/>
      <c r="H10" s="3116"/>
      <c r="I10" s="3118"/>
      <c r="J10" s="3117"/>
      <c r="K10" s="1459"/>
      <c r="L10" s="1460"/>
      <c r="M10" s="644"/>
      <c r="N10" s="1462"/>
      <c r="P10" s="3119"/>
      <c r="Q10" s="3119"/>
      <c r="R10" s="463"/>
      <c r="S10" s="1374"/>
      <c r="T10" s="396" t="s">
        <v>496</v>
      </c>
      <c r="U10" s="474"/>
      <c r="V10" s="474"/>
      <c r="W10" s="474"/>
      <c r="X10" s="474"/>
      <c r="Y10" s="474"/>
      <c r="Z10" s="474"/>
      <c r="AA10" s="474"/>
      <c r="AB10" s="474"/>
      <c r="AC10" s="474"/>
      <c r="AD10" s="474"/>
      <c r="AE10" s="474"/>
      <c r="AF10" s="474"/>
      <c r="AG10" s="474"/>
      <c r="AH10" s="474"/>
      <c r="AI10" s="474"/>
      <c r="AJ10" s="474"/>
      <c r="AK10" s="474"/>
      <c r="AL10" s="432"/>
      <c r="AM10" s="3140"/>
      <c r="AO10" s="607"/>
      <c r="AP10" s="607" t="str">
        <f>IF(T10="","",T10)</f>
        <v>Добавить вид теплоносителя (параметры теплоносителя)</v>
      </c>
      <c r="AQ10" s="607"/>
      <c r="AR10" s="607"/>
      <c r="AS10" s="1251">
        <v>0</v>
      </c>
    </row>
    <row customHeight="1" ht="15" hidden="1">
      <c r="A11" s="1459"/>
      <c r="B11" s="1459"/>
      <c r="C11" s="1459"/>
      <c r="D11" s="1459"/>
      <c r="E11" s="3116"/>
      <c r="F11" s="3116"/>
      <c r="G11" s="3116"/>
      <c r="H11" s="3116"/>
      <c r="I11" s="3117"/>
      <c r="J11" s="1459"/>
      <c r="K11" s="1459"/>
      <c r="L11" s="1460"/>
      <c r="M11" s="644"/>
      <c r="P11" s="3119"/>
      <c r="Q11" s="1427"/>
      <c r="R11" s="463"/>
      <c r="S11" s="1374"/>
      <c r="T11" s="395" t="s">
        <v>497</v>
      </c>
      <c r="U11" s="474"/>
      <c r="V11" s="474"/>
      <c r="W11" s="474"/>
      <c r="X11" s="474"/>
      <c r="Y11" s="474"/>
      <c r="Z11" s="474"/>
      <c r="AA11" s="474"/>
      <c r="AB11" s="474"/>
      <c r="AC11" s="473"/>
      <c r="AD11" s="474"/>
      <c r="AE11" s="474"/>
      <c r="AF11" s="474"/>
      <c r="AG11" s="474"/>
      <c r="AH11" s="474"/>
      <c r="AI11" s="474"/>
      <c r="AJ11" s="474"/>
      <c r="AK11" s="473"/>
      <c r="AL11" s="474"/>
      <c r="AM11" s="411"/>
      <c r="AO11" s="607"/>
      <c r="AP11" s="607" t="str">
        <f>IF(T11="","",T11)</f>
        <v>Добавить группу потребителей</v>
      </c>
      <c r="AQ11" s="607"/>
      <c r="AR11" s="607"/>
      <c r="AS11" s="1251">
        <v>0</v>
      </c>
    </row>
    <row customHeight="1" ht="14.25" hidden="1">
      <c r="A12" s="1459"/>
      <c r="B12" s="1459"/>
      <c r="C12" s="1459"/>
      <c r="D12" s="1459"/>
      <c r="E12" s="3116"/>
      <c r="F12" s="3116"/>
      <c r="G12" s="3116"/>
      <c r="H12" s="3115"/>
      <c r="I12" s="1459"/>
      <c r="J12" s="1459"/>
      <c r="K12" s="1459"/>
      <c r="L12" s="1460"/>
      <c r="M12" s="1461"/>
      <c r="N12" s="1461"/>
      <c r="O12" s="644"/>
      <c r="P12" s="467"/>
      <c r="Q12" s="482"/>
      <c r="R12" s="462"/>
      <c r="S12" s="1374"/>
      <c r="T12" s="472" t="s">
        <v>498</v>
      </c>
      <c r="U12" s="474"/>
      <c r="V12" s="474"/>
      <c r="W12" s="474"/>
      <c r="X12" s="474"/>
      <c r="Y12" s="474"/>
      <c r="Z12" s="474"/>
      <c r="AA12" s="474"/>
      <c r="AB12" s="474"/>
      <c r="AC12" s="473"/>
      <c r="AD12" s="474"/>
      <c r="AE12" s="474"/>
      <c r="AF12" s="474"/>
      <c r="AG12" s="474"/>
      <c r="AH12" s="474"/>
      <c r="AI12" s="474"/>
      <c r="AJ12" s="474"/>
      <c r="AK12" s="473"/>
      <c r="AL12" s="474"/>
      <c r="AM12" s="411"/>
      <c r="AO12" s="607"/>
      <c r="AP12" s="607" t="str">
        <f>IF(T12="","",T12)</f>
        <v>Добавить схему подключения</v>
      </c>
      <c r="AQ12" s="607"/>
      <c r="AR12" s="607"/>
      <c r="AS12" s="1251">
        <v>0</v>
      </c>
    </row>
    <row s="10307" customFormat="1" customHeight="1" ht="0.75" hidden="1">
      <c r="A13" s="1410"/>
      <c r="B13" s="1410"/>
      <c r="C13" s="1410"/>
      <c r="D13" s="1410"/>
      <c r="E13" s="3116"/>
      <c r="F13" s="3116"/>
      <c r="G13" s="3115"/>
      <c r="H13" s="1410"/>
      <c r="I13" s="1410"/>
      <c r="J13" s="1410"/>
      <c r="K13" s="1410"/>
      <c r="L13" s="1435"/>
      <c r="M13" s="1411"/>
      <c r="N13" s="1411"/>
      <c r="P13" s="1412"/>
      <c r="Q13" s="1413"/>
      <c r="R13" s="1412"/>
      <c r="S13" s="1414"/>
      <c r="T13" s="1415" t="s">
        <v>499</v>
      </c>
      <c r="U13" s="1416"/>
      <c r="V13" s="1416"/>
      <c r="W13" s="1416"/>
      <c r="X13" s="1416"/>
      <c r="Y13" s="1416"/>
      <c r="Z13" s="1416"/>
      <c r="AA13" s="1416"/>
      <c r="AB13" s="1416"/>
      <c r="AC13" s="1416"/>
      <c r="AD13" s="1416"/>
      <c r="AE13" s="1416"/>
      <c r="AF13" s="1416"/>
      <c r="AG13" s="1416"/>
      <c r="AH13" s="1416"/>
      <c r="AI13" s="1416"/>
      <c r="AJ13" s="1416"/>
      <c r="AK13" s="1416"/>
      <c r="AL13" s="1416"/>
      <c r="AM13" s="1416"/>
      <c r="AO13" s="890"/>
      <c r="AP13" s="890" t="str">
        <f>IF(T13="","",T13)</f>
        <v>Добавить источник для дифференциации</v>
      </c>
      <c r="AQ13" s="890"/>
      <c r="AR13" s="890"/>
      <c r="AS13" s="625">
        <v>0</v>
      </c>
    </row>
    <row s="10307" customFormat="1" customHeight="1" ht="0.75" hidden="1">
      <c r="A14" s="1410"/>
      <c r="B14" s="1410"/>
      <c r="C14" s="1410"/>
      <c r="D14" s="1410"/>
      <c r="E14" s="3116"/>
      <c r="F14" s="3115"/>
      <c r="G14" s="1410"/>
      <c r="H14" s="1410"/>
      <c r="I14" s="1410"/>
      <c r="J14" s="1410"/>
      <c r="K14" s="1410"/>
      <c r="L14" s="1435"/>
      <c r="M14" s="1417"/>
      <c r="N14" s="1417"/>
      <c r="P14" s="1412"/>
      <c r="Q14" s="1413"/>
      <c r="R14" s="1412"/>
      <c r="S14" s="1418"/>
      <c r="T14" s="1419" t="s">
        <v>500</v>
      </c>
      <c r="U14" s="1420"/>
      <c r="V14" s="1420"/>
      <c r="W14" s="1420"/>
      <c r="X14" s="1420"/>
      <c r="Y14" s="1420"/>
      <c r="Z14" s="1420"/>
      <c r="AA14" s="1420"/>
      <c r="AB14" s="1420"/>
      <c r="AC14" s="1420"/>
      <c r="AD14" s="1420"/>
      <c r="AE14" s="1420"/>
      <c r="AF14" s="1420"/>
      <c r="AG14" s="1420"/>
      <c r="AH14" s="1420"/>
      <c r="AI14" s="1420"/>
      <c r="AJ14" s="1420"/>
      <c r="AK14" s="1420"/>
      <c r="AL14" s="1420"/>
      <c r="AM14" s="1420"/>
      <c r="AO14" s="890"/>
      <c r="AP14" s="890" t="str">
        <f>IF(T14="","",T14)</f>
        <v>Добавить централизованную систему для дифференциации</v>
      </c>
      <c r="AQ14" s="890"/>
      <c r="AR14" s="890"/>
      <c r="AS14" s="625">
        <v>0</v>
      </c>
    </row>
    <row s="10307" customFormat="1" customHeight="1" ht="0.75" hidden="1">
      <c r="A15" s="1410"/>
      <c r="B15" s="1410"/>
      <c r="C15" s="1410"/>
      <c r="D15" s="1410"/>
      <c r="E15" s="3115"/>
      <c r="F15" s="1410"/>
      <c r="G15" s="1410"/>
      <c r="H15" s="1410"/>
      <c r="I15" s="1410"/>
      <c r="J15" s="1410"/>
      <c r="K15" s="1410"/>
      <c r="L15" s="1435"/>
      <c r="M15" s="1417"/>
      <c r="N15" s="1417"/>
      <c r="P15" s="1412"/>
      <c r="Q15" s="1413"/>
      <c r="R15" s="1412"/>
      <c r="S15" s="1418"/>
      <c r="T15" s="1421" t="s">
        <v>501</v>
      </c>
      <c r="U15" s="1420"/>
      <c r="V15" s="1420"/>
      <c r="W15" s="1420"/>
      <c r="X15" s="1420"/>
      <c r="Y15" s="1420"/>
      <c r="Z15" s="1420"/>
      <c r="AA15" s="1420"/>
      <c r="AB15" s="1420"/>
      <c r="AC15" s="1420"/>
      <c r="AD15" s="1420"/>
      <c r="AE15" s="1420"/>
      <c r="AF15" s="1420"/>
      <c r="AG15" s="1420"/>
      <c r="AH15" s="1420"/>
      <c r="AI15" s="1420"/>
      <c r="AJ15" s="1420"/>
      <c r="AK15" s="1420"/>
      <c r="AL15" s="1420"/>
      <c r="AM15" s="1420"/>
      <c r="AO15" s="890"/>
      <c r="AP15" s="890" t="str">
        <f>IF(T15="","",T15)</f>
        <v>Добавить территорию для дифференциации</v>
      </c>
      <c r="AQ15" s="890"/>
      <c r="AR15" s="890"/>
      <c r="AS15" s="625">
        <v>0</v>
      </c>
    </row>
    <row customHeight="1" ht="14.25" hidden="1">
      <c r="AC16" s="435"/>
      <c r="AK16" s="435"/>
      <c r="AS16" s="1251">
        <v>0</v>
      </c>
    </row>
    <row customHeight="1" ht="14.25" hidden="1">
      <c r="AD17" s="1456"/>
      <c r="AE17" s="1456"/>
      <c r="AF17" s="1456"/>
      <c r="AG17" s="1457"/>
      <c r="AH17" s="3113"/>
      <c r="AI17" s="3112" t="s">
        <v>62</v>
      </c>
      <c r="AJ17" s="3113"/>
      <c r="AK17" s="3112" t="s">
        <v>62</v>
      </c>
      <c r="AS17" s="1251">
        <v>0</v>
      </c>
    </row>
    <row customHeight="1" ht="14.25" hidden="1">
      <c r="AD18" s="1456"/>
      <c r="AE18" s="1456"/>
      <c r="AF18" s="1456"/>
      <c r="AG18" s="436" t="str">
        <f>AH17&amp;"-"&amp;AJ17</f>
        <v>-</v>
      </c>
      <c r="AH18" s="3112"/>
      <c r="AI18" s="3112"/>
      <c r="AJ18" s="3112"/>
      <c r="AK18" s="3112"/>
      <c r="AS18" s="1251">
        <v>0</v>
      </c>
    </row>
    <row customHeight="1" ht="14.25" hidden="1">
      <c r="AK19" s="435"/>
      <c r="AS19" s="1251">
        <v>0</v>
      </c>
    </row>
    <row s="10306" customFormat="1" customHeight="1" ht="22.5" hidden="1">
      <c r="L20" s="1425"/>
      <c r="M20" s="1458"/>
      <c r="N20" s="1458"/>
      <c r="O20" s="1463" t="s">
        <v>502</v>
      </c>
      <c r="P20" s="1458"/>
      <c r="Q20" s="1467"/>
      <c r="R20" s="1467"/>
      <c r="S20" s="836"/>
      <c r="Z20" s="1463"/>
      <c r="AB20" s="1463"/>
      <c r="AH20" s="1463"/>
      <c r="AJ20" s="1463"/>
      <c r="AN20" s="618"/>
      <c r="AO20" s="618"/>
      <c r="AP20" s="618"/>
      <c r="AQ20" s="618"/>
      <c r="AR20" s="618"/>
      <c r="AS20" s="1256">
        <v>0</v>
      </c>
    </row>
    <row s="10306" customFormat="1" customHeight="1" ht="14.25" hidden="1">
      <c r="L21" s="1425"/>
      <c r="M21" s="1458"/>
      <c r="N21" s="1458"/>
      <c r="O21" s="1458"/>
      <c r="P21" s="1458"/>
      <c r="Q21" s="1467"/>
      <c r="R21" s="1467"/>
      <c r="S21" s="836"/>
      <c r="AN21" s="618"/>
      <c r="AO21" s="618"/>
      <c r="AP21" s="618"/>
      <c r="AQ21" s="618"/>
      <c r="AR21" s="618"/>
      <c r="AS21" s="1256">
        <v>0</v>
      </c>
    </row>
    <row s="10306" customFormat="1" customHeight="1" ht="33.75" hidden="1">
      <c r="L22" s="1425"/>
      <c r="M22" s="1458"/>
      <c r="N22" s="1458"/>
      <c r="O22" s="1460" t="s">
        <v>503</v>
      </c>
      <c r="P22" s="1458"/>
      <c r="Q22" s="1467"/>
      <c r="R22" s="1467"/>
      <c r="S22" s="836"/>
      <c r="T22" s="1256" t="s">
        <v>504</v>
      </c>
      <c r="AA22" s="294" t="s">
        <v>505</v>
      </c>
      <c r="AC22" s="294" t="s">
        <v>506</v>
      </c>
      <c r="AD22" s="1256" t="s">
        <v>504</v>
      </c>
      <c r="AI22" s="294" t="s">
        <v>507</v>
      </c>
      <c r="AK22" s="294" t="s">
        <v>506</v>
      </c>
      <c r="AN22" s="618"/>
      <c r="AO22" s="618"/>
      <c r="AP22" s="618"/>
      <c r="AQ22" s="618"/>
      <c r="AR22" s="618"/>
      <c r="AS22" s="1256">
        <v>0</v>
      </c>
    </row>
    <row customHeight="1" ht="14.25" hidden="1">
      <c r="O23" s="1460"/>
      <c r="AS23" s="1251">
        <v>0</v>
      </c>
    </row>
    <row customHeight="1" ht="14.25" hidden="1">
      <c r="O24" s="1460"/>
      <c r="AS24" s="1251">
        <v>0</v>
      </c>
    </row>
    <row customHeight="1" ht="14.699999999999998">
      <c r="Q25" s="483"/>
      <c r="R25" s="483"/>
      <c r="S25" s="1371"/>
      <c r="T25" s="470"/>
      <c r="U25" s="470"/>
      <c r="V25" s="616"/>
      <c r="W25" s="616"/>
      <c r="X25" s="616"/>
      <c r="Y25" s="616"/>
      <c r="Z25" s="616"/>
      <c r="AA25" s="616"/>
      <c r="AB25" s="616"/>
      <c r="AC25" s="616"/>
      <c r="AD25" s="616"/>
      <c r="AE25" s="616"/>
      <c r="AF25" s="616"/>
      <c r="AG25" s="616"/>
      <c r="AH25" s="616"/>
      <c r="AI25" s="616"/>
      <c r="AJ25" s="616"/>
      <c r="AK25" s="616"/>
      <c r="AS25" s="1251">
        <v>14</v>
      </c>
    </row>
    <row customHeight="1" ht="29.25">
      <c r="Q26" s="483"/>
      <c r="R26" s="483"/>
      <c r="S26" s="309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96"/>
      <c r="U26" s="3096"/>
      <c r="V26" s="3096"/>
      <c r="W26" s="3096"/>
      <c r="X26" s="3096"/>
      <c r="Y26" s="3096"/>
      <c r="Z26" s="3096"/>
      <c r="AA26" s="3096"/>
      <c r="AB26" s="3096"/>
      <c r="AC26" s="3096"/>
      <c r="AD26" s="3096"/>
      <c r="AE26" s="3096"/>
      <c r="AF26" s="3096"/>
      <c r="AG26" s="3096"/>
      <c r="AH26" s="3096"/>
      <c r="AI26" s="3096"/>
      <c r="AJ26" s="3096"/>
      <c r="AK26" s="1339"/>
      <c r="AS26" s="1251">
        <v>28</v>
      </c>
    </row>
    <row customHeight="1" ht="14.699999999999998">
      <c r="Q27" s="483"/>
      <c r="R27" s="483"/>
      <c r="S27" s="3069" t="str">
        <f>IF(org=0,"Не определено",org)</f>
        <v>АО "ДГК"</v>
      </c>
      <c r="T27" s="3069"/>
      <c r="U27" s="3069"/>
      <c r="V27" s="3069"/>
      <c r="W27" s="3069"/>
      <c r="X27" s="3069"/>
      <c r="Y27" s="3069"/>
      <c r="Z27" s="3069"/>
      <c r="AA27" s="3069"/>
      <c r="AB27" s="3069"/>
      <c r="AC27" s="3069"/>
      <c r="AD27" s="3069"/>
      <c r="AE27" s="3069"/>
      <c r="AF27" s="3069"/>
      <c r="AG27" s="3069"/>
      <c r="AH27" s="3069"/>
      <c r="AI27" s="3069"/>
      <c r="AJ27" s="3069"/>
      <c r="AK27" s="1339"/>
      <c r="AS27" s="1251">
        <v>14</v>
      </c>
    </row>
    <row customHeight="1" ht="14.25" hidden="1">
      <c r="Q28" s="483"/>
      <c r="R28" s="483"/>
      <c r="S28" s="1371"/>
      <c r="T28" s="470"/>
      <c r="U28" s="470"/>
      <c r="V28" s="430"/>
      <c r="W28" s="430"/>
      <c r="X28" s="430"/>
      <c r="Y28" s="430"/>
      <c r="Z28" s="430"/>
      <c r="AA28" s="430"/>
      <c r="AB28" s="430"/>
      <c r="AC28" s="430"/>
      <c r="AD28" s="430"/>
      <c r="AE28" s="430"/>
      <c r="AF28" s="430"/>
      <c r="AG28" s="430"/>
      <c r="AH28" s="430"/>
      <c r="AI28" s="430"/>
      <c r="AJ28" s="430"/>
      <c r="AK28" s="430"/>
      <c r="AL28" s="616"/>
      <c r="AS28" s="1251">
        <v>0</v>
      </c>
    </row>
    <row s="10446" customFormat="1" customHeight="1" ht="25.5" hidden="1">
      <c r="A29" s="1464"/>
      <c r="B29" s="1464"/>
      <c r="C29" s="1464"/>
      <c r="D29" s="1464"/>
      <c r="E29" s="1464"/>
      <c r="F29" s="1464"/>
      <c r="G29" s="1464"/>
      <c r="H29" s="1464"/>
      <c r="I29" s="1464"/>
      <c r="J29" s="1464"/>
      <c r="K29" s="1464"/>
      <c r="L29" s="1465"/>
      <c r="M29" s="1464"/>
      <c r="N29" s="1464"/>
      <c r="O29" s="1464"/>
      <c r="S29" s="3106" t="s">
        <v>41</v>
      </c>
      <c r="T29" s="3106"/>
      <c r="U29" s="1468"/>
      <c r="V29" s="3108" t="str">
        <f>IF(TITLE_NAME_OR_PR_CHANGE="",IF(TITLE_NAME_OR_PR="","",TITLE_NAME_OR_PR),TITLE_NAME_OR_PR_CHANGE)</f>
        <v/>
      </c>
      <c r="W29" s="3108"/>
      <c r="X29" s="3108"/>
      <c r="Y29" s="3108"/>
      <c r="Z29" s="3108"/>
      <c r="AA29" s="3108"/>
      <c r="AB29" s="3108"/>
      <c r="AC29" s="434"/>
      <c r="AD29" s="3108" t="str">
        <f>IF(TITLE_NAME_OR_PR_CHANGE="",IF(TITLE_NAME_OR_PR="","",TITLE_NAME_OR_PR),TITLE_NAME_OR_PR_CHANGE)</f>
        <v/>
      </c>
      <c r="AE29" s="3108"/>
      <c r="AF29" s="3108"/>
      <c r="AG29" s="3108"/>
      <c r="AH29" s="3108"/>
      <c r="AI29" s="3108"/>
      <c r="AJ29" s="3108"/>
      <c r="AK29" s="434"/>
      <c r="AL29" s="434"/>
      <c r="AM29" s="388"/>
      <c r="AN29" s="475"/>
      <c r="AO29" s="475"/>
      <c r="AP29" s="475"/>
      <c r="AQ29" s="475"/>
      <c r="AR29" s="475"/>
      <c r="AS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508</v>
      </c>
      <c r="T30" s="3106"/>
      <c r="U30" s="1468"/>
      <c r="V30" s="3107" t="str">
        <f>IF(TITLE_DATE_PR_CHANGE="",IF(TITLE_DATE_PR="","",TITLE_DATE_PR),TITLE_DATE_PR_CHANGE)</f>
        <v/>
      </c>
      <c r="W30" s="3107"/>
      <c r="X30" s="3107"/>
      <c r="Y30" s="3107"/>
      <c r="Z30" s="3107"/>
      <c r="AA30" s="3107"/>
      <c r="AB30" s="3107"/>
      <c r="AC30" s="434"/>
      <c r="AD30" s="3107" t="str">
        <f>IF(TITLE_DATE_PR_CHANGE="",IF(TITLE_DATE_PR="","",TITLE_DATE_PR),TITLE_DATE_PR_CHANGE)</f>
        <v/>
      </c>
      <c r="AE30" s="3107"/>
      <c r="AF30" s="3107"/>
      <c r="AG30" s="3107"/>
      <c r="AH30" s="3107"/>
      <c r="AI30" s="3107"/>
      <c r="AJ30" s="3107"/>
      <c r="AK30" s="434"/>
      <c r="AL30" s="434"/>
      <c r="AM30" s="388"/>
      <c r="AN30" s="475"/>
      <c r="AO30" s="475"/>
      <c r="AP30" s="475"/>
      <c r="AQ30" s="475"/>
      <c r="AR30" s="475"/>
      <c r="AS30" s="525">
        <v>0</v>
      </c>
    </row>
    <row s="10446" customFormat="1" customHeight="1" ht="18.75" hidden="1">
      <c r="A31" s="1464"/>
      <c r="B31" s="1464"/>
      <c r="C31" s="1464"/>
      <c r="D31" s="1464"/>
      <c r="E31" s="1464"/>
      <c r="F31" s="1464"/>
      <c r="G31" s="1464"/>
      <c r="H31" s="1464"/>
      <c r="I31" s="1464"/>
      <c r="J31" s="1464"/>
      <c r="K31" s="1464"/>
      <c r="L31" s="1465"/>
      <c r="M31" s="1464"/>
      <c r="N31" s="1464"/>
      <c r="O31" s="1464"/>
      <c r="S31" s="3106" t="s">
        <v>509</v>
      </c>
      <c r="T31" s="3106"/>
      <c r="U31" s="1468"/>
      <c r="V31" s="3108" t="str">
        <f>IF(TITLE_NUMBER_PR_CHANGE="",IF(TITLE_NUMBER_PR="","",TITLE_NUMBER_PR),TITLE_NUMBER_PR_CHANGE)</f>
        <v/>
      </c>
      <c r="W31" s="3108"/>
      <c r="X31" s="3108"/>
      <c r="Y31" s="3108"/>
      <c r="Z31" s="3108"/>
      <c r="AA31" s="3108"/>
      <c r="AB31" s="3108"/>
      <c r="AC31" s="434"/>
      <c r="AD31" s="3108" t="str">
        <f>IF(TITLE_NUMBER_PR_CHANGE="",IF(TITLE_NUMBER_PR="","",TITLE_NUMBER_PR),TITLE_NUMBER_PR_CHANGE)</f>
        <v/>
      </c>
      <c r="AE31" s="3108"/>
      <c r="AF31" s="3108"/>
      <c r="AG31" s="3108"/>
      <c r="AH31" s="3108"/>
      <c r="AI31" s="3108"/>
      <c r="AJ31" s="3108"/>
      <c r="AK31" s="434"/>
      <c r="AL31" s="434"/>
      <c r="AM31" s="388"/>
      <c r="AN31" s="475"/>
      <c r="AO31" s="475"/>
      <c r="AP31" s="475"/>
      <c r="AQ31" s="475"/>
      <c r="AR31" s="475"/>
      <c r="AS31" s="525">
        <v>0</v>
      </c>
    </row>
    <row s="10446" customFormat="1" customHeight="1" ht="18.75" hidden="1">
      <c r="A32" s="1464"/>
      <c r="B32" s="1464"/>
      <c r="C32" s="1464"/>
      <c r="D32" s="1464"/>
      <c r="E32" s="1464"/>
      <c r="F32" s="1464"/>
      <c r="G32" s="1464"/>
      <c r="H32" s="1464"/>
      <c r="I32" s="1464"/>
      <c r="J32" s="1464"/>
      <c r="K32" s="1464"/>
      <c r="L32" s="1465"/>
      <c r="M32" s="1464"/>
      <c r="N32" s="1464"/>
      <c r="O32" s="1464"/>
      <c r="S32" s="3106" t="s">
        <v>42</v>
      </c>
      <c r="T32" s="3106"/>
      <c r="U32" s="1468"/>
      <c r="V32" s="3108" t="str">
        <f>IF(TITLE_IST_PUB_CHANGE="",IF(TITLE_IST_PUB="","",TITLE_IST_PUB),TITLE_IST_PUB_CHANGE)</f>
        <v/>
      </c>
      <c r="W32" s="3108"/>
      <c r="X32" s="3108"/>
      <c r="Y32" s="3108"/>
      <c r="Z32" s="3108"/>
      <c r="AA32" s="3108"/>
      <c r="AB32" s="3108"/>
      <c r="AC32" s="434"/>
      <c r="AD32" s="3108" t="str">
        <f>IF(TITLE_IST_PUB_CHANGE="",IF(TITLE_IST_PUB="","",TITLE_IST_PUB),TITLE_IST_PUB_CHANGE)</f>
        <v/>
      </c>
      <c r="AE32" s="3108"/>
      <c r="AF32" s="3108"/>
      <c r="AG32" s="3108"/>
      <c r="AH32" s="3108"/>
      <c r="AI32" s="3108"/>
      <c r="AJ32" s="3108"/>
      <c r="AK32" s="434"/>
      <c r="AL32" s="434"/>
      <c r="AM32" s="388"/>
      <c r="AN32" s="475"/>
      <c r="AO32" s="475"/>
      <c r="AP32" s="475"/>
      <c r="AQ32" s="475"/>
      <c r="AR32" s="475"/>
      <c r="AS32" s="525">
        <v>0</v>
      </c>
    </row>
    <row customHeight="1" ht="14.25" hidden="1">
      <c r="Q33" s="483"/>
      <c r="R33" s="483"/>
      <c r="S33" s="1371"/>
      <c r="T33" s="470"/>
      <c r="U33" s="470"/>
      <c r="V33" s="430"/>
      <c r="W33" s="430"/>
      <c r="X33" s="430"/>
      <c r="Y33" s="430"/>
      <c r="Z33" s="430"/>
      <c r="AA33" s="430"/>
      <c r="AB33" s="430"/>
      <c r="AC33" s="430"/>
      <c r="AD33" s="430"/>
      <c r="AE33" s="430"/>
      <c r="AF33" s="430"/>
      <c r="AG33" s="430"/>
      <c r="AH33" s="430"/>
      <c r="AI33" s="430"/>
      <c r="AJ33" s="430"/>
      <c r="AK33" s="430"/>
      <c r="AL33" s="616"/>
      <c r="AS33" s="1251">
        <v>0</v>
      </c>
    </row>
    <row s="10446" customFormat="1" customHeight="1" ht="18.75" hidden="1">
      <c r="A34" s="1464"/>
      <c r="B34" s="1464"/>
      <c r="C34" s="1464"/>
      <c r="D34" s="1464"/>
      <c r="E34" s="1464"/>
      <c r="F34" s="1464"/>
      <c r="G34" s="1464"/>
      <c r="H34" s="1464"/>
      <c r="I34" s="1464"/>
      <c r="J34" s="1464"/>
      <c r="K34" s="1464"/>
      <c r="L34" s="1465"/>
      <c r="M34" s="1464"/>
      <c r="N34" s="1464"/>
      <c r="O34" s="1464"/>
      <c r="S34" s="3106" t="s">
        <v>510</v>
      </c>
      <c r="T34" s="3106"/>
      <c r="U34" s="1468"/>
      <c r="V34" s="3107" t="str">
        <f>IF(TITLE_DATE_PR_CHANGE="",IF(TITLE_DATE_PR="","",TITLE_DATE_PR),TITLE_DATE_PR_CHANGE)</f>
        <v/>
      </c>
      <c r="W34" s="3107"/>
      <c r="X34" s="3107"/>
      <c r="Y34" s="3107"/>
      <c r="Z34" s="3107"/>
      <c r="AA34" s="3107"/>
      <c r="AB34" s="3107"/>
      <c r="AC34" s="434"/>
      <c r="AD34" s="3107" t="str">
        <f>IF(TITLE_DATE_PR_CHANGE="",IF(TITLE_DATE_PR="","",TITLE_DATE_PR),TITLE_DATE_PR_CHANGE)</f>
        <v/>
      </c>
      <c r="AE34" s="3107"/>
      <c r="AF34" s="3107"/>
      <c r="AG34" s="3107"/>
      <c r="AH34" s="3107"/>
      <c r="AI34" s="3107"/>
      <c r="AJ34" s="3107"/>
      <c r="AK34" s="434"/>
      <c r="AL34" s="434"/>
      <c r="AM34" s="388"/>
      <c r="AN34" s="475"/>
      <c r="AO34" s="475"/>
      <c r="AP34" s="475"/>
      <c r="AQ34" s="475"/>
      <c r="AR34" s="475"/>
      <c r="AS34" s="525">
        <v>0</v>
      </c>
    </row>
    <row s="10446" customFormat="1" customHeight="1" ht="18.75" hidden="1">
      <c r="A35" s="1464"/>
      <c r="B35" s="1464"/>
      <c r="C35" s="1464"/>
      <c r="D35" s="1464"/>
      <c r="E35" s="1464"/>
      <c r="F35" s="1464"/>
      <c r="G35" s="1464"/>
      <c r="H35" s="1464"/>
      <c r="I35" s="1464"/>
      <c r="J35" s="1464"/>
      <c r="K35" s="1464"/>
      <c r="L35" s="1465"/>
      <c r="M35" s="1464"/>
      <c r="N35" s="1464"/>
      <c r="O35" s="1464"/>
      <c r="S35" s="3106" t="s">
        <v>511</v>
      </c>
      <c r="T35" s="3106"/>
      <c r="U35" s="1468"/>
      <c r="V35" s="3108" t="str">
        <f>IF(TITLE_NUMBER_PR_CHANGE="",IF(TITLE_NUMBER_PR="","",TITLE_NUMBER_PR),TITLE_NUMBER_PR_CHANGE)</f>
        <v/>
      </c>
      <c r="W35" s="3108"/>
      <c r="X35" s="3108"/>
      <c r="Y35" s="3108"/>
      <c r="Z35" s="3108"/>
      <c r="AA35" s="3108"/>
      <c r="AB35" s="3108"/>
      <c r="AC35" s="434"/>
      <c r="AD35" s="3108" t="str">
        <f>IF(TITLE_NUMBER_PR_CHANGE="",IF(TITLE_NUMBER_PR="","",TITLE_NUMBER_PR),TITLE_NUMBER_PR_CHANGE)</f>
        <v/>
      </c>
      <c r="AE35" s="3108"/>
      <c r="AF35" s="3108"/>
      <c r="AG35" s="3108"/>
      <c r="AH35" s="3108"/>
      <c r="AI35" s="3108"/>
      <c r="AJ35" s="3108"/>
      <c r="AK35" s="434"/>
      <c r="AL35" s="434"/>
      <c r="AM35" s="388"/>
      <c r="AN35" s="475"/>
      <c r="AO35" s="475"/>
      <c r="AP35" s="475"/>
      <c r="AQ35" s="475"/>
      <c r="AR35" s="475"/>
      <c r="AS35" s="525">
        <v>0</v>
      </c>
    </row>
    <row s="10446" customFormat="1" customHeight="1" ht="14.25" hidden="1">
      <c r="A36" s="1464"/>
      <c r="B36" s="1464"/>
      <c r="C36" s="1464"/>
      <c r="D36" s="1464"/>
      <c r="E36" s="1464"/>
      <c r="F36" s="1464"/>
      <c r="G36" s="1464"/>
      <c r="H36" s="1464"/>
      <c r="I36" s="1464"/>
      <c r="J36" s="1464"/>
      <c r="K36" s="1464"/>
      <c r="L36" s="1465"/>
      <c r="M36" s="1464"/>
      <c r="N36" s="1464"/>
      <c r="O36" s="1464"/>
      <c r="S36" s="431"/>
      <c r="T36" s="431"/>
      <c r="U36" s="1436"/>
      <c r="V36" s="434"/>
      <c r="W36" s="434"/>
      <c r="X36" s="434"/>
      <c r="Y36" s="434"/>
      <c r="Z36" s="434"/>
      <c r="AA36" s="434"/>
      <c r="AB36" s="434"/>
      <c r="AC36" s="386" t="s">
        <v>512</v>
      </c>
      <c r="AD36" s="434"/>
      <c r="AE36" s="434"/>
      <c r="AF36" s="434"/>
      <c r="AG36" s="434"/>
      <c r="AH36" s="434"/>
      <c r="AI36" s="434"/>
      <c r="AJ36" s="434"/>
      <c r="AK36" s="386" t="s">
        <v>512</v>
      </c>
      <c r="AN36" s="475"/>
      <c r="AO36" s="475"/>
      <c r="AP36" s="475"/>
      <c r="AQ36" s="475"/>
      <c r="AR36" s="475"/>
      <c r="AS36" s="525">
        <v>0</v>
      </c>
    </row>
    <row customHeight="1" ht="14.699999999999998">
      <c r="Q37" s="483"/>
      <c r="R37" s="483"/>
      <c r="S37" s="1371"/>
      <c r="T37" s="470"/>
      <c r="U37" s="1340"/>
      <c r="V37" s="3127"/>
      <c r="W37" s="3127"/>
      <c r="X37" s="3127"/>
      <c r="Y37" s="3127"/>
      <c r="Z37" s="3127"/>
      <c r="AA37" s="3127"/>
      <c r="AB37" s="3127"/>
      <c r="AC37" s="3127"/>
      <c r="AD37" s="3127"/>
      <c r="AE37" s="3127"/>
      <c r="AF37" s="3127"/>
      <c r="AG37" s="3127"/>
      <c r="AH37" s="3127"/>
      <c r="AI37" s="3127"/>
      <c r="AJ37" s="3127"/>
      <c r="AK37" s="3127"/>
      <c r="AS37" s="1251">
        <v>14</v>
      </c>
    </row>
    <row customHeight="1" ht="14.699999999999998">
      <c r="Q38" s="483"/>
      <c r="R38" s="483"/>
      <c r="S38" s="2978" t="s">
        <v>385</v>
      </c>
      <c r="T38" s="2978"/>
      <c r="U38" s="2978"/>
      <c r="V38" s="2978"/>
      <c r="W38" s="2978"/>
      <c r="X38" s="2978"/>
      <c r="Y38" s="2978"/>
      <c r="Z38" s="2978"/>
      <c r="AA38" s="2978"/>
      <c r="AB38" s="2978"/>
      <c r="AC38" s="2978"/>
      <c r="AD38" s="2978"/>
      <c r="AE38" s="2978"/>
      <c r="AF38" s="2978"/>
      <c r="AG38" s="2978"/>
      <c r="AH38" s="2978"/>
      <c r="AI38" s="2978"/>
      <c r="AJ38" s="2978"/>
      <c r="AK38" s="2978"/>
      <c r="AL38" s="2978"/>
      <c r="AM38" s="2978" t="s">
        <v>386</v>
      </c>
      <c r="AS38" s="1251">
        <v>14</v>
      </c>
    </row>
    <row customHeight="1" ht="14.699999999999998">
      <c r="Q39" s="483"/>
      <c r="R39" s="483"/>
      <c r="S39" s="3128" t="s">
        <v>88</v>
      </c>
      <c r="T39" s="3077" t="s">
        <v>513</v>
      </c>
      <c r="U39" s="409"/>
      <c r="V39" s="3129" t="s">
        <v>514</v>
      </c>
      <c r="W39" s="3130"/>
      <c r="X39" s="3145"/>
      <c r="Y39" s="3145"/>
      <c r="Z39" s="3130"/>
      <c r="AA39" s="3130"/>
      <c r="AB39" s="3131"/>
      <c r="AC39" s="3132" t="s">
        <v>515</v>
      </c>
      <c r="AD39" s="3129" t="s">
        <v>514</v>
      </c>
      <c r="AE39" s="3130"/>
      <c r="AF39" s="3145"/>
      <c r="AG39" s="3145"/>
      <c r="AH39" s="3130"/>
      <c r="AI39" s="3130"/>
      <c r="AJ39" s="3131"/>
      <c r="AK39" s="3132" t="s">
        <v>516</v>
      </c>
      <c r="AL39" s="3135" t="s">
        <v>517</v>
      </c>
      <c r="AM39" s="2978"/>
      <c r="AS39" s="1251">
        <v>14</v>
      </c>
    </row>
    <row customHeight="1" ht="24">
      <c r="Q40" s="483"/>
      <c r="R40" s="483"/>
      <c r="S40" s="3128"/>
      <c r="T40" s="3077"/>
      <c r="U40" s="1131"/>
      <c r="V40" s="3143" t="s">
        <v>518</v>
      </c>
      <c r="W40" s="3048" t="s">
        <v>519</v>
      </c>
      <c r="X40" s="1472" t="s">
        <v>520</v>
      </c>
      <c r="Y40" s="1472"/>
      <c r="Z40" s="2965" t="s">
        <v>521</v>
      </c>
      <c r="AA40" s="2965"/>
      <c r="AB40" s="2958"/>
      <c r="AC40" s="3133"/>
      <c r="AD40" s="3143" t="s">
        <v>518</v>
      </c>
      <c r="AE40" s="3048" t="s">
        <v>519</v>
      </c>
      <c r="AF40" s="1472" t="s">
        <v>520</v>
      </c>
      <c r="AG40" s="1472"/>
      <c r="AH40" s="2965" t="s">
        <v>521</v>
      </c>
      <c r="AI40" s="2965"/>
      <c r="AJ40" s="2958"/>
      <c r="AK40" s="3133"/>
      <c r="AL40" s="3136"/>
      <c r="AM40" s="2978"/>
      <c r="AS40" s="1251">
        <v>23</v>
      </c>
    </row>
    <row s="10522" customFormat="1" customHeight="1" ht="24">
      <c r="A41" s="1466"/>
      <c r="B41" s="1466" t="s">
        <v>222</v>
      </c>
      <c r="C41" s="1466" t="s">
        <v>223</v>
      </c>
      <c r="D41" s="1466" t="s">
        <v>224</v>
      </c>
      <c r="E41" s="1460" t="s">
        <v>522</v>
      </c>
      <c r="F41" s="1460" t="s">
        <v>523</v>
      </c>
      <c r="G41" s="1460" t="s">
        <v>524</v>
      </c>
      <c r="H41" s="1460" t="s">
        <v>525</v>
      </c>
      <c r="I41" s="1460" t="s">
        <v>526</v>
      </c>
      <c r="J41" s="1460" t="s">
        <v>527</v>
      </c>
      <c r="K41" s="1460" t="s">
        <v>528</v>
      </c>
      <c r="L41" s="1460" t="s">
        <v>503</v>
      </c>
      <c r="M41" s="1458"/>
      <c r="N41" s="1458"/>
      <c r="O41" s="1458"/>
      <c r="P41" s="1424"/>
      <c r="Q41" s="483"/>
      <c r="R41" s="483"/>
      <c r="S41" s="3128"/>
      <c r="T41" s="3077"/>
      <c r="U41" s="410"/>
      <c r="V41" s="3144"/>
      <c r="W41" s="3053"/>
      <c r="X41" s="1469" t="s">
        <v>529</v>
      </c>
      <c r="Y41" s="1469" t="s">
        <v>530</v>
      </c>
      <c r="Z41" s="1430" t="s">
        <v>531</v>
      </c>
      <c r="AA41" s="3082" t="s">
        <v>532</v>
      </c>
      <c r="AB41" s="3095"/>
      <c r="AC41" s="3134"/>
      <c r="AD41" s="3144"/>
      <c r="AE41" s="3053"/>
      <c r="AF41" s="1469" t="s">
        <v>529</v>
      </c>
      <c r="AG41" s="1469" t="s">
        <v>530</v>
      </c>
      <c r="AH41" s="1430" t="s">
        <v>531</v>
      </c>
      <c r="AI41" s="3082" t="s">
        <v>532</v>
      </c>
      <c r="AJ41" s="3095"/>
      <c r="AK41" s="3134"/>
      <c r="AL41" s="3137"/>
      <c r="AM41" s="2978"/>
      <c r="AN41" s="618"/>
      <c r="AO41" s="607"/>
      <c r="AP41" s="607"/>
      <c r="AQ41" s="607"/>
      <c r="AR41" s="607"/>
      <c r="AS41" s="689">
        <v>23</v>
      </c>
    </row>
    <row s="10851" customFormat="1" customHeight="1" ht="11.25" hidden="1">
      <c r="A42" s="1466"/>
      <c r="B42" s="1466"/>
      <c r="C42" s="1466"/>
      <c r="D42" s="1466"/>
      <c r="E42" s="1466"/>
      <c r="F42" s="1466"/>
      <c r="G42" s="1466"/>
      <c r="H42" s="1466"/>
      <c r="I42" s="1466"/>
      <c r="J42" s="1466"/>
      <c r="K42" s="1466"/>
      <c r="L42" s="1460"/>
      <c r="M42" s="1458"/>
      <c r="N42" s="1458"/>
      <c r="O42" s="1458"/>
      <c r="P42" s="1342"/>
      <c r="Q42" s="1343"/>
      <c r="R42" s="1350">
        <v>1</v>
      </c>
      <c r="S42" s="1373" t="s">
        <v>144</v>
      </c>
      <c r="T42" s="1351" t="s">
        <v>102</v>
      </c>
      <c r="U42" s="1341" t="str">
        <f>OFFSET(U42,0,-1)</f>
        <v>2</v>
      </c>
      <c r="V42" s="1431">
        <f>OFFSET(V42,0,-1)+1</f>
        <v>3</v>
      </c>
      <c r="W42" s="1431"/>
      <c r="X42" s="1437">
        <f>OFFSET(X42,0,-1)+1</f>
        <v>1</v>
      </c>
      <c r="Y42" s="1437">
        <f>OFFSET(Y42,0,-1)+1</f>
        <v>2</v>
      </c>
      <c r="Z42" s="1431">
        <f>OFFSET(Z42,0,-1)+1</f>
        <v>3</v>
      </c>
      <c r="AA42" s="3126">
        <f>OFFSET(AA42,0,-1)+1</f>
        <v>4</v>
      </c>
      <c r="AB42" s="3126"/>
      <c r="AC42" s="1431">
        <f>OFFSET(AC42,0,-2)+1</f>
        <v>5</v>
      </c>
      <c r="AD42" s="1431">
        <f>OFFSET(AD42,0,-1)+1</f>
        <v>6</v>
      </c>
      <c r="AE42" s="1431"/>
      <c r="AF42" s="1437">
        <f>OFFSET(AF42,0,-1)+1</f>
        <v>1</v>
      </c>
      <c r="AG42" s="1437">
        <f>OFFSET(AG42,0,-1)+1</f>
        <v>2</v>
      </c>
      <c r="AH42" s="1431">
        <f>OFFSET(AH42,0,-1)+1</f>
        <v>3</v>
      </c>
      <c r="AI42" s="3126">
        <f>OFFSET(AI42,0,-1)+1</f>
        <v>4</v>
      </c>
      <c r="AJ42" s="3126"/>
      <c r="AK42" s="1431">
        <f>OFFSET(AK42,0,-2)+1</f>
        <v>5</v>
      </c>
      <c r="AL42" s="1341">
        <f>OFFSET(AL42,0,-1)</f>
        <v>5</v>
      </c>
      <c r="AM42" s="1431">
        <f>OFFSET(AM42,0,-1)+1</f>
        <v>6</v>
      </c>
      <c r="AN42" s="618"/>
      <c r="AO42" s="618"/>
      <c r="AP42" s="618"/>
      <c r="AQ42" s="618"/>
      <c r="AR42" s="618"/>
      <c r="AS42" s="603">
        <v>0</v>
      </c>
    </row>
    <row customHeight="1" ht="22.049999999999997">
      <c r="A43" s="1459" t="s">
        <v>279</v>
      </c>
      <c r="B43" s="1459"/>
      <c r="C43" s="1459"/>
      <c r="D43" s="1459"/>
      <c r="E43" s="3115">
        <v>1</v>
      </c>
      <c r="F43" s="1459"/>
      <c r="G43" s="1459"/>
      <c r="H43" s="1459"/>
      <c r="I43" s="1459"/>
      <c r="J43" s="1459"/>
      <c r="K43" s="1459"/>
      <c r="L43" s="1460"/>
      <c r="M43" s="1461"/>
      <c r="N43" s="1461"/>
      <c r="O43" s="1461"/>
      <c r="P43" s="468"/>
      <c r="Q43" s="467"/>
      <c r="R43" s="462"/>
      <c r="S43" s="1432">
        <f>INDEX(PT_DIFFERENTIATION_NUM_NTAR,MATCH(A43,PT_DIFFERENTIATION_NTAR_ID,0))</f>
        <v>0</v>
      </c>
      <c r="T43" s="406" t="s">
        <v>210</v>
      </c>
      <c r="U43" s="408"/>
      <c r="V43" s="3109"/>
      <c r="W43" s="3110"/>
      <c r="X43" s="3110"/>
      <c r="Y43" s="3110"/>
      <c r="Z43" s="3110"/>
      <c r="AA43" s="3110"/>
      <c r="AB43" s="3110"/>
      <c r="AC43" s="3111"/>
      <c r="AD43" s="3109" t="str">
        <f>INDEX(PT_DIFFERENTIATION_NTAR,MATCH(A43,PT_DIFFERENTIATION_NTAR_ID,0))</f>
        <v/>
      </c>
      <c r="AE43" s="3110"/>
      <c r="AF43" s="3110"/>
      <c r="AG43" s="3110"/>
      <c r="AH43" s="3110"/>
      <c r="AI43" s="3110"/>
      <c r="AJ43" s="3110"/>
      <c r="AK43" s="3110"/>
      <c r="AL43" s="3111"/>
      <c r="AM43" s="13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7"/>
      <c r="AP43" s="607" t="str">
        <f>IF(T43="","",T43)</f>
        <v>Наименование тарифа</v>
      </c>
      <c r="AQ43" s="607"/>
      <c r="AR43" s="607"/>
      <c r="AS43" s="1251">
        <v>21</v>
      </c>
    </row>
    <row customHeight="1" ht="22.049999999999997">
      <c r="A44" s="1459" t="s">
        <v>279</v>
      </c>
      <c r="B44" s="1459" t="s">
        <v>280</v>
      </c>
      <c r="C44" s="1459"/>
      <c r="D44" s="1459"/>
      <c r="E44" s="3116"/>
      <c r="F44" s="3115">
        <v>1</v>
      </c>
      <c r="G44" s="1459"/>
      <c r="H44" s="1459"/>
      <c r="I44" s="1459"/>
      <c r="J44" s="1459"/>
      <c r="K44" s="1459"/>
      <c r="L44" s="1460"/>
      <c r="M44" s="1461"/>
      <c r="N44" s="1461"/>
      <c r="O44" s="1461"/>
      <c r="P44" s="1428"/>
      <c r="Q44" s="459"/>
      <c r="R44" s="460"/>
      <c r="S44" s="1432" t="str">
        <f>INDEX(PT_DIFFERENTIATION_NUM_TER,MATCH(B44,PT_DIFFERENTIATION_TER_ID,0))</f>
        <v>.</v>
      </c>
      <c r="T44" s="416" t="s">
        <v>482</v>
      </c>
      <c r="U44" s="408"/>
      <c r="V44" s="3109"/>
      <c r="W44" s="3110"/>
      <c r="X44" s="3110"/>
      <c r="Y44" s="3110"/>
      <c r="Z44" s="3110"/>
      <c r="AA44" s="3110"/>
      <c r="AB44" s="3110"/>
      <c r="AC44" s="3111"/>
      <c r="AD44" s="3109" t="str">
        <f>INDEX(PT_DIFFERENTIATION_TER,MATCH(B44,PT_DIFFERENTIATION_TER_ID,0))</f>
        <v/>
      </c>
      <c r="AE44" s="3110"/>
      <c r="AF44" s="3110"/>
      <c r="AG44" s="3110"/>
      <c r="AH44" s="3110"/>
      <c r="AI44" s="3110"/>
      <c r="AJ44" s="3110"/>
      <c r="AK44" s="3110"/>
      <c r="AL44" s="3111"/>
      <c r="AM44" s="1354" t="s">
        <v>483</v>
      </c>
      <c r="AO44" s="607"/>
      <c r="AP44" s="607" t="str">
        <f>IF(T44="","",T44)</f>
        <v>Территория действия тарифа</v>
      </c>
      <c r="AQ44" s="607"/>
      <c r="AR44" s="607"/>
      <c r="AS44" s="1251">
        <v>21</v>
      </c>
    </row>
    <row customHeight="1" ht="24">
      <c r="A45" s="1459" t="s">
        <v>279</v>
      </c>
      <c r="B45" s="1459" t="s">
        <v>280</v>
      </c>
      <c r="C45" s="1459" t="s">
        <v>281</v>
      </c>
      <c r="D45" s="1459"/>
      <c r="E45" s="3116"/>
      <c r="F45" s="3116"/>
      <c r="G45" s="3115">
        <v>1</v>
      </c>
      <c r="H45" s="1459"/>
      <c r="I45" s="1459"/>
      <c r="J45" s="1459"/>
      <c r="K45" s="1459"/>
      <c r="L45" s="1460"/>
      <c r="M45" s="1461"/>
      <c r="N45" s="1461"/>
      <c r="O45" s="1461"/>
      <c r="P45" s="461"/>
      <c r="Q45" s="459"/>
      <c r="R45" s="460"/>
      <c r="S45" s="1432" t="str">
        <f>INDEX(PT_DIFFERENTIATION_NUM_CS,MATCH(C45,PT_DIFFERENTIATION_CS_ID,0))</f>
        <v>..</v>
      </c>
      <c r="T45" s="417" t="s">
        <v>484</v>
      </c>
      <c r="U45" s="408"/>
      <c r="V45" s="3109"/>
      <c r="W45" s="3110"/>
      <c r="X45" s="3110"/>
      <c r="Y45" s="3110"/>
      <c r="Z45" s="3110"/>
      <c r="AA45" s="3110"/>
      <c r="AB45" s="3110"/>
      <c r="AC45" s="3111"/>
      <c r="AD45" s="3109" t="str">
        <f>INDEX(PT_DIFFERENTIATION_CS,MATCH(C45,PT_DIFFERENTIATION_CS_ID,0))</f>
        <v/>
      </c>
      <c r="AE45" s="3110"/>
      <c r="AF45" s="3110"/>
      <c r="AG45" s="3110"/>
      <c r="AH45" s="3110"/>
      <c r="AI45" s="3110"/>
      <c r="AJ45" s="3110"/>
      <c r="AK45" s="3110"/>
      <c r="AL45" s="3111"/>
      <c r="AM45" s="1354" t="s">
        <v>485</v>
      </c>
      <c r="AO45" s="607"/>
      <c r="AP45" s="607" t="str">
        <f>IF(T45="","",T45)</f>
        <v>Наименование системы теплоснабжения </v>
      </c>
      <c r="AQ45" s="607"/>
      <c r="AR45" s="607"/>
      <c r="AS45" s="1251">
        <v>23</v>
      </c>
    </row>
    <row customHeight="1" ht="22.049999999999997">
      <c r="A46" s="1459" t="s">
        <v>279</v>
      </c>
      <c r="B46" s="1459" t="s">
        <v>280</v>
      </c>
      <c r="C46" s="1459" t="s">
        <v>281</v>
      </c>
      <c r="D46" s="1459" t="s">
        <v>282</v>
      </c>
      <c r="E46" s="3116"/>
      <c r="F46" s="3116"/>
      <c r="G46" s="3116"/>
      <c r="H46" s="3115">
        <v>1</v>
      </c>
      <c r="I46" s="1459"/>
      <c r="J46" s="1459"/>
      <c r="K46" s="1459"/>
      <c r="L46" s="1460"/>
      <c r="M46" s="1461"/>
      <c r="N46" s="1461"/>
      <c r="O46" s="1461"/>
      <c r="P46" s="461"/>
      <c r="Q46" s="459"/>
      <c r="R46" s="460"/>
      <c r="S46" s="1432" t="str">
        <f>INDEX(PT_DIFFERENTIATION_NUM_IST_TE,MATCH(D46,PT_DIFFERENTIATION_IST_TE_ID,0))</f>
        <v>...</v>
      </c>
      <c r="T46" s="418" t="s">
        <v>486</v>
      </c>
      <c r="U46" s="408"/>
      <c r="V46" s="3109"/>
      <c r="W46" s="3110"/>
      <c r="X46" s="3110"/>
      <c r="Y46" s="3110"/>
      <c r="Z46" s="3110"/>
      <c r="AA46" s="3110"/>
      <c r="AB46" s="3110"/>
      <c r="AC46" s="3111"/>
      <c r="AD46" s="3109" t="str">
        <f>INDEX(PT_DIFFERENTIATION_IST_TE,MATCH(D46,PT_DIFFERENTIATION_IST_TE_ID,0))</f>
        <v/>
      </c>
      <c r="AE46" s="3110"/>
      <c r="AF46" s="3110"/>
      <c r="AG46" s="3110"/>
      <c r="AH46" s="3110"/>
      <c r="AI46" s="3110"/>
      <c r="AJ46" s="3110"/>
      <c r="AK46" s="3110"/>
      <c r="AL46" s="3111"/>
      <c r="AM46" s="1354" t="s">
        <v>487</v>
      </c>
      <c r="AO46" s="607"/>
      <c r="AP46" s="607" t="str">
        <f>IF(T46="","",T46)</f>
        <v>Источник тепловой энергии  </v>
      </c>
      <c r="AQ46" s="607"/>
      <c r="AR46" s="607"/>
      <c r="AS46" s="1251">
        <v>21</v>
      </c>
    </row>
    <row customHeight="1" ht="49.5">
      <c r="A47" s="1459" t="s">
        <v>279</v>
      </c>
      <c r="B47" s="1459" t="s">
        <v>280</v>
      </c>
      <c r="C47" s="1459" t="s">
        <v>281</v>
      </c>
      <c r="D47" s="1459" t="s">
        <v>282</v>
      </c>
      <c r="E47" s="3116"/>
      <c r="F47" s="3116"/>
      <c r="G47" s="3116"/>
      <c r="H47" s="3116"/>
      <c r="I47" s="3117" t="str">
        <f>S46&amp;".1"</f>
        <v>....1</v>
      </c>
      <c r="J47" s="1459"/>
      <c r="K47" s="1459"/>
      <c r="L47" s="1460" t="s">
        <v>488</v>
      </c>
      <c r="P47" s="3119">
        <v>1</v>
      </c>
      <c r="Q47" s="1427"/>
      <c r="R47" s="463"/>
      <c r="S47" s="1432" t="str">
        <f>$I47</f>
        <v>....1</v>
      </c>
      <c r="T47" s="393" t="s">
        <v>489</v>
      </c>
      <c r="U47" s="408"/>
      <c r="V47" s="3103"/>
      <c r="W47" s="3104"/>
      <c r="X47" s="3104"/>
      <c r="Y47" s="3104"/>
      <c r="Z47" s="3104"/>
      <c r="AA47" s="3104"/>
      <c r="AB47" s="3104"/>
      <c r="AC47" s="3105"/>
      <c r="AD47" s="3103"/>
      <c r="AE47" s="3104"/>
      <c r="AF47" s="3104"/>
      <c r="AG47" s="3104"/>
      <c r="AH47" s="3104"/>
      <c r="AI47" s="3104"/>
      <c r="AJ47" s="3104"/>
      <c r="AK47" s="3104"/>
      <c r="AL47" s="3105"/>
      <c r="AM47" s="1354" t="s">
        <v>490</v>
      </c>
      <c r="AO47" s="607"/>
      <c r="AP47" s="607" t="str">
        <f>IF(T47="","",T47)</f>
        <v>Схема подключения теплопотребляющей установки к коллектору источника тепловой энергии</v>
      </c>
      <c r="AQ47" s="607"/>
      <c r="AR47" s="607"/>
      <c r="AS47" s="1251">
        <v>47</v>
      </c>
    </row>
    <row customHeight="1" ht="22.049999999999997">
      <c r="A48" s="1459" t="s">
        <v>279</v>
      </c>
      <c r="B48" s="1459" t="s">
        <v>280</v>
      </c>
      <c r="C48" s="1459" t="s">
        <v>281</v>
      </c>
      <c r="D48" s="1459" t="s">
        <v>282</v>
      </c>
      <c r="E48" s="3116"/>
      <c r="F48" s="3116"/>
      <c r="G48" s="3116"/>
      <c r="H48" s="3116"/>
      <c r="I48" s="3118"/>
      <c r="J48" s="3117" t="str">
        <f>I47&amp;".1"</f>
        <v>....1.1</v>
      </c>
      <c r="K48" s="1459"/>
      <c r="L48" s="1460" t="s">
        <v>491</v>
      </c>
      <c r="P48" s="3119"/>
      <c r="Q48" s="3119">
        <v>1</v>
      </c>
      <c r="R48" s="464"/>
      <c r="S48" s="1432" t="str">
        <f>$J48</f>
        <v>....1.1</v>
      </c>
      <c r="T48" s="394" t="s">
        <v>492</v>
      </c>
      <c r="U48" s="408"/>
      <c r="V48" s="3103"/>
      <c r="W48" s="3104"/>
      <c r="X48" s="3104"/>
      <c r="Y48" s="3104"/>
      <c r="Z48" s="3104"/>
      <c r="AA48" s="3104"/>
      <c r="AB48" s="3104"/>
      <c r="AC48" s="3105"/>
      <c r="AD48" s="3103"/>
      <c r="AE48" s="3104"/>
      <c r="AF48" s="3104"/>
      <c r="AG48" s="3104"/>
      <c r="AH48" s="3104"/>
      <c r="AI48" s="3104"/>
      <c r="AJ48" s="3104"/>
      <c r="AK48" s="3104"/>
      <c r="AL48" s="3105"/>
      <c r="AM48" s="1354" t="s">
        <v>493</v>
      </c>
      <c r="AO48" s="607"/>
      <c r="AP48" s="607" t="str">
        <f>IF(T48="","",T48)</f>
        <v>Группа потребителей</v>
      </c>
      <c r="AQ48" s="607"/>
      <c r="AR48" s="607"/>
      <c r="AS48" s="1251">
        <v>21</v>
      </c>
    </row>
    <row customHeight="1" ht="22.049999999999997">
      <c r="A49" s="1459" t="s">
        <v>279</v>
      </c>
      <c r="B49" s="1459" t="s">
        <v>280</v>
      </c>
      <c r="C49" s="1459" t="s">
        <v>281</v>
      </c>
      <c r="D49" s="1459" t="s">
        <v>282</v>
      </c>
      <c r="E49" s="3116"/>
      <c r="F49" s="3116"/>
      <c r="G49" s="3116"/>
      <c r="H49" s="3116"/>
      <c r="I49" s="3118"/>
      <c r="J49" s="3118"/>
      <c r="K49" s="3117" t="str">
        <f>J48&amp;".1"</f>
        <v>....1.1.1</v>
      </c>
      <c r="L49" s="1460" t="s">
        <v>494</v>
      </c>
      <c r="P49" s="3119"/>
      <c r="Q49" s="3119"/>
      <c r="R49" s="464">
        <v>1</v>
      </c>
      <c r="S49" s="1432" t="str">
        <f>$K49</f>
        <v>....1.1.1</v>
      </c>
      <c r="T49" s="1443"/>
      <c r="U49" s="408"/>
      <c r="V49" s="433"/>
      <c r="W49" s="858"/>
      <c r="X49" s="433"/>
      <c r="Y49" s="491"/>
      <c r="Z49" s="3120"/>
      <c r="AA49" s="2989" t="s">
        <v>62</v>
      </c>
      <c r="AB49" s="3120"/>
      <c r="AC49" s="2989" t="s">
        <v>62</v>
      </c>
      <c r="AD49" s="433"/>
      <c r="AE49" s="858"/>
      <c r="AF49" s="433"/>
      <c r="AG49" s="491"/>
      <c r="AH49" s="3120"/>
      <c r="AI49" s="2989" t="s">
        <v>62</v>
      </c>
      <c r="AJ49" s="3122"/>
      <c r="AK49" s="2989" t="s">
        <v>62</v>
      </c>
      <c r="AL49" s="1444"/>
      <c r="AM49" s="3138" t="s">
        <v>495</v>
      </c>
      <c r="AN49" s="618">
        <f>STRCHECKDATE(V50:AL50)</f>
      </c>
      <c r="AO49" s="607"/>
      <c r="AP49" s="607" t="str">
        <f>IF(T49="","",T49)</f>
        <v/>
      </c>
      <c r="AQ49" s="607"/>
      <c r="AR49" s="607"/>
      <c r="AS49" s="1251">
        <v>21</v>
      </c>
    </row>
    <row customHeight="1" ht="1.05">
      <c r="A50" s="1459" t="s">
        <v>279</v>
      </c>
      <c r="B50" s="1459" t="s">
        <v>280</v>
      </c>
      <c r="C50" s="1459" t="s">
        <v>281</v>
      </c>
      <c r="D50" s="1459" t="s">
        <v>282</v>
      </c>
      <c r="E50" s="3116"/>
      <c r="F50" s="3116"/>
      <c r="G50" s="3116"/>
      <c r="H50" s="3116"/>
      <c r="I50" s="3118"/>
      <c r="J50" s="3118"/>
      <c r="K50" s="3117"/>
      <c r="L50" s="1460"/>
      <c r="P50" s="3119"/>
      <c r="Q50" s="3119"/>
      <c r="R50" s="464"/>
      <c r="S50" s="1438"/>
      <c r="T50" s="408"/>
      <c r="U50" s="408"/>
      <c r="V50" s="433"/>
      <c r="W50" s="433"/>
      <c r="X50" s="433"/>
      <c r="Y50" s="436" t="str">
        <f>Z49&amp;"-"&amp;AB49</f>
        <v>-</v>
      </c>
      <c r="Z50" s="3121"/>
      <c r="AA50" s="2989"/>
      <c r="AB50" s="3121"/>
      <c r="AC50" s="2989"/>
      <c r="AD50" s="433"/>
      <c r="AE50" s="433"/>
      <c r="AF50" s="433"/>
      <c r="AG50" s="436" t="str">
        <f>AH49&amp;"-"&amp;AJ49</f>
        <v>-</v>
      </c>
      <c r="AH50" s="3121"/>
      <c r="AI50" s="2989"/>
      <c r="AJ50" s="3123"/>
      <c r="AK50" s="2989"/>
      <c r="AL50" s="1445"/>
      <c r="AM50" s="3139"/>
      <c r="AO50" s="607"/>
      <c r="AP50" s="607" t="str">
        <f>IF(T50="","",T50)</f>
        <v/>
      </c>
      <c r="AQ50" s="607"/>
      <c r="AR50" s="607"/>
      <c r="AS50" s="1251">
        <v>1</v>
      </c>
    </row>
    <row customHeight="1" ht="11.549999999999999">
      <c r="A51" s="1459" t="s">
        <v>279</v>
      </c>
      <c r="B51" s="1459" t="s">
        <v>280</v>
      </c>
      <c r="C51" s="1459" t="s">
        <v>281</v>
      </c>
      <c r="D51" s="1459" t="s">
        <v>282</v>
      </c>
      <c r="E51" s="3116"/>
      <c r="F51" s="3116"/>
      <c r="G51" s="3116"/>
      <c r="H51" s="3116"/>
      <c r="I51" s="3118"/>
      <c r="J51" s="3117"/>
      <c r="K51" s="1459"/>
      <c r="L51" s="1460"/>
      <c r="P51" s="3119"/>
      <c r="Q51" s="3119"/>
      <c r="R51" s="463"/>
      <c r="S51" s="1374"/>
      <c r="T51" s="396" t="s">
        <v>496</v>
      </c>
      <c r="U51" s="474"/>
      <c r="V51" s="474"/>
      <c r="W51" s="474"/>
      <c r="X51" s="474"/>
      <c r="Y51" s="474"/>
      <c r="Z51" s="474"/>
      <c r="AA51" s="474"/>
      <c r="AB51" s="474"/>
      <c r="AC51" s="474"/>
      <c r="AD51" s="474"/>
      <c r="AE51" s="474"/>
      <c r="AF51" s="474"/>
      <c r="AG51" s="474"/>
      <c r="AH51" s="474"/>
      <c r="AI51" s="474"/>
      <c r="AJ51" s="474"/>
      <c r="AK51" s="474"/>
      <c r="AL51" s="432"/>
      <c r="AM51" s="3140"/>
      <c r="AO51" s="607"/>
      <c r="AP51" s="607" t="str">
        <f>IF(T51="","",T51)</f>
        <v>Добавить вид теплоносителя (параметры теплоносителя)</v>
      </c>
      <c r="AQ51" s="607"/>
      <c r="AR51" s="607"/>
      <c r="AS51" s="1251">
        <v>11</v>
      </c>
    </row>
    <row customHeight="1" ht="11.549999999999999">
      <c r="A52" s="1459" t="s">
        <v>279</v>
      </c>
      <c r="B52" s="1459" t="s">
        <v>280</v>
      </c>
      <c r="C52" s="1459" t="s">
        <v>281</v>
      </c>
      <c r="D52" s="1459" t="s">
        <v>282</v>
      </c>
      <c r="E52" s="3116"/>
      <c r="F52" s="3116"/>
      <c r="G52" s="3116"/>
      <c r="H52" s="3116"/>
      <c r="I52" s="3117"/>
      <c r="J52" s="1459"/>
      <c r="K52" s="1459"/>
      <c r="L52" s="1460"/>
      <c r="P52" s="3119"/>
      <c r="Q52" s="1427"/>
      <c r="R52" s="463"/>
      <c r="S52" s="1374"/>
      <c r="T52" s="395" t="s">
        <v>497</v>
      </c>
      <c r="U52" s="474"/>
      <c r="V52" s="474"/>
      <c r="W52" s="474"/>
      <c r="X52" s="474"/>
      <c r="Y52" s="474"/>
      <c r="Z52" s="474"/>
      <c r="AA52" s="474"/>
      <c r="AB52" s="474"/>
      <c r="AC52" s="473"/>
      <c r="AD52" s="474"/>
      <c r="AE52" s="474"/>
      <c r="AF52" s="474"/>
      <c r="AG52" s="474"/>
      <c r="AH52" s="474"/>
      <c r="AI52" s="474"/>
      <c r="AJ52" s="474"/>
      <c r="AK52" s="473"/>
      <c r="AL52" s="474"/>
      <c r="AM52" s="411"/>
      <c r="AO52" s="607"/>
      <c r="AP52" s="607" t="str">
        <f>IF(T52="","",T52)</f>
        <v>Добавить группу потребителей</v>
      </c>
      <c r="AQ52" s="607"/>
      <c r="AR52" s="607"/>
      <c r="AS52" s="1251">
        <v>11</v>
      </c>
    </row>
    <row customHeight="1" ht="14.699999999999998">
      <c r="A53" s="1459" t="s">
        <v>279</v>
      </c>
      <c r="B53" s="1459" t="s">
        <v>280</v>
      </c>
      <c r="C53" s="1459" t="s">
        <v>281</v>
      </c>
      <c r="D53" s="1459" t="s">
        <v>282</v>
      </c>
      <c r="E53" s="3116"/>
      <c r="F53" s="3116"/>
      <c r="G53" s="3116"/>
      <c r="H53" s="3115"/>
      <c r="I53" s="1459"/>
      <c r="J53" s="1459"/>
      <c r="K53" s="1459"/>
      <c r="L53" s="1460"/>
      <c r="M53" s="1461"/>
      <c r="N53" s="1461"/>
      <c r="O53" s="644"/>
      <c r="P53" s="467"/>
      <c r="Q53" s="482"/>
      <c r="R53" s="462"/>
      <c r="S53" s="1374"/>
      <c r="T53" s="472" t="s">
        <v>498</v>
      </c>
      <c r="U53" s="474"/>
      <c r="V53" s="474"/>
      <c r="W53" s="474"/>
      <c r="X53" s="474"/>
      <c r="Y53" s="474"/>
      <c r="Z53" s="474"/>
      <c r="AA53" s="474"/>
      <c r="AB53" s="474"/>
      <c r="AC53" s="473"/>
      <c r="AD53" s="474"/>
      <c r="AE53" s="474"/>
      <c r="AF53" s="474"/>
      <c r="AG53" s="474"/>
      <c r="AH53" s="474"/>
      <c r="AI53" s="474"/>
      <c r="AJ53" s="474"/>
      <c r="AK53" s="473"/>
      <c r="AL53" s="474"/>
      <c r="AM53" s="411"/>
      <c r="AO53" s="607"/>
      <c r="AP53" s="607" t="str">
        <f>IF(T53="","",T53)</f>
        <v>Добавить схему подключения</v>
      </c>
      <c r="AQ53" s="607"/>
      <c r="AR53" s="607"/>
      <c r="AS53" s="1251">
        <v>14</v>
      </c>
    </row>
    <row s="10307" customFormat="1" customHeight="1" ht="1.05">
      <c r="A54" s="1439" t="s">
        <v>279</v>
      </c>
      <c r="B54" s="1439" t="s">
        <v>280</v>
      </c>
      <c r="C54" s="1439" t="s">
        <v>281</v>
      </c>
      <c r="D54" s="1410"/>
      <c r="E54" s="3116"/>
      <c r="F54" s="3116"/>
      <c r="G54" s="3115"/>
      <c r="H54" s="1410"/>
      <c r="I54" s="1410"/>
      <c r="J54" s="1410"/>
      <c r="K54" s="1410"/>
      <c r="L54" s="1435"/>
      <c r="M54" s="1411"/>
      <c r="N54" s="1411"/>
      <c r="P54" s="1412"/>
      <c r="Q54" s="1413"/>
      <c r="R54" s="1412"/>
      <c r="S54" s="1418"/>
      <c r="T54" s="1421" t="s">
        <v>499</v>
      </c>
      <c r="U54" s="1420"/>
      <c r="V54" s="1420"/>
      <c r="W54" s="1420"/>
      <c r="X54" s="1420"/>
      <c r="Y54" s="1420"/>
      <c r="Z54" s="1420"/>
      <c r="AA54" s="1420"/>
      <c r="AB54" s="1420"/>
      <c r="AC54" s="1420"/>
      <c r="AD54" s="1420"/>
      <c r="AE54" s="1420"/>
      <c r="AF54" s="1420"/>
      <c r="AG54" s="1420"/>
      <c r="AH54" s="1420"/>
      <c r="AI54" s="1420"/>
      <c r="AJ54" s="1420"/>
      <c r="AK54" s="1420"/>
      <c r="AL54" s="1420"/>
      <c r="AM54" s="1420"/>
      <c r="AO54" s="890"/>
      <c r="AP54" s="890" t="str">
        <f>IF(T54="","",T54)</f>
        <v>Добавить источник для дифференциации</v>
      </c>
      <c r="AQ54" s="890"/>
      <c r="AR54" s="890"/>
      <c r="AS54" s="625">
        <v>1</v>
      </c>
    </row>
    <row s="10307" customFormat="1" customHeight="1" ht="1.05">
      <c r="A55" s="1439" t="s">
        <v>279</v>
      </c>
      <c r="B55" s="1439" t="s">
        <v>280</v>
      </c>
      <c r="C55" s="1410"/>
      <c r="D55" s="1410"/>
      <c r="E55" s="3116"/>
      <c r="F55" s="3115"/>
      <c r="G55" s="1410"/>
      <c r="H55" s="1410"/>
      <c r="I55" s="1410"/>
      <c r="J55" s="1410"/>
      <c r="K55" s="1410"/>
      <c r="L55" s="1435"/>
      <c r="M55" s="1417"/>
      <c r="N55" s="1417"/>
      <c r="P55" s="1412"/>
      <c r="Q55" s="1413"/>
      <c r="R55" s="1412"/>
      <c r="S55" s="1418"/>
      <c r="T55" s="1421" t="s">
        <v>500</v>
      </c>
      <c r="U55" s="1420"/>
      <c r="V55" s="1420"/>
      <c r="W55" s="1420"/>
      <c r="X55" s="1420"/>
      <c r="Y55" s="1420"/>
      <c r="Z55" s="1420"/>
      <c r="AA55" s="1420"/>
      <c r="AB55" s="1420"/>
      <c r="AC55" s="1420"/>
      <c r="AD55" s="1420"/>
      <c r="AE55" s="1420"/>
      <c r="AF55" s="1420"/>
      <c r="AG55" s="1420"/>
      <c r="AH55" s="1420"/>
      <c r="AI55" s="1420"/>
      <c r="AJ55" s="1420"/>
      <c r="AK55" s="1420"/>
      <c r="AL55" s="1420"/>
      <c r="AM55" s="1420"/>
      <c r="AO55" s="890"/>
      <c r="AP55" s="890" t="str">
        <f>IF(T55="","",T55)</f>
        <v>Добавить централизованную систему для дифференциации</v>
      </c>
      <c r="AQ55" s="890"/>
      <c r="AR55" s="890"/>
      <c r="AS55" s="625">
        <v>1</v>
      </c>
    </row>
    <row s="10307" customFormat="1" customHeight="1" ht="1.05">
      <c r="A56" s="1439" t="s">
        <v>279</v>
      </c>
      <c r="B56" s="1439"/>
      <c r="C56" s="1439"/>
      <c r="D56" s="1439"/>
      <c r="E56" s="3115"/>
      <c r="F56" s="1439"/>
      <c r="G56" s="1439"/>
      <c r="H56" s="1439"/>
      <c r="I56" s="1439"/>
      <c r="J56" s="1439"/>
      <c r="K56" s="1439"/>
      <c r="L56" s="1442"/>
      <c r="M56" s="1417"/>
      <c r="N56" s="1417"/>
      <c r="O56" s="625"/>
      <c r="P56" s="487"/>
      <c r="Q56" s="1440"/>
      <c r="R56" s="487"/>
      <c r="S56" s="1418"/>
      <c r="T56" s="1421" t="s">
        <v>501</v>
      </c>
      <c r="U56" s="1420"/>
      <c r="V56" s="1420"/>
      <c r="W56" s="1420"/>
      <c r="X56" s="1420"/>
      <c r="Y56" s="1420"/>
      <c r="Z56" s="1420"/>
      <c r="AA56" s="1420"/>
      <c r="AB56" s="1420"/>
      <c r="AC56" s="1420"/>
      <c r="AD56" s="1420"/>
      <c r="AE56" s="1420"/>
      <c r="AF56" s="1420"/>
      <c r="AG56" s="1420"/>
      <c r="AH56" s="1420"/>
      <c r="AI56" s="1420"/>
      <c r="AJ56" s="1420"/>
      <c r="AK56" s="1420"/>
      <c r="AL56" s="1420"/>
      <c r="AM56" s="1420"/>
      <c r="AO56" s="607"/>
      <c r="AP56" s="607" t="str">
        <f>IF(T56="","",T56)</f>
        <v>Добавить территорию для дифференциации</v>
      </c>
      <c r="AQ56" s="607"/>
      <c r="AR56" s="607"/>
      <c r="AS56" s="618">
        <v>1</v>
      </c>
    </row>
    <row s="10307" customFormat="1" customHeight="1" ht="1.05">
      <c r="A57" s="1410"/>
      <c r="B57" s="1410"/>
      <c r="C57" s="1410"/>
      <c r="D57" s="1410"/>
      <c r="E57" s="1439"/>
      <c r="F57" s="1410"/>
      <c r="G57" s="1410"/>
      <c r="H57" s="1410"/>
      <c r="I57" s="1410"/>
      <c r="J57" s="1410"/>
      <c r="K57" s="1410"/>
      <c r="L57" s="1435"/>
      <c r="M57" s="1417"/>
      <c r="N57" s="1417"/>
      <c r="P57" s="1412"/>
      <c r="Q57" s="1413"/>
      <c r="R57" s="1412"/>
      <c r="S57" s="1418"/>
      <c r="T57" s="1421" t="s">
        <v>533</v>
      </c>
      <c r="U57" s="1420"/>
      <c r="V57" s="1420"/>
      <c r="W57" s="1420"/>
      <c r="X57" s="1420"/>
      <c r="Y57" s="1420"/>
      <c r="Z57" s="1420"/>
      <c r="AA57" s="1420"/>
      <c r="AB57" s="1420"/>
      <c r="AC57" s="1420"/>
      <c r="AD57" s="1420"/>
      <c r="AE57" s="1420"/>
      <c r="AF57" s="1420"/>
      <c r="AG57" s="1420"/>
      <c r="AH57" s="1420"/>
      <c r="AI57" s="1420"/>
      <c r="AJ57" s="1420"/>
      <c r="AK57" s="1420"/>
      <c r="AL57" s="1420"/>
      <c r="AM57" s="1420"/>
      <c r="AO57" s="890"/>
      <c r="AP57" s="890" t="str">
        <f>IF(T57="","",T57)</f>
        <v>Добавить наименование тарифа</v>
      </c>
      <c r="AQ57" s="890"/>
      <c r="AR57" s="890"/>
      <c r="AS57" s="625">
        <v>1</v>
      </c>
    </row>
    <row customHeight="1" ht="11.549999999999999">
      <c r="M58" s="1256"/>
      <c r="N58" s="1256"/>
      <c r="O58" s="644"/>
      <c r="P58" s="1251"/>
      <c r="Q58" s="1251"/>
      <c r="R58" s="1251"/>
      <c r="S58" s="1251"/>
      <c r="AN58" s="1251"/>
      <c r="AO58" s="1251"/>
      <c r="AP58" s="1251"/>
      <c r="AQ58" s="1251"/>
      <c r="AR58" s="1251"/>
      <c r="AS58" s="1251">
        <v>11</v>
      </c>
    </row>
    <row customHeight="1" ht="28.5">
      <c r="O59" s="644"/>
      <c r="S59" s="1349"/>
      <c r="T59" s="3114"/>
      <c r="U59" s="3114"/>
      <c r="V59" s="3114"/>
      <c r="W59" s="3114"/>
      <c r="X59" s="3114"/>
      <c r="Y59" s="3114"/>
      <c r="Z59" s="3114"/>
      <c r="AA59" s="3114"/>
      <c r="AB59" s="3114"/>
      <c r="AC59" s="3114"/>
      <c r="AD59" s="3114"/>
      <c r="AE59" s="3114"/>
      <c r="AF59" s="3114"/>
      <c r="AG59" s="3114"/>
      <c r="AH59" s="3114"/>
      <c r="AI59" s="3114"/>
      <c r="AJ59" s="3114"/>
      <c r="AK59" s="3114"/>
      <c r="AL59" s="3114"/>
      <c r="AM59" s="3114"/>
      <c r="AS59" s="1251">
        <v>27</v>
      </c>
    </row>
    <row customHeight="1" ht="78.75">
      <c r="O60" s="644"/>
      <c r="T60" s="3114"/>
      <c r="U60" s="3114"/>
      <c r="V60" s="3114"/>
      <c r="W60" s="3114"/>
      <c r="X60" s="3114"/>
      <c r="Y60" s="3114"/>
      <c r="Z60" s="3114"/>
      <c r="AA60" s="3114"/>
      <c r="AB60" s="3114"/>
      <c r="AC60" s="3114"/>
      <c r="AD60" s="3114"/>
      <c r="AE60" s="3114"/>
      <c r="AF60" s="3114"/>
      <c r="AG60" s="3114"/>
      <c r="AH60" s="3114"/>
      <c r="AI60" s="3114"/>
      <c r="AJ60" s="3114"/>
      <c r="AK60" s="3114"/>
      <c r="AL60" s="3114"/>
      <c r="AM60" s="3114"/>
      <c r="AS60" s="1251">
        <v>75</v>
      </c>
    </row>
    <row customHeight="1" ht="14.699999999999998">
      <c r="O61" s="644"/>
      <c r="AS61" s="1251">
        <v>14</v>
      </c>
    </row>
    <row customHeight="1" ht="18.75">
      <c r="O62" s="644"/>
      <c r="S62" s="1349"/>
      <c r="T62" s="3114"/>
      <c r="U62" s="3114"/>
      <c r="V62" s="3114"/>
      <c r="W62" s="3114"/>
      <c r="X62" s="3114"/>
      <c r="Y62" s="3114"/>
      <c r="Z62" s="3114"/>
      <c r="AA62" s="3114"/>
      <c r="AB62" s="3114"/>
      <c r="AC62" s="3114"/>
      <c r="AD62" s="3114"/>
      <c r="AE62" s="3114"/>
      <c r="AF62" s="3114"/>
      <c r="AG62" s="3114"/>
      <c r="AH62" s="3114"/>
      <c r="AI62" s="3114"/>
      <c r="AJ62" s="3114"/>
      <c r="AK62" s="3114"/>
      <c r="AL62" s="3114"/>
      <c r="AM62" s="3114"/>
      <c r="AS62" s="1251">
        <v>18</v>
      </c>
    </row>
    <row customHeight="1" ht="18.75">
      <c r="O63" s="644"/>
      <c r="T63" s="3114"/>
      <c r="U63" s="3114"/>
      <c r="V63" s="3114"/>
      <c r="W63" s="3114"/>
      <c r="X63" s="3114"/>
      <c r="Y63" s="3114"/>
      <c r="Z63" s="3114"/>
      <c r="AA63" s="3114"/>
      <c r="AB63" s="3114"/>
      <c r="AC63" s="3114"/>
      <c r="AD63" s="3114"/>
      <c r="AE63" s="3114"/>
      <c r="AF63" s="3114"/>
      <c r="AG63" s="3114"/>
      <c r="AH63" s="3114"/>
      <c r="AI63" s="3114"/>
      <c r="AJ63" s="3114"/>
      <c r="AK63" s="3114"/>
      <c r="AL63" s="3114"/>
      <c r="AM63" s="3114"/>
      <c r="AS63" s="1251">
        <v>18</v>
      </c>
    </row>
    <row customHeight="1" ht="39.75">
      <c r="O64" s="644"/>
      <c r="S64" s="1349"/>
      <c r="T64" s="3114"/>
      <c r="U64" s="3114"/>
      <c r="V64" s="3114"/>
      <c r="W64" s="3114"/>
      <c r="X64" s="3114"/>
      <c r="Y64" s="3114"/>
      <c r="Z64" s="3114"/>
      <c r="AA64" s="3114"/>
      <c r="AB64" s="3114"/>
      <c r="AC64" s="3114"/>
      <c r="AD64" s="3114"/>
      <c r="AE64" s="3114"/>
      <c r="AF64" s="3114"/>
      <c r="AG64" s="3114"/>
      <c r="AH64" s="3114"/>
      <c r="AI64" s="3114"/>
      <c r="AJ64" s="3114"/>
      <c r="AK64" s="3114"/>
      <c r="AL64" s="3114"/>
      <c r="AM64" s="3114"/>
      <c r="AS64" s="1251">
        <v>38</v>
      </c>
    </row>
    <row customHeight="1" ht="22.5" hidden="1">
      <c r="A65" s="1256" t="s">
        <v>82</v>
      </c>
      <c r="B65" s="1256">
        <v>0</v>
      </c>
      <c r="C65" s="1256">
        <v>0</v>
      </c>
      <c r="D65" s="1256">
        <v>0</v>
      </c>
      <c r="E65" s="1256">
        <v>0</v>
      </c>
      <c r="F65" s="1256">
        <v>0</v>
      </c>
      <c r="G65" s="1256">
        <v>0</v>
      </c>
      <c r="H65" s="1256">
        <v>0</v>
      </c>
      <c r="I65" s="1256">
        <v>0</v>
      </c>
      <c r="J65" s="1256">
        <v>0</v>
      </c>
      <c r="K65" s="1256">
        <v>0</v>
      </c>
      <c r="L65" s="1425">
        <v>0</v>
      </c>
      <c r="M65" s="1458">
        <v>0</v>
      </c>
      <c r="N65" s="1458">
        <v>0</v>
      </c>
      <c r="O65" s="1458">
        <v>0</v>
      </c>
      <c r="P65" s="1424">
        <v>3</v>
      </c>
      <c r="Q65" s="452">
        <v>3</v>
      </c>
      <c r="R65" s="452">
        <v>3</v>
      </c>
      <c r="S65" s="688">
        <v>12</v>
      </c>
      <c r="T65" s="1251">
        <v>31</v>
      </c>
      <c r="U65" s="1251">
        <v>0</v>
      </c>
      <c r="V65" s="1251">
        <v>0</v>
      </c>
      <c r="W65" s="1251">
        <v>0</v>
      </c>
      <c r="X65" s="1251">
        <v>0</v>
      </c>
      <c r="Y65" s="1251">
        <v>0</v>
      </c>
      <c r="Z65" s="1251">
        <v>0</v>
      </c>
      <c r="AA65" s="1251">
        <v>0</v>
      </c>
      <c r="AB65" s="1251">
        <v>0</v>
      </c>
      <c r="AC65" s="1251">
        <v>0</v>
      </c>
      <c r="AD65" s="1251">
        <v>0</v>
      </c>
      <c r="AE65" s="1251">
        <v>24</v>
      </c>
      <c r="AF65" s="1251">
        <v>0</v>
      </c>
      <c r="AG65" s="1251">
        <v>0</v>
      </c>
      <c r="AH65" s="1251">
        <v>11</v>
      </c>
      <c r="AI65" s="1251">
        <v>3</v>
      </c>
      <c r="AJ65" s="1251">
        <v>11</v>
      </c>
      <c r="AK65" s="1251">
        <v>0</v>
      </c>
      <c r="AL65" s="1251">
        <v>4</v>
      </c>
      <c r="AM65" s="1251">
        <v>115</v>
      </c>
      <c r="AN65" s="618">
        <v>10</v>
      </c>
      <c r="AO65" s="618">
        <v>10</v>
      </c>
      <c r="AP65" s="618">
        <v>10</v>
      </c>
      <c r="AQ65" s="618">
        <v>10</v>
      </c>
      <c r="AR65" s="618">
        <v>10</v>
      </c>
      <c r="AS65" s="1251">
        <v>23</v>
      </c>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9D74B-8B46-AB79-F089-0C8DA388A44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2.00390625" hidden="1" customWidth="1"/>
    <col min="10" max="10" style="10306" width="9.8515625" hidden="1" customWidth="1"/>
    <col min="11" max="11" style="10306" width="11.421875" hidden="1" customWidth="1"/>
    <col min="12" max="12" style="11079" width="19.140625" hidden="1" customWidth="1"/>
    <col min="13" max="14" style="11080" width="12.28125" hidden="1" customWidth="1"/>
    <col min="15" max="15" style="11080" width="23.421875" hidden="1" customWidth="1"/>
    <col min="16" max="16" style="11081" width="3.7109375" hidden="1" customWidth="1"/>
    <col min="17" max="18" style="11082" width="3.00390625" customWidth="1"/>
    <col min="19" max="19" style="11083" width="12.00390625" customWidth="1"/>
    <col min="20" max="20" style="10232" width="31.00390625" customWidth="1"/>
    <col min="21" max="21" style="10232" width="0.140625" customWidth="1"/>
    <col min="22" max="22" style="10232" width="24.7109375" hidden="1" customWidth="1"/>
    <col min="23" max="23" style="10232" width="0.140625" hidden="1" customWidth="1"/>
    <col min="24" max="25" style="10232" width="24.7109375" hidden="1" customWidth="1"/>
    <col min="26" max="26" style="10232" width="11.7109375" hidden="1" customWidth="1"/>
    <col min="27" max="27" style="10232" width="3.7109375" hidden="1" customWidth="1"/>
    <col min="28" max="28" style="10232" width="11.7109375" hidden="1" customWidth="1"/>
    <col min="29" max="29" style="10232" width="8.57421875" hidden="1" customWidth="1"/>
    <col min="30" max="30" style="10232" width="24.7109375" customWidth="1"/>
    <col min="31" max="31" style="10232" width="0.140625" customWidth="1"/>
    <col min="32" max="33" style="10232" width="24.00390625" customWidth="1"/>
    <col min="34" max="34" style="10232" width="11.00390625" customWidth="1"/>
    <col min="35" max="35" style="10232" width="3.7109375" customWidth="1"/>
    <col min="36" max="36" style="10232" width="11.00390625" customWidth="1"/>
    <col min="37" max="37" style="10232" width="8.57421875" hidden="1" customWidth="1"/>
    <col min="38" max="38" style="10232" width="4.00390625" customWidth="1"/>
    <col min="39" max="39" style="10232" width="115.00390625" customWidth="1"/>
    <col min="40" max="44" style="10307" width="10.00390625" customWidth="1"/>
    <col min="45" max="45" style="10232" width="8.421875" hidden="1" customWidth="1"/>
  </cols>
  <sheetData>
    <row customHeight="1" ht="22.5" hidden="1">
      <c r="Y1" s="435"/>
      <c r="Z1" s="435"/>
      <c r="AG1" s="435"/>
      <c r="AH1" s="435"/>
      <c r="AS1" s="1251" t="s">
        <v>14</v>
      </c>
    </row>
    <row customHeight="1" ht="21" hidden="1">
      <c r="A2" s="1459"/>
      <c r="B2" s="1459"/>
      <c r="C2" s="1459"/>
      <c r="D2" s="1459"/>
      <c r="E2" s="3115">
        <v>1</v>
      </c>
      <c r="F2" s="1459"/>
      <c r="G2" s="1459"/>
      <c r="H2" s="1459"/>
      <c r="I2" s="1459"/>
      <c r="J2" s="1459"/>
      <c r="K2" s="1459"/>
      <c r="L2" s="1460"/>
      <c r="M2" s="1461"/>
      <c r="N2" s="1461"/>
      <c r="O2" s="1461"/>
      <c r="P2" s="468"/>
      <c r="Q2" s="467"/>
      <c r="R2" s="462"/>
      <c r="S2" s="1432">
        <f>INDEX(PT_DIFFERENTIATION_NUM_NTAR,MATCH(A2,PT_DIFFERENTIATION_NTAR_ID,0))</f>
      </c>
      <c r="T2" s="406" t="s">
        <v>210</v>
      </c>
      <c r="U2" s="408"/>
      <c r="V2" s="3109"/>
      <c r="W2" s="3110"/>
      <c r="X2" s="3110"/>
      <c r="Y2" s="3110"/>
      <c r="Z2" s="3110"/>
      <c r="AA2" s="3110"/>
      <c r="AB2" s="3110"/>
      <c r="AC2" s="3111"/>
      <c r="AD2" s="3109">
        <f>INDEX(PT_DIFFERENTIATION_NTAR,MATCH(A2,PT_DIFFERENTIATION_NTAR_ID,0))</f>
      </c>
      <c r="AE2" s="3110"/>
      <c r="AF2" s="3110"/>
      <c r="AG2" s="3110"/>
      <c r="AH2" s="3110"/>
      <c r="AI2" s="3110"/>
      <c r="AJ2" s="3110"/>
      <c r="AK2" s="3110"/>
      <c r="AL2" s="3111"/>
      <c r="AM2" s="1354" t="s">
        <v>481</v>
      </c>
      <c r="AO2" s="607"/>
      <c r="AP2" s="607" t="str">
        <f>IF(T2="","",T2)</f>
        <v>Наименование тарифа</v>
      </c>
      <c r="AQ2" s="607"/>
      <c r="AR2" s="607"/>
      <c r="AS2" s="1251">
        <v>0</v>
      </c>
    </row>
    <row customHeight="1" ht="21" hidden="1">
      <c r="A3" s="1459"/>
      <c r="B3" s="1459"/>
      <c r="C3" s="1459"/>
      <c r="D3" s="1459"/>
      <c r="E3" s="3116"/>
      <c r="F3" s="3115">
        <v>1</v>
      </c>
      <c r="G3" s="1459"/>
      <c r="H3" s="1459"/>
      <c r="I3" s="1459"/>
      <c r="J3" s="1459"/>
      <c r="K3" s="1459"/>
      <c r="L3" s="1460"/>
      <c r="M3" s="1461"/>
      <c r="N3" s="1461"/>
      <c r="O3" s="1461"/>
      <c r="P3" s="1428"/>
      <c r="Q3" s="459"/>
      <c r="R3" s="460"/>
      <c r="S3" s="1432">
        <f>INDEX(PT_DIFFERENTIATION_NUM_TER,MATCH(B3,PT_DIFFERENTIATION_TER_ID,0))</f>
      </c>
      <c r="T3" s="416" t="s">
        <v>482</v>
      </c>
      <c r="U3" s="408"/>
      <c r="V3" s="3109"/>
      <c r="W3" s="3110"/>
      <c r="X3" s="3110"/>
      <c r="Y3" s="3110"/>
      <c r="Z3" s="3110"/>
      <c r="AA3" s="3110"/>
      <c r="AB3" s="3110"/>
      <c r="AC3" s="3111"/>
      <c r="AD3" s="3109">
        <f>INDEX(PT_DIFFERENTIATION_TER,MATCH(B3,PT_DIFFERENTIATION_TER_ID,0))</f>
      </c>
      <c r="AE3" s="3110"/>
      <c r="AF3" s="3110"/>
      <c r="AG3" s="3110"/>
      <c r="AH3" s="3110"/>
      <c r="AI3" s="3110"/>
      <c r="AJ3" s="3110"/>
      <c r="AK3" s="3110"/>
      <c r="AL3" s="3111"/>
      <c r="AM3" s="1354" t="s">
        <v>483</v>
      </c>
      <c r="AO3" s="607"/>
      <c r="AP3" s="607" t="str">
        <f>IF(T3="","",T3)</f>
        <v>Территория действия тарифа</v>
      </c>
      <c r="AQ3" s="607"/>
      <c r="AR3" s="607"/>
      <c r="AS3" s="1251">
        <v>0</v>
      </c>
    </row>
    <row customHeight="1" ht="23.25" hidden="1">
      <c r="A4" s="1459"/>
      <c r="B4" s="1459"/>
      <c r="C4" s="1459"/>
      <c r="D4" s="1459"/>
      <c r="E4" s="3116"/>
      <c r="F4" s="3116"/>
      <c r="G4" s="3115">
        <v>1</v>
      </c>
      <c r="H4" s="1459"/>
      <c r="I4" s="1459"/>
      <c r="J4" s="1459"/>
      <c r="K4" s="1459"/>
      <c r="L4" s="1460"/>
      <c r="M4" s="1461"/>
      <c r="N4" s="1461"/>
      <c r="O4" s="1461"/>
      <c r="P4" s="461"/>
      <c r="Q4" s="459"/>
      <c r="R4" s="460"/>
      <c r="S4" s="1432">
        <f>INDEX(PT_DIFFERENTIATION_NUM_CS,MATCH(C4,PT_DIFFERENTIATION_CS_ID,0))</f>
      </c>
      <c r="T4" s="417" t="s">
        <v>484</v>
      </c>
      <c r="U4" s="408"/>
      <c r="V4" s="3109"/>
      <c r="W4" s="3110"/>
      <c r="X4" s="3110"/>
      <c r="Y4" s="3110"/>
      <c r="Z4" s="3110"/>
      <c r="AA4" s="3110"/>
      <c r="AB4" s="3110"/>
      <c r="AC4" s="3111"/>
      <c r="AD4" s="3109">
        <f>INDEX(PT_DIFFERENTIATION_CS,MATCH(C4,PT_DIFFERENTIATION_CS_ID,0))</f>
      </c>
      <c r="AE4" s="3110"/>
      <c r="AF4" s="3110"/>
      <c r="AG4" s="3110"/>
      <c r="AH4" s="3110"/>
      <c r="AI4" s="3110"/>
      <c r="AJ4" s="3110"/>
      <c r="AK4" s="3110"/>
      <c r="AL4" s="3111"/>
      <c r="AM4" s="1354" t="s">
        <v>485</v>
      </c>
      <c r="AO4" s="607"/>
      <c r="AP4" s="607" t="str">
        <f>IF(T4="","",T4)</f>
        <v>Наименование системы теплоснабжения </v>
      </c>
      <c r="AQ4" s="607"/>
      <c r="AR4" s="607"/>
      <c r="AS4" s="1251">
        <v>0</v>
      </c>
    </row>
    <row customHeight="1" ht="21" hidden="1">
      <c r="A5" s="1459"/>
      <c r="B5" s="1459"/>
      <c r="C5" s="1459"/>
      <c r="D5" s="1459"/>
      <c r="E5" s="3116"/>
      <c r="F5" s="3116"/>
      <c r="G5" s="3116"/>
      <c r="H5" s="3115">
        <v>1</v>
      </c>
      <c r="I5" s="1459"/>
      <c r="J5" s="1459"/>
      <c r="K5" s="1459"/>
      <c r="L5" s="1460"/>
      <c r="M5" s="1461"/>
      <c r="N5" s="1461"/>
      <c r="O5" s="1461"/>
      <c r="P5" s="461"/>
      <c r="Q5" s="459"/>
      <c r="R5" s="460"/>
      <c r="S5" s="1432">
        <f>INDEX(PT_DIFFERENTIATION_NUM_IST_TE,MATCH(D5,PT_DIFFERENTIATION_IST_TE_ID,0))</f>
      </c>
      <c r="T5" s="418" t="s">
        <v>486</v>
      </c>
      <c r="U5" s="408"/>
      <c r="V5" s="3109"/>
      <c r="W5" s="3110"/>
      <c r="X5" s="3110"/>
      <c r="Y5" s="3110"/>
      <c r="Z5" s="3110"/>
      <c r="AA5" s="3110"/>
      <c r="AB5" s="3110"/>
      <c r="AC5" s="3111"/>
      <c r="AD5" s="3109">
        <f>INDEX(PT_DIFFERENTIATION_IST_TE,MATCH(D5,PT_DIFFERENTIATION_IST_TE_ID,0))</f>
      </c>
      <c r="AE5" s="3110"/>
      <c r="AF5" s="3110"/>
      <c r="AG5" s="3110"/>
      <c r="AH5" s="3110"/>
      <c r="AI5" s="3110"/>
      <c r="AJ5" s="3110"/>
      <c r="AK5" s="3110"/>
      <c r="AL5" s="3111"/>
      <c r="AM5" s="1354" t="s">
        <v>487</v>
      </c>
      <c r="AO5" s="607"/>
      <c r="AP5" s="607" t="str">
        <f>IF(T5="","",T5)</f>
        <v>Источник тепловой энергии  </v>
      </c>
      <c r="AQ5" s="607"/>
      <c r="AR5" s="607"/>
      <c r="AS5" s="1251">
        <v>0</v>
      </c>
    </row>
    <row customHeight="1" ht="14.25" hidden="1">
      <c r="A6" s="1459"/>
      <c r="B6" s="1459"/>
      <c r="C6" s="1459"/>
      <c r="D6" s="1459"/>
      <c r="E6" s="3116"/>
      <c r="F6" s="3116"/>
      <c r="G6" s="3116"/>
      <c r="H6" s="3116"/>
      <c r="I6" s="3117">
        <f>S5&amp;".1"</f>
      </c>
      <c r="J6" s="1459"/>
      <c r="K6" s="1459"/>
      <c r="L6" s="1460" t="s">
        <v>488</v>
      </c>
      <c r="M6" s="644"/>
      <c r="P6" s="3119">
        <v>1</v>
      </c>
      <c r="Q6" s="1427"/>
      <c r="R6" s="463"/>
      <c r="S6" s="1142"/>
      <c r="T6" s="1479"/>
      <c r="U6" s="1480"/>
      <c r="V6" s="3146"/>
      <c r="W6" s="3147"/>
      <c r="X6" s="3147"/>
      <c r="Y6" s="3147"/>
      <c r="Z6" s="3147"/>
      <c r="AA6" s="3147"/>
      <c r="AB6" s="3147"/>
      <c r="AC6" s="3148"/>
      <c r="AD6" s="3146"/>
      <c r="AE6" s="3147"/>
      <c r="AF6" s="3147"/>
      <c r="AG6" s="3147"/>
      <c r="AH6" s="3147"/>
      <c r="AI6" s="3147"/>
      <c r="AJ6" s="3147"/>
      <c r="AK6" s="3147"/>
      <c r="AL6" s="3148"/>
      <c r="AM6" s="1481"/>
      <c r="AO6" s="607"/>
      <c r="AP6" s="607" t="str">
        <f>IF(T6="","",T6)</f>
        <v/>
      </c>
      <c r="AQ6" s="607"/>
      <c r="AR6" s="607"/>
      <c r="AS6" s="1251">
        <v>0</v>
      </c>
    </row>
    <row customHeight="1" ht="21" hidden="1">
      <c r="A7" s="1459"/>
      <c r="B7" s="1459"/>
      <c r="C7" s="1459"/>
      <c r="D7" s="1459"/>
      <c r="E7" s="3116"/>
      <c r="F7" s="3116"/>
      <c r="G7" s="3116"/>
      <c r="H7" s="3116"/>
      <c r="I7" s="3118"/>
      <c r="J7" s="3117">
        <f>I6&amp;".1"</f>
      </c>
      <c r="K7" s="1459"/>
      <c r="L7" s="1460" t="s">
        <v>491</v>
      </c>
      <c r="M7" s="644"/>
      <c r="N7" s="1462"/>
      <c r="P7" s="3119"/>
      <c r="Q7" s="3119">
        <v>1</v>
      </c>
      <c r="R7" s="464"/>
      <c r="S7" s="1432">
        <f>$J7</f>
      </c>
      <c r="T7" s="394" t="s">
        <v>492</v>
      </c>
      <c r="U7" s="408"/>
      <c r="V7" s="3103"/>
      <c r="W7" s="3104"/>
      <c r="X7" s="3104"/>
      <c r="Y7" s="3104"/>
      <c r="Z7" s="3104"/>
      <c r="AA7" s="3104"/>
      <c r="AB7" s="3104"/>
      <c r="AC7" s="3105"/>
      <c r="AD7" s="3103"/>
      <c r="AE7" s="3104"/>
      <c r="AF7" s="3104"/>
      <c r="AG7" s="3104"/>
      <c r="AH7" s="3104"/>
      <c r="AI7" s="3104"/>
      <c r="AJ7" s="3104"/>
      <c r="AK7" s="3104"/>
      <c r="AL7" s="3105"/>
      <c r="AM7" s="1354" t="s">
        <v>493</v>
      </c>
      <c r="AO7" s="607"/>
      <c r="AP7" s="607" t="str">
        <f>IF(T7="","",T7)</f>
        <v>Группа потребителей</v>
      </c>
      <c r="AQ7" s="607"/>
      <c r="AR7" s="607"/>
      <c r="AS7" s="1251">
        <v>0</v>
      </c>
    </row>
    <row customHeight="1" ht="21" hidden="1">
      <c r="A8" s="1459"/>
      <c r="B8" s="1459"/>
      <c r="C8" s="1459"/>
      <c r="D8" s="1459"/>
      <c r="E8" s="3116"/>
      <c r="F8" s="3116"/>
      <c r="G8" s="3116"/>
      <c r="H8" s="3116"/>
      <c r="I8" s="3118"/>
      <c r="J8" s="3118"/>
      <c r="K8" s="3117">
        <f>J7&amp;".1"</f>
      </c>
      <c r="L8" s="1460" t="s">
        <v>494</v>
      </c>
      <c r="M8" s="644"/>
      <c r="N8" s="1462"/>
      <c r="O8" s="1462"/>
      <c r="P8" s="3119"/>
      <c r="Q8" s="3119"/>
      <c r="R8" s="464">
        <v>1</v>
      </c>
      <c r="S8" s="1432">
        <f>$K8</f>
      </c>
      <c r="T8" s="1443"/>
      <c r="U8" s="408"/>
      <c r="V8" s="858"/>
      <c r="W8" s="433"/>
      <c r="X8" s="858"/>
      <c r="Y8" s="1353"/>
      <c r="Z8" s="3120"/>
      <c r="AA8" s="2989" t="s">
        <v>62</v>
      </c>
      <c r="AB8" s="3120"/>
      <c r="AC8" s="2989" t="s">
        <v>62</v>
      </c>
      <c r="AD8" s="858"/>
      <c r="AE8" s="433"/>
      <c r="AF8" s="858"/>
      <c r="AG8" s="1353"/>
      <c r="AH8" s="3120"/>
      <c r="AI8" s="2989" t="s">
        <v>62</v>
      </c>
      <c r="AJ8" s="3120"/>
      <c r="AK8" s="2989" t="s">
        <v>62</v>
      </c>
      <c r="AL8" s="433"/>
      <c r="AM8" s="3138" t="s">
        <v>495</v>
      </c>
      <c r="AN8" s="618">
        <f>STRCHECKDATE(V9:AL9)</f>
      </c>
      <c r="AO8" s="607"/>
      <c r="AP8" s="607" t="str">
        <f>IF(T8="","",T8)</f>
        <v/>
      </c>
      <c r="AQ8" s="607"/>
      <c r="AR8" s="607"/>
      <c r="AS8" s="1251">
        <v>0</v>
      </c>
    </row>
    <row customHeight="1" ht="0.75" hidden="1">
      <c r="A9" s="1459"/>
      <c r="B9" s="1459"/>
      <c r="C9" s="1459"/>
      <c r="D9" s="1459"/>
      <c r="E9" s="3116"/>
      <c r="F9" s="3116"/>
      <c r="G9" s="3116"/>
      <c r="H9" s="3116"/>
      <c r="I9" s="3118"/>
      <c r="J9" s="3118"/>
      <c r="K9" s="3117"/>
      <c r="L9" s="1460"/>
      <c r="M9" s="644"/>
      <c r="N9" s="1462"/>
      <c r="O9" s="1462"/>
      <c r="P9" s="3119"/>
      <c r="Q9" s="3119"/>
      <c r="R9" s="464"/>
      <c r="S9" s="1438"/>
      <c r="T9" s="408"/>
      <c r="U9" s="408"/>
      <c r="V9" s="433"/>
      <c r="W9" s="433"/>
      <c r="X9" s="433"/>
      <c r="Y9" s="436" t="str">
        <f>Z8&amp;"-"&amp;AB8</f>
        <v>-</v>
      </c>
      <c r="Z9" s="3121"/>
      <c r="AA9" s="2989"/>
      <c r="AB9" s="3121"/>
      <c r="AC9" s="2989"/>
      <c r="AD9" s="433"/>
      <c r="AE9" s="433"/>
      <c r="AF9" s="433"/>
      <c r="AG9" s="436" t="str">
        <f>AH8&amp;"-"&amp;AJ8</f>
        <v>-</v>
      </c>
      <c r="AH9" s="3121"/>
      <c r="AI9" s="2989"/>
      <c r="AJ9" s="3121"/>
      <c r="AK9" s="2989"/>
      <c r="AL9" s="433"/>
      <c r="AM9" s="3139"/>
      <c r="AO9" s="607"/>
      <c r="AP9" s="607" t="str">
        <f>IF(T9="","",T9)</f>
        <v/>
      </c>
      <c r="AQ9" s="607"/>
      <c r="AR9" s="607"/>
      <c r="AS9" s="1251">
        <v>0</v>
      </c>
    </row>
    <row customHeight="1" ht="15" hidden="1">
      <c r="A10" s="1459"/>
      <c r="B10" s="1459"/>
      <c r="C10" s="1459"/>
      <c r="D10" s="1459"/>
      <c r="E10" s="3116"/>
      <c r="F10" s="3116"/>
      <c r="G10" s="3116"/>
      <c r="H10" s="3116"/>
      <c r="I10" s="3118"/>
      <c r="J10" s="3117"/>
      <c r="K10" s="1459"/>
      <c r="L10" s="1460"/>
      <c r="M10" s="644"/>
      <c r="N10" s="1462"/>
      <c r="P10" s="3119"/>
      <c r="Q10" s="3119"/>
      <c r="R10" s="463"/>
      <c r="S10" s="1374"/>
      <c r="T10" s="395" t="s">
        <v>496</v>
      </c>
      <c r="U10" s="474"/>
      <c r="V10" s="474"/>
      <c r="W10" s="474"/>
      <c r="X10" s="474"/>
      <c r="Y10" s="474"/>
      <c r="Z10" s="474"/>
      <c r="AA10" s="474"/>
      <c r="AB10" s="474"/>
      <c r="AC10" s="474"/>
      <c r="AD10" s="474"/>
      <c r="AE10" s="474"/>
      <c r="AF10" s="474"/>
      <c r="AG10" s="474"/>
      <c r="AH10" s="474"/>
      <c r="AI10" s="474"/>
      <c r="AJ10" s="474"/>
      <c r="AK10" s="474"/>
      <c r="AL10" s="432"/>
      <c r="AM10" s="3140"/>
      <c r="AO10" s="607"/>
      <c r="AP10" s="607" t="str">
        <f>IF(T10="","",T10)</f>
        <v>Добавить вид теплоносителя (параметры теплоносителя)</v>
      </c>
      <c r="AQ10" s="607"/>
      <c r="AR10" s="607"/>
      <c r="AS10" s="1251">
        <v>0</v>
      </c>
    </row>
    <row customHeight="1" ht="15" hidden="1">
      <c r="A11" s="1459"/>
      <c r="B11" s="1459"/>
      <c r="C11" s="1459"/>
      <c r="D11" s="1459"/>
      <c r="E11" s="3116"/>
      <c r="F11" s="3116"/>
      <c r="G11" s="3116"/>
      <c r="H11" s="3116"/>
      <c r="I11" s="3117"/>
      <c r="J11" s="1459"/>
      <c r="K11" s="1459"/>
      <c r="L11" s="1460"/>
      <c r="M11" s="644"/>
      <c r="P11" s="3119"/>
      <c r="Q11" s="1427"/>
      <c r="R11" s="463"/>
      <c r="S11" s="1374"/>
      <c r="T11" s="472" t="s">
        <v>497</v>
      </c>
      <c r="U11" s="474"/>
      <c r="V11" s="474"/>
      <c r="W11" s="474"/>
      <c r="X11" s="474"/>
      <c r="Y11" s="474"/>
      <c r="Z11" s="474"/>
      <c r="AA11" s="474"/>
      <c r="AB11" s="474"/>
      <c r="AC11" s="473"/>
      <c r="AD11" s="474"/>
      <c r="AE11" s="474"/>
      <c r="AF11" s="474"/>
      <c r="AG11" s="474"/>
      <c r="AH11" s="474"/>
      <c r="AI11" s="474"/>
      <c r="AJ11" s="474"/>
      <c r="AK11" s="473"/>
      <c r="AL11" s="474"/>
      <c r="AM11" s="411"/>
      <c r="AO11" s="607"/>
      <c r="AP11" s="607" t="str">
        <f>IF(T11="","",T11)</f>
        <v>Добавить группу потребителей</v>
      </c>
      <c r="AQ11" s="607"/>
      <c r="AR11" s="607"/>
      <c r="AS11" s="1251">
        <v>0</v>
      </c>
    </row>
    <row customHeight="1" ht="14.25" hidden="1">
      <c r="A12" s="1459"/>
      <c r="B12" s="1459"/>
      <c r="C12" s="1459"/>
      <c r="D12" s="1459"/>
      <c r="E12" s="3116"/>
      <c r="F12" s="3116"/>
      <c r="G12" s="3116"/>
      <c r="H12" s="3115"/>
      <c r="I12" s="1459"/>
      <c r="J12" s="1459"/>
      <c r="K12" s="1459"/>
      <c r="L12" s="1460"/>
      <c r="M12" s="1461"/>
      <c r="N12" s="1461"/>
      <c r="O12" s="644"/>
      <c r="P12" s="467"/>
      <c r="Q12" s="482"/>
      <c r="R12" s="462"/>
      <c r="S12" s="1482"/>
      <c r="T12" s="1483"/>
      <c r="U12" s="1484"/>
      <c r="V12" s="1484"/>
      <c r="W12" s="1484"/>
      <c r="X12" s="1484"/>
      <c r="Y12" s="1484"/>
      <c r="Z12" s="1484"/>
      <c r="AA12" s="1484"/>
      <c r="AB12" s="1484"/>
      <c r="AC12" s="1484"/>
      <c r="AD12" s="1484"/>
      <c r="AE12" s="1484"/>
      <c r="AF12" s="1484"/>
      <c r="AG12" s="1484"/>
      <c r="AH12" s="1484"/>
      <c r="AI12" s="1484"/>
      <c r="AJ12" s="1484"/>
      <c r="AK12" s="1484"/>
      <c r="AL12" s="1484"/>
      <c r="AM12" s="1485"/>
      <c r="AO12" s="607"/>
      <c r="AP12" s="607" t="str">
        <f>IF(T12="","",T12)</f>
        <v/>
      </c>
      <c r="AQ12" s="607"/>
      <c r="AR12" s="607"/>
      <c r="AS12" s="1251">
        <v>0</v>
      </c>
    </row>
    <row s="10307" customFormat="1" customHeight="1" ht="0.75" hidden="1">
      <c r="A13" s="1410"/>
      <c r="B13" s="1410"/>
      <c r="C13" s="1410"/>
      <c r="D13" s="1410"/>
      <c r="E13" s="3116"/>
      <c r="F13" s="3116"/>
      <c r="G13" s="3115"/>
      <c r="H13" s="1410"/>
      <c r="I13" s="1410"/>
      <c r="J13" s="1410"/>
      <c r="K13" s="1410"/>
      <c r="L13" s="1435"/>
      <c r="M13" s="1411"/>
      <c r="N13" s="1411"/>
      <c r="P13" s="1412"/>
      <c r="Q13" s="1413"/>
      <c r="R13" s="1412"/>
      <c r="S13" s="1414"/>
      <c r="T13" s="1415" t="s">
        <v>499</v>
      </c>
      <c r="U13" s="1416"/>
      <c r="V13" s="1416"/>
      <c r="W13" s="1416"/>
      <c r="X13" s="1416"/>
      <c r="Y13" s="1416"/>
      <c r="Z13" s="1416"/>
      <c r="AA13" s="1416"/>
      <c r="AB13" s="1416"/>
      <c r="AC13" s="1416"/>
      <c r="AD13" s="1416"/>
      <c r="AE13" s="1416"/>
      <c r="AF13" s="1416"/>
      <c r="AG13" s="1416"/>
      <c r="AH13" s="1416"/>
      <c r="AI13" s="1416"/>
      <c r="AJ13" s="1416"/>
      <c r="AK13" s="1416"/>
      <c r="AL13" s="1416"/>
      <c r="AM13" s="1416"/>
      <c r="AO13" s="890"/>
      <c r="AP13" s="890" t="str">
        <f>IF(T13="","",T13)</f>
        <v>Добавить источник для дифференциации</v>
      </c>
      <c r="AQ13" s="890"/>
      <c r="AR13" s="890"/>
      <c r="AS13" s="625">
        <v>0</v>
      </c>
    </row>
    <row s="10307" customFormat="1" customHeight="1" ht="0.75" hidden="1">
      <c r="A14" s="1410"/>
      <c r="B14" s="1410"/>
      <c r="C14" s="1410"/>
      <c r="D14" s="1410"/>
      <c r="E14" s="3116"/>
      <c r="F14" s="3115"/>
      <c r="G14" s="1410"/>
      <c r="H14" s="1410"/>
      <c r="I14" s="1410"/>
      <c r="J14" s="1410"/>
      <c r="K14" s="1410"/>
      <c r="L14" s="1435"/>
      <c r="M14" s="1417"/>
      <c r="N14" s="1417"/>
      <c r="P14" s="1412"/>
      <c r="Q14" s="1413"/>
      <c r="R14" s="1412"/>
      <c r="S14" s="1418"/>
      <c r="T14" s="1419" t="s">
        <v>500</v>
      </c>
      <c r="U14" s="1420"/>
      <c r="V14" s="1420"/>
      <c r="W14" s="1420"/>
      <c r="X14" s="1420"/>
      <c r="Y14" s="1420"/>
      <c r="Z14" s="1420"/>
      <c r="AA14" s="1420"/>
      <c r="AB14" s="1420"/>
      <c r="AC14" s="1420"/>
      <c r="AD14" s="1420"/>
      <c r="AE14" s="1420"/>
      <c r="AF14" s="1420"/>
      <c r="AG14" s="1420"/>
      <c r="AH14" s="1420"/>
      <c r="AI14" s="1420"/>
      <c r="AJ14" s="1420"/>
      <c r="AK14" s="1420"/>
      <c r="AL14" s="1420"/>
      <c r="AM14" s="1420"/>
      <c r="AO14" s="890"/>
      <c r="AP14" s="890" t="str">
        <f>IF(T14="","",T14)</f>
        <v>Добавить централизованную систему для дифференциации</v>
      </c>
      <c r="AQ14" s="890"/>
      <c r="AR14" s="890"/>
      <c r="AS14" s="625">
        <v>0</v>
      </c>
    </row>
    <row s="10307" customFormat="1" customHeight="1" ht="0.75" hidden="1">
      <c r="A15" s="1410"/>
      <c r="B15" s="1410"/>
      <c r="C15" s="1410"/>
      <c r="D15" s="1410"/>
      <c r="E15" s="3115"/>
      <c r="F15" s="1410"/>
      <c r="G15" s="1410"/>
      <c r="H15" s="1410"/>
      <c r="I15" s="1410"/>
      <c r="J15" s="1410"/>
      <c r="K15" s="1410"/>
      <c r="L15" s="1435"/>
      <c r="M15" s="1417"/>
      <c r="N15" s="1417"/>
      <c r="P15" s="1412"/>
      <c r="Q15" s="1413"/>
      <c r="R15" s="1412"/>
      <c r="S15" s="1418"/>
      <c r="T15" s="1421" t="s">
        <v>501</v>
      </c>
      <c r="U15" s="1420"/>
      <c r="V15" s="1420"/>
      <c r="W15" s="1420"/>
      <c r="X15" s="1420"/>
      <c r="Y15" s="1420"/>
      <c r="Z15" s="1420"/>
      <c r="AA15" s="1420"/>
      <c r="AB15" s="1420"/>
      <c r="AC15" s="1420"/>
      <c r="AD15" s="1420"/>
      <c r="AE15" s="1420"/>
      <c r="AF15" s="1420"/>
      <c r="AG15" s="1420"/>
      <c r="AH15" s="1420"/>
      <c r="AI15" s="1420"/>
      <c r="AJ15" s="1420"/>
      <c r="AK15" s="1420"/>
      <c r="AL15" s="1420"/>
      <c r="AM15" s="1420"/>
      <c r="AO15" s="890"/>
      <c r="AP15" s="890" t="str">
        <f>IF(T15="","",T15)</f>
        <v>Добавить территорию для дифференциации</v>
      </c>
      <c r="AQ15" s="890"/>
      <c r="AR15" s="890"/>
      <c r="AS15" s="625">
        <v>0</v>
      </c>
    </row>
    <row customHeight="1" ht="14.25" hidden="1">
      <c r="AC16" s="435"/>
      <c r="AK16" s="435"/>
      <c r="AS16" s="1251">
        <v>0</v>
      </c>
    </row>
    <row customHeight="1" ht="14.25" hidden="1">
      <c r="AD17" s="1456"/>
      <c r="AE17" s="1456"/>
      <c r="AF17" s="1456"/>
      <c r="AG17" s="1457"/>
      <c r="AH17" s="3113"/>
      <c r="AI17" s="3112" t="s">
        <v>62</v>
      </c>
      <c r="AJ17" s="3113"/>
      <c r="AK17" s="3112" t="s">
        <v>62</v>
      </c>
      <c r="AS17" s="1251">
        <v>0</v>
      </c>
    </row>
    <row customHeight="1" ht="14.25" hidden="1">
      <c r="AD18" s="1456"/>
      <c r="AE18" s="1456"/>
      <c r="AF18" s="1456"/>
      <c r="AG18" s="436" t="str">
        <f>AH17&amp;"-"&amp;AJ17</f>
        <v>-</v>
      </c>
      <c r="AH18" s="3112"/>
      <c r="AI18" s="3112"/>
      <c r="AJ18" s="3112"/>
      <c r="AK18" s="3112"/>
      <c r="AS18" s="1251">
        <v>0</v>
      </c>
    </row>
    <row customHeight="1" ht="14.25" hidden="1">
      <c r="AK19" s="435"/>
      <c r="AS19" s="1251">
        <v>0</v>
      </c>
    </row>
    <row s="10306" customFormat="1" customHeight="1" ht="22.5" hidden="1">
      <c r="L20" s="1425"/>
      <c r="M20" s="1458"/>
      <c r="N20" s="1458"/>
      <c r="O20" s="1463" t="s">
        <v>502</v>
      </c>
      <c r="P20" s="1458"/>
      <c r="Q20" s="1467"/>
      <c r="R20" s="1467"/>
      <c r="S20" s="836"/>
      <c r="Z20" s="1463"/>
      <c r="AB20" s="1463"/>
      <c r="AH20" s="1463"/>
      <c r="AJ20" s="1463"/>
      <c r="AN20" s="618"/>
      <c r="AO20" s="618"/>
      <c r="AP20" s="618"/>
      <c r="AQ20" s="618"/>
      <c r="AR20" s="618"/>
      <c r="AS20" s="1256">
        <v>0</v>
      </c>
    </row>
    <row s="10306" customFormat="1" customHeight="1" ht="14.25" hidden="1">
      <c r="L21" s="1425"/>
      <c r="M21" s="1458"/>
      <c r="N21" s="1458"/>
      <c r="O21" s="1458"/>
      <c r="P21" s="1458"/>
      <c r="Q21" s="1467"/>
      <c r="R21" s="1467"/>
      <c r="S21" s="836"/>
      <c r="AN21" s="618"/>
      <c r="AO21" s="618"/>
      <c r="AP21" s="618"/>
      <c r="AQ21" s="618"/>
      <c r="AR21" s="618"/>
      <c r="AS21" s="1256">
        <v>0</v>
      </c>
    </row>
    <row s="10306" customFormat="1" customHeight="1" ht="14.25" hidden="1">
      <c r="L22" s="1425"/>
      <c r="M22" s="1458"/>
      <c r="N22" s="1458"/>
      <c r="O22" s="1460" t="s">
        <v>503</v>
      </c>
      <c r="P22" s="1458"/>
      <c r="Q22" s="1467"/>
      <c r="R22" s="1467"/>
      <c r="S22" s="836"/>
      <c r="T22" s="1256" t="s">
        <v>504</v>
      </c>
      <c r="AA22" s="294" t="s">
        <v>505</v>
      </c>
      <c r="AC22" s="294" t="s">
        <v>506</v>
      </c>
      <c r="AD22" s="1256" t="s">
        <v>504</v>
      </c>
      <c r="AI22" s="294" t="s">
        <v>507</v>
      </c>
      <c r="AK22" s="294" t="s">
        <v>506</v>
      </c>
      <c r="AN22" s="618"/>
      <c r="AO22" s="618"/>
      <c r="AP22" s="618"/>
      <c r="AQ22" s="618"/>
      <c r="AR22" s="618"/>
      <c r="AS22" s="1256">
        <v>0</v>
      </c>
    </row>
    <row customHeight="1" ht="14.25" hidden="1">
      <c r="O23" s="1460"/>
      <c r="AS23" s="1251">
        <v>0</v>
      </c>
    </row>
    <row customHeight="1" ht="14.25" hidden="1">
      <c r="O24" s="1460"/>
      <c r="AS24" s="1251">
        <v>0</v>
      </c>
    </row>
    <row customHeight="1" ht="14.699999999999998">
      <c r="Q25" s="483"/>
      <c r="R25" s="483"/>
      <c r="S25" s="1371"/>
      <c r="T25" s="470"/>
      <c r="U25" s="470"/>
      <c r="V25" s="616"/>
      <c r="W25" s="616"/>
      <c r="X25" s="616"/>
      <c r="Y25" s="616"/>
      <c r="Z25" s="616"/>
      <c r="AA25" s="616"/>
      <c r="AB25" s="616"/>
      <c r="AC25" s="616"/>
      <c r="AD25" s="616"/>
      <c r="AE25" s="616"/>
      <c r="AF25" s="616"/>
      <c r="AG25" s="616"/>
      <c r="AH25" s="616"/>
      <c r="AI25" s="616"/>
      <c r="AJ25" s="616"/>
      <c r="AK25" s="616"/>
      <c r="AS25" s="1251">
        <v>14</v>
      </c>
    </row>
    <row customHeight="1" ht="63">
      <c r="Q26" s="483"/>
      <c r="R26" s="483"/>
      <c r="S26" s="30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96"/>
      <c r="U26" s="3096"/>
      <c r="V26" s="3096"/>
      <c r="W26" s="3096"/>
      <c r="X26" s="3096"/>
      <c r="Y26" s="3096"/>
      <c r="Z26" s="3096"/>
      <c r="AA26" s="3096"/>
      <c r="AB26" s="3096"/>
      <c r="AC26" s="3096"/>
      <c r="AD26" s="3096"/>
      <c r="AE26" s="3096"/>
      <c r="AF26" s="3096"/>
      <c r="AG26" s="3096"/>
      <c r="AH26" s="3096"/>
      <c r="AI26" s="3096"/>
      <c r="AJ26" s="3096"/>
      <c r="AK26" s="1339"/>
      <c r="AS26" s="1251">
        <v>60</v>
      </c>
    </row>
    <row customHeight="1" ht="14.699999999999998">
      <c r="Q27" s="483"/>
      <c r="R27" s="483"/>
      <c r="S27" s="3069" t="str">
        <f>IF(org=0,"Не определено",org)</f>
        <v>АО "ДГК"</v>
      </c>
      <c r="T27" s="3069"/>
      <c r="U27" s="3069"/>
      <c r="V27" s="3069"/>
      <c r="W27" s="3069"/>
      <c r="X27" s="3069"/>
      <c r="Y27" s="3069"/>
      <c r="Z27" s="3069"/>
      <c r="AA27" s="3069"/>
      <c r="AB27" s="3069"/>
      <c r="AC27" s="3069"/>
      <c r="AD27" s="3069"/>
      <c r="AE27" s="3069"/>
      <c r="AF27" s="3069"/>
      <c r="AG27" s="3069"/>
      <c r="AH27" s="3069"/>
      <c r="AI27" s="3069"/>
      <c r="AJ27" s="3069"/>
      <c r="AK27" s="1339"/>
      <c r="AS27" s="1251">
        <v>14</v>
      </c>
    </row>
    <row customHeight="1" ht="14.25" hidden="1">
      <c r="Q28" s="483"/>
      <c r="R28" s="483"/>
      <c r="S28" s="1371"/>
      <c r="T28" s="470"/>
      <c r="U28" s="470"/>
      <c r="V28" s="430"/>
      <c r="W28" s="430"/>
      <c r="X28" s="430"/>
      <c r="Y28" s="430"/>
      <c r="Z28" s="430"/>
      <c r="AA28" s="430"/>
      <c r="AB28" s="430"/>
      <c r="AC28" s="430"/>
      <c r="AD28" s="430"/>
      <c r="AE28" s="430"/>
      <c r="AF28" s="430"/>
      <c r="AG28" s="430"/>
      <c r="AH28" s="430"/>
      <c r="AI28" s="430"/>
      <c r="AJ28" s="430"/>
      <c r="AK28" s="430"/>
      <c r="AL28" s="616"/>
      <c r="AS28" s="1251">
        <v>0</v>
      </c>
    </row>
    <row s="10446" customFormat="1" customHeight="1" ht="25.5" hidden="1">
      <c r="A29" s="1464"/>
      <c r="B29" s="1464"/>
      <c r="C29" s="1464"/>
      <c r="D29" s="1464"/>
      <c r="E29" s="1464"/>
      <c r="F29" s="1464"/>
      <c r="G29" s="1464"/>
      <c r="H29" s="1464"/>
      <c r="I29" s="1464"/>
      <c r="J29" s="1464"/>
      <c r="K29" s="1464"/>
      <c r="L29" s="1465"/>
      <c r="M29" s="1464"/>
      <c r="N29" s="1464"/>
      <c r="O29" s="1464"/>
      <c r="S29" s="3106" t="s">
        <v>41</v>
      </c>
      <c r="T29" s="3106"/>
      <c r="U29" s="1468"/>
      <c r="V29" s="3108" t="str">
        <f>IF(TITLE_NAME_OR_PR_CHANGE="",IF(TITLE_NAME_OR_PR="","",TITLE_NAME_OR_PR),TITLE_NAME_OR_PR_CHANGE)</f>
        <v/>
      </c>
      <c r="W29" s="3108"/>
      <c r="X29" s="3108"/>
      <c r="Y29" s="3108"/>
      <c r="Z29" s="3108"/>
      <c r="AA29" s="3108"/>
      <c r="AB29" s="3108"/>
      <c r="AC29" s="434"/>
      <c r="AD29" s="3108" t="str">
        <f>IF(TITLE_NAME_OR_PR_CHANGE="",IF(TITLE_NAME_OR_PR="","",TITLE_NAME_OR_PR),TITLE_NAME_OR_PR_CHANGE)</f>
        <v/>
      </c>
      <c r="AE29" s="3108"/>
      <c r="AF29" s="3108"/>
      <c r="AG29" s="3108"/>
      <c r="AH29" s="3108"/>
      <c r="AI29" s="3108"/>
      <c r="AJ29" s="3108"/>
      <c r="AK29" s="434"/>
      <c r="AL29" s="434"/>
      <c r="AM29" s="388"/>
      <c r="AN29" s="475"/>
      <c r="AO29" s="475"/>
      <c r="AP29" s="475"/>
      <c r="AQ29" s="475"/>
      <c r="AR29" s="475"/>
      <c r="AS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508</v>
      </c>
      <c r="T30" s="3106"/>
      <c r="U30" s="1468"/>
      <c r="V30" s="3107" t="str">
        <f>IF(TITLE_DATE_PR_CHANGE="",IF(TITLE_DATE_PR="","",TITLE_DATE_PR),TITLE_DATE_PR_CHANGE)</f>
        <v/>
      </c>
      <c r="W30" s="3107"/>
      <c r="X30" s="3107"/>
      <c r="Y30" s="3107"/>
      <c r="Z30" s="3107"/>
      <c r="AA30" s="3107"/>
      <c r="AB30" s="3107"/>
      <c r="AC30" s="434"/>
      <c r="AD30" s="3107" t="str">
        <f>IF(TITLE_DATE_PR_CHANGE="",IF(TITLE_DATE_PR="","",TITLE_DATE_PR),TITLE_DATE_PR_CHANGE)</f>
        <v/>
      </c>
      <c r="AE30" s="3107"/>
      <c r="AF30" s="3107"/>
      <c r="AG30" s="3107"/>
      <c r="AH30" s="3107"/>
      <c r="AI30" s="3107"/>
      <c r="AJ30" s="3107"/>
      <c r="AK30" s="434"/>
      <c r="AL30" s="434"/>
      <c r="AM30" s="388"/>
      <c r="AN30" s="475"/>
      <c r="AO30" s="475"/>
      <c r="AP30" s="475"/>
      <c r="AQ30" s="475"/>
      <c r="AR30" s="475"/>
      <c r="AS30" s="525">
        <v>0</v>
      </c>
    </row>
    <row s="10446" customFormat="1" customHeight="1" ht="18.75" hidden="1">
      <c r="A31" s="1464"/>
      <c r="B31" s="1464"/>
      <c r="C31" s="1464"/>
      <c r="D31" s="1464"/>
      <c r="E31" s="1464"/>
      <c r="F31" s="1464"/>
      <c r="G31" s="1464"/>
      <c r="H31" s="1464"/>
      <c r="I31" s="1464"/>
      <c r="J31" s="1464"/>
      <c r="K31" s="1464"/>
      <c r="L31" s="1465"/>
      <c r="M31" s="1464"/>
      <c r="N31" s="1464"/>
      <c r="O31" s="1464"/>
      <c r="S31" s="3106" t="s">
        <v>509</v>
      </c>
      <c r="T31" s="3106"/>
      <c r="U31" s="1468"/>
      <c r="V31" s="3108" t="str">
        <f>IF(TITLE_NUMBER_PR_CHANGE="",IF(TITLE_NUMBER_PR="","",TITLE_NUMBER_PR),TITLE_NUMBER_PR_CHANGE)</f>
        <v/>
      </c>
      <c r="W31" s="3108"/>
      <c r="X31" s="3108"/>
      <c r="Y31" s="3108"/>
      <c r="Z31" s="3108"/>
      <c r="AA31" s="3108"/>
      <c r="AB31" s="3108"/>
      <c r="AC31" s="434"/>
      <c r="AD31" s="3108" t="str">
        <f>IF(TITLE_NUMBER_PR_CHANGE="",IF(TITLE_NUMBER_PR="","",TITLE_NUMBER_PR),TITLE_NUMBER_PR_CHANGE)</f>
        <v/>
      </c>
      <c r="AE31" s="3108"/>
      <c r="AF31" s="3108"/>
      <c r="AG31" s="3108"/>
      <c r="AH31" s="3108"/>
      <c r="AI31" s="3108"/>
      <c r="AJ31" s="3108"/>
      <c r="AK31" s="434"/>
      <c r="AL31" s="434"/>
      <c r="AM31" s="388"/>
      <c r="AN31" s="475"/>
      <c r="AO31" s="475"/>
      <c r="AP31" s="475"/>
      <c r="AQ31" s="475"/>
      <c r="AR31" s="475"/>
      <c r="AS31" s="525">
        <v>0</v>
      </c>
    </row>
    <row s="10446" customFormat="1" customHeight="1" ht="18.75" hidden="1">
      <c r="A32" s="1464"/>
      <c r="B32" s="1464"/>
      <c r="C32" s="1464"/>
      <c r="D32" s="1464"/>
      <c r="E32" s="1464"/>
      <c r="F32" s="1464"/>
      <c r="G32" s="1464"/>
      <c r="H32" s="1464"/>
      <c r="I32" s="1464"/>
      <c r="J32" s="1464"/>
      <c r="K32" s="1464"/>
      <c r="L32" s="1465"/>
      <c r="M32" s="1464"/>
      <c r="N32" s="1464"/>
      <c r="O32" s="1464"/>
      <c r="S32" s="3106" t="s">
        <v>42</v>
      </c>
      <c r="T32" s="3106"/>
      <c r="U32" s="1468"/>
      <c r="V32" s="3108" t="str">
        <f>IF(TITLE_IST_PUB_CHANGE="",IF(TITLE_IST_PUB="","",TITLE_IST_PUB),TITLE_IST_PUB_CHANGE)</f>
        <v/>
      </c>
      <c r="W32" s="3108"/>
      <c r="X32" s="3108"/>
      <c r="Y32" s="3108"/>
      <c r="Z32" s="3108"/>
      <c r="AA32" s="3108"/>
      <c r="AB32" s="3108"/>
      <c r="AC32" s="434"/>
      <c r="AD32" s="3108" t="str">
        <f>IF(TITLE_IST_PUB_CHANGE="",IF(TITLE_IST_PUB="","",TITLE_IST_PUB),TITLE_IST_PUB_CHANGE)</f>
        <v/>
      </c>
      <c r="AE32" s="3108"/>
      <c r="AF32" s="3108"/>
      <c r="AG32" s="3108"/>
      <c r="AH32" s="3108"/>
      <c r="AI32" s="3108"/>
      <c r="AJ32" s="3108"/>
      <c r="AK32" s="434"/>
      <c r="AL32" s="434"/>
      <c r="AM32" s="388"/>
      <c r="AN32" s="475"/>
      <c r="AO32" s="475"/>
      <c r="AP32" s="475"/>
      <c r="AQ32" s="475"/>
      <c r="AR32" s="475"/>
      <c r="AS32" s="525">
        <v>0</v>
      </c>
    </row>
    <row customHeight="1" ht="14.25" hidden="1">
      <c r="Q33" s="483"/>
      <c r="R33" s="483"/>
      <c r="S33" s="1371"/>
      <c r="T33" s="470"/>
      <c r="U33" s="470"/>
      <c r="V33" s="430"/>
      <c r="W33" s="430"/>
      <c r="X33" s="430"/>
      <c r="Y33" s="430"/>
      <c r="Z33" s="430"/>
      <c r="AA33" s="430"/>
      <c r="AB33" s="430"/>
      <c r="AC33" s="430"/>
      <c r="AD33" s="430"/>
      <c r="AE33" s="430"/>
      <c r="AF33" s="430"/>
      <c r="AG33" s="430"/>
      <c r="AH33" s="430"/>
      <c r="AI33" s="430"/>
      <c r="AJ33" s="430"/>
      <c r="AK33" s="430"/>
      <c r="AL33" s="616"/>
      <c r="AS33" s="1251">
        <v>0</v>
      </c>
    </row>
    <row s="10446" customFormat="1" customHeight="1" ht="18.75" hidden="1">
      <c r="A34" s="1464"/>
      <c r="B34" s="1464"/>
      <c r="C34" s="1464"/>
      <c r="D34" s="1464"/>
      <c r="E34" s="1464"/>
      <c r="F34" s="1464"/>
      <c r="G34" s="1464"/>
      <c r="H34" s="1464"/>
      <c r="I34" s="1464"/>
      <c r="J34" s="1464"/>
      <c r="K34" s="1464"/>
      <c r="L34" s="1465"/>
      <c r="M34" s="1464"/>
      <c r="N34" s="1464"/>
      <c r="O34" s="1464"/>
      <c r="S34" s="3106" t="s">
        <v>510</v>
      </c>
      <c r="T34" s="3106"/>
      <c r="U34" s="1468"/>
      <c r="V34" s="3107" t="str">
        <f>IF(TITLE_DATE_PR_CHANGE="",IF(TITLE_DATE_PR="","",TITLE_DATE_PR),TITLE_DATE_PR_CHANGE)</f>
        <v/>
      </c>
      <c r="W34" s="3107"/>
      <c r="X34" s="3107"/>
      <c r="Y34" s="3107"/>
      <c r="Z34" s="3107"/>
      <c r="AA34" s="3107"/>
      <c r="AB34" s="3107"/>
      <c r="AC34" s="434"/>
      <c r="AD34" s="3107" t="str">
        <f>IF(TITLE_DATE_PR_CHANGE="",IF(TITLE_DATE_PR="","",TITLE_DATE_PR),TITLE_DATE_PR_CHANGE)</f>
        <v/>
      </c>
      <c r="AE34" s="3107"/>
      <c r="AF34" s="3107"/>
      <c r="AG34" s="3107"/>
      <c r="AH34" s="3107"/>
      <c r="AI34" s="3107"/>
      <c r="AJ34" s="3107"/>
      <c r="AK34" s="434"/>
      <c r="AL34" s="434"/>
      <c r="AM34" s="388"/>
      <c r="AN34" s="475"/>
      <c r="AO34" s="475"/>
      <c r="AP34" s="475"/>
      <c r="AQ34" s="475"/>
      <c r="AR34" s="475"/>
      <c r="AS34" s="525">
        <v>0</v>
      </c>
    </row>
    <row s="10446" customFormat="1" customHeight="1" ht="18.75" hidden="1">
      <c r="A35" s="1464"/>
      <c r="B35" s="1464"/>
      <c r="C35" s="1464"/>
      <c r="D35" s="1464"/>
      <c r="E35" s="1464"/>
      <c r="F35" s="1464"/>
      <c r="G35" s="1464"/>
      <c r="H35" s="1464"/>
      <c r="I35" s="1464"/>
      <c r="J35" s="1464"/>
      <c r="K35" s="1464"/>
      <c r="L35" s="1465"/>
      <c r="M35" s="1464"/>
      <c r="N35" s="1464"/>
      <c r="O35" s="1464"/>
      <c r="S35" s="3106" t="s">
        <v>511</v>
      </c>
      <c r="T35" s="3106"/>
      <c r="U35" s="1468"/>
      <c r="V35" s="3108" t="str">
        <f>IF(TITLE_NUMBER_PR_CHANGE="",IF(TITLE_NUMBER_PR="","",TITLE_NUMBER_PR),TITLE_NUMBER_PR_CHANGE)</f>
        <v/>
      </c>
      <c r="W35" s="3108"/>
      <c r="X35" s="3108"/>
      <c r="Y35" s="3108"/>
      <c r="Z35" s="3108"/>
      <c r="AA35" s="3108"/>
      <c r="AB35" s="3108"/>
      <c r="AC35" s="434"/>
      <c r="AD35" s="3108" t="str">
        <f>IF(TITLE_NUMBER_PR_CHANGE="",IF(TITLE_NUMBER_PR="","",TITLE_NUMBER_PR),TITLE_NUMBER_PR_CHANGE)</f>
        <v/>
      </c>
      <c r="AE35" s="3108"/>
      <c r="AF35" s="3108"/>
      <c r="AG35" s="3108"/>
      <c r="AH35" s="3108"/>
      <c r="AI35" s="3108"/>
      <c r="AJ35" s="3108"/>
      <c r="AK35" s="434"/>
      <c r="AL35" s="434"/>
      <c r="AM35" s="388"/>
      <c r="AN35" s="475"/>
      <c r="AO35" s="475"/>
      <c r="AP35" s="475"/>
      <c r="AQ35" s="475"/>
      <c r="AR35" s="475"/>
      <c r="AS35" s="525">
        <v>0</v>
      </c>
    </row>
    <row s="10446" customFormat="1" customHeight="1" ht="14.25" hidden="1">
      <c r="A36" s="1464"/>
      <c r="B36" s="1464"/>
      <c r="C36" s="1464"/>
      <c r="D36" s="1464"/>
      <c r="E36" s="1464"/>
      <c r="F36" s="1464"/>
      <c r="G36" s="1464"/>
      <c r="H36" s="1464"/>
      <c r="I36" s="1464"/>
      <c r="J36" s="1464"/>
      <c r="K36" s="1464"/>
      <c r="L36" s="1465"/>
      <c r="M36" s="1464"/>
      <c r="N36" s="1464"/>
      <c r="O36" s="1464"/>
      <c r="S36" s="431"/>
      <c r="T36" s="431"/>
      <c r="U36" s="1436"/>
      <c r="V36" s="434"/>
      <c r="W36" s="434"/>
      <c r="X36" s="434"/>
      <c r="Y36" s="434"/>
      <c r="Z36" s="434"/>
      <c r="AA36" s="434"/>
      <c r="AB36" s="434"/>
      <c r="AC36" s="386" t="s">
        <v>512</v>
      </c>
      <c r="AD36" s="434"/>
      <c r="AE36" s="434"/>
      <c r="AF36" s="434"/>
      <c r="AG36" s="434"/>
      <c r="AH36" s="434"/>
      <c r="AI36" s="434"/>
      <c r="AJ36" s="434"/>
      <c r="AK36" s="386" t="s">
        <v>512</v>
      </c>
      <c r="AN36" s="475"/>
      <c r="AO36" s="475"/>
      <c r="AP36" s="475"/>
      <c r="AQ36" s="475"/>
      <c r="AR36" s="475"/>
      <c r="AS36" s="525">
        <v>0</v>
      </c>
    </row>
    <row customHeight="1" ht="14.699999999999998">
      <c r="Q37" s="483"/>
      <c r="R37" s="483"/>
      <c r="S37" s="1371"/>
      <c r="T37" s="470"/>
      <c r="U37" s="1340"/>
      <c r="V37" s="3127"/>
      <c r="W37" s="3127"/>
      <c r="X37" s="3127"/>
      <c r="Y37" s="3127"/>
      <c r="Z37" s="3127"/>
      <c r="AA37" s="3127"/>
      <c r="AB37" s="3127"/>
      <c r="AC37" s="3127"/>
      <c r="AD37" s="3127"/>
      <c r="AE37" s="3127"/>
      <c r="AF37" s="3127"/>
      <c r="AG37" s="3127"/>
      <c r="AH37" s="3127"/>
      <c r="AI37" s="3127"/>
      <c r="AJ37" s="3127"/>
      <c r="AK37" s="3127"/>
      <c r="AS37" s="1251">
        <v>14</v>
      </c>
    </row>
    <row customHeight="1" ht="14.699999999999998">
      <c r="Q38" s="483"/>
      <c r="R38" s="483"/>
      <c r="S38" s="2978" t="s">
        <v>385</v>
      </c>
      <c r="T38" s="2978"/>
      <c r="U38" s="2978"/>
      <c r="V38" s="2978"/>
      <c r="W38" s="2978"/>
      <c r="X38" s="2978"/>
      <c r="Y38" s="2978"/>
      <c r="Z38" s="2978"/>
      <c r="AA38" s="2978"/>
      <c r="AB38" s="2978"/>
      <c r="AC38" s="2978"/>
      <c r="AD38" s="2978"/>
      <c r="AE38" s="2978"/>
      <c r="AF38" s="2978"/>
      <c r="AG38" s="2978"/>
      <c r="AH38" s="2978"/>
      <c r="AI38" s="2978"/>
      <c r="AJ38" s="2978"/>
      <c r="AK38" s="2978"/>
      <c r="AL38" s="2978"/>
      <c r="AM38" s="2978" t="s">
        <v>386</v>
      </c>
      <c r="AS38" s="1251">
        <v>14</v>
      </c>
    </row>
    <row customHeight="1" ht="14.699999999999998">
      <c r="Q39" s="483"/>
      <c r="R39" s="483"/>
      <c r="S39" s="3128" t="s">
        <v>88</v>
      </c>
      <c r="T39" s="3077" t="s">
        <v>513</v>
      </c>
      <c r="U39" s="409"/>
      <c r="V39" s="3129" t="s">
        <v>514</v>
      </c>
      <c r="W39" s="3130"/>
      <c r="X39" s="3130"/>
      <c r="Y39" s="3130"/>
      <c r="Z39" s="3130"/>
      <c r="AA39" s="3130"/>
      <c r="AB39" s="3131"/>
      <c r="AC39" s="3132" t="s">
        <v>515</v>
      </c>
      <c r="AD39" s="3129" t="s">
        <v>514</v>
      </c>
      <c r="AE39" s="3130"/>
      <c r="AF39" s="3130"/>
      <c r="AG39" s="3130"/>
      <c r="AH39" s="3130"/>
      <c r="AI39" s="3130"/>
      <c r="AJ39" s="3131"/>
      <c r="AK39" s="3132" t="s">
        <v>516</v>
      </c>
      <c r="AL39" s="3135" t="s">
        <v>517</v>
      </c>
      <c r="AM39" s="2978"/>
      <c r="AS39" s="1251">
        <v>14</v>
      </c>
    </row>
    <row customHeight="1" ht="35.699999999999996">
      <c r="Q40" s="483"/>
      <c r="R40" s="483"/>
      <c r="S40" s="3128"/>
      <c r="T40" s="3077"/>
      <c r="U40" s="1131"/>
      <c r="V40" s="3047" t="s">
        <v>518</v>
      </c>
      <c r="W40" s="3124"/>
      <c r="X40" s="2959" t="s">
        <v>520</v>
      </c>
      <c r="Y40" s="2958"/>
      <c r="Z40" s="2959" t="s">
        <v>521</v>
      </c>
      <c r="AA40" s="2965"/>
      <c r="AB40" s="2958"/>
      <c r="AC40" s="3133"/>
      <c r="AD40" s="3047" t="s">
        <v>535</v>
      </c>
      <c r="AE40" s="3124"/>
      <c r="AF40" s="2959" t="s">
        <v>520</v>
      </c>
      <c r="AG40" s="2958"/>
      <c r="AH40" s="2959" t="s">
        <v>521</v>
      </c>
      <c r="AI40" s="2965"/>
      <c r="AJ40" s="2958"/>
      <c r="AK40" s="3133"/>
      <c r="AL40" s="3136"/>
      <c r="AM40" s="2978"/>
      <c r="AS40" s="1251">
        <v>34</v>
      </c>
    </row>
    <row customHeight="1" ht="35.699999999999996">
      <c r="A41" s="1466"/>
      <c r="B41" s="1466" t="s">
        <v>222</v>
      </c>
      <c r="C41" s="1466" t="s">
        <v>223</v>
      </c>
      <c r="D41" s="1466" t="s">
        <v>224</v>
      </c>
      <c r="E41" s="1460" t="s">
        <v>522</v>
      </c>
      <c r="F41" s="1460" t="s">
        <v>523</v>
      </c>
      <c r="G41" s="1460" t="s">
        <v>524</v>
      </c>
      <c r="H41" s="1460" t="s">
        <v>525</v>
      </c>
      <c r="I41" s="1460" t="s">
        <v>526</v>
      </c>
      <c r="J41" s="1460" t="s">
        <v>527</v>
      </c>
      <c r="K41" s="1460" t="s">
        <v>528</v>
      </c>
      <c r="L41" s="1460" t="s">
        <v>503</v>
      </c>
      <c r="Q41" s="483"/>
      <c r="R41" s="483"/>
      <c r="S41" s="3128"/>
      <c r="T41" s="3077"/>
      <c r="U41" s="410"/>
      <c r="V41" s="3101"/>
      <c r="W41" s="3125"/>
      <c r="X41" s="1318" t="s">
        <v>529</v>
      </c>
      <c r="Y41" s="1318" t="s">
        <v>530</v>
      </c>
      <c r="Z41" s="1434" t="s">
        <v>531</v>
      </c>
      <c r="AA41" s="3082" t="s">
        <v>532</v>
      </c>
      <c r="AB41" s="3095"/>
      <c r="AC41" s="3134"/>
      <c r="AD41" s="3101"/>
      <c r="AE41" s="3125"/>
      <c r="AF41" s="1318" t="s">
        <v>529</v>
      </c>
      <c r="AG41" s="1318" t="s">
        <v>530</v>
      </c>
      <c r="AH41" s="1434" t="s">
        <v>531</v>
      </c>
      <c r="AI41" s="3082" t="s">
        <v>532</v>
      </c>
      <c r="AJ41" s="3095"/>
      <c r="AK41" s="3134"/>
      <c r="AL41" s="3137"/>
      <c r="AM41" s="2978"/>
      <c r="AS41" s="1251">
        <v>34</v>
      </c>
    </row>
    <row s="10851" customFormat="1" customHeight="1" ht="11.25" hidden="1">
      <c r="A42" s="1466"/>
      <c r="B42" s="1466"/>
      <c r="C42" s="1466"/>
      <c r="D42" s="1466"/>
      <c r="E42" s="1466"/>
      <c r="F42" s="1466"/>
      <c r="G42" s="1466"/>
      <c r="H42" s="1466"/>
      <c r="I42" s="1466"/>
      <c r="J42" s="1466"/>
      <c r="K42" s="1466"/>
      <c r="L42" s="1460"/>
      <c r="M42" s="1458"/>
      <c r="N42" s="1458"/>
      <c r="O42" s="1458"/>
      <c r="P42" s="1342"/>
      <c r="Q42" s="1343"/>
      <c r="R42" s="1350">
        <v>1</v>
      </c>
      <c r="S42" s="1373" t="s">
        <v>144</v>
      </c>
      <c r="T42" s="1351" t="s">
        <v>102</v>
      </c>
      <c r="U42" s="1341" t="str">
        <f>OFFSET(U42,0,-1)</f>
        <v>2</v>
      </c>
      <c r="V42" s="1431">
        <f>OFFSET(V42,0,-1)+1</f>
        <v>3</v>
      </c>
      <c r="W42" s="1431"/>
      <c r="X42" s="1431">
        <f>OFFSET(X42,0,-1)+1</f>
        <v>1</v>
      </c>
      <c r="Y42" s="1431">
        <f>OFFSET(Y42,0,-1)+1</f>
        <v>2</v>
      </c>
      <c r="Z42" s="1431">
        <f>OFFSET(Z42,0,-1)+1</f>
        <v>3</v>
      </c>
      <c r="AA42" s="3126">
        <f>OFFSET(AA42,0,-1)+1</f>
        <v>4</v>
      </c>
      <c r="AB42" s="3126"/>
      <c r="AC42" s="1431">
        <f>OFFSET(AC42,0,-2)+1</f>
        <v>5</v>
      </c>
      <c r="AD42" s="1431">
        <f>OFFSET(AD42,0,-1)+1</f>
        <v>6</v>
      </c>
      <c r="AE42" s="1431"/>
      <c r="AF42" s="1431">
        <f>OFFSET(AF42,0,-1)+1</f>
        <v>1</v>
      </c>
      <c r="AG42" s="1431">
        <f>OFFSET(AG42,0,-1)+1</f>
        <v>2</v>
      </c>
      <c r="AH42" s="1431">
        <f>OFFSET(AH42,0,-1)+1</f>
        <v>3</v>
      </c>
      <c r="AI42" s="3126">
        <f>OFFSET(AI42,0,-1)+1</f>
        <v>4</v>
      </c>
      <c r="AJ42" s="3126"/>
      <c r="AK42" s="1431">
        <f>OFFSET(AK42,0,-2)+1</f>
        <v>5</v>
      </c>
      <c r="AL42" s="1341">
        <f>OFFSET(AL42,0,-1)</f>
        <v>5</v>
      </c>
      <c r="AM42" s="1431">
        <f>OFFSET(AM42,0,-1)+1</f>
        <v>6</v>
      </c>
      <c r="AN42" s="618"/>
      <c r="AO42" s="618"/>
      <c r="AP42" s="618"/>
      <c r="AQ42" s="618"/>
      <c r="AR42" s="618"/>
      <c r="AS42" s="603">
        <v>0</v>
      </c>
    </row>
    <row customHeight="1" ht="22.049999999999997">
      <c r="A43" s="1459" t="s">
        <v>255</v>
      </c>
      <c r="B43" s="1459"/>
      <c r="C43" s="1459"/>
      <c r="D43" s="1459"/>
      <c r="E43" s="3115">
        <v>1</v>
      </c>
      <c r="F43" s="1459"/>
      <c r="G43" s="1459"/>
      <c r="H43" s="1459"/>
      <c r="I43" s="1459"/>
      <c r="J43" s="1459"/>
      <c r="K43" s="1459"/>
      <c r="L43" s="1460"/>
      <c r="M43" s="1461"/>
      <c r="N43" s="1461"/>
      <c r="O43" s="1461"/>
      <c r="P43" s="468"/>
      <c r="Q43" s="467"/>
      <c r="R43" s="462"/>
      <c r="S43" s="1432">
        <f>INDEX(PT_DIFFERENTIATION_NUM_NTAR,MATCH(A43,PT_DIFFERENTIATION_NTAR_ID,0))</f>
        <v>0</v>
      </c>
      <c r="T43" s="406" t="s">
        <v>210</v>
      </c>
      <c r="U43" s="408"/>
      <c r="V43" s="3109"/>
      <c r="W43" s="3110"/>
      <c r="X43" s="3110"/>
      <c r="Y43" s="3110"/>
      <c r="Z43" s="3110"/>
      <c r="AA43" s="3110"/>
      <c r="AB43" s="3110"/>
      <c r="AC43" s="3111"/>
      <c r="AD43" s="3109" t="str">
        <f>INDEX(PT_DIFFERENTIATION_NTAR,MATCH(A43,PT_DIFFERENTIATION_NTAR_ID,0))</f>
        <v/>
      </c>
      <c r="AE43" s="3110"/>
      <c r="AF43" s="3110"/>
      <c r="AG43" s="3110"/>
      <c r="AH43" s="3110"/>
      <c r="AI43" s="3110"/>
      <c r="AJ43" s="3110"/>
      <c r="AK43" s="3110"/>
      <c r="AL43" s="3111"/>
      <c r="AM43" s="13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7"/>
      <c r="AP43" s="607" t="str">
        <f>IF(T43="","",T43)</f>
        <v>Наименование тарифа</v>
      </c>
      <c r="AQ43" s="607"/>
      <c r="AR43" s="607"/>
      <c r="AS43" s="1251">
        <v>21</v>
      </c>
    </row>
    <row customHeight="1" ht="22.049999999999997">
      <c r="A44" s="1459" t="s">
        <v>255</v>
      </c>
      <c r="B44" s="1459" t="s">
        <v>256</v>
      </c>
      <c r="C44" s="1459"/>
      <c r="D44" s="1459"/>
      <c r="E44" s="3116"/>
      <c r="F44" s="3115">
        <v>1</v>
      </c>
      <c r="G44" s="1459"/>
      <c r="H44" s="1459"/>
      <c r="I44" s="1459"/>
      <c r="J44" s="1459"/>
      <c r="K44" s="1459"/>
      <c r="L44" s="1460"/>
      <c r="M44" s="1461"/>
      <c r="N44" s="1461"/>
      <c r="O44" s="1461"/>
      <c r="P44" s="1428"/>
      <c r="Q44" s="459"/>
      <c r="R44" s="460"/>
      <c r="S44" s="1432" t="str">
        <f>INDEX(PT_DIFFERENTIATION_NUM_TER,MATCH(B44,PT_DIFFERENTIATION_TER_ID,0))</f>
        <v>.</v>
      </c>
      <c r="T44" s="416" t="s">
        <v>482</v>
      </c>
      <c r="U44" s="408"/>
      <c r="V44" s="3109"/>
      <c r="W44" s="3110"/>
      <c r="X44" s="3110"/>
      <c r="Y44" s="3110"/>
      <c r="Z44" s="3110"/>
      <c r="AA44" s="3110"/>
      <c r="AB44" s="3110"/>
      <c r="AC44" s="3111"/>
      <c r="AD44" s="3109" t="str">
        <f>INDEX(PT_DIFFERENTIATION_TER,MATCH(B44,PT_DIFFERENTIATION_TER_ID,0))</f>
        <v/>
      </c>
      <c r="AE44" s="3110"/>
      <c r="AF44" s="3110"/>
      <c r="AG44" s="3110"/>
      <c r="AH44" s="3110"/>
      <c r="AI44" s="3110"/>
      <c r="AJ44" s="3110"/>
      <c r="AK44" s="3110"/>
      <c r="AL44" s="3111"/>
      <c r="AM44" s="1354" t="s">
        <v>483</v>
      </c>
      <c r="AO44" s="607"/>
      <c r="AP44" s="607" t="str">
        <f>IF(T44="","",T44)</f>
        <v>Территория действия тарифа</v>
      </c>
      <c r="AQ44" s="607"/>
      <c r="AR44" s="607"/>
      <c r="AS44" s="1251">
        <v>21</v>
      </c>
    </row>
    <row customHeight="1" ht="24">
      <c r="A45" s="1459" t="s">
        <v>255</v>
      </c>
      <c r="B45" s="1459" t="s">
        <v>256</v>
      </c>
      <c r="C45" s="1459" t="s">
        <v>257</v>
      </c>
      <c r="D45" s="1459"/>
      <c r="E45" s="3116"/>
      <c r="F45" s="3116"/>
      <c r="G45" s="3115">
        <v>1</v>
      </c>
      <c r="H45" s="1459"/>
      <c r="I45" s="1459"/>
      <c r="J45" s="1459"/>
      <c r="K45" s="1459"/>
      <c r="L45" s="1460"/>
      <c r="M45" s="1461"/>
      <c r="N45" s="1461"/>
      <c r="O45" s="1461"/>
      <c r="P45" s="461"/>
      <c r="Q45" s="459"/>
      <c r="R45" s="460"/>
      <c r="S45" s="1432" t="str">
        <f>INDEX(PT_DIFFERENTIATION_NUM_CS,MATCH(C45,PT_DIFFERENTIATION_CS_ID,0))</f>
        <v>..</v>
      </c>
      <c r="T45" s="417" t="s">
        <v>484</v>
      </c>
      <c r="U45" s="408"/>
      <c r="V45" s="3109"/>
      <c r="W45" s="3110"/>
      <c r="X45" s="3110"/>
      <c r="Y45" s="3110"/>
      <c r="Z45" s="3110"/>
      <c r="AA45" s="3110"/>
      <c r="AB45" s="3110"/>
      <c r="AC45" s="3111"/>
      <c r="AD45" s="3109" t="str">
        <f>INDEX(PT_DIFFERENTIATION_CS,MATCH(C45,PT_DIFFERENTIATION_CS_ID,0))</f>
        <v/>
      </c>
      <c r="AE45" s="3110"/>
      <c r="AF45" s="3110"/>
      <c r="AG45" s="3110"/>
      <c r="AH45" s="3110"/>
      <c r="AI45" s="3110"/>
      <c r="AJ45" s="3110"/>
      <c r="AK45" s="3110"/>
      <c r="AL45" s="3111"/>
      <c r="AM45" s="1354" t="s">
        <v>485</v>
      </c>
      <c r="AO45" s="607"/>
      <c r="AP45" s="607" t="str">
        <f>IF(T45="","",T45)</f>
        <v>Наименование системы теплоснабжения </v>
      </c>
      <c r="AQ45" s="607"/>
      <c r="AR45" s="607"/>
      <c r="AS45" s="1251">
        <v>23</v>
      </c>
    </row>
    <row customHeight="1" ht="22.049999999999997">
      <c r="A46" s="1459" t="s">
        <v>255</v>
      </c>
      <c r="B46" s="1459" t="s">
        <v>256</v>
      </c>
      <c r="C46" s="1459" t="s">
        <v>257</v>
      </c>
      <c r="D46" s="1459" t="s">
        <v>258</v>
      </c>
      <c r="E46" s="3116"/>
      <c r="F46" s="3116"/>
      <c r="G46" s="3116"/>
      <c r="H46" s="3115">
        <v>1</v>
      </c>
      <c r="I46" s="1459"/>
      <c r="J46" s="1459"/>
      <c r="K46" s="1459"/>
      <c r="L46" s="1460"/>
      <c r="M46" s="1461"/>
      <c r="N46" s="1461"/>
      <c r="O46" s="1461"/>
      <c r="P46" s="461"/>
      <c r="Q46" s="459"/>
      <c r="R46" s="460"/>
      <c r="S46" s="1432" t="str">
        <f>INDEX(PT_DIFFERENTIATION_NUM_IST_TE,MATCH(D46,PT_DIFFERENTIATION_IST_TE_ID,0))</f>
        <v>...</v>
      </c>
      <c r="T46" s="418" t="s">
        <v>486</v>
      </c>
      <c r="U46" s="408"/>
      <c r="V46" s="3109"/>
      <c r="W46" s="3110"/>
      <c r="X46" s="3110"/>
      <c r="Y46" s="3110"/>
      <c r="Z46" s="3110"/>
      <c r="AA46" s="3110"/>
      <c r="AB46" s="3110"/>
      <c r="AC46" s="3111"/>
      <c r="AD46" s="3109" t="str">
        <f>INDEX(PT_DIFFERENTIATION_IST_TE,MATCH(D46,PT_DIFFERENTIATION_IST_TE_ID,0))</f>
        <v/>
      </c>
      <c r="AE46" s="3110"/>
      <c r="AF46" s="3110"/>
      <c r="AG46" s="3110"/>
      <c r="AH46" s="3110"/>
      <c r="AI46" s="3110"/>
      <c r="AJ46" s="3110"/>
      <c r="AK46" s="3110"/>
      <c r="AL46" s="3111"/>
      <c r="AM46" s="1354" t="s">
        <v>487</v>
      </c>
      <c r="AO46" s="607"/>
      <c r="AP46" s="607" t="str">
        <f>IF(T46="","",T46)</f>
        <v>Источник тепловой энергии  </v>
      </c>
      <c r="AQ46" s="607"/>
      <c r="AR46" s="607"/>
      <c r="AS46" s="1251">
        <v>21</v>
      </c>
    </row>
    <row s="10307" customFormat="1" customHeight="1" ht="14.25" hidden="1">
      <c r="A47" s="1439" t="s">
        <v>255</v>
      </c>
      <c r="B47" s="1439" t="s">
        <v>256</v>
      </c>
      <c r="C47" s="1439" t="s">
        <v>257</v>
      </c>
      <c r="D47" s="1439" t="s">
        <v>258</v>
      </c>
      <c r="E47" s="3116"/>
      <c r="F47" s="3116"/>
      <c r="G47" s="3116"/>
      <c r="H47" s="3116"/>
      <c r="I47" s="3117" t="str">
        <f>S46&amp;".1"</f>
        <v>....1</v>
      </c>
      <c r="J47" s="1439"/>
      <c r="K47" s="1439"/>
      <c r="L47" s="1442" t="s">
        <v>488</v>
      </c>
      <c r="M47" s="617"/>
      <c r="N47" s="617"/>
      <c r="O47" s="617"/>
      <c r="P47" s="3119">
        <v>1</v>
      </c>
      <c r="Q47" s="1427"/>
      <c r="R47" s="463"/>
      <c r="S47" s="1142"/>
      <c r="T47" s="1479"/>
      <c r="U47" s="1480"/>
      <c r="V47" s="3146"/>
      <c r="W47" s="3147"/>
      <c r="X47" s="3147"/>
      <c r="Y47" s="3147"/>
      <c r="Z47" s="3147"/>
      <c r="AA47" s="3147"/>
      <c r="AB47" s="3147"/>
      <c r="AC47" s="3148"/>
      <c r="AD47" s="3146"/>
      <c r="AE47" s="3147"/>
      <c r="AF47" s="3147"/>
      <c r="AG47" s="3147"/>
      <c r="AH47" s="3147"/>
      <c r="AI47" s="3147"/>
      <c r="AJ47" s="3147"/>
      <c r="AK47" s="3147"/>
      <c r="AL47" s="3148"/>
      <c r="AM47" s="1481"/>
      <c r="AO47" s="607"/>
      <c r="AP47" s="607" t="str">
        <f>IF(T47="","",T47)</f>
        <v/>
      </c>
      <c r="AQ47" s="607"/>
      <c r="AR47" s="607"/>
      <c r="AS47" s="618">
        <v>0</v>
      </c>
    </row>
    <row customHeight="1" ht="22.049999999999997">
      <c r="A48" s="1459" t="s">
        <v>255</v>
      </c>
      <c r="B48" s="1459" t="s">
        <v>256</v>
      </c>
      <c r="C48" s="1459" t="s">
        <v>257</v>
      </c>
      <c r="D48" s="1459" t="s">
        <v>258</v>
      </c>
      <c r="E48" s="3116"/>
      <c r="F48" s="3116"/>
      <c r="G48" s="3116"/>
      <c r="H48" s="3116"/>
      <c r="I48" s="3118"/>
      <c r="J48" s="3117" t="str">
        <f>S46&amp;".1"</f>
        <v>....1</v>
      </c>
      <c r="K48" s="1459"/>
      <c r="L48" s="1460" t="s">
        <v>491</v>
      </c>
      <c r="P48" s="3119"/>
      <c r="Q48" s="3119">
        <v>1</v>
      </c>
      <c r="R48" s="464"/>
      <c r="S48" s="1432" t="str">
        <f>$J48</f>
        <v>....1</v>
      </c>
      <c r="T48" s="394" t="s">
        <v>492</v>
      </c>
      <c r="U48" s="408"/>
      <c r="V48" s="3103"/>
      <c r="W48" s="3104"/>
      <c r="X48" s="3104"/>
      <c r="Y48" s="3104"/>
      <c r="Z48" s="3104"/>
      <c r="AA48" s="3104"/>
      <c r="AB48" s="3104"/>
      <c r="AC48" s="3105"/>
      <c r="AD48" s="3103"/>
      <c r="AE48" s="3104"/>
      <c r="AF48" s="3104"/>
      <c r="AG48" s="3104"/>
      <c r="AH48" s="3104"/>
      <c r="AI48" s="3104"/>
      <c r="AJ48" s="3104"/>
      <c r="AK48" s="3104"/>
      <c r="AL48" s="3105"/>
      <c r="AM48" s="1354" t="s">
        <v>493</v>
      </c>
      <c r="AO48" s="607"/>
      <c r="AP48" s="607" t="str">
        <f>IF(T48="","",T48)</f>
        <v>Группа потребителей</v>
      </c>
      <c r="AQ48" s="607"/>
      <c r="AR48" s="607"/>
      <c r="AS48" s="1251">
        <v>21</v>
      </c>
    </row>
    <row customHeight="1" ht="22.049999999999997">
      <c r="A49" s="1459" t="s">
        <v>255</v>
      </c>
      <c r="B49" s="1459" t="s">
        <v>256</v>
      </c>
      <c r="C49" s="1459" t="s">
        <v>257</v>
      </c>
      <c r="D49" s="1459" t="s">
        <v>258</v>
      </c>
      <c r="E49" s="3116"/>
      <c r="F49" s="3116"/>
      <c r="G49" s="3116"/>
      <c r="H49" s="3116"/>
      <c r="I49" s="3118"/>
      <c r="J49" s="3118"/>
      <c r="K49" s="3117" t="str">
        <f>J48&amp;".1"</f>
        <v>....1.1</v>
      </c>
      <c r="L49" s="1460" t="s">
        <v>494</v>
      </c>
      <c r="P49" s="3119"/>
      <c r="Q49" s="3119"/>
      <c r="R49" s="464">
        <v>1</v>
      </c>
      <c r="S49" s="1432" t="str">
        <f>$K49</f>
        <v>....1.1</v>
      </c>
      <c r="T49" s="1443"/>
      <c r="U49" s="408"/>
      <c r="V49" s="858"/>
      <c r="W49" s="433"/>
      <c r="X49" s="858"/>
      <c r="Y49" s="1353"/>
      <c r="Z49" s="3120"/>
      <c r="AA49" s="2989" t="s">
        <v>62</v>
      </c>
      <c r="AB49" s="3120"/>
      <c r="AC49" s="2989" t="s">
        <v>62</v>
      </c>
      <c r="AD49" s="858"/>
      <c r="AE49" s="433"/>
      <c r="AF49" s="858"/>
      <c r="AG49" s="1353"/>
      <c r="AH49" s="3120"/>
      <c r="AI49" s="2989" t="s">
        <v>62</v>
      </c>
      <c r="AJ49" s="3122"/>
      <c r="AK49" s="2989" t="s">
        <v>62</v>
      </c>
      <c r="AL49" s="1444"/>
      <c r="AM49" s="3138" t="s">
        <v>536</v>
      </c>
      <c r="AN49" s="618">
        <f>STRCHECKDATE(V50:AL50)</f>
      </c>
      <c r="AO49" s="607"/>
      <c r="AP49" s="607" t="str">
        <f>IF(T49="","",T49)</f>
        <v/>
      </c>
      <c r="AQ49" s="607"/>
      <c r="AR49" s="607"/>
      <c r="AS49" s="1251">
        <v>21</v>
      </c>
    </row>
    <row customHeight="1" ht="1.05">
      <c r="A50" s="1459" t="s">
        <v>255</v>
      </c>
      <c r="B50" s="1459" t="s">
        <v>256</v>
      </c>
      <c r="C50" s="1459" t="s">
        <v>257</v>
      </c>
      <c r="D50" s="1459" t="s">
        <v>258</v>
      </c>
      <c r="E50" s="3116"/>
      <c r="F50" s="3116"/>
      <c r="G50" s="3116"/>
      <c r="H50" s="3116"/>
      <c r="I50" s="3118"/>
      <c r="J50" s="3118"/>
      <c r="K50" s="3117"/>
      <c r="L50" s="1460"/>
      <c r="P50" s="3119"/>
      <c r="Q50" s="3119"/>
      <c r="R50" s="464"/>
      <c r="S50" s="1438"/>
      <c r="T50" s="408"/>
      <c r="U50" s="408"/>
      <c r="V50" s="433"/>
      <c r="W50" s="433"/>
      <c r="X50" s="433"/>
      <c r="Y50" s="436" t="str">
        <f>Z49&amp;"-"&amp;AB49</f>
        <v>-</v>
      </c>
      <c r="Z50" s="3121"/>
      <c r="AA50" s="2989"/>
      <c r="AB50" s="3121"/>
      <c r="AC50" s="2989"/>
      <c r="AD50" s="433"/>
      <c r="AE50" s="433"/>
      <c r="AF50" s="433"/>
      <c r="AG50" s="436" t="str">
        <f>AH49&amp;"-"&amp;AJ49</f>
        <v>-</v>
      </c>
      <c r="AH50" s="3121"/>
      <c r="AI50" s="2989"/>
      <c r="AJ50" s="3123"/>
      <c r="AK50" s="2989"/>
      <c r="AL50" s="1445"/>
      <c r="AM50" s="3139"/>
      <c r="AO50" s="607"/>
      <c r="AP50" s="607" t="str">
        <f>IF(T50="","",T50)</f>
        <v/>
      </c>
      <c r="AQ50" s="607"/>
      <c r="AR50" s="607"/>
      <c r="AS50" s="1251">
        <v>1</v>
      </c>
    </row>
    <row customHeight="1" ht="11.549999999999999">
      <c r="A51" s="1459" t="s">
        <v>255</v>
      </c>
      <c r="B51" s="1459" t="s">
        <v>256</v>
      </c>
      <c r="C51" s="1459" t="s">
        <v>257</v>
      </c>
      <c r="D51" s="1459" t="s">
        <v>258</v>
      </c>
      <c r="E51" s="3116"/>
      <c r="F51" s="3116"/>
      <c r="G51" s="3116"/>
      <c r="H51" s="3116"/>
      <c r="I51" s="3118"/>
      <c r="J51" s="3117"/>
      <c r="K51" s="1459"/>
      <c r="L51" s="1460"/>
      <c r="P51" s="3119"/>
      <c r="Q51" s="3119"/>
      <c r="R51" s="463"/>
      <c r="S51" s="1374"/>
      <c r="T51" s="395" t="s">
        <v>496</v>
      </c>
      <c r="U51" s="474"/>
      <c r="V51" s="474"/>
      <c r="W51" s="474"/>
      <c r="X51" s="474"/>
      <c r="Y51" s="474"/>
      <c r="Z51" s="474"/>
      <c r="AA51" s="474"/>
      <c r="AB51" s="474"/>
      <c r="AC51" s="474"/>
      <c r="AD51" s="474"/>
      <c r="AE51" s="474"/>
      <c r="AF51" s="474"/>
      <c r="AG51" s="474"/>
      <c r="AH51" s="474"/>
      <c r="AI51" s="474"/>
      <c r="AJ51" s="474"/>
      <c r="AK51" s="474"/>
      <c r="AL51" s="432"/>
      <c r="AM51" s="3140"/>
      <c r="AO51" s="607"/>
      <c r="AP51" s="607" t="str">
        <f>IF(T51="","",T51)</f>
        <v>Добавить вид теплоносителя (параметры теплоносителя)</v>
      </c>
      <c r="AQ51" s="607"/>
      <c r="AR51" s="607"/>
      <c r="AS51" s="1251">
        <v>11</v>
      </c>
    </row>
    <row customHeight="1" ht="11.549999999999999">
      <c r="A52" s="1459" t="s">
        <v>255</v>
      </c>
      <c r="B52" s="1459" t="s">
        <v>256</v>
      </c>
      <c r="C52" s="1459" t="s">
        <v>257</v>
      </c>
      <c r="D52" s="1459" t="s">
        <v>258</v>
      </c>
      <c r="E52" s="3116"/>
      <c r="F52" s="3116"/>
      <c r="G52" s="3116"/>
      <c r="H52" s="3116"/>
      <c r="I52" s="3117"/>
      <c r="J52" s="1459"/>
      <c r="K52" s="1459"/>
      <c r="L52" s="1460"/>
      <c r="P52" s="3119"/>
      <c r="Q52" s="1427"/>
      <c r="R52" s="463"/>
      <c r="S52" s="1374"/>
      <c r="T52" s="472" t="s">
        <v>497</v>
      </c>
      <c r="U52" s="474"/>
      <c r="V52" s="474"/>
      <c r="W52" s="474"/>
      <c r="X52" s="474"/>
      <c r="Y52" s="474"/>
      <c r="Z52" s="474"/>
      <c r="AA52" s="474"/>
      <c r="AB52" s="474"/>
      <c r="AC52" s="473"/>
      <c r="AD52" s="474"/>
      <c r="AE52" s="474"/>
      <c r="AF52" s="474"/>
      <c r="AG52" s="474"/>
      <c r="AH52" s="474"/>
      <c r="AI52" s="474"/>
      <c r="AJ52" s="474"/>
      <c r="AK52" s="473"/>
      <c r="AL52" s="474"/>
      <c r="AM52" s="411"/>
      <c r="AO52" s="607"/>
      <c r="AP52" s="607" t="str">
        <f>IF(T52="","",T52)</f>
        <v>Добавить группу потребителей</v>
      </c>
      <c r="AQ52" s="607"/>
      <c r="AR52" s="607"/>
      <c r="AS52" s="1251">
        <v>11</v>
      </c>
    </row>
    <row customHeight="1" ht="14.25" hidden="1">
      <c r="A53" s="1459" t="s">
        <v>255</v>
      </c>
      <c r="B53" s="1459" t="s">
        <v>256</v>
      </c>
      <c r="C53" s="1459" t="s">
        <v>257</v>
      </c>
      <c r="D53" s="1459" t="s">
        <v>258</v>
      </c>
      <c r="E53" s="3116"/>
      <c r="F53" s="3116"/>
      <c r="G53" s="3116"/>
      <c r="H53" s="3115"/>
      <c r="I53" s="1459"/>
      <c r="J53" s="1459"/>
      <c r="K53" s="1459"/>
      <c r="L53" s="1460"/>
      <c r="M53" s="1461"/>
      <c r="N53" s="1461"/>
      <c r="O53" s="644"/>
      <c r="P53" s="467"/>
      <c r="Q53" s="482"/>
      <c r="R53" s="462"/>
      <c r="S53" s="1482"/>
      <c r="T53" s="1483"/>
      <c r="U53" s="1484"/>
      <c r="V53" s="1484"/>
      <c r="W53" s="1484"/>
      <c r="X53" s="1484"/>
      <c r="Y53" s="1484"/>
      <c r="Z53" s="1484"/>
      <c r="AA53" s="1484"/>
      <c r="AB53" s="1484"/>
      <c r="AC53" s="1484"/>
      <c r="AD53" s="1484"/>
      <c r="AE53" s="1484"/>
      <c r="AF53" s="1484"/>
      <c r="AG53" s="1484"/>
      <c r="AH53" s="1484"/>
      <c r="AI53" s="1484"/>
      <c r="AJ53" s="1484"/>
      <c r="AK53" s="1484"/>
      <c r="AL53" s="1484"/>
      <c r="AM53" s="1485"/>
      <c r="AO53" s="607"/>
      <c r="AP53" s="607" t="str">
        <f>IF(T53="","",T53)</f>
        <v/>
      </c>
      <c r="AQ53" s="607"/>
      <c r="AR53" s="607"/>
      <c r="AS53" s="1251">
        <v>0</v>
      </c>
    </row>
    <row s="10307" customFormat="1" customHeight="1" ht="1.05">
      <c r="A54" s="1439" t="s">
        <v>255</v>
      </c>
      <c r="B54" s="1439" t="s">
        <v>256</v>
      </c>
      <c r="C54" s="1439" t="s">
        <v>257</v>
      </c>
      <c r="D54" s="1410"/>
      <c r="E54" s="3116"/>
      <c r="F54" s="3116"/>
      <c r="G54" s="3115"/>
      <c r="H54" s="1410"/>
      <c r="I54" s="1410"/>
      <c r="J54" s="1410"/>
      <c r="K54" s="1410"/>
      <c r="L54" s="1435"/>
      <c r="M54" s="1411"/>
      <c r="N54" s="1411"/>
      <c r="P54" s="1412"/>
      <c r="Q54" s="1413"/>
      <c r="R54" s="1412"/>
      <c r="S54" s="1418"/>
      <c r="T54" s="1421" t="s">
        <v>499</v>
      </c>
      <c r="U54" s="1420"/>
      <c r="V54" s="1420"/>
      <c r="W54" s="1420"/>
      <c r="X54" s="1420"/>
      <c r="Y54" s="1420"/>
      <c r="Z54" s="1420"/>
      <c r="AA54" s="1420"/>
      <c r="AB54" s="1420"/>
      <c r="AC54" s="1420"/>
      <c r="AD54" s="1420"/>
      <c r="AE54" s="1420"/>
      <c r="AF54" s="1420"/>
      <c r="AG54" s="1420"/>
      <c r="AH54" s="1420"/>
      <c r="AI54" s="1420"/>
      <c r="AJ54" s="1420"/>
      <c r="AK54" s="1420"/>
      <c r="AL54" s="1420"/>
      <c r="AM54" s="1420"/>
      <c r="AO54" s="890"/>
      <c r="AP54" s="890" t="str">
        <f>IF(T54="","",T54)</f>
        <v>Добавить источник для дифференциации</v>
      </c>
      <c r="AQ54" s="890"/>
      <c r="AR54" s="890"/>
      <c r="AS54" s="625">
        <v>1</v>
      </c>
    </row>
    <row s="10307" customFormat="1" customHeight="1" ht="1.05">
      <c r="A55" s="1439" t="s">
        <v>255</v>
      </c>
      <c r="B55" s="1439" t="s">
        <v>256</v>
      </c>
      <c r="C55" s="1410"/>
      <c r="D55" s="1410"/>
      <c r="E55" s="3116"/>
      <c r="F55" s="3115"/>
      <c r="G55" s="1410"/>
      <c r="H55" s="1410"/>
      <c r="I55" s="1410"/>
      <c r="J55" s="1410"/>
      <c r="K55" s="1410"/>
      <c r="L55" s="1435"/>
      <c r="M55" s="1417"/>
      <c r="N55" s="1417"/>
      <c r="P55" s="1412"/>
      <c r="Q55" s="1413"/>
      <c r="R55" s="1412"/>
      <c r="S55" s="1418"/>
      <c r="T55" s="1421" t="s">
        <v>500</v>
      </c>
      <c r="U55" s="1420"/>
      <c r="V55" s="1420"/>
      <c r="W55" s="1420"/>
      <c r="X55" s="1420"/>
      <c r="Y55" s="1420"/>
      <c r="Z55" s="1420"/>
      <c r="AA55" s="1420"/>
      <c r="AB55" s="1420"/>
      <c r="AC55" s="1420"/>
      <c r="AD55" s="1420"/>
      <c r="AE55" s="1420"/>
      <c r="AF55" s="1420"/>
      <c r="AG55" s="1420"/>
      <c r="AH55" s="1420"/>
      <c r="AI55" s="1420"/>
      <c r="AJ55" s="1420"/>
      <c r="AK55" s="1420"/>
      <c r="AL55" s="1420"/>
      <c r="AM55" s="1420"/>
      <c r="AO55" s="890"/>
      <c r="AP55" s="890" t="str">
        <f>IF(T55="","",T55)</f>
        <v>Добавить централизованную систему для дифференциации</v>
      </c>
      <c r="AQ55" s="890"/>
      <c r="AR55" s="890"/>
      <c r="AS55" s="625">
        <v>1</v>
      </c>
    </row>
    <row s="10307" customFormat="1" customHeight="1" ht="1.05">
      <c r="A56" s="1439" t="s">
        <v>255</v>
      </c>
      <c r="B56" s="1439"/>
      <c r="C56" s="1439"/>
      <c r="D56" s="1439"/>
      <c r="E56" s="3115"/>
      <c r="F56" s="1439"/>
      <c r="G56" s="1439"/>
      <c r="H56" s="1439"/>
      <c r="I56" s="1439"/>
      <c r="J56" s="1439"/>
      <c r="K56" s="1439"/>
      <c r="L56" s="1442"/>
      <c r="M56" s="1417"/>
      <c r="N56" s="1417"/>
      <c r="O56" s="625"/>
      <c r="P56" s="487"/>
      <c r="Q56" s="1440"/>
      <c r="R56" s="487"/>
      <c r="S56" s="1418"/>
      <c r="T56" s="1421" t="s">
        <v>501</v>
      </c>
      <c r="U56" s="1420"/>
      <c r="V56" s="1420"/>
      <c r="W56" s="1420"/>
      <c r="X56" s="1420"/>
      <c r="Y56" s="1420"/>
      <c r="Z56" s="1420"/>
      <c r="AA56" s="1420"/>
      <c r="AB56" s="1420"/>
      <c r="AC56" s="1420"/>
      <c r="AD56" s="1420"/>
      <c r="AE56" s="1420"/>
      <c r="AF56" s="1420"/>
      <c r="AG56" s="1420"/>
      <c r="AH56" s="1420"/>
      <c r="AI56" s="1420"/>
      <c r="AJ56" s="1420"/>
      <c r="AK56" s="1420"/>
      <c r="AL56" s="1420"/>
      <c r="AM56" s="1420"/>
      <c r="AO56" s="607"/>
      <c r="AP56" s="607" t="str">
        <f>IF(T56="","",T56)</f>
        <v>Добавить территорию для дифференциации</v>
      </c>
      <c r="AQ56" s="607"/>
      <c r="AR56" s="607"/>
      <c r="AS56" s="618">
        <v>1</v>
      </c>
    </row>
    <row s="10307" customFormat="1" customHeight="1" ht="1.05">
      <c r="A57" s="1410"/>
      <c r="B57" s="1410"/>
      <c r="C57" s="1410"/>
      <c r="D57" s="1410"/>
      <c r="E57" s="1439"/>
      <c r="F57" s="1410"/>
      <c r="G57" s="1410"/>
      <c r="H57" s="1410"/>
      <c r="I57" s="1410"/>
      <c r="J57" s="1410"/>
      <c r="K57" s="1410"/>
      <c r="L57" s="1435"/>
      <c r="M57" s="1417"/>
      <c r="N57" s="1417"/>
      <c r="P57" s="1412"/>
      <c r="Q57" s="1413"/>
      <c r="R57" s="1412"/>
      <c r="S57" s="1418"/>
      <c r="T57" s="1421" t="s">
        <v>533</v>
      </c>
      <c r="U57" s="1420"/>
      <c r="V57" s="1420"/>
      <c r="W57" s="1420"/>
      <c r="X57" s="1420"/>
      <c r="Y57" s="1420"/>
      <c r="Z57" s="1420"/>
      <c r="AA57" s="1420"/>
      <c r="AB57" s="1420"/>
      <c r="AC57" s="1420"/>
      <c r="AD57" s="1420"/>
      <c r="AE57" s="1420"/>
      <c r="AF57" s="1420"/>
      <c r="AG57" s="1420"/>
      <c r="AH57" s="1420"/>
      <c r="AI57" s="1420"/>
      <c r="AJ57" s="1420"/>
      <c r="AK57" s="1420"/>
      <c r="AL57" s="1420"/>
      <c r="AM57" s="1420"/>
      <c r="AO57" s="890"/>
      <c r="AP57" s="890" t="str">
        <f>IF(T57="","",T57)</f>
        <v>Добавить наименование тарифа</v>
      </c>
      <c r="AQ57" s="890"/>
      <c r="AR57" s="890"/>
      <c r="AS57" s="625">
        <v>1</v>
      </c>
    </row>
    <row customHeight="1" ht="11.549999999999999">
      <c r="M58" s="1256"/>
      <c r="N58" s="1256"/>
      <c r="O58" s="644"/>
      <c r="P58" s="1251"/>
      <c r="Q58" s="1251"/>
      <c r="R58" s="1251"/>
      <c r="S58" s="1251"/>
      <c r="AN58" s="1251"/>
      <c r="AO58" s="1251"/>
      <c r="AP58" s="1251"/>
      <c r="AQ58" s="1251"/>
      <c r="AR58" s="1251"/>
      <c r="AS58" s="1251">
        <v>11</v>
      </c>
    </row>
    <row customHeight="1" ht="19.95">
      <c r="O59" s="644"/>
      <c r="S59" s="1349"/>
      <c r="T59" s="3114"/>
      <c r="U59" s="3114"/>
      <c r="V59" s="3114"/>
      <c r="W59" s="3114"/>
      <c r="X59" s="3114"/>
      <c r="Y59" s="3114"/>
      <c r="Z59" s="3114"/>
      <c r="AA59" s="3114"/>
      <c r="AB59" s="3114"/>
      <c r="AC59" s="3114"/>
      <c r="AD59" s="3114"/>
      <c r="AE59" s="3114"/>
      <c r="AF59" s="3114"/>
      <c r="AG59" s="3114"/>
      <c r="AH59" s="3114"/>
      <c r="AI59" s="3114"/>
      <c r="AJ59" s="3114"/>
      <c r="AK59" s="3114"/>
      <c r="AL59" s="3114"/>
      <c r="AM59" s="3114"/>
      <c r="AS59" s="1251">
        <v>19</v>
      </c>
    </row>
    <row customHeight="1" ht="29.25">
      <c r="O60" s="644"/>
      <c r="T60" s="3114"/>
      <c r="U60" s="3114"/>
      <c r="V60" s="3114"/>
      <c r="W60" s="3114"/>
      <c r="X60" s="3114"/>
      <c r="Y60" s="3114"/>
      <c r="Z60" s="3114"/>
      <c r="AA60" s="3114"/>
      <c r="AB60" s="3114"/>
      <c r="AC60" s="3114"/>
      <c r="AD60" s="3114"/>
      <c r="AE60" s="3114"/>
      <c r="AF60" s="3114"/>
      <c r="AG60" s="3114"/>
      <c r="AH60" s="3114"/>
      <c r="AI60" s="3114"/>
      <c r="AJ60" s="3114"/>
      <c r="AK60" s="3114"/>
      <c r="AL60" s="3114"/>
      <c r="AM60" s="3114"/>
      <c r="AS60" s="1251">
        <v>28</v>
      </c>
    </row>
    <row customHeight="1" ht="42">
      <c r="O61" s="644"/>
      <c r="T61" s="3114"/>
      <c r="U61" s="3114"/>
      <c r="V61" s="3114"/>
      <c r="W61" s="3114"/>
      <c r="X61" s="3114"/>
      <c r="Y61" s="3114"/>
      <c r="Z61" s="3114"/>
      <c r="AA61" s="3114"/>
      <c r="AB61" s="3114"/>
      <c r="AC61" s="3114"/>
      <c r="AD61" s="3114"/>
      <c r="AE61" s="3114"/>
      <c r="AF61" s="3114"/>
      <c r="AG61" s="3114"/>
      <c r="AH61" s="3114"/>
      <c r="AI61" s="3114"/>
      <c r="AJ61" s="3114"/>
      <c r="AK61" s="3114"/>
      <c r="AL61" s="3114"/>
      <c r="AM61" s="3114"/>
      <c r="AS61" s="1251">
        <v>40</v>
      </c>
    </row>
    <row customHeight="1" ht="14.699999999999998">
      <c r="O62" s="644"/>
      <c r="AS62" s="1251">
        <v>14</v>
      </c>
    </row>
    <row customHeight="1" ht="21">
      <c r="O63" s="644"/>
      <c r="S63" s="1349"/>
      <c r="T63" s="3028"/>
      <c r="U63" s="3114"/>
      <c r="V63" s="3114"/>
      <c r="W63" s="3114"/>
      <c r="X63" s="3114"/>
      <c r="Y63" s="3114"/>
      <c r="Z63" s="3114"/>
      <c r="AA63" s="3114"/>
      <c r="AB63" s="3114"/>
      <c r="AC63" s="3114"/>
      <c r="AD63" s="3114"/>
      <c r="AE63" s="3114"/>
      <c r="AF63" s="3114"/>
      <c r="AG63" s="3114"/>
      <c r="AH63" s="3114"/>
      <c r="AI63" s="3114"/>
      <c r="AJ63" s="3114"/>
      <c r="AK63" s="3114"/>
      <c r="AL63" s="3114"/>
      <c r="AM63" s="3114"/>
      <c r="AS63" s="1251">
        <v>20</v>
      </c>
    </row>
    <row customHeight="1" ht="29.25">
      <c r="O64" s="644"/>
      <c r="T64" s="3114"/>
      <c r="U64" s="3114"/>
      <c r="V64" s="3114"/>
      <c r="W64" s="3114"/>
      <c r="X64" s="3114"/>
      <c r="Y64" s="3114"/>
      <c r="Z64" s="3114"/>
      <c r="AA64" s="3114"/>
      <c r="AB64" s="3114"/>
      <c r="AC64" s="3114"/>
      <c r="AD64" s="3114"/>
      <c r="AE64" s="3114"/>
      <c r="AF64" s="3114"/>
      <c r="AG64" s="3114"/>
      <c r="AH64" s="3114"/>
      <c r="AI64" s="3114"/>
      <c r="AJ64" s="3114"/>
      <c r="AK64" s="3114"/>
      <c r="AL64" s="3114"/>
      <c r="AM64" s="3114"/>
      <c r="AS64" s="1251">
        <v>28</v>
      </c>
    </row>
    <row customHeight="1" ht="35.699999999999996">
      <c r="T65" s="3114"/>
      <c r="U65" s="3114"/>
      <c r="V65" s="3114"/>
      <c r="W65" s="3114"/>
      <c r="X65" s="3114"/>
      <c r="Y65" s="3114"/>
      <c r="Z65" s="3114"/>
      <c r="AA65" s="3114"/>
      <c r="AB65" s="3114"/>
      <c r="AC65" s="3114"/>
      <c r="AD65" s="3114"/>
      <c r="AE65" s="3114"/>
      <c r="AF65" s="3114"/>
      <c r="AG65" s="3114"/>
      <c r="AH65" s="3114"/>
      <c r="AI65" s="3114"/>
      <c r="AJ65" s="3114"/>
      <c r="AK65" s="3114"/>
      <c r="AL65" s="3114"/>
      <c r="AM65" s="3114"/>
      <c r="AS65" s="1251">
        <v>34</v>
      </c>
    </row>
    <row customHeight="1" ht="22.5" hidden="1">
      <c r="A66" s="1256" t="s">
        <v>82</v>
      </c>
      <c r="B66" s="1256">
        <v>0</v>
      </c>
      <c r="C66" s="1256">
        <v>0</v>
      </c>
      <c r="D66" s="1256">
        <v>0</v>
      </c>
      <c r="E66" s="1256">
        <v>0</v>
      </c>
      <c r="F66" s="1256">
        <v>0</v>
      </c>
      <c r="G66" s="1256">
        <v>0</v>
      </c>
      <c r="H66" s="1256">
        <v>0</v>
      </c>
      <c r="I66" s="1256">
        <v>0</v>
      </c>
      <c r="J66" s="1256">
        <v>0</v>
      </c>
      <c r="K66" s="1256">
        <v>0</v>
      </c>
      <c r="L66" s="1425">
        <v>0</v>
      </c>
      <c r="M66" s="1458">
        <v>0</v>
      </c>
      <c r="N66" s="1458">
        <v>0</v>
      </c>
      <c r="O66" s="1458">
        <v>0</v>
      </c>
      <c r="P66" s="1424">
        <v>0</v>
      </c>
      <c r="Q66" s="452">
        <v>3</v>
      </c>
      <c r="R66" s="452">
        <v>3</v>
      </c>
      <c r="S66" s="688">
        <v>12</v>
      </c>
      <c r="T66" s="1251">
        <v>31</v>
      </c>
      <c r="U66" s="1251">
        <v>0</v>
      </c>
      <c r="V66" s="1251">
        <v>0</v>
      </c>
      <c r="W66" s="1251">
        <v>0</v>
      </c>
      <c r="X66" s="1251">
        <v>0</v>
      </c>
      <c r="Y66" s="1251">
        <v>0</v>
      </c>
      <c r="Z66" s="1251">
        <v>0</v>
      </c>
      <c r="AA66" s="1251">
        <v>0</v>
      </c>
      <c r="AB66" s="1251">
        <v>0</v>
      </c>
      <c r="AC66" s="1251">
        <v>0</v>
      </c>
      <c r="AD66" s="1251">
        <v>24</v>
      </c>
      <c r="AE66" s="1251">
        <v>0</v>
      </c>
      <c r="AF66" s="1251">
        <v>24</v>
      </c>
      <c r="AG66" s="1251">
        <v>24</v>
      </c>
      <c r="AH66" s="1251">
        <v>11</v>
      </c>
      <c r="AI66" s="1251">
        <v>3</v>
      </c>
      <c r="AJ66" s="1251">
        <v>11</v>
      </c>
      <c r="AK66" s="1251">
        <v>0</v>
      </c>
      <c r="AL66" s="1251">
        <v>4</v>
      </c>
      <c r="AM66" s="1251">
        <v>115</v>
      </c>
      <c r="AN66" s="618">
        <v>10</v>
      </c>
      <c r="AO66" s="618">
        <v>10</v>
      </c>
      <c r="AP66" s="618">
        <v>10</v>
      </c>
      <c r="AQ66" s="618">
        <v>10</v>
      </c>
      <c r="AR66" s="618">
        <v>10</v>
      </c>
      <c r="AS66" s="1251">
        <v>23</v>
      </c>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D75FC-6171-B765-06A9-9CFECC835F7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2.00390625" hidden="1" customWidth="1"/>
    <col min="10" max="10" style="10306" width="9.8515625" hidden="1" customWidth="1"/>
    <col min="11" max="11" style="10306" width="11.421875" hidden="1" customWidth="1"/>
    <col min="12" max="12" style="11079" width="19.140625" hidden="1" customWidth="1"/>
    <col min="13" max="14" style="11080" width="12.28125" hidden="1" customWidth="1"/>
    <col min="15" max="15" style="11080" width="23.421875" hidden="1" customWidth="1"/>
    <col min="16" max="16" style="11081" width="3.7109375" hidden="1" customWidth="1"/>
    <col min="17" max="18" style="11082" width="3.00390625" customWidth="1"/>
    <col min="19" max="19" style="11083" width="12.00390625" customWidth="1"/>
    <col min="20" max="20" style="10232" width="31.00390625" customWidth="1"/>
    <col min="21" max="21" style="10232" width="0.140625" customWidth="1"/>
    <col min="22" max="22" style="10232" width="24.7109375" hidden="1" customWidth="1"/>
    <col min="23" max="23" style="10232" width="0.140625" hidden="1" customWidth="1"/>
    <col min="24" max="25" style="10232" width="24.7109375" hidden="1" customWidth="1"/>
    <col min="26" max="26" style="10232" width="11.7109375" hidden="1" customWidth="1"/>
    <col min="27" max="27" style="10232" width="3.7109375" hidden="1" customWidth="1"/>
    <col min="28" max="28" style="10232" width="11.7109375" hidden="1" customWidth="1"/>
    <col min="29" max="29" style="10232" width="8.57421875" hidden="1" customWidth="1"/>
    <col min="30" max="30" style="10232" width="24.7109375" customWidth="1"/>
    <col min="31" max="31" style="10232" width="0.140625" customWidth="1"/>
    <col min="32" max="33" style="10232" width="24.00390625" customWidth="1"/>
    <col min="34" max="34" style="10232" width="11.00390625" customWidth="1"/>
    <col min="35" max="35" style="10232" width="3.7109375" customWidth="1"/>
    <col min="36" max="36" style="10232" width="11.00390625" customWidth="1"/>
    <col min="37" max="37" style="10232" width="8.57421875" hidden="1" customWidth="1"/>
    <col min="38" max="38" style="10232" width="4.00390625" customWidth="1"/>
    <col min="39" max="39" style="10232" width="115.00390625" customWidth="1"/>
    <col min="40" max="44" style="10307" width="10.00390625" customWidth="1"/>
    <col min="45" max="45" style="10232" width="10.57421875" hidden="1"/>
  </cols>
  <sheetData>
    <row customHeight="1" ht="22.5" hidden="1">
      <c r="A1" s="1965"/>
      <c r="Y1" s="435"/>
      <c r="Z1" s="435"/>
      <c r="AG1" s="435"/>
      <c r="AH1" s="435"/>
      <c r="AS1" s="1251" t="s">
        <v>14</v>
      </c>
    </row>
    <row customHeight="1" ht="21" hidden="1">
      <c r="A2" s="1459"/>
      <c r="B2" s="1459"/>
      <c r="C2" s="1459"/>
      <c r="D2" s="1459"/>
      <c r="E2" s="3115">
        <v>1</v>
      </c>
      <c r="F2" s="1459"/>
      <c r="G2" s="1459"/>
      <c r="H2" s="1459"/>
      <c r="I2" s="1459"/>
      <c r="J2" s="1459"/>
      <c r="K2" s="1459"/>
      <c r="L2" s="1460"/>
      <c r="M2" s="1461"/>
      <c r="N2" s="1461"/>
      <c r="O2" s="1461"/>
      <c r="P2" s="468"/>
      <c r="Q2" s="467"/>
      <c r="R2" s="462"/>
      <c r="S2" s="1432">
        <f>INDEX(PT_DIFFERENTIATION_NUM_NTAR,MATCH(A2,PT_DIFFERENTIATION_NTAR_ID,0))</f>
      </c>
      <c r="T2" s="406" t="s">
        <v>210</v>
      </c>
      <c r="U2" s="408"/>
      <c r="V2" s="3109"/>
      <c r="W2" s="3110"/>
      <c r="X2" s="3110"/>
      <c r="Y2" s="3110"/>
      <c r="Z2" s="3110"/>
      <c r="AA2" s="3110"/>
      <c r="AB2" s="3110"/>
      <c r="AC2" s="3111"/>
      <c r="AD2" s="3109">
        <f>INDEX(PT_DIFFERENTIATION_NTAR,MATCH(A2,PT_DIFFERENTIATION_NTAR_ID,0))</f>
      </c>
      <c r="AE2" s="3110"/>
      <c r="AF2" s="3110"/>
      <c r="AG2" s="3110"/>
      <c r="AH2" s="3110"/>
      <c r="AI2" s="3110"/>
      <c r="AJ2" s="3110"/>
      <c r="AK2" s="3110"/>
      <c r="AL2" s="3111"/>
      <c r="AM2" s="1354" t="s">
        <v>481</v>
      </c>
      <c r="AO2" s="607"/>
      <c r="AP2" s="607" t="str">
        <f>IF(T2="","",T2)</f>
        <v>Наименование тарифа</v>
      </c>
      <c r="AQ2" s="607"/>
      <c r="AR2" s="607"/>
      <c r="AS2" s="1251">
        <v>0</v>
      </c>
    </row>
    <row customHeight="1" ht="21" hidden="1">
      <c r="A3" s="1459"/>
      <c r="B3" s="1459"/>
      <c r="C3" s="1459"/>
      <c r="D3" s="1459"/>
      <c r="E3" s="3116"/>
      <c r="F3" s="3115">
        <v>1</v>
      </c>
      <c r="G3" s="1459"/>
      <c r="H3" s="1459"/>
      <c r="I3" s="1459"/>
      <c r="J3" s="1459"/>
      <c r="K3" s="1459"/>
      <c r="L3" s="1460"/>
      <c r="M3" s="1461"/>
      <c r="N3" s="1461"/>
      <c r="O3" s="1461"/>
      <c r="P3" s="1428"/>
      <c r="Q3" s="459"/>
      <c r="R3" s="460"/>
      <c r="S3" s="1432">
        <f>INDEX(PT_DIFFERENTIATION_NUM_TER,MATCH(B3,PT_DIFFERENTIATION_TER_ID,0))</f>
      </c>
      <c r="T3" s="416" t="s">
        <v>482</v>
      </c>
      <c r="U3" s="408"/>
      <c r="V3" s="3109"/>
      <c r="W3" s="3110"/>
      <c r="X3" s="3110"/>
      <c r="Y3" s="3110"/>
      <c r="Z3" s="3110"/>
      <c r="AA3" s="3110"/>
      <c r="AB3" s="3110"/>
      <c r="AC3" s="3111"/>
      <c r="AD3" s="3109">
        <f>INDEX(PT_DIFFERENTIATION_TER,MATCH(B3,PT_DIFFERENTIATION_TER_ID,0))</f>
      </c>
      <c r="AE3" s="3110"/>
      <c r="AF3" s="3110"/>
      <c r="AG3" s="3110"/>
      <c r="AH3" s="3110"/>
      <c r="AI3" s="3110"/>
      <c r="AJ3" s="3110"/>
      <c r="AK3" s="3110"/>
      <c r="AL3" s="3111"/>
      <c r="AM3" s="1354" t="s">
        <v>483</v>
      </c>
      <c r="AO3" s="607"/>
      <c r="AP3" s="607" t="str">
        <f>IF(T3="","",T3)</f>
        <v>Территория действия тарифа</v>
      </c>
      <c r="AQ3" s="607"/>
      <c r="AR3" s="607"/>
      <c r="AS3" s="1251">
        <v>0</v>
      </c>
    </row>
    <row customHeight="1" ht="23.25" hidden="1">
      <c r="A4" s="1459"/>
      <c r="B4" s="1459"/>
      <c r="C4" s="1459"/>
      <c r="D4" s="1459"/>
      <c r="E4" s="3116"/>
      <c r="F4" s="3116"/>
      <c r="G4" s="3115">
        <v>1</v>
      </c>
      <c r="H4" s="1459"/>
      <c r="I4" s="1459"/>
      <c r="J4" s="1459"/>
      <c r="K4" s="1459"/>
      <c r="L4" s="1460"/>
      <c r="M4" s="1461"/>
      <c r="N4" s="1461"/>
      <c r="O4" s="1461"/>
      <c r="P4" s="461"/>
      <c r="Q4" s="459"/>
      <c r="R4" s="460"/>
      <c r="S4" s="2099">
        <f>INDEX(PT_DIFFERENTIATION_NUM_CS,MATCH(C4,PT_DIFFERENTIATION_CS_ID,0))</f>
      </c>
      <c r="T4" s="2103" t="s">
        <v>484</v>
      </c>
      <c r="U4" s="2104"/>
      <c r="V4" s="3151"/>
      <c r="W4" s="3152"/>
      <c r="X4" s="3152"/>
      <c r="Y4" s="3152"/>
      <c r="Z4" s="3152"/>
      <c r="AA4" s="3152"/>
      <c r="AB4" s="3152"/>
      <c r="AC4" s="3153"/>
      <c r="AD4" s="3151">
        <f>INDEX(PT_DIFFERENTIATION_CS,MATCH(C4,PT_DIFFERENTIATION_CS_ID,0))</f>
      </c>
      <c r="AE4" s="3152"/>
      <c r="AF4" s="3152"/>
      <c r="AG4" s="3152"/>
      <c r="AH4" s="3152"/>
      <c r="AI4" s="3152"/>
      <c r="AJ4" s="3152"/>
      <c r="AK4" s="3152"/>
      <c r="AL4" s="3153"/>
      <c r="AM4" s="1354" t="s">
        <v>485</v>
      </c>
      <c r="AO4" s="607"/>
      <c r="AP4" s="607" t="str">
        <f>IF(T4="","",T4)</f>
        <v>Наименование системы теплоснабжения </v>
      </c>
      <c r="AQ4" s="607"/>
      <c r="AR4" s="607"/>
      <c r="AS4" s="1251">
        <v>0</v>
      </c>
    </row>
    <row customHeight="1" ht="21" hidden="1">
      <c r="A5" s="1459"/>
      <c r="B5" s="1459"/>
      <c r="C5" s="1459"/>
      <c r="D5" s="1459"/>
      <c r="E5" s="3116"/>
      <c r="F5" s="3116"/>
      <c r="G5" s="3116"/>
      <c r="H5" s="3115">
        <v>1</v>
      </c>
      <c r="I5" s="1459"/>
      <c r="J5" s="1459"/>
      <c r="K5" s="1459"/>
      <c r="L5" s="1460"/>
      <c r="M5" s="1461"/>
      <c r="N5" s="1461"/>
      <c r="O5" s="1461"/>
      <c r="P5" s="461"/>
      <c r="Q5" s="459"/>
      <c r="R5" s="1731"/>
      <c r="S5" s="2098">
        <f>INDEX(PT_DIFFERENTIATION_NUM_IST_TE,MATCH(D5,PT_DIFFERENTIATION_IST_TE_ID,0))</f>
      </c>
      <c r="T5" s="418" t="s">
        <v>486</v>
      </c>
      <c r="U5" s="408"/>
      <c r="V5" s="3154"/>
      <c r="W5" s="3154"/>
      <c r="X5" s="3154"/>
      <c r="Y5" s="3154"/>
      <c r="Z5" s="3154"/>
      <c r="AA5" s="3154"/>
      <c r="AB5" s="3154"/>
      <c r="AC5" s="3154"/>
      <c r="AD5" s="3154">
        <f>INDEX(PT_DIFFERENTIATION_IST_TE,MATCH(D5,PT_DIFFERENTIATION_IST_TE_ID,0))</f>
      </c>
      <c r="AE5" s="3154"/>
      <c r="AF5" s="3154"/>
      <c r="AG5" s="3154"/>
      <c r="AH5" s="3154"/>
      <c r="AI5" s="3154"/>
      <c r="AJ5" s="3154"/>
      <c r="AK5" s="3154"/>
      <c r="AL5" s="3154"/>
      <c r="AM5" s="2101" t="s">
        <v>487</v>
      </c>
      <c r="AO5" s="607"/>
      <c r="AP5" s="607" t="str">
        <f>IF(T5="","",T5)</f>
        <v>Источник тепловой энергии  </v>
      </c>
      <c r="AQ5" s="607"/>
      <c r="AR5" s="607"/>
      <c r="AS5" s="1251">
        <v>0</v>
      </c>
    </row>
    <row customHeight="1" ht="0.75" hidden="1">
      <c r="A6" s="1459"/>
      <c r="B6" s="1459"/>
      <c r="C6" s="1459"/>
      <c r="D6" s="1459"/>
      <c r="E6" s="3116"/>
      <c r="F6" s="3116"/>
      <c r="G6" s="3116"/>
      <c r="H6" s="3116"/>
      <c r="I6" s="3117">
        <f>S5&amp;".1"</f>
      </c>
      <c r="J6" s="1459"/>
      <c r="K6" s="1459"/>
      <c r="L6" s="1460" t="s">
        <v>488</v>
      </c>
      <c r="M6" s="644"/>
      <c r="P6" s="3119">
        <v>1</v>
      </c>
      <c r="Q6" s="1427"/>
      <c r="R6" s="2097"/>
      <c r="S6" s="1142"/>
      <c r="T6" s="1479"/>
      <c r="U6" s="1480"/>
      <c r="V6" s="3155"/>
      <c r="W6" s="3155"/>
      <c r="X6" s="3155"/>
      <c r="Y6" s="3155"/>
      <c r="Z6" s="3155"/>
      <c r="AA6" s="3155"/>
      <c r="AB6" s="3155"/>
      <c r="AC6" s="3155"/>
      <c r="AD6" s="3155"/>
      <c r="AE6" s="3155"/>
      <c r="AF6" s="3155"/>
      <c r="AG6" s="3155"/>
      <c r="AH6" s="3155"/>
      <c r="AI6" s="3155"/>
      <c r="AJ6" s="3155"/>
      <c r="AK6" s="3155"/>
      <c r="AL6" s="3155"/>
      <c r="AM6" s="2102"/>
      <c r="AO6" s="607"/>
      <c r="AP6" s="607" t="str">
        <f>IF(T6="","",T6)</f>
        <v/>
      </c>
      <c r="AQ6" s="607"/>
      <c r="AR6" s="607"/>
      <c r="AS6" s="1251">
        <v>0</v>
      </c>
    </row>
    <row customHeight="1" ht="84" hidden="1">
      <c r="A7" s="1459"/>
      <c r="B7" s="1459"/>
      <c r="C7" s="1459"/>
      <c r="D7" s="1459"/>
      <c r="E7" s="3116"/>
      <c r="F7" s="3116"/>
      <c r="G7" s="3116"/>
      <c r="H7" s="3116"/>
      <c r="I7" s="3118"/>
      <c r="J7" s="3117">
        <f>I6&amp;".1"</f>
      </c>
      <c r="K7" s="1459"/>
      <c r="L7" s="1460" t="s">
        <v>491</v>
      </c>
      <c r="M7" s="644"/>
      <c r="N7" s="1462"/>
      <c r="P7" s="3119"/>
      <c r="Q7" s="3119">
        <v>1</v>
      </c>
      <c r="R7" s="1738"/>
      <c r="S7" s="2098">
        <f>$J7</f>
      </c>
      <c r="T7" s="394" t="s">
        <v>492</v>
      </c>
      <c r="U7" s="408"/>
      <c r="V7" s="3149"/>
      <c r="W7" s="3149"/>
      <c r="X7" s="3149"/>
      <c r="Y7" s="3149"/>
      <c r="Z7" s="3149"/>
      <c r="AA7" s="3149"/>
      <c r="AB7" s="3149"/>
      <c r="AC7" s="3149"/>
      <c r="AD7" s="3149"/>
      <c r="AE7" s="3149"/>
      <c r="AF7" s="3149"/>
      <c r="AG7" s="3149"/>
      <c r="AH7" s="3149"/>
      <c r="AI7" s="3149"/>
      <c r="AJ7" s="3149"/>
      <c r="AK7" s="3149"/>
      <c r="AL7" s="3149"/>
      <c r="AM7" s="2101" t="s">
        <v>493</v>
      </c>
      <c r="AO7" s="607"/>
      <c r="AP7" s="607" t="str">
        <f>IF(T7="","",T7)</f>
        <v>Группа потребителей</v>
      </c>
      <c r="AQ7" s="607"/>
      <c r="AR7" s="607"/>
      <c r="AS7" s="1251">
        <v>0</v>
      </c>
    </row>
    <row customHeight="1" ht="11.25" hidden="1">
      <c r="A8" s="1459"/>
      <c r="B8" s="1459"/>
      <c r="C8" s="1459"/>
      <c r="D8" s="1459"/>
      <c r="E8" s="3116"/>
      <c r="F8" s="3116"/>
      <c r="G8" s="3116"/>
      <c r="H8" s="3116"/>
      <c r="I8" s="3118"/>
      <c r="J8" s="3118"/>
      <c r="K8" s="3117">
        <f>J7&amp;".1"</f>
      </c>
      <c r="L8" s="1460" t="s">
        <v>494</v>
      </c>
      <c r="M8" s="644"/>
      <c r="N8" s="1462"/>
      <c r="O8" s="1462"/>
      <c r="P8" s="3119"/>
      <c r="Q8" s="3119"/>
      <c r="R8" s="464">
        <v>1</v>
      </c>
      <c r="S8" s="2100">
        <f>$K8</f>
      </c>
      <c r="T8" s="2105"/>
      <c r="U8" s="2106"/>
      <c r="V8" s="2107"/>
      <c r="W8" s="1445"/>
      <c r="X8" s="2107"/>
      <c r="Y8" s="2108"/>
      <c r="Z8" s="3150"/>
      <c r="AA8" s="2994" t="s">
        <v>62</v>
      </c>
      <c r="AB8" s="3150"/>
      <c r="AC8" s="2994" t="s">
        <v>62</v>
      </c>
      <c r="AD8" s="2107"/>
      <c r="AE8" s="1445"/>
      <c r="AF8" s="2107"/>
      <c r="AG8" s="2108"/>
      <c r="AH8" s="3150"/>
      <c r="AI8" s="2994" t="s">
        <v>62</v>
      </c>
      <c r="AJ8" s="3150"/>
      <c r="AK8" s="2994" t="s">
        <v>62</v>
      </c>
      <c r="AL8" s="1445"/>
      <c r="AM8" s="3138" t="s">
        <v>495</v>
      </c>
      <c r="AN8" s="618">
        <f>STRCHECKDATE(V9:AL9)</f>
      </c>
      <c r="AO8" s="607"/>
      <c r="AP8" s="607" t="str">
        <f>IF(T8="","",T8)</f>
        <v/>
      </c>
      <c r="AQ8" s="607"/>
      <c r="AR8" s="607"/>
      <c r="AS8" s="1251">
        <v>0</v>
      </c>
    </row>
    <row customHeight="1" ht="0.75" hidden="1">
      <c r="A9" s="1459"/>
      <c r="B9" s="1459"/>
      <c r="C9" s="1459"/>
      <c r="D9" s="1459"/>
      <c r="E9" s="3116"/>
      <c r="F9" s="3116"/>
      <c r="G9" s="3116"/>
      <c r="H9" s="3116"/>
      <c r="I9" s="3118"/>
      <c r="J9" s="3118"/>
      <c r="K9" s="3117"/>
      <c r="L9" s="1460"/>
      <c r="M9" s="644"/>
      <c r="N9" s="1462"/>
      <c r="O9" s="1462"/>
      <c r="P9" s="3119"/>
      <c r="Q9" s="3119"/>
      <c r="R9" s="464"/>
      <c r="S9" s="1438"/>
      <c r="T9" s="408"/>
      <c r="U9" s="408"/>
      <c r="V9" s="433"/>
      <c r="W9" s="433"/>
      <c r="X9" s="433"/>
      <c r="Y9" s="436" t="str">
        <f>Z8&amp;"-"&amp;AB8</f>
        <v>-</v>
      </c>
      <c r="Z9" s="3121"/>
      <c r="AA9" s="2989"/>
      <c r="AB9" s="3121"/>
      <c r="AC9" s="2989"/>
      <c r="AD9" s="433"/>
      <c r="AE9" s="433"/>
      <c r="AF9" s="433"/>
      <c r="AG9" s="436" t="str">
        <f>AH8&amp;"-"&amp;AJ8</f>
        <v>-</v>
      </c>
      <c r="AH9" s="3121"/>
      <c r="AI9" s="2989"/>
      <c r="AJ9" s="3121"/>
      <c r="AK9" s="2989"/>
      <c r="AL9" s="433"/>
      <c r="AM9" s="3139"/>
      <c r="AO9" s="607"/>
      <c r="AP9" s="607" t="str">
        <f>IF(T9="","",T9)</f>
        <v/>
      </c>
      <c r="AQ9" s="607"/>
      <c r="AR9" s="607"/>
      <c r="AS9" s="1251">
        <v>0</v>
      </c>
    </row>
    <row customHeight="1" ht="11.25" hidden="1">
      <c r="A10" s="1459"/>
      <c r="B10" s="1459"/>
      <c r="C10" s="1459"/>
      <c r="D10" s="1459"/>
      <c r="E10" s="3116"/>
      <c r="F10" s="3116"/>
      <c r="G10" s="3116"/>
      <c r="H10" s="3116"/>
      <c r="I10" s="3118"/>
      <c r="J10" s="3117"/>
      <c r="K10" s="1459"/>
      <c r="L10" s="1460"/>
      <c r="M10" s="644"/>
      <c r="N10" s="1462"/>
      <c r="P10" s="3119"/>
      <c r="Q10" s="3119"/>
      <c r="R10" s="463"/>
      <c r="S10" s="1374"/>
      <c r="T10" s="395" t="s">
        <v>496</v>
      </c>
      <c r="U10" s="474"/>
      <c r="V10" s="474"/>
      <c r="W10" s="474"/>
      <c r="X10" s="474"/>
      <c r="Y10" s="474"/>
      <c r="Z10" s="474"/>
      <c r="AA10" s="474"/>
      <c r="AB10" s="474"/>
      <c r="AC10" s="474"/>
      <c r="AD10" s="474"/>
      <c r="AE10" s="474"/>
      <c r="AF10" s="474"/>
      <c r="AG10" s="474"/>
      <c r="AH10" s="474"/>
      <c r="AI10" s="474"/>
      <c r="AJ10" s="474"/>
      <c r="AK10" s="474"/>
      <c r="AL10" s="432"/>
      <c r="AM10" s="3140"/>
      <c r="AO10" s="607"/>
      <c r="AP10" s="607" t="str">
        <f>IF(T10="","",T10)</f>
        <v>Добавить вид теплоносителя (параметры теплоносителя)</v>
      </c>
      <c r="AQ10" s="607"/>
      <c r="AR10" s="607"/>
      <c r="AS10" s="1251">
        <v>0</v>
      </c>
    </row>
    <row customHeight="1" ht="11.25" hidden="1">
      <c r="A11" s="1459"/>
      <c r="B11" s="1459"/>
      <c r="C11" s="1459"/>
      <c r="D11" s="1459"/>
      <c r="E11" s="3116"/>
      <c r="F11" s="3116"/>
      <c r="G11" s="3116"/>
      <c r="H11" s="3116"/>
      <c r="I11" s="3117"/>
      <c r="J11" s="1459"/>
      <c r="K11" s="1459"/>
      <c r="L11" s="1460"/>
      <c r="M11" s="644"/>
      <c r="P11" s="3119"/>
      <c r="Q11" s="1427"/>
      <c r="R11" s="463"/>
      <c r="S11" s="1374"/>
      <c r="T11" s="472" t="s">
        <v>497</v>
      </c>
      <c r="U11" s="474"/>
      <c r="V11" s="474"/>
      <c r="W11" s="474"/>
      <c r="X11" s="474"/>
      <c r="Y11" s="474"/>
      <c r="Z11" s="474"/>
      <c r="AA11" s="474"/>
      <c r="AB11" s="474"/>
      <c r="AC11" s="473"/>
      <c r="AD11" s="474"/>
      <c r="AE11" s="474"/>
      <c r="AF11" s="474"/>
      <c r="AG11" s="474"/>
      <c r="AH11" s="474"/>
      <c r="AI11" s="474"/>
      <c r="AJ11" s="474"/>
      <c r="AK11" s="473"/>
      <c r="AL11" s="474"/>
      <c r="AM11" s="411"/>
      <c r="AO11" s="607"/>
      <c r="AP11" s="607" t="str">
        <f>IF(T11="","",T11)</f>
        <v>Добавить группу потребителей</v>
      </c>
      <c r="AQ11" s="607"/>
      <c r="AR11" s="607"/>
      <c r="AS11" s="1251">
        <v>0</v>
      </c>
    </row>
    <row customHeight="1" ht="0.75" hidden="1">
      <c r="A12" s="1459"/>
      <c r="B12" s="1459"/>
      <c r="C12" s="1459"/>
      <c r="D12" s="1459"/>
      <c r="E12" s="3116"/>
      <c r="F12" s="3116"/>
      <c r="G12" s="3116"/>
      <c r="H12" s="3115"/>
      <c r="I12" s="1459"/>
      <c r="J12" s="1459"/>
      <c r="K12" s="1459"/>
      <c r="L12" s="1460"/>
      <c r="M12" s="1461"/>
      <c r="N12" s="1461"/>
      <c r="O12" s="644"/>
      <c r="P12" s="467"/>
      <c r="Q12" s="482"/>
      <c r="R12" s="462"/>
      <c r="S12" s="1482"/>
      <c r="T12" s="1483"/>
      <c r="U12" s="1484"/>
      <c r="V12" s="1484"/>
      <c r="W12" s="1484"/>
      <c r="X12" s="1484"/>
      <c r="Y12" s="1484"/>
      <c r="Z12" s="1484"/>
      <c r="AA12" s="1484"/>
      <c r="AB12" s="1484"/>
      <c r="AC12" s="1484"/>
      <c r="AD12" s="1484"/>
      <c r="AE12" s="1484"/>
      <c r="AF12" s="1484"/>
      <c r="AG12" s="1484"/>
      <c r="AH12" s="1484"/>
      <c r="AI12" s="1484"/>
      <c r="AJ12" s="1484"/>
      <c r="AK12" s="1484"/>
      <c r="AL12" s="1484"/>
      <c r="AM12" s="1485"/>
      <c r="AO12" s="607"/>
      <c r="AP12" s="607" t="str">
        <f>IF(T12="","",T12)</f>
        <v/>
      </c>
      <c r="AQ12" s="607"/>
      <c r="AR12" s="607"/>
      <c r="AS12" s="1251">
        <v>0</v>
      </c>
    </row>
    <row s="10307" customFormat="1" customHeight="1" ht="0.75" hidden="1">
      <c r="A13" s="1410"/>
      <c r="B13" s="1410"/>
      <c r="C13" s="1410"/>
      <c r="D13" s="1410"/>
      <c r="E13" s="3116"/>
      <c r="F13" s="3116"/>
      <c r="G13" s="3115"/>
      <c r="H13" s="1410"/>
      <c r="I13" s="1410"/>
      <c r="J13" s="1410"/>
      <c r="K13" s="1410"/>
      <c r="L13" s="1435"/>
      <c r="M13" s="1411"/>
      <c r="N13" s="1411"/>
      <c r="P13" s="1412"/>
      <c r="Q13" s="1413"/>
      <c r="R13" s="1412"/>
      <c r="S13" s="1414"/>
      <c r="T13" s="1415" t="s">
        <v>499</v>
      </c>
      <c r="U13" s="1416"/>
      <c r="V13" s="1416"/>
      <c r="W13" s="1416"/>
      <c r="X13" s="1416"/>
      <c r="Y13" s="1416"/>
      <c r="Z13" s="1416"/>
      <c r="AA13" s="1416"/>
      <c r="AB13" s="1416"/>
      <c r="AC13" s="1416"/>
      <c r="AD13" s="1416"/>
      <c r="AE13" s="1416"/>
      <c r="AF13" s="1416"/>
      <c r="AG13" s="1416"/>
      <c r="AH13" s="1416"/>
      <c r="AI13" s="1416"/>
      <c r="AJ13" s="1416"/>
      <c r="AK13" s="1416"/>
      <c r="AL13" s="1416"/>
      <c r="AM13" s="1416"/>
      <c r="AO13" s="890"/>
      <c r="AP13" s="890" t="str">
        <f>IF(T13="","",T13)</f>
        <v>Добавить источник для дифференциации</v>
      </c>
      <c r="AQ13" s="890"/>
      <c r="AR13" s="890"/>
      <c r="AS13" s="625">
        <v>0</v>
      </c>
    </row>
    <row s="10307" customFormat="1" customHeight="1" ht="0.75" hidden="1">
      <c r="A14" s="1410"/>
      <c r="B14" s="1410"/>
      <c r="C14" s="1410"/>
      <c r="D14" s="1410"/>
      <c r="E14" s="3116"/>
      <c r="F14" s="3115"/>
      <c r="G14" s="1410"/>
      <c r="H14" s="1410"/>
      <c r="I14" s="1410"/>
      <c r="J14" s="1410"/>
      <c r="K14" s="1410"/>
      <c r="L14" s="1435"/>
      <c r="M14" s="1417"/>
      <c r="N14" s="1417"/>
      <c r="P14" s="1412"/>
      <c r="Q14" s="1413"/>
      <c r="R14" s="1412"/>
      <c r="S14" s="1418"/>
      <c r="T14" s="1419" t="s">
        <v>500</v>
      </c>
      <c r="U14" s="1420"/>
      <c r="V14" s="1420"/>
      <c r="W14" s="1420"/>
      <c r="X14" s="1420"/>
      <c r="Y14" s="1420"/>
      <c r="Z14" s="1420"/>
      <c r="AA14" s="1420"/>
      <c r="AB14" s="1420"/>
      <c r="AC14" s="1420"/>
      <c r="AD14" s="1420"/>
      <c r="AE14" s="1420"/>
      <c r="AF14" s="1420"/>
      <c r="AG14" s="1420"/>
      <c r="AH14" s="1420"/>
      <c r="AI14" s="1420"/>
      <c r="AJ14" s="1420"/>
      <c r="AK14" s="1420"/>
      <c r="AL14" s="1420"/>
      <c r="AM14" s="1420"/>
      <c r="AO14" s="890"/>
      <c r="AP14" s="890" t="str">
        <f>IF(T14="","",T14)</f>
        <v>Добавить централизованную систему для дифференциации</v>
      </c>
      <c r="AQ14" s="890"/>
      <c r="AR14" s="890"/>
      <c r="AS14" s="625">
        <v>0</v>
      </c>
    </row>
    <row s="10307" customFormat="1" customHeight="1" ht="0.75" hidden="1">
      <c r="A15" s="1410"/>
      <c r="B15" s="1410"/>
      <c r="C15" s="1410"/>
      <c r="D15" s="1410"/>
      <c r="E15" s="3115"/>
      <c r="F15" s="1410"/>
      <c r="G15" s="1410"/>
      <c r="H15" s="1410"/>
      <c r="I15" s="1410"/>
      <c r="J15" s="1410"/>
      <c r="K15" s="1410"/>
      <c r="L15" s="1435"/>
      <c r="M15" s="1417"/>
      <c r="N15" s="1417"/>
      <c r="P15" s="1412"/>
      <c r="Q15" s="1413"/>
      <c r="R15" s="1412"/>
      <c r="S15" s="1418"/>
      <c r="T15" s="1421" t="s">
        <v>501</v>
      </c>
      <c r="U15" s="1420"/>
      <c r="V15" s="1420"/>
      <c r="W15" s="1420"/>
      <c r="X15" s="1420"/>
      <c r="Y15" s="1420"/>
      <c r="Z15" s="1420"/>
      <c r="AA15" s="1420"/>
      <c r="AB15" s="1420"/>
      <c r="AC15" s="1420"/>
      <c r="AD15" s="1420"/>
      <c r="AE15" s="1420"/>
      <c r="AF15" s="1420"/>
      <c r="AG15" s="1420"/>
      <c r="AH15" s="1420"/>
      <c r="AI15" s="1420"/>
      <c r="AJ15" s="1420"/>
      <c r="AK15" s="1420"/>
      <c r="AL15" s="1420"/>
      <c r="AM15" s="1420"/>
      <c r="AO15" s="890"/>
      <c r="AP15" s="890" t="str">
        <f>IF(T15="","",T15)</f>
        <v>Добавить территорию для дифференциации</v>
      </c>
      <c r="AQ15" s="890"/>
      <c r="AR15" s="890"/>
      <c r="AS15" s="625">
        <v>0</v>
      </c>
    </row>
    <row customHeight="1" ht="14.25" hidden="1">
      <c r="AC16" s="435"/>
      <c r="AK16" s="435"/>
      <c r="AS16" s="1251">
        <v>0</v>
      </c>
    </row>
    <row customHeight="1" ht="14.25" hidden="1">
      <c r="AD17" s="1456"/>
      <c r="AE17" s="1456"/>
      <c r="AF17" s="1456"/>
      <c r="AG17" s="1457"/>
      <c r="AH17" s="3113"/>
      <c r="AI17" s="3112" t="s">
        <v>62</v>
      </c>
      <c r="AJ17" s="3113"/>
      <c r="AK17" s="3112" t="s">
        <v>62</v>
      </c>
      <c r="AS17" s="1251">
        <v>0</v>
      </c>
    </row>
    <row customHeight="1" ht="14.25" hidden="1">
      <c r="AD18" s="1456"/>
      <c r="AE18" s="1456"/>
      <c r="AF18" s="1456"/>
      <c r="AG18" s="436" t="str">
        <f>AH17&amp;"-"&amp;AJ17</f>
        <v>-</v>
      </c>
      <c r="AH18" s="3112"/>
      <c r="AI18" s="3112"/>
      <c r="AJ18" s="3112"/>
      <c r="AK18" s="3112"/>
      <c r="AS18" s="1251">
        <v>0</v>
      </c>
    </row>
    <row customHeight="1" ht="14.25" hidden="1">
      <c r="AK19" s="435"/>
      <c r="AS19" s="1251">
        <v>0</v>
      </c>
    </row>
    <row s="10306" customFormat="1" customHeight="1" ht="22.5" hidden="1">
      <c r="L20" s="1425"/>
      <c r="M20" s="1458"/>
      <c r="N20" s="1458"/>
      <c r="O20" s="1463" t="s">
        <v>502</v>
      </c>
      <c r="P20" s="1458"/>
      <c r="Q20" s="1467"/>
      <c r="R20" s="1467"/>
      <c r="S20" s="836"/>
      <c r="Z20" s="1463"/>
      <c r="AB20" s="1463"/>
      <c r="AH20" s="1463"/>
      <c r="AJ20" s="1463"/>
      <c r="AN20" s="618"/>
      <c r="AO20" s="618"/>
      <c r="AP20" s="618"/>
      <c r="AQ20" s="618"/>
      <c r="AR20" s="618"/>
      <c r="AS20" s="1256">
        <v>0</v>
      </c>
    </row>
    <row s="10306" customFormat="1" customHeight="1" ht="14.25" hidden="1">
      <c r="L21" s="1425"/>
      <c r="M21" s="1458"/>
      <c r="N21" s="1458"/>
      <c r="O21" s="1458"/>
      <c r="P21" s="1458"/>
      <c r="Q21" s="1467"/>
      <c r="R21" s="1467"/>
      <c r="S21" s="836"/>
      <c r="AN21" s="618"/>
      <c r="AO21" s="618"/>
      <c r="AP21" s="618"/>
      <c r="AQ21" s="618"/>
      <c r="AR21" s="618"/>
      <c r="AS21" s="1256">
        <v>0</v>
      </c>
    </row>
    <row s="10306" customFormat="1" customHeight="1" ht="14.25" hidden="1">
      <c r="L22" s="1425"/>
      <c r="M22" s="1458"/>
      <c r="N22" s="1458"/>
      <c r="O22" s="1460" t="s">
        <v>503</v>
      </c>
      <c r="P22" s="1458"/>
      <c r="Q22" s="1467"/>
      <c r="R22" s="1467"/>
      <c r="S22" s="836"/>
      <c r="T22" s="1256" t="s">
        <v>504</v>
      </c>
      <c r="AA22" s="294" t="s">
        <v>505</v>
      </c>
      <c r="AC22" s="294" t="s">
        <v>506</v>
      </c>
      <c r="AD22" s="1256" t="s">
        <v>504</v>
      </c>
      <c r="AI22" s="294" t="s">
        <v>507</v>
      </c>
      <c r="AK22" s="294" t="s">
        <v>506</v>
      </c>
      <c r="AN22" s="618"/>
      <c r="AO22" s="618"/>
      <c r="AP22" s="618"/>
      <c r="AQ22" s="618"/>
      <c r="AR22" s="618"/>
      <c r="AS22" s="1256">
        <v>0</v>
      </c>
    </row>
    <row customHeight="1" ht="14.25" hidden="1">
      <c r="O23" s="1460"/>
      <c r="AS23" s="1251">
        <v>0</v>
      </c>
    </row>
    <row customHeight="1" ht="14.25" hidden="1">
      <c r="O24" s="1460"/>
      <c r="AS24" s="1251">
        <v>0</v>
      </c>
    </row>
    <row customHeight="1" ht="14.699999999999998">
      <c r="Q25" s="483"/>
      <c r="R25" s="483"/>
      <c r="S25" s="1371"/>
      <c r="T25" s="470"/>
      <c r="U25" s="470"/>
      <c r="V25" s="616"/>
      <c r="W25" s="616"/>
      <c r="X25" s="616"/>
      <c r="Y25" s="616"/>
      <c r="Z25" s="616"/>
      <c r="AA25" s="616"/>
      <c r="AB25" s="616"/>
      <c r="AC25" s="616"/>
      <c r="AD25" s="616"/>
      <c r="AE25" s="616"/>
      <c r="AF25" s="616"/>
      <c r="AG25" s="616"/>
      <c r="AH25" s="616"/>
      <c r="AI25" s="616"/>
      <c r="AJ25" s="616"/>
      <c r="AK25" s="616"/>
      <c r="AS25" s="1251">
        <v>14</v>
      </c>
    </row>
    <row customHeight="1" ht="54.75">
      <c r="Q26" s="483"/>
      <c r="R26" s="483"/>
      <c r="S26" s="30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46"/>
      <c r="U26" s="3046"/>
      <c r="V26" s="3046"/>
      <c r="W26" s="3046"/>
      <c r="X26" s="3046"/>
      <c r="Y26" s="3046"/>
      <c r="Z26" s="3046"/>
      <c r="AA26" s="3046"/>
      <c r="AB26" s="3046"/>
      <c r="AC26" s="3046"/>
      <c r="AD26" s="3046"/>
      <c r="AE26" s="3046"/>
      <c r="AF26" s="3046"/>
      <c r="AG26" s="3046"/>
      <c r="AH26" s="3046"/>
      <c r="AI26" s="3046"/>
      <c r="AJ26" s="3046"/>
      <c r="AK26" s="1339"/>
      <c r="AS26" s="1251">
        <v>52</v>
      </c>
    </row>
    <row customHeight="1" ht="14.699999999999998">
      <c r="Q27" s="483"/>
      <c r="R27" s="483"/>
      <c r="S27" s="3069" t="str">
        <f>IF(org=0,"Не определено",org)</f>
        <v>АО "ДГК"</v>
      </c>
      <c r="T27" s="3069"/>
      <c r="U27" s="3069"/>
      <c r="V27" s="3069"/>
      <c r="W27" s="3069"/>
      <c r="X27" s="3069"/>
      <c r="Y27" s="3069"/>
      <c r="Z27" s="3069"/>
      <c r="AA27" s="3069"/>
      <c r="AB27" s="3069"/>
      <c r="AC27" s="3069"/>
      <c r="AD27" s="3069"/>
      <c r="AE27" s="3069"/>
      <c r="AF27" s="3069"/>
      <c r="AG27" s="3069"/>
      <c r="AH27" s="3069"/>
      <c r="AI27" s="3069"/>
      <c r="AJ27" s="3069"/>
      <c r="AK27" s="1339"/>
      <c r="AS27" s="1251">
        <v>14</v>
      </c>
    </row>
    <row customHeight="1" ht="14.25" hidden="1">
      <c r="Q28" s="483"/>
      <c r="R28" s="483"/>
      <c r="S28" s="1371"/>
      <c r="T28" s="470"/>
      <c r="U28" s="470"/>
      <c r="V28" s="430"/>
      <c r="W28" s="430"/>
      <c r="X28" s="430"/>
      <c r="Y28" s="430"/>
      <c r="Z28" s="430"/>
      <c r="AA28" s="430"/>
      <c r="AB28" s="430"/>
      <c r="AC28" s="430"/>
      <c r="AD28" s="430"/>
      <c r="AE28" s="430"/>
      <c r="AF28" s="430"/>
      <c r="AG28" s="430"/>
      <c r="AH28" s="430"/>
      <c r="AI28" s="430"/>
      <c r="AJ28" s="430"/>
      <c r="AK28" s="430"/>
      <c r="AL28" s="616"/>
      <c r="AS28" s="1251">
        <v>0</v>
      </c>
    </row>
    <row s="10446" customFormat="1" customHeight="1" ht="25.5" hidden="1">
      <c r="A29" s="1464"/>
      <c r="B29" s="1464"/>
      <c r="C29" s="1464"/>
      <c r="D29" s="1464"/>
      <c r="E29" s="1464"/>
      <c r="F29" s="1464"/>
      <c r="G29" s="1464"/>
      <c r="H29" s="1464"/>
      <c r="I29" s="1464"/>
      <c r="J29" s="1464"/>
      <c r="K29" s="1464"/>
      <c r="L29" s="1465"/>
      <c r="M29" s="1464"/>
      <c r="N29" s="1464"/>
      <c r="O29" s="1464"/>
      <c r="S29" s="3106" t="s">
        <v>41</v>
      </c>
      <c r="T29" s="3106"/>
      <c r="U29" s="1468"/>
      <c r="V29" s="3108" t="str">
        <f>IF(TITLE_NAME_OR_PR_CHANGE="",IF(TITLE_NAME_OR_PR="","",TITLE_NAME_OR_PR),TITLE_NAME_OR_PR_CHANGE)</f>
        <v/>
      </c>
      <c r="W29" s="3108"/>
      <c r="X29" s="3108"/>
      <c r="Y29" s="3108"/>
      <c r="Z29" s="3108"/>
      <c r="AA29" s="3108"/>
      <c r="AB29" s="3108"/>
      <c r="AC29" s="434"/>
      <c r="AD29" s="3108" t="str">
        <f>IF(TITLE_NAME_OR_PR_CHANGE="",IF(TITLE_NAME_OR_PR="","",TITLE_NAME_OR_PR),TITLE_NAME_OR_PR_CHANGE)</f>
        <v/>
      </c>
      <c r="AE29" s="3108"/>
      <c r="AF29" s="3108"/>
      <c r="AG29" s="3108"/>
      <c r="AH29" s="3108"/>
      <c r="AI29" s="3108"/>
      <c r="AJ29" s="3108"/>
      <c r="AK29" s="434"/>
      <c r="AL29" s="434"/>
      <c r="AM29" s="388"/>
      <c r="AN29" s="475"/>
      <c r="AO29" s="475"/>
      <c r="AP29" s="475"/>
      <c r="AQ29" s="475"/>
      <c r="AR29" s="475"/>
      <c r="AS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508</v>
      </c>
      <c r="T30" s="3106"/>
      <c r="U30" s="1468"/>
      <c r="V30" s="3107" t="str">
        <f>IF(TITLE_DATE_PR_CHANGE="",IF(TITLE_DATE_PR="","",TITLE_DATE_PR),TITLE_DATE_PR_CHANGE)</f>
        <v/>
      </c>
      <c r="W30" s="3107"/>
      <c r="X30" s="3107"/>
      <c r="Y30" s="3107"/>
      <c r="Z30" s="3107"/>
      <c r="AA30" s="3107"/>
      <c r="AB30" s="3107"/>
      <c r="AC30" s="434"/>
      <c r="AD30" s="3107" t="str">
        <f>IF(TITLE_DATE_PR_CHANGE="",IF(TITLE_DATE_PR="","",TITLE_DATE_PR),TITLE_DATE_PR_CHANGE)</f>
        <v/>
      </c>
      <c r="AE30" s="3107"/>
      <c r="AF30" s="3107"/>
      <c r="AG30" s="3107"/>
      <c r="AH30" s="3107"/>
      <c r="AI30" s="3107"/>
      <c r="AJ30" s="3107"/>
      <c r="AK30" s="434"/>
      <c r="AL30" s="434"/>
      <c r="AM30" s="388"/>
      <c r="AN30" s="475"/>
      <c r="AO30" s="475"/>
      <c r="AP30" s="475"/>
      <c r="AQ30" s="475"/>
      <c r="AR30" s="475"/>
      <c r="AS30" s="525">
        <v>0</v>
      </c>
    </row>
    <row s="10446" customFormat="1" customHeight="1" ht="18.75" hidden="1">
      <c r="A31" s="1464"/>
      <c r="B31" s="1464"/>
      <c r="C31" s="1464"/>
      <c r="D31" s="1464"/>
      <c r="E31" s="1464"/>
      <c r="F31" s="1464"/>
      <c r="G31" s="1464"/>
      <c r="H31" s="1464"/>
      <c r="I31" s="1464"/>
      <c r="J31" s="1464"/>
      <c r="K31" s="1464"/>
      <c r="L31" s="1465"/>
      <c r="M31" s="1464"/>
      <c r="N31" s="1464"/>
      <c r="O31" s="1464"/>
      <c r="S31" s="3106" t="s">
        <v>509</v>
      </c>
      <c r="T31" s="3106"/>
      <c r="U31" s="1468"/>
      <c r="V31" s="3108" t="str">
        <f>IF(TITLE_NUMBER_PR_CHANGE="",IF(TITLE_NUMBER_PR="","",TITLE_NUMBER_PR),TITLE_NUMBER_PR_CHANGE)</f>
        <v/>
      </c>
      <c r="W31" s="3108"/>
      <c r="X31" s="3108"/>
      <c r="Y31" s="3108"/>
      <c r="Z31" s="3108"/>
      <c r="AA31" s="3108"/>
      <c r="AB31" s="3108"/>
      <c r="AC31" s="434"/>
      <c r="AD31" s="3108" t="str">
        <f>IF(TITLE_NUMBER_PR_CHANGE="",IF(TITLE_NUMBER_PR="","",TITLE_NUMBER_PR),TITLE_NUMBER_PR_CHANGE)</f>
        <v/>
      </c>
      <c r="AE31" s="3108"/>
      <c r="AF31" s="3108"/>
      <c r="AG31" s="3108"/>
      <c r="AH31" s="3108"/>
      <c r="AI31" s="3108"/>
      <c r="AJ31" s="3108"/>
      <c r="AK31" s="434"/>
      <c r="AL31" s="434"/>
      <c r="AM31" s="388"/>
      <c r="AN31" s="475"/>
      <c r="AO31" s="475"/>
      <c r="AP31" s="475"/>
      <c r="AQ31" s="475"/>
      <c r="AR31" s="475"/>
      <c r="AS31" s="525">
        <v>0</v>
      </c>
    </row>
    <row s="10446" customFormat="1" customHeight="1" ht="18.75" hidden="1">
      <c r="A32" s="1464"/>
      <c r="B32" s="1464"/>
      <c r="C32" s="1464"/>
      <c r="D32" s="1464"/>
      <c r="E32" s="1464"/>
      <c r="F32" s="1464"/>
      <c r="G32" s="1464"/>
      <c r="H32" s="1464"/>
      <c r="I32" s="1464"/>
      <c r="J32" s="1464"/>
      <c r="K32" s="1464"/>
      <c r="L32" s="1465"/>
      <c r="M32" s="1464"/>
      <c r="N32" s="1464"/>
      <c r="O32" s="1464"/>
      <c r="S32" s="3106" t="s">
        <v>42</v>
      </c>
      <c r="T32" s="3106"/>
      <c r="U32" s="1468"/>
      <c r="V32" s="3108" t="str">
        <f>IF(TITLE_IST_PUB_CHANGE="",IF(TITLE_IST_PUB="","",TITLE_IST_PUB),TITLE_IST_PUB_CHANGE)</f>
        <v/>
      </c>
      <c r="W32" s="3108"/>
      <c r="X32" s="3108"/>
      <c r="Y32" s="3108"/>
      <c r="Z32" s="3108"/>
      <c r="AA32" s="3108"/>
      <c r="AB32" s="3108"/>
      <c r="AC32" s="434"/>
      <c r="AD32" s="3108" t="str">
        <f>IF(TITLE_IST_PUB_CHANGE="",IF(TITLE_IST_PUB="","",TITLE_IST_PUB),TITLE_IST_PUB_CHANGE)</f>
        <v/>
      </c>
      <c r="AE32" s="3108"/>
      <c r="AF32" s="3108"/>
      <c r="AG32" s="3108"/>
      <c r="AH32" s="3108"/>
      <c r="AI32" s="3108"/>
      <c r="AJ32" s="3108"/>
      <c r="AK32" s="434"/>
      <c r="AL32" s="434"/>
      <c r="AM32" s="388"/>
      <c r="AN32" s="475"/>
      <c r="AO32" s="475"/>
      <c r="AP32" s="475"/>
      <c r="AQ32" s="475"/>
      <c r="AR32" s="475"/>
      <c r="AS32" s="525">
        <v>0</v>
      </c>
    </row>
    <row customHeight="1" ht="14.25" hidden="1">
      <c r="Q33" s="483"/>
      <c r="R33" s="483"/>
      <c r="S33" s="1371"/>
      <c r="T33" s="470"/>
      <c r="U33" s="470"/>
      <c r="V33" s="430"/>
      <c r="W33" s="430"/>
      <c r="X33" s="430"/>
      <c r="Y33" s="430"/>
      <c r="Z33" s="430"/>
      <c r="AA33" s="430"/>
      <c r="AB33" s="430"/>
      <c r="AC33" s="430"/>
      <c r="AD33" s="430"/>
      <c r="AE33" s="430"/>
      <c r="AF33" s="430"/>
      <c r="AG33" s="430"/>
      <c r="AH33" s="430"/>
      <c r="AI33" s="430"/>
      <c r="AJ33" s="430"/>
      <c r="AK33" s="430"/>
      <c r="AL33" s="616"/>
      <c r="AS33" s="1251">
        <v>0</v>
      </c>
    </row>
    <row s="10446" customFormat="1" customHeight="1" ht="18.75" hidden="1">
      <c r="A34" s="1464"/>
      <c r="B34" s="1464"/>
      <c r="C34" s="1464"/>
      <c r="D34" s="1464"/>
      <c r="E34" s="1464"/>
      <c r="F34" s="1464"/>
      <c r="G34" s="1464"/>
      <c r="H34" s="1464"/>
      <c r="I34" s="1464"/>
      <c r="J34" s="1464"/>
      <c r="K34" s="1464"/>
      <c r="L34" s="1465"/>
      <c r="M34" s="1464"/>
      <c r="N34" s="1464"/>
      <c r="O34" s="1464"/>
      <c r="S34" s="3106" t="s">
        <v>510</v>
      </c>
      <c r="T34" s="3106"/>
      <c r="U34" s="1468"/>
      <c r="V34" s="3107" t="str">
        <f>IF(TITLE_DATE_PR_CHANGE="",IF(TITLE_DATE_PR="","",TITLE_DATE_PR),TITLE_DATE_PR_CHANGE)</f>
        <v/>
      </c>
      <c r="W34" s="3107"/>
      <c r="X34" s="3107"/>
      <c r="Y34" s="3107"/>
      <c r="Z34" s="3107"/>
      <c r="AA34" s="3107"/>
      <c r="AB34" s="3107"/>
      <c r="AC34" s="434"/>
      <c r="AD34" s="3107" t="str">
        <f>IF(TITLE_DATE_PR_CHANGE="",IF(TITLE_DATE_PR="","",TITLE_DATE_PR),TITLE_DATE_PR_CHANGE)</f>
        <v/>
      </c>
      <c r="AE34" s="3107"/>
      <c r="AF34" s="3107"/>
      <c r="AG34" s="3107"/>
      <c r="AH34" s="3107"/>
      <c r="AI34" s="3107"/>
      <c r="AJ34" s="3107"/>
      <c r="AK34" s="434"/>
      <c r="AL34" s="434"/>
      <c r="AM34" s="388"/>
      <c r="AN34" s="475"/>
      <c r="AO34" s="475"/>
      <c r="AP34" s="475"/>
      <c r="AQ34" s="475"/>
      <c r="AR34" s="475"/>
      <c r="AS34" s="525">
        <v>0</v>
      </c>
    </row>
    <row s="10446" customFormat="1" customHeight="1" ht="18.75" hidden="1">
      <c r="A35" s="1464"/>
      <c r="B35" s="1464"/>
      <c r="C35" s="1464"/>
      <c r="D35" s="1464"/>
      <c r="E35" s="1464"/>
      <c r="F35" s="1464"/>
      <c r="G35" s="1464"/>
      <c r="H35" s="1464"/>
      <c r="I35" s="1464"/>
      <c r="J35" s="1464"/>
      <c r="K35" s="1464"/>
      <c r="L35" s="1465"/>
      <c r="M35" s="1464"/>
      <c r="N35" s="1464"/>
      <c r="O35" s="1464"/>
      <c r="S35" s="3106" t="s">
        <v>511</v>
      </c>
      <c r="T35" s="3106"/>
      <c r="U35" s="1468"/>
      <c r="V35" s="3108" t="str">
        <f>IF(TITLE_NUMBER_PR_CHANGE="",IF(TITLE_NUMBER_PR="","",TITLE_NUMBER_PR),TITLE_NUMBER_PR_CHANGE)</f>
        <v/>
      </c>
      <c r="W35" s="3108"/>
      <c r="X35" s="3108"/>
      <c r="Y35" s="3108"/>
      <c r="Z35" s="3108"/>
      <c r="AA35" s="3108"/>
      <c r="AB35" s="3108"/>
      <c r="AC35" s="434"/>
      <c r="AD35" s="3108" t="str">
        <f>IF(TITLE_NUMBER_PR_CHANGE="",IF(TITLE_NUMBER_PR="","",TITLE_NUMBER_PR),TITLE_NUMBER_PR_CHANGE)</f>
        <v/>
      </c>
      <c r="AE35" s="3108"/>
      <c r="AF35" s="3108"/>
      <c r="AG35" s="3108"/>
      <c r="AH35" s="3108"/>
      <c r="AI35" s="3108"/>
      <c r="AJ35" s="3108"/>
      <c r="AK35" s="434"/>
      <c r="AL35" s="434"/>
      <c r="AM35" s="388"/>
      <c r="AN35" s="475"/>
      <c r="AO35" s="475"/>
      <c r="AP35" s="475"/>
      <c r="AQ35" s="475"/>
      <c r="AR35" s="475"/>
      <c r="AS35" s="525">
        <v>0</v>
      </c>
    </row>
    <row s="10446" customFormat="1" customHeight="1" ht="14.25" hidden="1">
      <c r="A36" s="1464"/>
      <c r="B36" s="1464"/>
      <c r="C36" s="1464"/>
      <c r="D36" s="1464"/>
      <c r="E36" s="1464"/>
      <c r="F36" s="1464"/>
      <c r="G36" s="1464"/>
      <c r="H36" s="1464"/>
      <c r="I36" s="1464"/>
      <c r="J36" s="1464"/>
      <c r="K36" s="1464"/>
      <c r="L36" s="1465"/>
      <c r="M36" s="1464"/>
      <c r="N36" s="1464"/>
      <c r="O36" s="1464"/>
      <c r="S36" s="431"/>
      <c r="T36" s="431"/>
      <c r="U36" s="1436"/>
      <c r="V36" s="434"/>
      <c r="W36" s="434"/>
      <c r="X36" s="434"/>
      <c r="Y36" s="434"/>
      <c r="Z36" s="434"/>
      <c r="AA36" s="434"/>
      <c r="AB36" s="434"/>
      <c r="AC36" s="386" t="s">
        <v>512</v>
      </c>
      <c r="AD36" s="434"/>
      <c r="AE36" s="434"/>
      <c r="AF36" s="434"/>
      <c r="AG36" s="434"/>
      <c r="AH36" s="434"/>
      <c r="AI36" s="434"/>
      <c r="AJ36" s="434"/>
      <c r="AK36" s="386" t="s">
        <v>512</v>
      </c>
      <c r="AN36" s="475"/>
      <c r="AO36" s="475"/>
      <c r="AP36" s="475"/>
      <c r="AQ36" s="475"/>
      <c r="AR36" s="475"/>
      <c r="AS36" s="525">
        <v>0</v>
      </c>
    </row>
    <row customHeight="1" ht="14.699999999999998">
      <c r="Q37" s="483"/>
      <c r="R37" s="483"/>
      <c r="S37" s="1371"/>
      <c r="T37" s="470"/>
      <c r="U37" s="1340"/>
      <c r="V37" s="3127"/>
      <c r="W37" s="3127"/>
      <c r="X37" s="3127"/>
      <c r="Y37" s="3127"/>
      <c r="Z37" s="3127"/>
      <c r="AA37" s="3127"/>
      <c r="AB37" s="3127"/>
      <c r="AC37" s="3127"/>
      <c r="AD37" s="3127"/>
      <c r="AE37" s="3127"/>
      <c r="AF37" s="3127"/>
      <c r="AG37" s="3127"/>
      <c r="AH37" s="3127"/>
      <c r="AI37" s="3127"/>
      <c r="AJ37" s="3127"/>
      <c r="AK37" s="3127"/>
      <c r="AS37" s="1251">
        <v>14</v>
      </c>
    </row>
    <row customHeight="1" ht="14.699999999999998">
      <c r="Q38" s="483"/>
      <c r="R38" s="483"/>
      <c r="S38" s="2978" t="s">
        <v>385</v>
      </c>
      <c r="T38" s="2978"/>
      <c r="U38" s="2978"/>
      <c r="V38" s="2978"/>
      <c r="W38" s="2978"/>
      <c r="X38" s="2978"/>
      <c r="Y38" s="2978"/>
      <c r="Z38" s="2978"/>
      <c r="AA38" s="2978"/>
      <c r="AB38" s="2978"/>
      <c r="AC38" s="2978"/>
      <c r="AD38" s="2978"/>
      <c r="AE38" s="2978"/>
      <c r="AF38" s="2978"/>
      <c r="AG38" s="2978"/>
      <c r="AH38" s="2978"/>
      <c r="AI38" s="2978"/>
      <c r="AJ38" s="2978"/>
      <c r="AK38" s="2978"/>
      <c r="AL38" s="2978"/>
      <c r="AM38" s="2978" t="s">
        <v>386</v>
      </c>
      <c r="AS38" s="1251">
        <v>14</v>
      </c>
    </row>
    <row customHeight="1" ht="14.699999999999998">
      <c r="Q39" s="483"/>
      <c r="R39" s="483"/>
      <c r="S39" s="3128" t="s">
        <v>88</v>
      </c>
      <c r="T39" s="3077" t="s">
        <v>513</v>
      </c>
      <c r="U39" s="409"/>
      <c r="V39" s="3129" t="s">
        <v>514</v>
      </c>
      <c r="W39" s="3130"/>
      <c r="X39" s="3130"/>
      <c r="Y39" s="3130"/>
      <c r="Z39" s="3130"/>
      <c r="AA39" s="3130"/>
      <c r="AB39" s="3131"/>
      <c r="AC39" s="3132" t="s">
        <v>515</v>
      </c>
      <c r="AD39" s="3129" t="s">
        <v>514</v>
      </c>
      <c r="AE39" s="3130"/>
      <c r="AF39" s="3130"/>
      <c r="AG39" s="3130"/>
      <c r="AH39" s="3130"/>
      <c r="AI39" s="3130"/>
      <c r="AJ39" s="3131"/>
      <c r="AK39" s="3132" t="s">
        <v>516</v>
      </c>
      <c r="AL39" s="3135" t="s">
        <v>517</v>
      </c>
      <c r="AM39" s="2978"/>
      <c r="AS39" s="1251">
        <v>14</v>
      </c>
    </row>
    <row customHeight="1" ht="35.699999999999996">
      <c r="Q40" s="483"/>
      <c r="R40" s="483"/>
      <c r="S40" s="3128"/>
      <c r="T40" s="3077"/>
      <c r="U40" s="1131"/>
      <c r="V40" s="3047" t="s">
        <v>518</v>
      </c>
      <c r="W40" s="3124"/>
      <c r="X40" s="2959" t="s">
        <v>520</v>
      </c>
      <c r="Y40" s="2958"/>
      <c r="Z40" s="2959" t="s">
        <v>521</v>
      </c>
      <c r="AA40" s="2965"/>
      <c r="AB40" s="2958"/>
      <c r="AC40" s="3133"/>
      <c r="AD40" s="3047" t="s">
        <v>535</v>
      </c>
      <c r="AE40" s="3124"/>
      <c r="AF40" s="2959" t="s">
        <v>520</v>
      </c>
      <c r="AG40" s="2958"/>
      <c r="AH40" s="2959" t="s">
        <v>521</v>
      </c>
      <c r="AI40" s="2965"/>
      <c r="AJ40" s="2958"/>
      <c r="AK40" s="3133"/>
      <c r="AL40" s="3136"/>
      <c r="AM40" s="2978"/>
      <c r="AS40" s="1251">
        <v>34</v>
      </c>
    </row>
    <row customHeight="1" ht="35.699999999999996">
      <c r="A41" s="1466"/>
      <c r="B41" s="1466" t="s">
        <v>222</v>
      </c>
      <c r="C41" s="1466" t="s">
        <v>223</v>
      </c>
      <c r="D41" s="1466" t="s">
        <v>224</v>
      </c>
      <c r="E41" s="1460" t="s">
        <v>522</v>
      </c>
      <c r="F41" s="1460" t="s">
        <v>523</v>
      </c>
      <c r="G41" s="1460" t="s">
        <v>524</v>
      </c>
      <c r="H41" s="1460" t="s">
        <v>525</v>
      </c>
      <c r="I41" s="1460" t="s">
        <v>526</v>
      </c>
      <c r="J41" s="1460" t="s">
        <v>527</v>
      </c>
      <c r="K41" s="1460" t="s">
        <v>528</v>
      </c>
      <c r="L41" s="1460" t="s">
        <v>503</v>
      </c>
      <c r="Q41" s="483"/>
      <c r="R41" s="483"/>
      <c r="S41" s="3128"/>
      <c r="T41" s="3077"/>
      <c r="U41" s="410"/>
      <c r="V41" s="3101"/>
      <c r="W41" s="3125"/>
      <c r="X41" s="1318" t="s">
        <v>529</v>
      </c>
      <c r="Y41" s="1318" t="s">
        <v>530</v>
      </c>
      <c r="Z41" s="1434" t="s">
        <v>531</v>
      </c>
      <c r="AA41" s="3082" t="s">
        <v>532</v>
      </c>
      <c r="AB41" s="3095"/>
      <c r="AC41" s="3134"/>
      <c r="AD41" s="3101"/>
      <c r="AE41" s="3125"/>
      <c r="AF41" s="1318" t="s">
        <v>529</v>
      </c>
      <c r="AG41" s="1318" t="s">
        <v>530</v>
      </c>
      <c r="AH41" s="1434" t="s">
        <v>531</v>
      </c>
      <c r="AI41" s="3082" t="s">
        <v>532</v>
      </c>
      <c r="AJ41" s="3095"/>
      <c r="AK41" s="3134"/>
      <c r="AL41" s="3137"/>
      <c r="AM41" s="2978"/>
      <c r="AS41" s="1251">
        <v>34</v>
      </c>
    </row>
    <row s="10851" customFormat="1" customHeight="1" ht="11.25" hidden="1">
      <c r="A42" s="1466"/>
      <c r="B42" s="1466"/>
      <c r="C42" s="1466"/>
      <c r="D42" s="1466"/>
      <c r="E42" s="1466"/>
      <c r="F42" s="1466"/>
      <c r="G42" s="1466"/>
      <c r="H42" s="1466"/>
      <c r="I42" s="1466"/>
      <c r="J42" s="1466"/>
      <c r="K42" s="1466"/>
      <c r="L42" s="1460"/>
      <c r="M42" s="1458"/>
      <c r="N42" s="1458"/>
      <c r="O42" s="1458"/>
      <c r="P42" s="1342"/>
      <c r="Q42" s="1343"/>
      <c r="R42" s="1350">
        <v>1</v>
      </c>
      <c r="S42" s="1373" t="s">
        <v>144</v>
      </c>
      <c r="T42" s="1351" t="s">
        <v>102</v>
      </c>
      <c r="U42" s="1341" t="str">
        <f>OFFSET(U42,0,-1)</f>
        <v>2</v>
      </c>
      <c r="V42" s="1431">
        <f>OFFSET(V42,0,-1)+1</f>
        <v>3</v>
      </c>
      <c r="W42" s="1431"/>
      <c r="X42" s="1431">
        <f>OFFSET(X42,0,-1)+1</f>
        <v>1</v>
      </c>
      <c r="Y42" s="1431">
        <f>OFFSET(Y42,0,-1)+1</f>
        <v>2</v>
      </c>
      <c r="Z42" s="1431">
        <f>OFFSET(Z42,0,-1)+1</f>
        <v>3</v>
      </c>
      <c r="AA42" s="3126">
        <f>OFFSET(AA42,0,-1)+1</f>
        <v>4</v>
      </c>
      <c r="AB42" s="3126"/>
      <c r="AC42" s="1431">
        <f>OFFSET(AC42,0,-2)+1</f>
        <v>5</v>
      </c>
      <c r="AD42" s="1431">
        <f>OFFSET(AD42,0,-1)+1</f>
        <v>6</v>
      </c>
      <c r="AE42" s="1431"/>
      <c r="AF42" s="1431">
        <f>OFFSET(AF42,0,-1)+1</f>
        <v>1</v>
      </c>
      <c r="AG42" s="1431">
        <f>OFFSET(AG42,0,-1)+1</f>
        <v>2</v>
      </c>
      <c r="AH42" s="1431">
        <f>OFFSET(AH42,0,-1)+1</f>
        <v>3</v>
      </c>
      <c r="AI42" s="3126">
        <f>OFFSET(AI42,0,-1)+1</f>
        <v>4</v>
      </c>
      <c r="AJ42" s="3126"/>
      <c r="AK42" s="1431">
        <f>OFFSET(AK42,0,-2)+1</f>
        <v>5</v>
      </c>
      <c r="AL42" s="1341">
        <f>OFFSET(AL42,0,-1)</f>
        <v>5</v>
      </c>
      <c r="AM42" s="1431">
        <f>OFFSET(AM42,0,-1)+1</f>
        <v>6</v>
      </c>
      <c r="AN42" s="618"/>
      <c r="AO42" s="618"/>
      <c r="AP42" s="618"/>
      <c r="AQ42" s="618"/>
      <c r="AR42" s="618"/>
      <c r="AS42" s="603">
        <v>0</v>
      </c>
    </row>
    <row customHeight="1" ht="22.049999999999997">
      <c r="A43" s="1459" t="s">
        <v>267</v>
      </c>
      <c r="B43" s="1459"/>
      <c r="C43" s="1459"/>
      <c r="D43" s="1459"/>
      <c r="E43" s="3115">
        <v>1</v>
      </c>
      <c r="F43" s="1459"/>
      <c r="G43" s="1459"/>
      <c r="H43" s="1459"/>
      <c r="I43" s="1459"/>
      <c r="J43" s="1459"/>
      <c r="K43" s="1459"/>
      <c r="L43" s="1460"/>
      <c r="M43" s="1461"/>
      <c r="N43" s="1461"/>
      <c r="O43" s="1461"/>
      <c r="P43" s="468"/>
      <c r="Q43" s="467"/>
      <c r="R43" s="462"/>
      <c r="S43" s="1432">
        <f>INDEX(PT_DIFFERENTIATION_NUM_NTAR,MATCH(A43,PT_DIFFERENTIATION_NTAR_ID,0))</f>
        <v>0</v>
      </c>
      <c r="T43" s="406" t="s">
        <v>210</v>
      </c>
      <c r="U43" s="408"/>
      <c r="V43" s="3109"/>
      <c r="W43" s="3110"/>
      <c r="X43" s="3110"/>
      <c r="Y43" s="3110"/>
      <c r="Z43" s="3110"/>
      <c r="AA43" s="3110"/>
      <c r="AB43" s="3110"/>
      <c r="AC43" s="3111"/>
      <c r="AD43" s="3109" t="str">
        <f>INDEX(PT_DIFFERENTIATION_NTAR,MATCH(A43,PT_DIFFERENTIATION_NTAR_ID,0))</f>
        <v/>
      </c>
      <c r="AE43" s="3110"/>
      <c r="AF43" s="3110"/>
      <c r="AG43" s="3110"/>
      <c r="AH43" s="3110"/>
      <c r="AI43" s="3110"/>
      <c r="AJ43" s="3110"/>
      <c r="AK43" s="3110"/>
      <c r="AL43" s="3111"/>
      <c r="AM43" s="13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7"/>
      <c r="AP43" s="607" t="str">
        <f>IF(T43="","",T43)</f>
        <v>Наименование тарифа</v>
      </c>
      <c r="AQ43" s="607"/>
      <c r="AR43" s="607"/>
      <c r="AS43" s="1251">
        <v>21</v>
      </c>
    </row>
    <row customHeight="1" ht="22.049999999999997">
      <c r="A44" s="1459" t="s">
        <v>267</v>
      </c>
      <c r="B44" s="1459" t="s">
        <v>268</v>
      </c>
      <c r="C44" s="1459"/>
      <c r="D44" s="1459"/>
      <c r="E44" s="3116"/>
      <c r="F44" s="3115">
        <v>1</v>
      </c>
      <c r="G44" s="1459"/>
      <c r="H44" s="1459"/>
      <c r="I44" s="1459"/>
      <c r="J44" s="1459"/>
      <c r="K44" s="1459"/>
      <c r="L44" s="1460"/>
      <c r="M44" s="1461"/>
      <c r="N44" s="1461"/>
      <c r="O44" s="1461"/>
      <c r="P44" s="1428"/>
      <c r="Q44" s="459"/>
      <c r="R44" s="460"/>
      <c r="S44" s="1432" t="str">
        <f>INDEX(PT_DIFFERENTIATION_NUM_TER,MATCH(B44,PT_DIFFERENTIATION_TER_ID,0))</f>
        <v>.</v>
      </c>
      <c r="T44" s="416" t="s">
        <v>482</v>
      </c>
      <c r="U44" s="408"/>
      <c r="V44" s="3109"/>
      <c r="W44" s="3110"/>
      <c r="X44" s="3110"/>
      <c r="Y44" s="3110"/>
      <c r="Z44" s="3110"/>
      <c r="AA44" s="3110"/>
      <c r="AB44" s="3110"/>
      <c r="AC44" s="3111"/>
      <c r="AD44" s="3109" t="str">
        <f>INDEX(PT_DIFFERENTIATION_TER,MATCH(B44,PT_DIFFERENTIATION_TER_ID,0))</f>
        <v/>
      </c>
      <c r="AE44" s="3110"/>
      <c r="AF44" s="3110"/>
      <c r="AG44" s="3110"/>
      <c r="AH44" s="3110"/>
      <c r="AI44" s="3110"/>
      <c r="AJ44" s="3110"/>
      <c r="AK44" s="3110"/>
      <c r="AL44" s="3111"/>
      <c r="AM44" s="1354" t="s">
        <v>483</v>
      </c>
      <c r="AO44" s="607"/>
      <c r="AP44" s="607" t="str">
        <f>IF(T44="","",T44)</f>
        <v>Территория действия тарифа</v>
      </c>
      <c r="AQ44" s="607"/>
      <c r="AR44" s="607"/>
      <c r="AS44" s="1251">
        <v>21</v>
      </c>
    </row>
    <row customHeight="1" ht="24">
      <c r="A45" s="1459" t="s">
        <v>267</v>
      </c>
      <c r="B45" s="1459" t="s">
        <v>268</v>
      </c>
      <c r="C45" s="1459" t="s">
        <v>269</v>
      </c>
      <c r="D45" s="1459"/>
      <c r="E45" s="3116"/>
      <c r="F45" s="3116"/>
      <c r="G45" s="3115">
        <v>1</v>
      </c>
      <c r="H45" s="1459"/>
      <c r="I45" s="1459"/>
      <c r="J45" s="1459"/>
      <c r="K45" s="1459"/>
      <c r="L45" s="1460"/>
      <c r="M45" s="1461"/>
      <c r="N45" s="1461"/>
      <c r="O45" s="1461"/>
      <c r="P45" s="461"/>
      <c r="Q45" s="459"/>
      <c r="R45" s="460"/>
      <c r="S45" s="1432" t="str">
        <f>INDEX(PT_DIFFERENTIATION_NUM_CS,MATCH(C45,PT_DIFFERENTIATION_CS_ID,0))</f>
        <v>..</v>
      </c>
      <c r="T45" s="417" t="s">
        <v>484</v>
      </c>
      <c r="U45" s="408"/>
      <c r="V45" s="3109"/>
      <c r="W45" s="3110"/>
      <c r="X45" s="3110"/>
      <c r="Y45" s="3110"/>
      <c r="Z45" s="3110"/>
      <c r="AA45" s="3110"/>
      <c r="AB45" s="3110"/>
      <c r="AC45" s="3111"/>
      <c r="AD45" s="3109" t="str">
        <f>INDEX(PT_DIFFERENTIATION_CS,MATCH(C45,PT_DIFFERENTIATION_CS_ID,0))</f>
        <v/>
      </c>
      <c r="AE45" s="3110"/>
      <c r="AF45" s="3110"/>
      <c r="AG45" s="3110"/>
      <c r="AH45" s="3110"/>
      <c r="AI45" s="3110"/>
      <c r="AJ45" s="3110"/>
      <c r="AK45" s="3110"/>
      <c r="AL45" s="3111"/>
      <c r="AM45" s="1354" t="s">
        <v>485</v>
      </c>
      <c r="AO45" s="607"/>
      <c r="AP45" s="607" t="str">
        <f>IF(T45="","",T45)</f>
        <v>Наименование системы теплоснабжения </v>
      </c>
      <c r="AQ45" s="607"/>
      <c r="AR45" s="607"/>
      <c r="AS45" s="1251">
        <v>23</v>
      </c>
    </row>
    <row customHeight="1" ht="22.049999999999997">
      <c r="A46" s="1459" t="s">
        <v>267</v>
      </c>
      <c r="B46" s="1459" t="s">
        <v>268</v>
      </c>
      <c r="C46" s="1459" t="s">
        <v>269</v>
      </c>
      <c r="D46" s="1459" t="s">
        <v>270</v>
      </c>
      <c r="E46" s="3116"/>
      <c r="F46" s="3116"/>
      <c r="G46" s="3116"/>
      <c r="H46" s="3115">
        <v>1</v>
      </c>
      <c r="I46" s="1459"/>
      <c r="J46" s="1459"/>
      <c r="K46" s="1459"/>
      <c r="L46" s="1460"/>
      <c r="M46" s="1461"/>
      <c r="N46" s="1461"/>
      <c r="O46" s="1461"/>
      <c r="P46" s="461"/>
      <c r="Q46" s="459"/>
      <c r="R46" s="460"/>
      <c r="S46" s="1432" t="str">
        <f>INDEX(PT_DIFFERENTIATION_NUM_IST_TE,MATCH(D46,PT_DIFFERENTIATION_IST_TE_ID,0))</f>
        <v>...</v>
      </c>
      <c r="T46" s="418" t="s">
        <v>486</v>
      </c>
      <c r="U46" s="408"/>
      <c r="V46" s="3109"/>
      <c r="W46" s="3110"/>
      <c r="X46" s="3110"/>
      <c r="Y46" s="3110"/>
      <c r="Z46" s="3110"/>
      <c r="AA46" s="3110"/>
      <c r="AB46" s="3110"/>
      <c r="AC46" s="3111"/>
      <c r="AD46" s="3109" t="str">
        <f>INDEX(PT_DIFFERENTIATION_IST_TE,MATCH(D46,PT_DIFFERENTIATION_IST_TE_ID,0))</f>
        <v/>
      </c>
      <c r="AE46" s="3110"/>
      <c r="AF46" s="3110"/>
      <c r="AG46" s="3110"/>
      <c r="AH46" s="3110"/>
      <c r="AI46" s="3110"/>
      <c r="AJ46" s="3110"/>
      <c r="AK46" s="3110"/>
      <c r="AL46" s="3111"/>
      <c r="AM46" s="1354" t="s">
        <v>487</v>
      </c>
      <c r="AO46" s="607"/>
      <c r="AP46" s="607" t="str">
        <f>IF(T46="","",T46)</f>
        <v>Источник тепловой энергии  </v>
      </c>
      <c r="AQ46" s="607"/>
      <c r="AR46" s="607"/>
      <c r="AS46" s="1251">
        <v>21</v>
      </c>
    </row>
    <row s="10307" customFormat="1" customHeight="1" ht="14.25" hidden="1">
      <c r="A47" s="1439" t="s">
        <v>267</v>
      </c>
      <c r="B47" s="1439" t="s">
        <v>268</v>
      </c>
      <c r="C47" s="1439" t="s">
        <v>269</v>
      </c>
      <c r="D47" s="1439" t="s">
        <v>270</v>
      </c>
      <c r="E47" s="3116"/>
      <c r="F47" s="3116"/>
      <c r="G47" s="3116"/>
      <c r="H47" s="3116"/>
      <c r="I47" s="3117" t="str">
        <f>S46&amp;".1"</f>
        <v>....1</v>
      </c>
      <c r="J47" s="1439"/>
      <c r="K47" s="1439"/>
      <c r="L47" s="1442" t="s">
        <v>488</v>
      </c>
      <c r="M47" s="617"/>
      <c r="N47" s="617"/>
      <c r="O47" s="617"/>
      <c r="P47" s="3119">
        <v>1</v>
      </c>
      <c r="Q47" s="1427"/>
      <c r="R47" s="463"/>
      <c r="S47" s="1142"/>
      <c r="T47" s="1479"/>
      <c r="U47" s="1480"/>
      <c r="V47" s="3146"/>
      <c r="W47" s="3147"/>
      <c r="X47" s="3147"/>
      <c r="Y47" s="3147"/>
      <c r="Z47" s="3147"/>
      <c r="AA47" s="3147"/>
      <c r="AB47" s="3147"/>
      <c r="AC47" s="3148"/>
      <c r="AD47" s="3146"/>
      <c r="AE47" s="3147"/>
      <c r="AF47" s="3147"/>
      <c r="AG47" s="3147"/>
      <c r="AH47" s="3147"/>
      <c r="AI47" s="3147"/>
      <c r="AJ47" s="3147"/>
      <c r="AK47" s="3147"/>
      <c r="AL47" s="3148"/>
      <c r="AM47" s="1481"/>
      <c r="AO47" s="607"/>
      <c r="AP47" s="607" t="str">
        <f>IF(T47="","",T47)</f>
        <v/>
      </c>
      <c r="AQ47" s="607"/>
      <c r="AR47" s="607"/>
      <c r="AS47" s="618">
        <v>0</v>
      </c>
    </row>
    <row customHeight="1" ht="22.049999999999997">
      <c r="A48" s="1459" t="s">
        <v>267</v>
      </c>
      <c r="B48" s="1459" t="s">
        <v>268</v>
      </c>
      <c r="C48" s="1459" t="s">
        <v>269</v>
      </c>
      <c r="D48" s="1459" t="s">
        <v>270</v>
      </c>
      <c r="E48" s="3116"/>
      <c r="F48" s="3116"/>
      <c r="G48" s="3116"/>
      <c r="H48" s="3116"/>
      <c r="I48" s="3118"/>
      <c r="J48" s="3117" t="str">
        <f>S46&amp;".1"</f>
        <v>....1</v>
      </c>
      <c r="K48" s="1459"/>
      <c r="L48" s="1460" t="s">
        <v>491</v>
      </c>
      <c r="P48" s="3119"/>
      <c r="Q48" s="3119">
        <v>1</v>
      </c>
      <c r="R48" s="464"/>
      <c r="S48" s="1432" t="str">
        <f>$J48</f>
        <v>....1</v>
      </c>
      <c r="T48" s="394" t="s">
        <v>492</v>
      </c>
      <c r="U48" s="408"/>
      <c r="V48" s="3103"/>
      <c r="W48" s="3104"/>
      <c r="X48" s="3104"/>
      <c r="Y48" s="3104"/>
      <c r="Z48" s="3104"/>
      <c r="AA48" s="3104"/>
      <c r="AB48" s="3104"/>
      <c r="AC48" s="3105"/>
      <c r="AD48" s="3103"/>
      <c r="AE48" s="3104"/>
      <c r="AF48" s="3104"/>
      <c r="AG48" s="3104"/>
      <c r="AH48" s="3104"/>
      <c r="AI48" s="3104"/>
      <c r="AJ48" s="3104"/>
      <c r="AK48" s="3104"/>
      <c r="AL48" s="3105"/>
      <c r="AM48" s="1354" t="s">
        <v>493</v>
      </c>
      <c r="AO48" s="607"/>
      <c r="AP48" s="607" t="str">
        <f>IF(T48="","",T48)</f>
        <v>Группа потребителей</v>
      </c>
      <c r="AQ48" s="607"/>
      <c r="AR48" s="607"/>
      <c r="AS48" s="1251">
        <v>21</v>
      </c>
    </row>
    <row customHeight="1" ht="22.049999999999997">
      <c r="A49" s="1459" t="s">
        <v>267</v>
      </c>
      <c r="B49" s="1459" t="s">
        <v>268</v>
      </c>
      <c r="C49" s="1459" t="s">
        <v>269</v>
      </c>
      <c r="D49" s="1459" t="s">
        <v>270</v>
      </c>
      <c r="E49" s="3116"/>
      <c r="F49" s="3116"/>
      <c r="G49" s="3116"/>
      <c r="H49" s="3116"/>
      <c r="I49" s="3118"/>
      <c r="J49" s="3118"/>
      <c r="K49" s="3117" t="str">
        <f>J48&amp;".1"</f>
        <v>....1.1</v>
      </c>
      <c r="L49" s="1460" t="s">
        <v>494</v>
      </c>
      <c r="P49" s="3119"/>
      <c r="Q49" s="3119"/>
      <c r="R49" s="464">
        <v>1</v>
      </c>
      <c r="S49" s="1432" t="str">
        <f>$K49</f>
        <v>....1.1</v>
      </c>
      <c r="T49" s="1443"/>
      <c r="U49" s="408"/>
      <c r="V49" s="858"/>
      <c r="W49" s="433"/>
      <c r="X49" s="858"/>
      <c r="Y49" s="1353"/>
      <c r="Z49" s="3120"/>
      <c r="AA49" s="2989" t="s">
        <v>62</v>
      </c>
      <c r="AB49" s="3120"/>
      <c r="AC49" s="2989" t="s">
        <v>62</v>
      </c>
      <c r="AD49" s="858"/>
      <c r="AE49" s="433"/>
      <c r="AF49" s="858"/>
      <c r="AG49" s="1353"/>
      <c r="AH49" s="3120"/>
      <c r="AI49" s="2989" t="s">
        <v>62</v>
      </c>
      <c r="AJ49" s="3122"/>
      <c r="AK49" s="2989" t="s">
        <v>62</v>
      </c>
      <c r="AL49" s="1444"/>
      <c r="AM49" s="3138" t="s">
        <v>536</v>
      </c>
      <c r="AN49" s="618">
        <f>STRCHECKDATE(V50:AL50)</f>
      </c>
      <c r="AO49" s="607"/>
      <c r="AP49" s="607" t="str">
        <f>IF(T49="","",T49)</f>
        <v/>
      </c>
      <c r="AQ49" s="607"/>
      <c r="AR49" s="607"/>
      <c r="AS49" s="1251">
        <v>21</v>
      </c>
    </row>
    <row customHeight="1" ht="1.05">
      <c r="A50" s="1459" t="s">
        <v>267</v>
      </c>
      <c r="B50" s="1459" t="s">
        <v>268</v>
      </c>
      <c r="C50" s="1459" t="s">
        <v>269</v>
      </c>
      <c r="D50" s="1459" t="s">
        <v>270</v>
      </c>
      <c r="E50" s="3116"/>
      <c r="F50" s="3116"/>
      <c r="G50" s="3116"/>
      <c r="H50" s="3116"/>
      <c r="I50" s="3118"/>
      <c r="J50" s="3118"/>
      <c r="K50" s="3117"/>
      <c r="L50" s="1460"/>
      <c r="P50" s="3119"/>
      <c r="Q50" s="3119"/>
      <c r="R50" s="464"/>
      <c r="S50" s="1438"/>
      <c r="T50" s="408"/>
      <c r="U50" s="408"/>
      <c r="V50" s="433"/>
      <c r="W50" s="433"/>
      <c r="X50" s="433"/>
      <c r="Y50" s="436" t="str">
        <f>Z49&amp;"-"&amp;AB49</f>
        <v>-</v>
      </c>
      <c r="Z50" s="3121"/>
      <c r="AA50" s="2989"/>
      <c r="AB50" s="3121"/>
      <c r="AC50" s="2989"/>
      <c r="AD50" s="433"/>
      <c r="AE50" s="433"/>
      <c r="AF50" s="433"/>
      <c r="AG50" s="436" t="str">
        <f>AH49&amp;"-"&amp;AJ49</f>
        <v>-</v>
      </c>
      <c r="AH50" s="3121"/>
      <c r="AI50" s="2989"/>
      <c r="AJ50" s="3123"/>
      <c r="AK50" s="2989"/>
      <c r="AL50" s="1445"/>
      <c r="AM50" s="3139"/>
      <c r="AO50" s="607"/>
      <c r="AP50" s="607" t="str">
        <f>IF(T50="","",T50)</f>
        <v/>
      </c>
      <c r="AQ50" s="607"/>
      <c r="AR50" s="607"/>
      <c r="AS50" s="1251">
        <v>1</v>
      </c>
    </row>
    <row customHeight="1" ht="11.549999999999999">
      <c r="A51" s="1459" t="s">
        <v>267</v>
      </c>
      <c r="B51" s="1459" t="s">
        <v>268</v>
      </c>
      <c r="C51" s="1459" t="s">
        <v>269</v>
      </c>
      <c r="D51" s="1459" t="s">
        <v>270</v>
      </c>
      <c r="E51" s="3116"/>
      <c r="F51" s="3116"/>
      <c r="G51" s="3116"/>
      <c r="H51" s="3116"/>
      <c r="I51" s="3118"/>
      <c r="J51" s="3117"/>
      <c r="K51" s="1459"/>
      <c r="L51" s="1460"/>
      <c r="P51" s="3119"/>
      <c r="Q51" s="3119"/>
      <c r="R51" s="463"/>
      <c r="S51" s="1374"/>
      <c r="T51" s="395" t="s">
        <v>496</v>
      </c>
      <c r="U51" s="474"/>
      <c r="V51" s="474"/>
      <c r="W51" s="474"/>
      <c r="X51" s="474"/>
      <c r="Y51" s="474"/>
      <c r="Z51" s="474"/>
      <c r="AA51" s="474"/>
      <c r="AB51" s="474"/>
      <c r="AC51" s="474"/>
      <c r="AD51" s="474"/>
      <c r="AE51" s="474"/>
      <c r="AF51" s="474"/>
      <c r="AG51" s="474"/>
      <c r="AH51" s="474"/>
      <c r="AI51" s="474"/>
      <c r="AJ51" s="474"/>
      <c r="AK51" s="474"/>
      <c r="AL51" s="432"/>
      <c r="AM51" s="3140"/>
      <c r="AO51" s="607"/>
      <c r="AP51" s="607" t="str">
        <f>IF(T51="","",T51)</f>
        <v>Добавить вид теплоносителя (параметры теплоносителя)</v>
      </c>
      <c r="AQ51" s="607"/>
      <c r="AR51" s="607"/>
      <c r="AS51" s="1251">
        <v>11</v>
      </c>
    </row>
    <row customHeight="1" ht="11.549999999999999">
      <c r="A52" s="1459" t="s">
        <v>267</v>
      </c>
      <c r="B52" s="1459" t="s">
        <v>268</v>
      </c>
      <c r="C52" s="1459" t="s">
        <v>269</v>
      </c>
      <c r="D52" s="1459" t="s">
        <v>270</v>
      </c>
      <c r="E52" s="3116"/>
      <c r="F52" s="3116"/>
      <c r="G52" s="3116"/>
      <c r="H52" s="3116"/>
      <c r="I52" s="3117"/>
      <c r="J52" s="1459"/>
      <c r="K52" s="1459"/>
      <c r="L52" s="1460"/>
      <c r="P52" s="3119"/>
      <c r="Q52" s="1427"/>
      <c r="R52" s="463"/>
      <c r="S52" s="1374"/>
      <c r="T52" s="472" t="s">
        <v>497</v>
      </c>
      <c r="U52" s="474"/>
      <c r="V52" s="474"/>
      <c r="W52" s="474"/>
      <c r="X52" s="474"/>
      <c r="Y52" s="474"/>
      <c r="Z52" s="474"/>
      <c r="AA52" s="474"/>
      <c r="AB52" s="474"/>
      <c r="AC52" s="473"/>
      <c r="AD52" s="474"/>
      <c r="AE52" s="474"/>
      <c r="AF52" s="474"/>
      <c r="AG52" s="474"/>
      <c r="AH52" s="474"/>
      <c r="AI52" s="474"/>
      <c r="AJ52" s="474"/>
      <c r="AK52" s="473"/>
      <c r="AL52" s="474"/>
      <c r="AM52" s="411"/>
      <c r="AO52" s="607"/>
      <c r="AP52" s="607" t="str">
        <f>IF(T52="","",T52)</f>
        <v>Добавить группу потребителей</v>
      </c>
      <c r="AQ52" s="607"/>
      <c r="AR52" s="607"/>
      <c r="AS52" s="1251">
        <v>11</v>
      </c>
    </row>
    <row customHeight="1" ht="14.25" hidden="1">
      <c r="A53" s="1459" t="s">
        <v>267</v>
      </c>
      <c r="B53" s="1459" t="s">
        <v>268</v>
      </c>
      <c r="C53" s="1459" t="s">
        <v>269</v>
      </c>
      <c r="D53" s="1459" t="s">
        <v>270</v>
      </c>
      <c r="E53" s="3116"/>
      <c r="F53" s="3116"/>
      <c r="G53" s="3116"/>
      <c r="H53" s="3115"/>
      <c r="I53" s="1459"/>
      <c r="J53" s="1459"/>
      <c r="K53" s="1459"/>
      <c r="L53" s="1460"/>
      <c r="M53" s="1461"/>
      <c r="N53" s="1461"/>
      <c r="O53" s="644"/>
      <c r="P53" s="467"/>
      <c r="Q53" s="482"/>
      <c r="R53" s="462"/>
      <c r="S53" s="1482"/>
      <c r="T53" s="1483"/>
      <c r="U53" s="1484"/>
      <c r="V53" s="1484"/>
      <c r="W53" s="1484"/>
      <c r="X53" s="1484"/>
      <c r="Y53" s="1484"/>
      <c r="Z53" s="1484"/>
      <c r="AA53" s="1484"/>
      <c r="AB53" s="1484"/>
      <c r="AC53" s="1484"/>
      <c r="AD53" s="1484"/>
      <c r="AE53" s="1484"/>
      <c r="AF53" s="1484"/>
      <c r="AG53" s="1484"/>
      <c r="AH53" s="1484"/>
      <c r="AI53" s="1484"/>
      <c r="AJ53" s="1484"/>
      <c r="AK53" s="1484"/>
      <c r="AL53" s="1484"/>
      <c r="AM53" s="1485"/>
      <c r="AO53" s="607"/>
      <c r="AP53" s="607" t="str">
        <f>IF(T53="","",T53)</f>
        <v/>
      </c>
      <c r="AQ53" s="607"/>
      <c r="AR53" s="607"/>
      <c r="AS53" s="1251">
        <v>0</v>
      </c>
    </row>
    <row s="10307" customFormat="1" customHeight="1" ht="1.05">
      <c r="A54" s="1439" t="s">
        <v>267</v>
      </c>
      <c r="B54" s="1439" t="s">
        <v>268</v>
      </c>
      <c r="C54" s="1439" t="s">
        <v>269</v>
      </c>
      <c r="D54" s="1410"/>
      <c r="E54" s="3116"/>
      <c r="F54" s="3116"/>
      <c r="G54" s="3115"/>
      <c r="H54" s="1410"/>
      <c r="I54" s="1410"/>
      <c r="J54" s="1410"/>
      <c r="K54" s="1410"/>
      <c r="L54" s="1435"/>
      <c r="M54" s="1411"/>
      <c r="N54" s="1411"/>
      <c r="P54" s="1412"/>
      <c r="Q54" s="1413"/>
      <c r="R54" s="1412"/>
      <c r="S54" s="1418"/>
      <c r="T54" s="1421" t="s">
        <v>499</v>
      </c>
      <c r="U54" s="1420"/>
      <c r="V54" s="1420"/>
      <c r="W54" s="1420"/>
      <c r="X54" s="1420"/>
      <c r="Y54" s="1420"/>
      <c r="Z54" s="1420"/>
      <c r="AA54" s="1420"/>
      <c r="AB54" s="1420"/>
      <c r="AC54" s="1420"/>
      <c r="AD54" s="1420"/>
      <c r="AE54" s="1420"/>
      <c r="AF54" s="1420"/>
      <c r="AG54" s="1420"/>
      <c r="AH54" s="1420"/>
      <c r="AI54" s="1420"/>
      <c r="AJ54" s="1420"/>
      <c r="AK54" s="1420"/>
      <c r="AL54" s="1420"/>
      <c r="AM54" s="1420"/>
      <c r="AO54" s="890"/>
      <c r="AP54" s="890" t="str">
        <f>IF(T54="","",T54)</f>
        <v>Добавить источник для дифференциации</v>
      </c>
      <c r="AQ54" s="890"/>
      <c r="AR54" s="890"/>
      <c r="AS54" s="625">
        <v>1</v>
      </c>
    </row>
    <row s="10307" customFormat="1" customHeight="1" ht="1.05">
      <c r="A55" s="1439" t="s">
        <v>267</v>
      </c>
      <c r="B55" s="1439" t="s">
        <v>268</v>
      </c>
      <c r="C55" s="1410"/>
      <c r="D55" s="1410"/>
      <c r="E55" s="3116"/>
      <c r="F55" s="3115"/>
      <c r="G55" s="1410"/>
      <c r="H55" s="1410"/>
      <c r="I55" s="1410"/>
      <c r="J55" s="1410"/>
      <c r="K55" s="1410"/>
      <c r="L55" s="1435"/>
      <c r="M55" s="1417"/>
      <c r="N55" s="1417"/>
      <c r="P55" s="1412"/>
      <c r="Q55" s="1413"/>
      <c r="R55" s="1412"/>
      <c r="S55" s="1418"/>
      <c r="T55" s="1421" t="s">
        <v>500</v>
      </c>
      <c r="U55" s="1420"/>
      <c r="V55" s="1420"/>
      <c r="W55" s="1420"/>
      <c r="X55" s="1420"/>
      <c r="Y55" s="1420"/>
      <c r="Z55" s="1420"/>
      <c r="AA55" s="1420"/>
      <c r="AB55" s="1420"/>
      <c r="AC55" s="1420"/>
      <c r="AD55" s="1420"/>
      <c r="AE55" s="1420"/>
      <c r="AF55" s="1420"/>
      <c r="AG55" s="1420"/>
      <c r="AH55" s="1420"/>
      <c r="AI55" s="1420"/>
      <c r="AJ55" s="1420"/>
      <c r="AK55" s="1420"/>
      <c r="AL55" s="1420"/>
      <c r="AM55" s="1420"/>
      <c r="AO55" s="890"/>
      <c r="AP55" s="890" t="str">
        <f>IF(T55="","",T55)</f>
        <v>Добавить централизованную систему для дифференциации</v>
      </c>
      <c r="AQ55" s="890"/>
      <c r="AR55" s="890"/>
      <c r="AS55" s="625">
        <v>1</v>
      </c>
    </row>
    <row s="10307" customFormat="1" customHeight="1" ht="1.05">
      <c r="A56" s="1439" t="s">
        <v>267</v>
      </c>
      <c r="B56" s="1439"/>
      <c r="C56" s="1439"/>
      <c r="D56" s="1439"/>
      <c r="E56" s="3115"/>
      <c r="F56" s="1439"/>
      <c r="G56" s="1439"/>
      <c r="H56" s="1439"/>
      <c r="I56" s="1439"/>
      <c r="J56" s="1439"/>
      <c r="K56" s="1439"/>
      <c r="L56" s="1442"/>
      <c r="M56" s="1417"/>
      <c r="N56" s="1417"/>
      <c r="O56" s="625"/>
      <c r="P56" s="487"/>
      <c r="Q56" s="1440"/>
      <c r="R56" s="487"/>
      <c r="S56" s="1418"/>
      <c r="T56" s="1421" t="s">
        <v>501</v>
      </c>
      <c r="U56" s="1420"/>
      <c r="V56" s="1420"/>
      <c r="W56" s="1420"/>
      <c r="X56" s="1420"/>
      <c r="Y56" s="1420"/>
      <c r="Z56" s="1420"/>
      <c r="AA56" s="1420"/>
      <c r="AB56" s="1420"/>
      <c r="AC56" s="1420"/>
      <c r="AD56" s="1420"/>
      <c r="AE56" s="1420"/>
      <c r="AF56" s="1420"/>
      <c r="AG56" s="1420"/>
      <c r="AH56" s="1420"/>
      <c r="AI56" s="1420"/>
      <c r="AJ56" s="1420"/>
      <c r="AK56" s="1420"/>
      <c r="AL56" s="1420"/>
      <c r="AM56" s="1420"/>
      <c r="AO56" s="607"/>
      <c r="AP56" s="607" t="str">
        <f>IF(T56="","",T56)</f>
        <v>Добавить территорию для дифференциации</v>
      </c>
      <c r="AQ56" s="607"/>
      <c r="AR56" s="607"/>
      <c r="AS56" s="618">
        <v>1</v>
      </c>
    </row>
    <row s="10307" customFormat="1" customHeight="1" ht="1.05">
      <c r="A57" s="1410"/>
      <c r="B57" s="1410"/>
      <c r="C57" s="1410"/>
      <c r="D57" s="1410"/>
      <c r="E57" s="1439"/>
      <c r="F57" s="1410"/>
      <c r="G57" s="1410"/>
      <c r="H57" s="1410"/>
      <c r="I57" s="1410"/>
      <c r="J57" s="1410"/>
      <c r="K57" s="1410"/>
      <c r="L57" s="1435"/>
      <c r="M57" s="1417"/>
      <c r="N57" s="1417"/>
      <c r="P57" s="1412"/>
      <c r="Q57" s="1413"/>
      <c r="R57" s="1412"/>
      <c r="S57" s="1418"/>
      <c r="T57" s="1421" t="s">
        <v>533</v>
      </c>
      <c r="U57" s="1420"/>
      <c r="V57" s="1420"/>
      <c r="W57" s="1420"/>
      <c r="X57" s="1420"/>
      <c r="Y57" s="1420"/>
      <c r="Z57" s="1420"/>
      <c r="AA57" s="1420"/>
      <c r="AB57" s="1420"/>
      <c r="AC57" s="1420"/>
      <c r="AD57" s="1420"/>
      <c r="AE57" s="1420"/>
      <c r="AF57" s="1420"/>
      <c r="AG57" s="1420"/>
      <c r="AH57" s="1420"/>
      <c r="AI57" s="1420"/>
      <c r="AJ57" s="1420"/>
      <c r="AK57" s="1420"/>
      <c r="AL57" s="1420"/>
      <c r="AM57" s="1420"/>
      <c r="AO57" s="890"/>
      <c r="AP57" s="890" t="str">
        <f>IF(T57="","",T57)</f>
        <v>Добавить наименование тарифа</v>
      </c>
      <c r="AQ57" s="890"/>
      <c r="AR57" s="890"/>
      <c r="AS57" s="625">
        <v>1</v>
      </c>
    </row>
    <row customHeight="1" ht="11.549999999999999">
      <c r="M58" s="1256"/>
      <c r="N58" s="1256"/>
      <c r="O58" s="644"/>
      <c r="P58" s="1251"/>
      <c r="Q58" s="1251"/>
      <c r="R58" s="1251"/>
      <c r="S58" s="1251"/>
      <c r="AN58" s="1251"/>
      <c r="AO58" s="1251"/>
      <c r="AP58" s="1251"/>
      <c r="AQ58" s="1251"/>
      <c r="AR58" s="1251"/>
      <c r="AS58" s="1251">
        <v>11</v>
      </c>
    </row>
    <row customHeight="1" ht="23.25">
      <c r="O59" s="644"/>
      <c r="S59" s="1349"/>
      <c r="T59" s="3114"/>
      <c r="U59" s="3114"/>
      <c r="V59" s="3114"/>
      <c r="W59" s="3114"/>
      <c r="X59" s="3114"/>
      <c r="Y59" s="3114"/>
      <c r="Z59" s="3114"/>
      <c r="AA59" s="3114"/>
      <c r="AB59" s="3114"/>
      <c r="AC59" s="3114"/>
      <c r="AD59" s="3114"/>
      <c r="AE59" s="3114"/>
      <c r="AF59" s="3114"/>
      <c r="AG59" s="3114"/>
      <c r="AH59" s="3114"/>
      <c r="AI59" s="3114"/>
      <c r="AJ59" s="3114"/>
      <c r="AK59" s="3114"/>
      <c r="AL59" s="3114"/>
      <c r="AM59" s="3114"/>
      <c r="AS59" s="1251">
        <v>22</v>
      </c>
    </row>
    <row customHeight="1" ht="30.45">
      <c r="O60" s="644"/>
      <c r="T60" s="3114"/>
      <c r="U60" s="3114"/>
      <c r="V60" s="3114"/>
      <c r="W60" s="3114"/>
      <c r="X60" s="3114"/>
      <c r="Y60" s="3114"/>
      <c r="Z60" s="3114"/>
      <c r="AA60" s="3114"/>
      <c r="AB60" s="3114"/>
      <c r="AC60" s="3114"/>
      <c r="AD60" s="3114"/>
      <c r="AE60" s="3114"/>
      <c r="AF60" s="3114"/>
      <c r="AG60" s="3114"/>
      <c r="AH60" s="3114"/>
      <c r="AI60" s="3114"/>
      <c r="AJ60" s="3114"/>
      <c r="AK60" s="3114"/>
      <c r="AL60" s="3114"/>
      <c r="AM60" s="3114"/>
      <c r="AS60" s="1251">
        <v>29</v>
      </c>
    </row>
    <row customHeight="1" ht="42">
      <c r="O61" s="644"/>
      <c r="T61" s="3114"/>
      <c r="U61" s="3114"/>
      <c r="V61" s="3114"/>
      <c r="W61" s="3114"/>
      <c r="X61" s="3114"/>
      <c r="Y61" s="3114"/>
      <c r="Z61" s="3114"/>
      <c r="AA61" s="3114"/>
      <c r="AB61" s="3114"/>
      <c r="AC61" s="3114"/>
      <c r="AD61" s="3114"/>
      <c r="AE61" s="3114"/>
      <c r="AF61" s="3114"/>
      <c r="AG61" s="3114"/>
      <c r="AH61" s="3114"/>
      <c r="AI61" s="3114"/>
      <c r="AJ61" s="3114"/>
      <c r="AK61" s="3114"/>
      <c r="AL61" s="3114"/>
      <c r="AM61" s="3114"/>
      <c r="AS61" s="1251">
        <v>40</v>
      </c>
    </row>
    <row customHeight="1" ht="14.699999999999998">
      <c r="O62" s="644"/>
      <c r="AS62" s="1251">
        <v>14</v>
      </c>
    </row>
    <row customHeight="1" ht="21">
      <c r="O63" s="644"/>
      <c r="S63" s="1349"/>
      <c r="T63" s="3028"/>
      <c r="U63" s="3114"/>
      <c r="V63" s="3114"/>
      <c r="W63" s="3114"/>
      <c r="X63" s="3114"/>
      <c r="Y63" s="3114"/>
      <c r="Z63" s="3114"/>
      <c r="AA63" s="3114"/>
      <c r="AB63" s="3114"/>
      <c r="AC63" s="3114"/>
      <c r="AD63" s="3114"/>
      <c r="AE63" s="3114"/>
      <c r="AF63" s="3114"/>
      <c r="AG63" s="3114"/>
      <c r="AH63" s="3114"/>
      <c r="AI63" s="3114"/>
      <c r="AJ63" s="3114"/>
      <c r="AK63" s="3114"/>
      <c r="AL63" s="3114"/>
      <c r="AM63" s="3114"/>
      <c r="AS63" s="1251">
        <v>20</v>
      </c>
    </row>
    <row customHeight="1" ht="29.25">
      <c r="O64" s="644"/>
      <c r="T64" s="3114"/>
      <c r="U64" s="3114"/>
      <c r="V64" s="3114"/>
      <c r="W64" s="3114"/>
      <c r="X64" s="3114"/>
      <c r="Y64" s="3114"/>
      <c r="Z64" s="3114"/>
      <c r="AA64" s="3114"/>
      <c r="AB64" s="3114"/>
      <c r="AC64" s="3114"/>
      <c r="AD64" s="3114"/>
      <c r="AE64" s="3114"/>
      <c r="AF64" s="3114"/>
      <c r="AG64" s="3114"/>
      <c r="AH64" s="3114"/>
      <c r="AI64" s="3114"/>
      <c r="AJ64" s="3114"/>
      <c r="AK64" s="3114"/>
      <c r="AL64" s="3114"/>
      <c r="AM64" s="3114"/>
      <c r="AS64" s="1251">
        <v>28</v>
      </c>
    </row>
    <row customHeight="1" ht="35.699999999999996">
      <c r="T65" s="3114"/>
      <c r="U65" s="3114"/>
      <c r="V65" s="3114"/>
      <c r="W65" s="3114"/>
      <c r="X65" s="3114"/>
      <c r="Y65" s="3114"/>
      <c r="Z65" s="3114"/>
      <c r="AA65" s="3114"/>
      <c r="AB65" s="3114"/>
      <c r="AC65" s="3114"/>
      <c r="AD65" s="3114"/>
      <c r="AE65" s="3114"/>
      <c r="AF65" s="3114"/>
      <c r="AG65" s="3114"/>
      <c r="AH65" s="3114"/>
      <c r="AI65" s="3114"/>
      <c r="AJ65" s="3114"/>
      <c r="AK65" s="3114"/>
      <c r="AL65" s="3114"/>
      <c r="AM65" s="3114"/>
      <c r="AS65" s="1251">
        <v>34</v>
      </c>
    </row>
    <row customHeight="1" ht="22.5" hidden="1">
      <c r="A66" s="1256" t="s">
        <v>82</v>
      </c>
      <c r="B66" s="1256">
        <v>0</v>
      </c>
      <c r="C66" s="1256">
        <v>0</v>
      </c>
      <c r="D66" s="1256">
        <v>0</v>
      </c>
      <c r="E66" s="1256">
        <v>0</v>
      </c>
      <c r="F66" s="1256">
        <v>0</v>
      </c>
      <c r="G66" s="1256">
        <v>0</v>
      </c>
      <c r="H66" s="1256">
        <v>0</v>
      </c>
      <c r="I66" s="1256">
        <v>0</v>
      </c>
      <c r="J66" s="1256">
        <v>0</v>
      </c>
      <c r="K66" s="1256">
        <v>0</v>
      </c>
      <c r="L66" s="1425">
        <v>0</v>
      </c>
      <c r="M66" s="1458">
        <v>0</v>
      </c>
      <c r="N66" s="1458">
        <v>0</v>
      </c>
      <c r="O66" s="1458">
        <v>0</v>
      </c>
      <c r="P66" s="1424">
        <v>0</v>
      </c>
      <c r="Q66" s="452">
        <v>3</v>
      </c>
      <c r="R66" s="452">
        <v>3</v>
      </c>
      <c r="S66" s="688">
        <v>12</v>
      </c>
      <c r="T66" s="1251">
        <v>31</v>
      </c>
      <c r="U66" s="1251">
        <v>0</v>
      </c>
      <c r="V66" s="1251">
        <v>0</v>
      </c>
      <c r="W66" s="1251">
        <v>0</v>
      </c>
      <c r="X66" s="1251">
        <v>0</v>
      </c>
      <c r="Y66" s="1251">
        <v>0</v>
      </c>
      <c r="Z66" s="1251">
        <v>0</v>
      </c>
      <c r="AA66" s="1251">
        <v>0</v>
      </c>
      <c r="AB66" s="1251">
        <v>0</v>
      </c>
      <c r="AC66" s="1251">
        <v>0</v>
      </c>
      <c r="AD66" s="1251">
        <v>24</v>
      </c>
      <c r="AE66" s="1251">
        <v>0</v>
      </c>
      <c r="AF66" s="1251">
        <v>24</v>
      </c>
      <c r="AG66" s="1251">
        <v>24</v>
      </c>
      <c r="AH66" s="1251">
        <v>11</v>
      </c>
      <c r="AI66" s="1251">
        <v>3</v>
      </c>
      <c r="AJ66" s="1251">
        <v>11</v>
      </c>
      <c r="AK66" s="1251">
        <v>0</v>
      </c>
      <c r="AL66" s="1251">
        <v>4</v>
      </c>
      <c r="AM66" s="1251">
        <v>115</v>
      </c>
      <c r="AN66" s="618">
        <v>10</v>
      </c>
      <c r="AO66" s="618">
        <v>10</v>
      </c>
      <c r="AP66" s="618">
        <v>10</v>
      </c>
      <c r="AQ66" s="618">
        <v>10</v>
      </c>
      <c r="AR66" s="618">
        <v>10</v>
      </c>
      <c r="AS66" s="1251">
        <v>23</v>
      </c>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B4BD1-3A24-9831-94D1-FCF037416F4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2.00390625" hidden="1" customWidth="1"/>
    <col min="10" max="10" style="10306" width="9.8515625" hidden="1" customWidth="1"/>
    <col min="11" max="11" style="10306" width="11.421875" hidden="1" customWidth="1"/>
    <col min="12" max="12" style="11079" width="19.140625" hidden="1" customWidth="1"/>
    <col min="13" max="14" style="11080" width="12.28125" hidden="1" customWidth="1"/>
    <col min="15" max="15" style="11080" width="23.421875" hidden="1" customWidth="1"/>
    <col min="16" max="16" style="11081" width="3.7109375" hidden="1" customWidth="1"/>
    <col min="17" max="18" style="11082" width="3.00390625" customWidth="1"/>
    <col min="19" max="19" style="11083" width="12.00390625" customWidth="1"/>
    <col min="20" max="20" style="10232" width="31.00390625" customWidth="1"/>
    <col min="21" max="21" style="10232" width="0.140625" customWidth="1"/>
    <col min="22" max="22" style="10232" width="24.7109375" hidden="1" customWidth="1"/>
    <col min="23" max="23" style="10232" width="0.140625" hidden="1" customWidth="1"/>
    <col min="24" max="25" style="10232" width="24.7109375" hidden="1" customWidth="1"/>
    <col min="26" max="26" style="10232" width="11.7109375" hidden="1" customWidth="1"/>
    <col min="27" max="27" style="10232" width="3.7109375" hidden="1" customWidth="1"/>
    <col min="28" max="28" style="10232" width="11.7109375" hidden="1" customWidth="1"/>
    <col min="29" max="29" style="10232" width="8.57421875" hidden="1" customWidth="1"/>
    <col min="30" max="30" style="10232" width="24.7109375" customWidth="1"/>
    <col min="31" max="31" style="10232" width="0.140625" customWidth="1"/>
    <col min="32" max="33" style="10232" width="24.00390625" customWidth="1"/>
    <col min="34" max="34" style="10232" width="11.00390625" customWidth="1"/>
    <col min="35" max="35" style="10232" width="3.7109375" customWidth="1"/>
    <col min="36" max="36" style="10232" width="11.00390625" customWidth="1"/>
    <col min="37" max="37" style="10232" width="8.57421875" hidden="1" customWidth="1"/>
    <col min="38" max="38" style="10232" width="4.00390625" customWidth="1"/>
    <col min="39" max="39" style="10232" width="115.00390625" customWidth="1"/>
    <col min="40" max="44" style="10307" width="10.00390625" customWidth="1"/>
    <col min="45" max="45" style="10232" width="10.57421875" hidden="1"/>
  </cols>
  <sheetData>
    <row customHeight="1" ht="22.5" hidden="1">
      <c r="Y1" s="435"/>
      <c r="Z1" s="435"/>
      <c r="AG1" s="435"/>
      <c r="AH1" s="435"/>
      <c r="AS1" s="1251" t="s">
        <v>14</v>
      </c>
    </row>
    <row customHeight="1" ht="21" hidden="1">
      <c r="A2" s="1459"/>
      <c r="B2" s="1459"/>
      <c r="C2" s="1459"/>
      <c r="D2" s="1459"/>
      <c r="E2" s="3115">
        <v>1</v>
      </c>
      <c r="F2" s="1459"/>
      <c r="G2" s="1459"/>
      <c r="H2" s="1459"/>
      <c r="I2" s="1459"/>
      <c r="J2" s="1459"/>
      <c r="K2" s="1459"/>
      <c r="L2" s="1460"/>
      <c r="M2" s="1461"/>
      <c r="N2" s="1461"/>
      <c r="O2" s="1461"/>
      <c r="P2" s="468"/>
      <c r="Q2" s="467"/>
      <c r="R2" s="462"/>
      <c r="S2" s="1432">
        <f>INDEX(PT_DIFFERENTIATION_NUM_NTAR,MATCH(A2,PT_DIFFERENTIATION_NTAR_ID,0))</f>
      </c>
      <c r="T2" s="406" t="s">
        <v>210</v>
      </c>
      <c r="U2" s="408"/>
      <c r="V2" s="3109"/>
      <c r="W2" s="3110"/>
      <c r="X2" s="3110"/>
      <c r="Y2" s="3110"/>
      <c r="Z2" s="3110"/>
      <c r="AA2" s="3110"/>
      <c r="AB2" s="3110"/>
      <c r="AC2" s="3111"/>
      <c r="AD2" s="3109">
        <f>INDEX(PT_DIFFERENTIATION_NTAR,MATCH(A2,PT_DIFFERENTIATION_NTAR_ID,0))</f>
      </c>
      <c r="AE2" s="3110"/>
      <c r="AF2" s="3110"/>
      <c r="AG2" s="3110"/>
      <c r="AH2" s="3110"/>
      <c r="AI2" s="3110"/>
      <c r="AJ2" s="3110"/>
      <c r="AK2" s="3110"/>
      <c r="AL2" s="3111"/>
      <c r="AM2" s="1354" t="s">
        <v>481</v>
      </c>
      <c r="AO2" s="607"/>
      <c r="AP2" s="607" t="str">
        <f>IF(T2="","",T2)</f>
        <v>Наименование тарифа</v>
      </c>
      <c r="AQ2" s="607"/>
      <c r="AR2" s="607"/>
      <c r="AS2" s="1251">
        <v>0</v>
      </c>
    </row>
    <row customHeight="1" ht="21" hidden="1">
      <c r="A3" s="1459"/>
      <c r="B3" s="1459"/>
      <c r="C3" s="1459"/>
      <c r="D3" s="1459"/>
      <c r="E3" s="3116"/>
      <c r="F3" s="3115">
        <v>1</v>
      </c>
      <c r="G3" s="1459"/>
      <c r="H3" s="1459"/>
      <c r="I3" s="1459"/>
      <c r="J3" s="1459"/>
      <c r="K3" s="1459"/>
      <c r="L3" s="1460"/>
      <c r="M3" s="1461"/>
      <c r="N3" s="1461"/>
      <c r="O3" s="1461"/>
      <c r="P3" s="1428"/>
      <c r="Q3" s="459"/>
      <c r="R3" s="460"/>
      <c r="S3" s="1432">
        <f>INDEX(PT_DIFFERENTIATION_NUM_TER,MATCH(B3,PT_DIFFERENTIATION_TER_ID,0))</f>
      </c>
      <c r="T3" s="416" t="s">
        <v>482</v>
      </c>
      <c r="U3" s="408"/>
      <c r="V3" s="3109"/>
      <c r="W3" s="3110"/>
      <c r="X3" s="3110"/>
      <c r="Y3" s="3110"/>
      <c r="Z3" s="3110"/>
      <c r="AA3" s="3110"/>
      <c r="AB3" s="3110"/>
      <c r="AC3" s="3111"/>
      <c r="AD3" s="3109">
        <f>INDEX(PT_DIFFERENTIATION_TER,MATCH(B3,PT_DIFFERENTIATION_TER_ID,0))</f>
      </c>
      <c r="AE3" s="3110"/>
      <c r="AF3" s="3110"/>
      <c r="AG3" s="3110"/>
      <c r="AH3" s="3110"/>
      <c r="AI3" s="3110"/>
      <c r="AJ3" s="3110"/>
      <c r="AK3" s="3110"/>
      <c r="AL3" s="3111"/>
      <c r="AM3" s="1354" t="s">
        <v>483</v>
      </c>
      <c r="AO3" s="607"/>
      <c r="AP3" s="607" t="str">
        <f>IF(T3="","",T3)</f>
        <v>Территория действия тарифа</v>
      </c>
      <c r="AQ3" s="607"/>
      <c r="AR3" s="607"/>
      <c r="AS3" s="1251">
        <v>0</v>
      </c>
    </row>
    <row customHeight="1" ht="23.25" hidden="1">
      <c r="A4" s="1459"/>
      <c r="B4" s="1459"/>
      <c r="C4" s="1459"/>
      <c r="D4" s="1459"/>
      <c r="E4" s="3116"/>
      <c r="F4" s="3116"/>
      <c r="G4" s="3115">
        <v>1</v>
      </c>
      <c r="H4" s="1459"/>
      <c r="I4" s="1459"/>
      <c r="J4" s="1459"/>
      <c r="K4" s="1459"/>
      <c r="L4" s="1460"/>
      <c r="M4" s="1461"/>
      <c r="N4" s="1461"/>
      <c r="O4" s="1461"/>
      <c r="P4" s="461"/>
      <c r="Q4" s="459"/>
      <c r="R4" s="460"/>
      <c r="S4" s="1432">
        <f>INDEX(PT_DIFFERENTIATION_NUM_CS,MATCH(C4,PT_DIFFERENTIATION_CS_ID,0))</f>
      </c>
      <c r="T4" s="417" t="s">
        <v>484</v>
      </c>
      <c r="U4" s="408"/>
      <c r="V4" s="3109"/>
      <c r="W4" s="3110"/>
      <c r="X4" s="3110"/>
      <c r="Y4" s="3110"/>
      <c r="Z4" s="3110"/>
      <c r="AA4" s="3110"/>
      <c r="AB4" s="3110"/>
      <c r="AC4" s="3111"/>
      <c r="AD4" s="3109">
        <f>INDEX(PT_DIFFERENTIATION_CS,MATCH(C4,PT_DIFFERENTIATION_CS_ID,0))</f>
      </c>
      <c r="AE4" s="3110"/>
      <c r="AF4" s="3110"/>
      <c r="AG4" s="3110"/>
      <c r="AH4" s="3110"/>
      <c r="AI4" s="3110"/>
      <c r="AJ4" s="3110"/>
      <c r="AK4" s="3110"/>
      <c r="AL4" s="3111"/>
      <c r="AM4" s="1354" t="s">
        <v>485</v>
      </c>
      <c r="AO4" s="607"/>
      <c r="AP4" s="607" t="str">
        <f>IF(T4="","",T4)</f>
        <v>Наименование системы теплоснабжения </v>
      </c>
      <c r="AQ4" s="607"/>
      <c r="AR4" s="607"/>
      <c r="AS4" s="1251">
        <v>0</v>
      </c>
    </row>
    <row customHeight="1" ht="21" hidden="1">
      <c r="A5" s="1459"/>
      <c r="B5" s="1459"/>
      <c r="C5" s="1459"/>
      <c r="D5" s="1459"/>
      <c r="E5" s="3116"/>
      <c r="F5" s="3116"/>
      <c r="G5" s="3116"/>
      <c r="H5" s="3115">
        <v>1</v>
      </c>
      <c r="I5" s="1459"/>
      <c r="J5" s="1459"/>
      <c r="K5" s="1459"/>
      <c r="L5" s="1460"/>
      <c r="M5" s="1461"/>
      <c r="N5" s="1461"/>
      <c r="O5" s="1461"/>
      <c r="P5" s="461"/>
      <c r="Q5" s="459"/>
      <c r="R5" s="460"/>
      <c r="S5" s="1432">
        <f>INDEX(PT_DIFFERENTIATION_NUM_IST_TE,MATCH(D5,PT_DIFFERENTIATION_IST_TE_ID,0))</f>
      </c>
      <c r="T5" s="418" t="s">
        <v>486</v>
      </c>
      <c r="U5" s="408"/>
      <c r="V5" s="3109"/>
      <c r="W5" s="3110"/>
      <c r="X5" s="3110"/>
      <c r="Y5" s="3110"/>
      <c r="Z5" s="3110"/>
      <c r="AA5" s="3110"/>
      <c r="AB5" s="3110"/>
      <c r="AC5" s="3111"/>
      <c r="AD5" s="3109">
        <f>INDEX(PT_DIFFERENTIATION_IST_TE,MATCH(D5,PT_DIFFERENTIATION_IST_TE_ID,0))</f>
      </c>
      <c r="AE5" s="3110"/>
      <c r="AF5" s="3110"/>
      <c r="AG5" s="3110"/>
      <c r="AH5" s="3110"/>
      <c r="AI5" s="3110"/>
      <c r="AJ5" s="3110"/>
      <c r="AK5" s="3110"/>
      <c r="AL5" s="3111"/>
      <c r="AM5" s="1354" t="s">
        <v>487</v>
      </c>
      <c r="AO5" s="607"/>
      <c r="AP5" s="607" t="str">
        <f>IF(T5="","",T5)</f>
        <v>Источник тепловой энергии  </v>
      </c>
      <c r="AQ5" s="607"/>
      <c r="AR5" s="607"/>
      <c r="AS5" s="1251">
        <v>0</v>
      </c>
    </row>
    <row customHeight="1" ht="14.25" hidden="1">
      <c r="A6" s="1459"/>
      <c r="B6" s="1459"/>
      <c r="C6" s="1459"/>
      <c r="D6" s="1459"/>
      <c r="E6" s="3116"/>
      <c r="F6" s="3116"/>
      <c r="G6" s="3116"/>
      <c r="H6" s="3116"/>
      <c r="I6" s="3117">
        <f>S5&amp;".1"</f>
      </c>
      <c r="J6" s="1459"/>
      <c r="K6" s="1459"/>
      <c r="L6" s="1460" t="s">
        <v>488</v>
      </c>
      <c r="M6" s="644"/>
      <c r="P6" s="3119">
        <v>1</v>
      </c>
      <c r="Q6" s="1427"/>
      <c r="R6" s="463"/>
      <c r="S6" s="1142"/>
      <c r="T6" s="1479"/>
      <c r="U6" s="1480"/>
      <c r="V6" s="3146"/>
      <c r="W6" s="3147"/>
      <c r="X6" s="3147"/>
      <c r="Y6" s="3147"/>
      <c r="Z6" s="3147"/>
      <c r="AA6" s="3147"/>
      <c r="AB6" s="3147"/>
      <c r="AC6" s="3148"/>
      <c r="AD6" s="3146"/>
      <c r="AE6" s="3147"/>
      <c r="AF6" s="3147"/>
      <c r="AG6" s="3147"/>
      <c r="AH6" s="3147"/>
      <c r="AI6" s="3147"/>
      <c r="AJ6" s="3147"/>
      <c r="AK6" s="3147"/>
      <c r="AL6" s="3148"/>
      <c r="AM6" s="1481"/>
      <c r="AO6" s="607"/>
      <c r="AP6" s="607" t="str">
        <f>IF(T6="","",T6)</f>
        <v/>
      </c>
      <c r="AQ6" s="607"/>
      <c r="AR6" s="607"/>
      <c r="AS6" s="1251">
        <v>0</v>
      </c>
    </row>
    <row customHeight="1" ht="21" hidden="1">
      <c r="A7" s="1459"/>
      <c r="B7" s="1459"/>
      <c r="C7" s="1459"/>
      <c r="D7" s="1459"/>
      <c r="E7" s="3116"/>
      <c r="F7" s="3116"/>
      <c r="G7" s="3116"/>
      <c r="H7" s="3116"/>
      <c r="I7" s="3118"/>
      <c r="J7" s="3117">
        <f>I6&amp;".1"</f>
      </c>
      <c r="K7" s="1459"/>
      <c r="L7" s="1460" t="s">
        <v>491</v>
      </c>
      <c r="M7" s="644"/>
      <c r="N7" s="1462"/>
      <c r="P7" s="3119"/>
      <c r="Q7" s="3119">
        <v>1</v>
      </c>
      <c r="R7" s="464"/>
      <c r="S7" s="1432">
        <f>$J7</f>
      </c>
      <c r="T7" s="394" t="s">
        <v>492</v>
      </c>
      <c r="U7" s="408"/>
      <c r="V7" s="3103"/>
      <c r="W7" s="3104"/>
      <c r="X7" s="3104"/>
      <c r="Y7" s="3104"/>
      <c r="Z7" s="3104"/>
      <c r="AA7" s="3104"/>
      <c r="AB7" s="3104"/>
      <c r="AC7" s="3105"/>
      <c r="AD7" s="3103"/>
      <c r="AE7" s="3104"/>
      <c r="AF7" s="3104"/>
      <c r="AG7" s="3104"/>
      <c r="AH7" s="3104"/>
      <c r="AI7" s="3104"/>
      <c r="AJ7" s="3104"/>
      <c r="AK7" s="3104"/>
      <c r="AL7" s="3105"/>
      <c r="AM7" s="1354" t="s">
        <v>493</v>
      </c>
      <c r="AO7" s="607"/>
      <c r="AP7" s="607" t="str">
        <f>IF(T7="","",T7)</f>
        <v>Группа потребителей</v>
      </c>
      <c r="AQ7" s="607"/>
      <c r="AR7" s="607"/>
      <c r="AS7" s="1251">
        <v>0</v>
      </c>
    </row>
    <row customHeight="1" ht="21" hidden="1">
      <c r="A8" s="1459"/>
      <c r="B8" s="1459"/>
      <c r="C8" s="1459"/>
      <c r="D8" s="1459"/>
      <c r="E8" s="3116"/>
      <c r="F8" s="3116"/>
      <c r="G8" s="3116"/>
      <c r="H8" s="3116"/>
      <c r="I8" s="3118"/>
      <c r="J8" s="3118"/>
      <c r="K8" s="3117">
        <f>J7&amp;".1"</f>
      </c>
      <c r="L8" s="1460" t="s">
        <v>494</v>
      </c>
      <c r="M8" s="644"/>
      <c r="N8" s="1462"/>
      <c r="O8" s="1462"/>
      <c r="P8" s="3119"/>
      <c r="Q8" s="3119"/>
      <c r="R8" s="464">
        <v>1</v>
      </c>
      <c r="S8" s="1432">
        <f>$K8</f>
      </c>
      <c r="T8" s="1443"/>
      <c r="U8" s="408"/>
      <c r="V8" s="858"/>
      <c r="W8" s="433"/>
      <c r="X8" s="858"/>
      <c r="Y8" s="1353"/>
      <c r="Z8" s="3120"/>
      <c r="AA8" s="2989" t="s">
        <v>62</v>
      </c>
      <c r="AB8" s="3120"/>
      <c r="AC8" s="2989" t="s">
        <v>62</v>
      </c>
      <c r="AD8" s="858"/>
      <c r="AE8" s="433"/>
      <c r="AF8" s="858"/>
      <c r="AG8" s="1353"/>
      <c r="AH8" s="3120"/>
      <c r="AI8" s="2989" t="s">
        <v>62</v>
      </c>
      <c r="AJ8" s="3120"/>
      <c r="AK8" s="2989" t="s">
        <v>62</v>
      </c>
      <c r="AL8" s="433"/>
      <c r="AM8" s="3138" t="s">
        <v>495</v>
      </c>
      <c r="AN8" s="618">
        <f>STRCHECKDATE(V9:AL9)</f>
      </c>
      <c r="AO8" s="607"/>
      <c r="AP8" s="607" t="str">
        <f>IF(T8="","",T8)</f>
        <v/>
      </c>
      <c r="AQ8" s="607"/>
      <c r="AR8" s="607"/>
      <c r="AS8" s="1251">
        <v>0</v>
      </c>
    </row>
    <row customHeight="1" ht="14.25" hidden="1">
      <c r="A9" s="1459"/>
      <c r="B9" s="1459"/>
      <c r="C9" s="1459"/>
      <c r="D9" s="1459"/>
      <c r="E9" s="3116"/>
      <c r="F9" s="3116"/>
      <c r="G9" s="3116"/>
      <c r="H9" s="3116"/>
      <c r="I9" s="3118"/>
      <c r="J9" s="3118"/>
      <c r="K9" s="3117"/>
      <c r="L9" s="1460"/>
      <c r="M9" s="644"/>
      <c r="N9" s="1462"/>
      <c r="O9" s="1462"/>
      <c r="P9" s="3119"/>
      <c r="Q9" s="3119"/>
      <c r="R9" s="464"/>
      <c r="S9" s="1438"/>
      <c r="T9" s="408"/>
      <c r="U9" s="408"/>
      <c r="V9" s="433"/>
      <c r="W9" s="433"/>
      <c r="X9" s="433"/>
      <c r="Y9" s="436" t="str">
        <f>Z8&amp;"-"&amp;AB8</f>
        <v>-</v>
      </c>
      <c r="Z9" s="3121"/>
      <c r="AA9" s="2989"/>
      <c r="AB9" s="3121"/>
      <c r="AC9" s="2989"/>
      <c r="AD9" s="433"/>
      <c r="AE9" s="433"/>
      <c r="AF9" s="433"/>
      <c r="AG9" s="436" t="str">
        <f>AH8&amp;"-"&amp;AJ8</f>
        <v>-</v>
      </c>
      <c r="AH9" s="3121"/>
      <c r="AI9" s="2989"/>
      <c r="AJ9" s="3121"/>
      <c r="AK9" s="2989"/>
      <c r="AL9" s="433"/>
      <c r="AM9" s="3139"/>
      <c r="AO9" s="607"/>
      <c r="AP9" s="607" t="str">
        <f>IF(T9="","",T9)</f>
        <v/>
      </c>
      <c r="AQ9" s="607"/>
      <c r="AR9" s="607"/>
      <c r="AS9" s="1251">
        <v>0</v>
      </c>
    </row>
    <row customHeight="1" ht="15" hidden="1">
      <c r="A10" s="1459"/>
      <c r="B10" s="1459"/>
      <c r="C10" s="1459"/>
      <c r="D10" s="1459"/>
      <c r="E10" s="3116"/>
      <c r="F10" s="3116"/>
      <c r="G10" s="3116"/>
      <c r="H10" s="3116"/>
      <c r="I10" s="3118"/>
      <c r="J10" s="3117"/>
      <c r="K10" s="1459"/>
      <c r="L10" s="1460"/>
      <c r="M10" s="644"/>
      <c r="N10" s="1462"/>
      <c r="P10" s="3119"/>
      <c r="Q10" s="3119"/>
      <c r="R10" s="463"/>
      <c r="S10" s="1374"/>
      <c r="T10" s="395" t="s">
        <v>496</v>
      </c>
      <c r="U10" s="474"/>
      <c r="V10" s="474"/>
      <c r="W10" s="474"/>
      <c r="X10" s="474"/>
      <c r="Y10" s="474"/>
      <c r="Z10" s="474"/>
      <c r="AA10" s="474"/>
      <c r="AB10" s="474"/>
      <c r="AC10" s="474"/>
      <c r="AD10" s="474"/>
      <c r="AE10" s="474"/>
      <c r="AF10" s="474"/>
      <c r="AG10" s="474"/>
      <c r="AH10" s="474"/>
      <c r="AI10" s="474"/>
      <c r="AJ10" s="474"/>
      <c r="AK10" s="474"/>
      <c r="AL10" s="432"/>
      <c r="AM10" s="3140"/>
      <c r="AO10" s="607"/>
      <c r="AP10" s="607" t="str">
        <f>IF(T10="","",T10)</f>
        <v>Добавить вид теплоносителя (параметры теплоносителя)</v>
      </c>
      <c r="AQ10" s="607"/>
      <c r="AR10" s="607"/>
      <c r="AS10" s="1251">
        <v>0</v>
      </c>
    </row>
    <row customHeight="1" ht="11.25" hidden="1">
      <c r="A11" s="1459"/>
      <c r="B11" s="1459"/>
      <c r="C11" s="1459"/>
      <c r="D11" s="1459"/>
      <c r="E11" s="3116"/>
      <c r="F11" s="3116"/>
      <c r="G11" s="3116"/>
      <c r="H11" s="3116"/>
      <c r="I11" s="3117"/>
      <c r="J11" s="1459"/>
      <c r="K11" s="1459"/>
      <c r="L11" s="1460"/>
      <c r="M11" s="644"/>
      <c r="P11" s="3119"/>
      <c r="Q11" s="1427"/>
      <c r="R11" s="463"/>
      <c r="S11" s="1374"/>
      <c r="T11" s="472" t="s">
        <v>497</v>
      </c>
      <c r="U11" s="474"/>
      <c r="V11" s="474"/>
      <c r="W11" s="474"/>
      <c r="X11" s="474"/>
      <c r="Y11" s="474"/>
      <c r="Z11" s="474"/>
      <c r="AA11" s="474"/>
      <c r="AB11" s="474"/>
      <c r="AC11" s="473"/>
      <c r="AD11" s="474"/>
      <c r="AE11" s="474"/>
      <c r="AF11" s="474"/>
      <c r="AG11" s="474"/>
      <c r="AH11" s="474"/>
      <c r="AI11" s="474"/>
      <c r="AJ11" s="474"/>
      <c r="AK11" s="473"/>
      <c r="AL11" s="474"/>
      <c r="AM11" s="411"/>
      <c r="AO11" s="607"/>
      <c r="AP11" s="607" t="str">
        <f>IF(T11="","",T11)</f>
        <v>Добавить группу потребителей</v>
      </c>
      <c r="AQ11" s="607"/>
      <c r="AR11" s="607"/>
      <c r="AS11" s="1251">
        <v>0</v>
      </c>
    </row>
    <row customHeight="1" ht="14.25" hidden="1">
      <c r="A12" s="1459"/>
      <c r="B12" s="1459"/>
      <c r="C12" s="1459"/>
      <c r="D12" s="1459"/>
      <c r="E12" s="3116"/>
      <c r="F12" s="3116"/>
      <c r="G12" s="3116"/>
      <c r="H12" s="3115"/>
      <c r="I12" s="1459"/>
      <c r="J12" s="1459"/>
      <c r="K12" s="1459"/>
      <c r="L12" s="1460"/>
      <c r="M12" s="1461"/>
      <c r="N12" s="1461"/>
      <c r="O12" s="644"/>
      <c r="P12" s="467"/>
      <c r="Q12" s="482"/>
      <c r="R12" s="462"/>
      <c r="S12" s="1482"/>
      <c r="T12" s="1483"/>
      <c r="U12" s="1484"/>
      <c r="V12" s="1484"/>
      <c r="W12" s="1484"/>
      <c r="X12" s="1484"/>
      <c r="Y12" s="1484"/>
      <c r="Z12" s="1484"/>
      <c r="AA12" s="1484"/>
      <c r="AB12" s="1484"/>
      <c r="AC12" s="1484"/>
      <c r="AD12" s="1484"/>
      <c r="AE12" s="1484"/>
      <c r="AF12" s="1484"/>
      <c r="AG12" s="1484"/>
      <c r="AH12" s="1484"/>
      <c r="AI12" s="1484"/>
      <c r="AJ12" s="1484"/>
      <c r="AK12" s="1484"/>
      <c r="AL12" s="1484"/>
      <c r="AM12" s="1485"/>
      <c r="AO12" s="607"/>
      <c r="AP12" s="607" t="str">
        <f>IF(T12="","",T12)</f>
        <v/>
      </c>
      <c r="AQ12" s="607"/>
      <c r="AR12" s="607"/>
      <c r="AS12" s="1251">
        <v>0</v>
      </c>
    </row>
    <row s="10307" customFormat="1" customHeight="1" ht="14.25" hidden="1">
      <c r="A13" s="1410"/>
      <c r="B13" s="1410"/>
      <c r="C13" s="1410"/>
      <c r="D13" s="1410"/>
      <c r="E13" s="3116"/>
      <c r="F13" s="3116"/>
      <c r="G13" s="3115"/>
      <c r="H13" s="1410"/>
      <c r="I13" s="1410"/>
      <c r="J13" s="1410"/>
      <c r="K13" s="1410"/>
      <c r="L13" s="1435"/>
      <c r="M13" s="1411"/>
      <c r="N13" s="1411"/>
      <c r="P13" s="1412"/>
      <c r="Q13" s="1413"/>
      <c r="R13" s="1412"/>
      <c r="S13" s="1414"/>
      <c r="T13" s="1415" t="s">
        <v>499</v>
      </c>
      <c r="U13" s="1416"/>
      <c r="V13" s="1416"/>
      <c r="W13" s="1416"/>
      <c r="X13" s="1416"/>
      <c r="Y13" s="1416"/>
      <c r="Z13" s="1416"/>
      <c r="AA13" s="1416"/>
      <c r="AB13" s="1416"/>
      <c r="AC13" s="1416"/>
      <c r="AD13" s="1416"/>
      <c r="AE13" s="1416"/>
      <c r="AF13" s="1416"/>
      <c r="AG13" s="1416"/>
      <c r="AH13" s="1416"/>
      <c r="AI13" s="1416"/>
      <c r="AJ13" s="1416"/>
      <c r="AK13" s="1416"/>
      <c r="AL13" s="1416"/>
      <c r="AM13" s="1416"/>
      <c r="AO13" s="890"/>
      <c r="AP13" s="890" t="str">
        <f>IF(T13="","",T13)</f>
        <v>Добавить источник для дифференциации</v>
      </c>
      <c r="AQ13" s="890"/>
      <c r="AR13" s="890"/>
      <c r="AS13" s="625">
        <v>0</v>
      </c>
    </row>
    <row s="10307" customFormat="1" customHeight="1" ht="14.25" hidden="1">
      <c r="A14" s="1410"/>
      <c r="B14" s="1410"/>
      <c r="C14" s="1410"/>
      <c r="D14" s="1410"/>
      <c r="E14" s="3116"/>
      <c r="F14" s="3115"/>
      <c r="G14" s="1410"/>
      <c r="H14" s="1410"/>
      <c r="I14" s="1410"/>
      <c r="J14" s="1410"/>
      <c r="K14" s="1410"/>
      <c r="L14" s="1435"/>
      <c r="M14" s="1417"/>
      <c r="N14" s="1417"/>
      <c r="P14" s="1412"/>
      <c r="Q14" s="1413"/>
      <c r="R14" s="1412"/>
      <c r="S14" s="1418"/>
      <c r="T14" s="1419" t="s">
        <v>500</v>
      </c>
      <c r="U14" s="1420"/>
      <c r="V14" s="1420"/>
      <c r="W14" s="1420"/>
      <c r="X14" s="1420"/>
      <c r="Y14" s="1420"/>
      <c r="Z14" s="1420"/>
      <c r="AA14" s="1420"/>
      <c r="AB14" s="1420"/>
      <c r="AC14" s="1420"/>
      <c r="AD14" s="1420"/>
      <c r="AE14" s="1420"/>
      <c r="AF14" s="1420"/>
      <c r="AG14" s="1420"/>
      <c r="AH14" s="1420"/>
      <c r="AI14" s="1420"/>
      <c r="AJ14" s="1420"/>
      <c r="AK14" s="1420"/>
      <c r="AL14" s="1420"/>
      <c r="AM14" s="1420"/>
      <c r="AO14" s="890"/>
      <c r="AP14" s="890" t="str">
        <f>IF(T14="","",T14)</f>
        <v>Добавить централизованную систему для дифференциации</v>
      </c>
      <c r="AQ14" s="890"/>
      <c r="AR14" s="890"/>
      <c r="AS14" s="625">
        <v>0</v>
      </c>
    </row>
    <row s="10307" customFormat="1" customHeight="1" ht="14.25" hidden="1">
      <c r="A15" s="1410"/>
      <c r="B15" s="1410"/>
      <c r="C15" s="1410"/>
      <c r="D15" s="1410"/>
      <c r="E15" s="3115"/>
      <c r="F15" s="1410"/>
      <c r="G15" s="1410"/>
      <c r="H15" s="1410"/>
      <c r="I15" s="1410"/>
      <c r="J15" s="1410"/>
      <c r="K15" s="1410"/>
      <c r="L15" s="1435"/>
      <c r="M15" s="1417"/>
      <c r="N15" s="1417"/>
      <c r="P15" s="1412"/>
      <c r="Q15" s="1413"/>
      <c r="R15" s="1412"/>
      <c r="S15" s="1418"/>
      <c r="T15" s="1421" t="s">
        <v>501</v>
      </c>
      <c r="U15" s="1420"/>
      <c r="V15" s="1420"/>
      <c r="W15" s="1420"/>
      <c r="X15" s="1420"/>
      <c r="Y15" s="1420"/>
      <c r="Z15" s="1420"/>
      <c r="AA15" s="1420"/>
      <c r="AB15" s="1420"/>
      <c r="AC15" s="1420"/>
      <c r="AD15" s="1420"/>
      <c r="AE15" s="1420"/>
      <c r="AF15" s="1420"/>
      <c r="AG15" s="1420"/>
      <c r="AH15" s="1420"/>
      <c r="AI15" s="1420"/>
      <c r="AJ15" s="1420"/>
      <c r="AK15" s="1420"/>
      <c r="AL15" s="1420"/>
      <c r="AM15" s="1420"/>
      <c r="AO15" s="890"/>
      <c r="AP15" s="890" t="str">
        <f>IF(T15="","",T15)</f>
        <v>Добавить территорию для дифференциации</v>
      </c>
      <c r="AQ15" s="890"/>
      <c r="AR15" s="890"/>
      <c r="AS15" s="625">
        <v>0</v>
      </c>
    </row>
    <row customHeight="1" ht="14.25" hidden="1">
      <c r="AC16" s="435"/>
      <c r="AK16" s="435"/>
      <c r="AS16" s="1251">
        <v>0</v>
      </c>
    </row>
    <row customHeight="1" ht="14.25" hidden="1">
      <c r="AD17" s="1456"/>
      <c r="AE17" s="1456"/>
      <c r="AF17" s="1456"/>
      <c r="AG17" s="1457"/>
      <c r="AH17" s="3113"/>
      <c r="AI17" s="3112" t="s">
        <v>62</v>
      </c>
      <c r="AJ17" s="3113"/>
      <c r="AK17" s="3112" t="s">
        <v>62</v>
      </c>
      <c r="AS17" s="1251">
        <v>0</v>
      </c>
    </row>
    <row customHeight="1" ht="14.25" hidden="1">
      <c r="AD18" s="1456"/>
      <c r="AE18" s="1456"/>
      <c r="AF18" s="1456"/>
      <c r="AG18" s="436" t="str">
        <f>AH17&amp;"-"&amp;AJ17</f>
        <v>-</v>
      </c>
      <c r="AH18" s="3112"/>
      <c r="AI18" s="3112"/>
      <c r="AJ18" s="3112"/>
      <c r="AK18" s="3112"/>
      <c r="AS18" s="1251">
        <v>0</v>
      </c>
    </row>
    <row customHeight="1" ht="14.25" hidden="1">
      <c r="AK19" s="435"/>
      <c r="AS19" s="1251">
        <v>0</v>
      </c>
    </row>
    <row s="10306" customFormat="1" customHeight="1" ht="22.5" hidden="1">
      <c r="L20" s="1425"/>
      <c r="M20" s="1458"/>
      <c r="N20" s="1458"/>
      <c r="O20" s="1463" t="s">
        <v>502</v>
      </c>
      <c r="P20" s="1458"/>
      <c r="Q20" s="1467"/>
      <c r="R20" s="1467"/>
      <c r="S20" s="836"/>
      <c r="Z20" s="1463"/>
      <c r="AB20" s="1463"/>
      <c r="AH20" s="1463"/>
      <c r="AJ20" s="1463"/>
      <c r="AN20" s="618"/>
      <c r="AO20" s="618"/>
      <c r="AP20" s="618"/>
      <c r="AQ20" s="618"/>
      <c r="AR20" s="618"/>
      <c r="AS20" s="1256">
        <v>0</v>
      </c>
    </row>
    <row s="10306" customFormat="1" customHeight="1" ht="14.25" hidden="1">
      <c r="L21" s="1425"/>
      <c r="M21" s="1458"/>
      <c r="N21" s="1458"/>
      <c r="O21" s="1458"/>
      <c r="P21" s="1458"/>
      <c r="Q21" s="1467"/>
      <c r="R21" s="1467"/>
      <c r="S21" s="836"/>
      <c r="AN21" s="618"/>
      <c r="AO21" s="618"/>
      <c r="AP21" s="618"/>
      <c r="AQ21" s="618"/>
      <c r="AR21" s="618"/>
      <c r="AS21" s="1256">
        <v>0</v>
      </c>
    </row>
    <row s="10306" customFormat="1" customHeight="1" ht="14.25" hidden="1">
      <c r="L22" s="1425"/>
      <c r="M22" s="1458"/>
      <c r="N22" s="1458"/>
      <c r="O22" s="1460" t="s">
        <v>503</v>
      </c>
      <c r="P22" s="1458"/>
      <c r="Q22" s="1467"/>
      <c r="R22" s="1467"/>
      <c r="S22" s="836"/>
      <c r="T22" s="1256" t="s">
        <v>504</v>
      </c>
      <c r="AA22" s="294" t="s">
        <v>505</v>
      </c>
      <c r="AC22" s="294" t="s">
        <v>506</v>
      </c>
      <c r="AD22" s="1256" t="s">
        <v>504</v>
      </c>
      <c r="AI22" s="294" t="s">
        <v>507</v>
      </c>
      <c r="AK22" s="294" t="s">
        <v>506</v>
      </c>
      <c r="AN22" s="618"/>
      <c r="AO22" s="618"/>
      <c r="AP22" s="618"/>
      <c r="AQ22" s="618"/>
      <c r="AR22" s="618"/>
      <c r="AS22" s="1256">
        <v>0</v>
      </c>
    </row>
    <row customHeight="1" ht="14.25" hidden="1">
      <c r="O23" s="1460"/>
      <c r="AS23" s="1251">
        <v>0</v>
      </c>
    </row>
    <row customHeight="1" ht="14.25" hidden="1">
      <c r="O24" s="1460"/>
      <c r="AS24" s="1251">
        <v>0</v>
      </c>
    </row>
    <row customHeight="1" ht="14.699999999999998">
      <c r="Q25" s="483"/>
      <c r="R25" s="483"/>
      <c r="S25" s="1371"/>
      <c r="T25" s="470"/>
      <c r="U25" s="470"/>
      <c r="V25" s="616"/>
      <c r="W25" s="616"/>
      <c r="X25" s="616"/>
      <c r="Y25" s="616"/>
      <c r="Z25" s="616"/>
      <c r="AA25" s="616"/>
      <c r="AB25" s="616"/>
      <c r="AC25" s="616"/>
      <c r="AD25" s="616"/>
      <c r="AE25" s="616"/>
      <c r="AF25" s="616"/>
      <c r="AG25" s="616"/>
      <c r="AH25" s="616"/>
      <c r="AI25" s="616"/>
      <c r="AJ25" s="616"/>
      <c r="AK25" s="616"/>
      <c r="AS25" s="1251">
        <v>14</v>
      </c>
    </row>
    <row customHeight="1" ht="53.54999999999999">
      <c r="Q26" s="483"/>
      <c r="R26" s="483"/>
      <c r="S26" s="30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96"/>
      <c r="U26" s="3096"/>
      <c r="V26" s="3096"/>
      <c r="W26" s="3096"/>
      <c r="X26" s="3096"/>
      <c r="Y26" s="3096"/>
      <c r="Z26" s="3096"/>
      <c r="AA26" s="3096"/>
      <c r="AB26" s="3096"/>
      <c r="AC26" s="3096"/>
      <c r="AD26" s="3096"/>
      <c r="AE26" s="3096"/>
      <c r="AF26" s="3096"/>
      <c r="AG26" s="3096"/>
      <c r="AH26" s="3096"/>
      <c r="AI26" s="3096"/>
      <c r="AJ26" s="3096"/>
      <c r="AK26" s="1339"/>
      <c r="AS26" s="1251">
        <v>51</v>
      </c>
    </row>
    <row customHeight="1" ht="14.699999999999998">
      <c r="Q27" s="483"/>
      <c r="R27" s="483"/>
      <c r="S27" s="3069" t="str">
        <f>IF(org=0,"Не определено",org)</f>
        <v>АО "ДГК"</v>
      </c>
      <c r="T27" s="3069"/>
      <c r="U27" s="3069"/>
      <c r="V27" s="3069"/>
      <c r="W27" s="3069"/>
      <c r="X27" s="3069"/>
      <c r="Y27" s="3069"/>
      <c r="Z27" s="3069"/>
      <c r="AA27" s="3069"/>
      <c r="AB27" s="3069"/>
      <c r="AC27" s="3069"/>
      <c r="AD27" s="3069"/>
      <c r="AE27" s="3069"/>
      <c r="AF27" s="3069"/>
      <c r="AG27" s="3069"/>
      <c r="AH27" s="3069"/>
      <c r="AI27" s="3069"/>
      <c r="AJ27" s="3069"/>
      <c r="AK27" s="1339"/>
      <c r="AS27" s="1251">
        <v>14</v>
      </c>
    </row>
    <row customHeight="1" ht="14.25" hidden="1">
      <c r="Q28" s="483"/>
      <c r="R28" s="483"/>
      <c r="S28" s="1371"/>
      <c r="T28" s="470"/>
      <c r="U28" s="470"/>
      <c r="V28" s="430"/>
      <c r="W28" s="430"/>
      <c r="X28" s="430"/>
      <c r="Y28" s="430"/>
      <c r="Z28" s="430"/>
      <c r="AA28" s="430"/>
      <c r="AB28" s="430"/>
      <c r="AC28" s="430"/>
      <c r="AD28" s="430"/>
      <c r="AE28" s="430"/>
      <c r="AF28" s="430"/>
      <c r="AG28" s="430"/>
      <c r="AH28" s="430"/>
      <c r="AI28" s="430"/>
      <c r="AJ28" s="430"/>
      <c r="AK28" s="430"/>
      <c r="AL28" s="616"/>
      <c r="AS28" s="1251">
        <v>0</v>
      </c>
    </row>
    <row s="10446" customFormat="1" customHeight="1" ht="25.5" hidden="1">
      <c r="A29" s="1464"/>
      <c r="B29" s="1464"/>
      <c r="C29" s="1464"/>
      <c r="D29" s="1464"/>
      <c r="E29" s="1464"/>
      <c r="F29" s="1464"/>
      <c r="G29" s="1464"/>
      <c r="H29" s="1464"/>
      <c r="I29" s="1464"/>
      <c r="J29" s="1464"/>
      <c r="K29" s="1464"/>
      <c r="L29" s="1465"/>
      <c r="M29" s="1464"/>
      <c r="N29" s="1464"/>
      <c r="O29" s="1464"/>
      <c r="S29" s="3106" t="s">
        <v>41</v>
      </c>
      <c r="T29" s="3106"/>
      <c r="U29" s="1468"/>
      <c r="V29" s="3108" t="str">
        <f>IF(TITLE_NAME_OR_PR_CHANGE="",IF(TITLE_NAME_OR_PR="","",TITLE_NAME_OR_PR),TITLE_NAME_OR_PR_CHANGE)</f>
        <v/>
      </c>
      <c r="W29" s="3108"/>
      <c r="X29" s="3108"/>
      <c r="Y29" s="3108"/>
      <c r="Z29" s="3108"/>
      <c r="AA29" s="3108"/>
      <c r="AB29" s="3108"/>
      <c r="AC29" s="434"/>
      <c r="AD29" s="3108" t="str">
        <f>IF(TITLE_NAME_OR_PR_CHANGE="",IF(TITLE_NAME_OR_PR="","",TITLE_NAME_OR_PR),TITLE_NAME_OR_PR_CHANGE)</f>
        <v/>
      </c>
      <c r="AE29" s="3108"/>
      <c r="AF29" s="3108"/>
      <c r="AG29" s="3108"/>
      <c r="AH29" s="3108"/>
      <c r="AI29" s="3108"/>
      <c r="AJ29" s="3108"/>
      <c r="AK29" s="434"/>
      <c r="AL29" s="434"/>
      <c r="AM29" s="388"/>
      <c r="AN29" s="475"/>
      <c r="AO29" s="475"/>
      <c r="AP29" s="475"/>
      <c r="AQ29" s="475"/>
      <c r="AR29" s="475"/>
      <c r="AS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508</v>
      </c>
      <c r="T30" s="3106"/>
      <c r="U30" s="1468"/>
      <c r="V30" s="3107" t="str">
        <f>IF(TITLE_DATE_PR_CHANGE="",IF(TITLE_DATE_PR="","",TITLE_DATE_PR),TITLE_DATE_PR_CHANGE)</f>
        <v/>
      </c>
      <c r="W30" s="3107"/>
      <c r="X30" s="3107"/>
      <c r="Y30" s="3107"/>
      <c r="Z30" s="3107"/>
      <c r="AA30" s="3107"/>
      <c r="AB30" s="3107"/>
      <c r="AC30" s="434"/>
      <c r="AD30" s="3107" t="str">
        <f>IF(TITLE_DATE_PR_CHANGE="",IF(TITLE_DATE_PR="","",TITLE_DATE_PR),TITLE_DATE_PR_CHANGE)</f>
        <v/>
      </c>
      <c r="AE30" s="3107"/>
      <c r="AF30" s="3107"/>
      <c r="AG30" s="3107"/>
      <c r="AH30" s="3107"/>
      <c r="AI30" s="3107"/>
      <c r="AJ30" s="3107"/>
      <c r="AK30" s="434"/>
      <c r="AL30" s="434"/>
      <c r="AM30" s="388"/>
      <c r="AN30" s="475"/>
      <c r="AO30" s="475"/>
      <c r="AP30" s="475"/>
      <c r="AQ30" s="475"/>
      <c r="AR30" s="475"/>
      <c r="AS30" s="525">
        <v>0</v>
      </c>
    </row>
    <row s="10446" customFormat="1" customHeight="1" ht="18.75" hidden="1">
      <c r="A31" s="1464"/>
      <c r="B31" s="1464"/>
      <c r="C31" s="1464"/>
      <c r="D31" s="1464"/>
      <c r="E31" s="1464"/>
      <c r="F31" s="1464"/>
      <c r="G31" s="1464"/>
      <c r="H31" s="1464"/>
      <c r="I31" s="1464"/>
      <c r="J31" s="1464"/>
      <c r="K31" s="1464"/>
      <c r="L31" s="1465"/>
      <c r="M31" s="1464"/>
      <c r="N31" s="1464"/>
      <c r="O31" s="1464"/>
      <c r="S31" s="3106" t="s">
        <v>509</v>
      </c>
      <c r="T31" s="3106"/>
      <c r="U31" s="1468"/>
      <c r="V31" s="3108" t="str">
        <f>IF(TITLE_NUMBER_PR_CHANGE="",IF(TITLE_NUMBER_PR="","",TITLE_NUMBER_PR),TITLE_NUMBER_PR_CHANGE)</f>
        <v/>
      </c>
      <c r="W31" s="3108"/>
      <c r="X31" s="3108"/>
      <c r="Y31" s="3108"/>
      <c r="Z31" s="3108"/>
      <c r="AA31" s="3108"/>
      <c r="AB31" s="3108"/>
      <c r="AC31" s="434"/>
      <c r="AD31" s="3108" t="str">
        <f>IF(TITLE_NUMBER_PR_CHANGE="",IF(TITLE_NUMBER_PR="","",TITLE_NUMBER_PR),TITLE_NUMBER_PR_CHANGE)</f>
        <v/>
      </c>
      <c r="AE31" s="3108"/>
      <c r="AF31" s="3108"/>
      <c r="AG31" s="3108"/>
      <c r="AH31" s="3108"/>
      <c r="AI31" s="3108"/>
      <c r="AJ31" s="3108"/>
      <c r="AK31" s="434"/>
      <c r="AL31" s="434"/>
      <c r="AM31" s="388"/>
      <c r="AN31" s="475"/>
      <c r="AO31" s="475"/>
      <c r="AP31" s="475"/>
      <c r="AQ31" s="475"/>
      <c r="AR31" s="475"/>
      <c r="AS31" s="525">
        <v>0</v>
      </c>
    </row>
    <row s="10446" customFormat="1" customHeight="1" ht="18.75" hidden="1">
      <c r="A32" s="1464"/>
      <c r="B32" s="1464"/>
      <c r="C32" s="1464"/>
      <c r="D32" s="1464"/>
      <c r="E32" s="1464"/>
      <c r="F32" s="1464"/>
      <c r="G32" s="1464"/>
      <c r="H32" s="1464"/>
      <c r="I32" s="1464"/>
      <c r="J32" s="1464"/>
      <c r="K32" s="1464"/>
      <c r="L32" s="1465"/>
      <c r="M32" s="1464"/>
      <c r="N32" s="1464"/>
      <c r="O32" s="1464"/>
      <c r="S32" s="3106" t="s">
        <v>42</v>
      </c>
      <c r="T32" s="3106"/>
      <c r="U32" s="1468"/>
      <c r="V32" s="3108" t="str">
        <f>IF(TITLE_IST_PUB_CHANGE="",IF(TITLE_IST_PUB="","",TITLE_IST_PUB),TITLE_IST_PUB_CHANGE)</f>
        <v/>
      </c>
      <c r="W32" s="3108"/>
      <c r="X32" s="3108"/>
      <c r="Y32" s="3108"/>
      <c r="Z32" s="3108"/>
      <c r="AA32" s="3108"/>
      <c r="AB32" s="3108"/>
      <c r="AC32" s="434"/>
      <c r="AD32" s="3108" t="str">
        <f>IF(TITLE_IST_PUB_CHANGE="",IF(TITLE_IST_PUB="","",TITLE_IST_PUB),TITLE_IST_PUB_CHANGE)</f>
        <v/>
      </c>
      <c r="AE32" s="3108"/>
      <c r="AF32" s="3108"/>
      <c r="AG32" s="3108"/>
      <c r="AH32" s="3108"/>
      <c r="AI32" s="3108"/>
      <c r="AJ32" s="3108"/>
      <c r="AK32" s="434"/>
      <c r="AL32" s="434"/>
      <c r="AM32" s="388"/>
      <c r="AN32" s="475"/>
      <c r="AO32" s="475"/>
      <c r="AP32" s="475"/>
      <c r="AQ32" s="475"/>
      <c r="AR32" s="475"/>
      <c r="AS32" s="525">
        <v>0</v>
      </c>
    </row>
    <row customHeight="1" ht="14.25" hidden="1">
      <c r="Q33" s="483"/>
      <c r="R33" s="483"/>
      <c r="S33" s="1371"/>
      <c r="T33" s="470"/>
      <c r="U33" s="470"/>
      <c r="V33" s="430"/>
      <c r="W33" s="430"/>
      <c r="X33" s="430"/>
      <c r="Y33" s="430"/>
      <c r="Z33" s="430"/>
      <c r="AA33" s="430"/>
      <c r="AB33" s="430"/>
      <c r="AC33" s="430"/>
      <c r="AD33" s="430"/>
      <c r="AE33" s="430"/>
      <c r="AF33" s="430"/>
      <c r="AG33" s="430"/>
      <c r="AH33" s="430"/>
      <c r="AI33" s="430"/>
      <c r="AJ33" s="430"/>
      <c r="AK33" s="430"/>
      <c r="AL33" s="616"/>
      <c r="AS33" s="1251">
        <v>0</v>
      </c>
    </row>
    <row s="10446" customFormat="1" customHeight="1" ht="18.75" hidden="1">
      <c r="A34" s="1464"/>
      <c r="B34" s="1464"/>
      <c r="C34" s="1464"/>
      <c r="D34" s="1464"/>
      <c r="E34" s="1464"/>
      <c r="F34" s="1464"/>
      <c r="G34" s="1464"/>
      <c r="H34" s="1464"/>
      <c r="I34" s="1464"/>
      <c r="J34" s="1464"/>
      <c r="K34" s="1464"/>
      <c r="L34" s="1465"/>
      <c r="M34" s="1464"/>
      <c r="N34" s="1464"/>
      <c r="O34" s="1464"/>
      <c r="S34" s="3106" t="s">
        <v>510</v>
      </c>
      <c r="T34" s="3106"/>
      <c r="U34" s="1468"/>
      <c r="V34" s="3107" t="str">
        <f>IF(TITLE_DATE_PR_CHANGE="",IF(TITLE_DATE_PR="","",TITLE_DATE_PR),TITLE_DATE_PR_CHANGE)</f>
        <v/>
      </c>
      <c r="W34" s="3107"/>
      <c r="X34" s="3107"/>
      <c r="Y34" s="3107"/>
      <c r="Z34" s="3107"/>
      <c r="AA34" s="3107"/>
      <c r="AB34" s="3107"/>
      <c r="AC34" s="434"/>
      <c r="AD34" s="3107" t="str">
        <f>IF(TITLE_DATE_PR_CHANGE="",IF(TITLE_DATE_PR="","",TITLE_DATE_PR),TITLE_DATE_PR_CHANGE)</f>
        <v/>
      </c>
      <c r="AE34" s="3107"/>
      <c r="AF34" s="3107"/>
      <c r="AG34" s="3107"/>
      <c r="AH34" s="3107"/>
      <c r="AI34" s="3107"/>
      <c r="AJ34" s="3107"/>
      <c r="AK34" s="434"/>
      <c r="AL34" s="434"/>
      <c r="AM34" s="388"/>
      <c r="AN34" s="475"/>
      <c r="AO34" s="475"/>
      <c r="AP34" s="475"/>
      <c r="AQ34" s="475"/>
      <c r="AR34" s="475"/>
      <c r="AS34" s="525">
        <v>0</v>
      </c>
    </row>
    <row s="10446" customFormat="1" customHeight="1" ht="25.5" hidden="1">
      <c r="A35" s="1464"/>
      <c r="B35" s="1464"/>
      <c r="C35" s="1464"/>
      <c r="D35" s="1464"/>
      <c r="E35" s="1464"/>
      <c r="F35" s="1464"/>
      <c r="G35" s="1464"/>
      <c r="H35" s="1464"/>
      <c r="I35" s="1464"/>
      <c r="J35" s="1464"/>
      <c r="K35" s="1464"/>
      <c r="L35" s="1465"/>
      <c r="M35" s="1464"/>
      <c r="N35" s="1464"/>
      <c r="O35" s="1464"/>
      <c r="S35" s="3106" t="s">
        <v>511</v>
      </c>
      <c r="T35" s="3106"/>
      <c r="U35" s="1468"/>
      <c r="V35" s="3108" t="str">
        <f>IF(TITLE_NUMBER_PR_CHANGE="",IF(TITLE_NUMBER_PR="","",TITLE_NUMBER_PR),TITLE_NUMBER_PR_CHANGE)</f>
        <v/>
      </c>
      <c r="W35" s="3108"/>
      <c r="X35" s="3108"/>
      <c r="Y35" s="3108"/>
      <c r="Z35" s="3108"/>
      <c r="AA35" s="3108"/>
      <c r="AB35" s="3108"/>
      <c r="AC35" s="434"/>
      <c r="AD35" s="3108" t="str">
        <f>IF(TITLE_NUMBER_PR_CHANGE="",IF(TITLE_NUMBER_PR="","",TITLE_NUMBER_PR),TITLE_NUMBER_PR_CHANGE)</f>
        <v/>
      </c>
      <c r="AE35" s="3108"/>
      <c r="AF35" s="3108"/>
      <c r="AG35" s="3108"/>
      <c r="AH35" s="3108"/>
      <c r="AI35" s="3108"/>
      <c r="AJ35" s="3108"/>
      <c r="AK35" s="434"/>
      <c r="AL35" s="434"/>
      <c r="AM35" s="388"/>
      <c r="AN35" s="475"/>
      <c r="AO35" s="475"/>
      <c r="AP35" s="475"/>
      <c r="AQ35" s="475"/>
      <c r="AR35" s="475"/>
      <c r="AS35" s="525">
        <v>0</v>
      </c>
    </row>
    <row s="10446" customFormat="1" customHeight="1" ht="14.25" hidden="1">
      <c r="A36" s="1464"/>
      <c r="B36" s="1464"/>
      <c r="C36" s="1464"/>
      <c r="D36" s="1464"/>
      <c r="E36" s="1464"/>
      <c r="F36" s="1464"/>
      <c r="G36" s="1464"/>
      <c r="H36" s="1464"/>
      <c r="I36" s="1464"/>
      <c r="J36" s="1464"/>
      <c r="K36" s="1464"/>
      <c r="L36" s="1465"/>
      <c r="M36" s="1464"/>
      <c r="N36" s="1464"/>
      <c r="O36" s="1464"/>
      <c r="S36" s="431"/>
      <c r="T36" s="431"/>
      <c r="U36" s="1436"/>
      <c r="V36" s="434"/>
      <c r="W36" s="434"/>
      <c r="X36" s="434"/>
      <c r="Y36" s="434"/>
      <c r="Z36" s="434"/>
      <c r="AA36" s="434"/>
      <c r="AB36" s="434"/>
      <c r="AC36" s="386" t="s">
        <v>512</v>
      </c>
      <c r="AD36" s="434"/>
      <c r="AE36" s="434"/>
      <c r="AF36" s="434"/>
      <c r="AG36" s="434"/>
      <c r="AH36" s="434"/>
      <c r="AI36" s="434"/>
      <c r="AJ36" s="434"/>
      <c r="AK36" s="386" t="s">
        <v>512</v>
      </c>
      <c r="AN36" s="475"/>
      <c r="AO36" s="475"/>
      <c r="AP36" s="475"/>
      <c r="AQ36" s="475"/>
      <c r="AR36" s="475"/>
      <c r="AS36" s="525">
        <v>0</v>
      </c>
    </row>
    <row customHeight="1" ht="14.699999999999998">
      <c r="Q37" s="483"/>
      <c r="R37" s="483"/>
      <c r="S37" s="1371"/>
      <c r="T37" s="470"/>
      <c r="U37" s="1340"/>
      <c r="V37" s="3127"/>
      <c r="W37" s="3127"/>
      <c r="X37" s="3127"/>
      <c r="Y37" s="3127"/>
      <c r="Z37" s="3127"/>
      <c r="AA37" s="3127"/>
      <c r="AB37" s="3127"/>
      <c r="AC37" s="3127"/>
      <c r="AD37" s="3127"/>
      <c r="AE37" s="3127"/>
      <c r="AF37" s="3127"/>
      <c r="AG37" s="3127"/>
      <c r="AH37" s="3127"/>
      <c r="AI37" s="3127"/>
      <c r="AJ37" s="3127"/>
      <c r="AK37" s="3127"/>
      <c r="AS37" s="1251">
        <v>14</v>
      </c>
    </row>
    <row customHeight="1" ht="14.699999999999998">
      <c r="Q38" s="483"/>
      <c r="R38" s="483"/>
      <c r="S38" s="2978" t="s">
        <v>385</v>
      </c>
      <c r="T38" s="2978"/>
      <c r="U38" s="2978"/>
      <c r="V38" s="2978"/>
      <c r="W38" s="2978"/>
      <c r="X38" s="2978"/>
      <c r="Y38" s="2978"/>
      <c r="Z38" s="2978"/>
      <c r="AA38" s="2978"/>
      <c r="AB38" s="2978"/>
      <c r="AC38" s="2978"/>
      <c r="AD38" s="2978"/>
      <c r="AE38" s="2978"/>
      <c r="AF38" s="2978"/>
      <c r="AG38" s="2978"/>
      <c r="AH38" s="2978"/>
      <c r="AI38" s="2978"/>
      <c r="AJ38" s="2978"/>
      <c r="AK38" s="2978"/>
      <c r="AL38" s="2978"/>
      <c r="AM38" s="2978" t="s">
        <v>386</v>
      </c>
      <c r="AS38" s="1251">
        <v>14</v>
      </c>
    </row>
    <row customHeight="1" ht="14.699999999999998">
      <c r="Q39" s="483"/>
      <c r="R39" s="483"/>
      <c r="S39" s="3128" t="s">
        <v>88</v>
      </c>
      <c r="T39" s="3077" t="s">
        <v>513</v>
      </c>
      <c r="U39" s="409"/>
      <c r="V39" s="3129" t="s">
        <v>514</v>
      </c>
      <c r="W39" s="3130"/>
      <c r="X39" s="3130"/>
      <c r="Y39" s="3130"/>
      <c r="Z39" s="3130"/>
      <c r="AA39" s="3130"/>
      <c r="AB39" s="3131"/>
      <c r="AC39" s="3132" t="s">
        <v>515</v>
      </c>
      <c r="AD39" s="3129" t="s">
        <v>514</v>
      </c>
      <c r="AE39" s="3130"/>
      <c r="AF39" s="3130"/>
      <c r="AG39" s="3130"/>
      <c r="AH39" s="3130"/>
      <c r="AI39" s="3130"/>
      <c r="AJ39" s="3131"/>
      <c r="AK39" s="3132" t="s">
        <v>516</v>
      </c>
      <c r="AL39" s="3135" t="s">
        <v>517</v>
      </c>
      <c r="AM39" s="2978"/>
      <c r="AS39" s="1251">
        <v>14</v>
      </c>
    </row>
    <row customHeight="1" ht="35.699999999999996">
      <c r="Q40" s="483"/>
      <c r="R40" s="483"/>
      <c r="S40" s="3128"/>
      <c r="T40" s="3077"/>
      <c r="U40" s="1131"/>
      <c r="V40" s="3047" t="s">
        <v>518</v>
      </c>
      <c r="W40" s="3124"/>
      <c r="X40" s="2959" t="s">
        <v>520</v>
      </c>
      <c r="Y40" s="2958"/>
      <c r="Z40" s="2959" t="s">
        <v>521</v>
      </c>
      <c r="AA40" s="2965"/>
      <c r="AB40" s="2958"/>
      <c r="AC40" s="3133"/>
      <c r="AD40" s="3047" t="s">
        <v>535</v>
      </c>
      <c r="AE40" s="3124"/>
      <c r="AF40" s="2959" t="s">
        <v>520</v>
      </c>
      <c r="AG40" s="2958"/>
      <c r="AH40" s="2959" t="s">
        <v>521</v>
      </c>
      <c r="AI40" s="2965"/>
      <c r="AJ40" s="2958"/>
      <c r="AK40" s="3133"/>
      <c r="AL40" s="3136"/>
      <c r="AM40" s="2978"/>
      <c r="AS40" s="1251">
        <v>34</v>
      </c>
    </row>
    <row customHeight="1" ht="35.699999999999996">
      <c r="A41" s="1466"/>
      <c r="B41" s="1466" t="s">
        <v>222</v>
      </c>
      <c r="C41" s="1466" t="s">
        <v>223</v>
      </c>
      <c r="D41" s="1466" t="s">
        <v>224</v>
      </c>
      <c r="E41" s="1460" t="s">
        <v>522</v>
      </c>
      <c r="F41" s="1460" t="s">
        <v>523</v>
      </c>
      <c r="G41" s="1460" t="s">
        <v>524</v>
      </c>
      <c r="H41" s="1460" t="s">
        <v>525</v>
      </c>
      <c r="I41" s="1460" t="s">
        <v>526</v>
      </c>
      <c r="J41" s="1460" t="s">
        <v>527</v>
      </c>
      <c r="K41" s="1460" t="s">
        <v>528</v>
      </c>
      <c r="L41" s="1460" t="s">
        <v>503</v>
      </c>
      <c r="Q41" s="483"/>
      <c r="R41" s="483"/>
      <c r="S41" s="3128"/>
      <c r="T41" s="3077"/>
      <c r="U41" s="410"/>
      <c r="V41" s="3101"/>
      <c r="W41" s="3125"/>
      <c r="X41" s="1318" t="s">
        <v>529</v>
      </c>
      <c r="Y41" s="1318" t="s">
        <v>530</v>
      </c>
      <c r="Z41" s="1434" t="s">
        <v>531</v>
      </c>
      <c r="AA41" s="3082" t="s">
        <v>532</v>
      </c>
      <c r="AB41" s="3095"/>
      <c r="AC41" s="3134"/>
      <c r="AD41" s="3101"/>
      <c r="AE41" s="3125"/>
      <c r="AF41" s="1318" t="s">
        <v>529</v>
      </c>
      <c r="AG41" s="1318" t="s">
        <v>530</v>
      </c>
      <c r="AH41" s="1434" t="s">
        <v>531</v>
      </c>
      <c r="AI41" s="3082" t="s">
        <v>532</v>
      </c>
      <c r="AJ41" s="3095"/>
      <c r="AK41" s="3134"/>
      <c r="AL41" s="3137"/>
      <c r="AM41" s="2978"/>
      <c r="AS41" s="1251">
        <v>34</v>
      </c>
    </row>
    <row s="10851" customFormat="1" customHeight="1" ht="11.25" hidden="1">
      <c r="A42" s="1466"/>
      <c r="B42" s="1466"/>
      <c r="C42" s="1466"/>
      <c r="D42" s="1466"/>
      <c r="E42" s="1466"/>
      <c r="F42" s="1466"/>
      <c r="G42" s="1466"/>
      <c r="H42" s="1466"/>
      <c r="I42" s="1466"/>
      <c r="J42" s="1466"/>
      <c r="K42" s="1466"/>
      <c r="L42" s="1460"/>
      <c r="M42" s="1458"/>
      <c r="N42" s="1458"/>
      <c r="O42" s="1458"/>
      <c r="P42" s="1342"/>
      <c r="Q42" s="1343"/>
      <c r="R42" s="1350">
        <v>1</v>
      </c>
      <c r="S42" s="1373" t="s">
        <v>144</v>
      </c>
      <c r="T42" s="1351" t="s">
        <v>102</v>
      </c>
      <c r="U42" s="1341" t="str">
        <f>OFFSET(U42,0,-1)</f>
        <v>2</v>
      </c>
      <c r="V42" s="1431">
        <f>OFFSET(V42,0,-1)+1</f>
        <v>3</v>
      </c>
      <c r="W42" s="1431"/>
      <c r="X42" s="1431">
        <f>OFFSET(X42,0,-1)+1</f>
        <v>1</v>
      </c>
      <c r="Y42" s="1431">
        <f>OFFSET(Y42,0,-1)+1</f>
        <v>2</v>
      </c>
      <c r="Z42" s="1431">
        <f>OFFSET(Z42,0,-1)+1</f>
        <v>3</v>
      </c>
      <c r="AA42" s="3126">
        <f>OFFSET(AA42,0,-1)+1</f>
        <v>4</v>
      </c>
      <c r="AB42" s="3126"/>
      <c r="AC42" s="1431">
        <f>OFFSET(AC42,0,-2)+1</f>
        <v>5</v>
      </c>
      <c r="AD42" s="1431">
        <f>OFFSET(AD42,0,-1)+1</f>
        <v>6</v>
      </c>
      <c r="AE42" s="1431"/>
      <c r="AF42" s="1431">
        <f>OFFSET(AF42,0,-1)+1</f>
        <v>1</v>
      </c>
      <c r="AG42" s="1431">
        <f>OFFSET(AG42,0,-1)+1</f>
        <v>2</v>
      </c>
      <c r="AH42" s="1431">
        <f>OFFSET(AH42,0,-1)+1</f>
        <v>3</v>
      </c>
      <c r="AI42" s="3126">
        <f>OFFSET(AI42,0,-1)+1</f>
        <v>4</v>
      </c>
      <c r="AJ42" s="3126"/>
      <c r="AK42" s="1431">
        <f>OFFSET(AK42,0,-2)+1</f>
        <v>5</v>
      </c>
      <c r="AL42" s="1341">
        <f>OFFSET(AL42,0,-1)</f>
        <v>5</v>
      </c>
      <c r="AM42" s="1431">
        <f>OFFSET(AM42,0,-1)+1</f>
        <v>6</v>
      </c>
      <c r="AN42" s="618"/>
      <c r="AO42" s="618"/>
      <c r="AP42" s="618"/>
      <c r="AQ42" s="618"/>
      <c r="AR42" s="618"/>
      <c r="AS42" s="603">
        <v>0</v>
      </c>
    </row>
    <row customHeight="1" ht="22.049999999999997">
      <c r="A43" s="1459" t="s">
        <v>273</v>
      </c>
      <c r="B43" s="1459"/>
      <c r="C43" s="1459"/>
      <c r="D43" s="1459"/>
      <c r="E43" s="3115">
        <v>1</v>
      </c>
      <c r="F43" s="1459"/>
      <c r="G43" s="1459"/>
      <c r="H43" s="1459"/>
      <c r="I43" s="1459"/>
      <c r="J43" s="1459"/>
      <c r="K43" s="1459"/>
      <c r="L43" s="1460"/>
      <c r="M43" s="1461"/>
      <c r="N43" s="1461"/>
      <c r="O43" s="1461"/>
      <c r="P43" s="468"/>
      <c r="Q43" s="467"/>
      <c r="R43" s="462"/>
      <c r="S43" s="1432">
        <f>INDEX(PT_DIFFERENTIATION_NUM_NTAR,MATCH(A43,PT_DIFFERENTIATION_NTAR_ID,0))</f>
        <v>0</v>
      </c>
      <c r="T43" s="406" t="s">
        <v>210</v>
      </c>
      <c r="U43" s="408"/>
      <c r="V43" s="3109"/>
      <c r="W43" s="3110"/>
      <c r="X43" s="3110"/>
      <c r="Y43" s="3110"/>
      <c r="Z43" s="3110"/>
      <c r="AA43" s="3110"/>
      <c r="AB43" s="3110"/>
      <c r="AC43" s="3111"/>
      <c r="AD43" s="3109" t="str">
        <f>INDEX(PT_DIFFERENTIATION_NTAR,MATCH(A43,PT_DIFFERENTIATION_NTAR_ID,0))</f>
        <v/>
      </c>
      <c r="AE43" s="3110"/>
      <c r="AF43" s="3110"/>
      <c r="AG43" s="3110"/>
      <c r="AH43" s="3110"/>
      <c r="AI43" s="3110"/>
      <c r="AJ43" s="3110"/>
      <c r="AK43" s="3110"/>
      <c r="AL43" s="3111"/>
      <c r="AM43" s="13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7"/>
      <c r="AP43" s="607" t="str">
        <f>IF(T43="","",T43)</f>
        <v>Наименование тарифа</v>
      </c>
      <c r="AQ43" s="607"/>
      <c r="AR43" s="607"/>
      <c r="AS43" s="1251">
        <v>21</v>
      </c>
    </row>
    <row customHeight="1" ht="22.049999999999997">
      <c r="A44" s="1459" t="s">
        <v>273</v>
      </c>
      <c r="B44" s="1459" t="s">
        <v>274</v>
      </c>
      <c r="C44" s="1459"/>
      <c r="D44" s="1459"/>
      <c r="E44" s="3116"/>
      <c r="F44" s="3115">
        <v>1</v>
      </c>
      <c r="G44" s="1459"/>
      <c r="H44" s="1459"/>
      <c r="I44" s="1459"/>
      <c r="J44" s="1459"/>
      <c r="K44" s="1459"/>
      <c r="L44" s="1460"/>
      <c r="M44" s="1461"/>
      <c r="N44" s="1461"/>
      <c r="O44" s="1461"/>
      <c r="P44" s="1428"/>
      <c r="Q44" s="459"/>
      <c r="R44" s="460"/>
      <c r="S44" s="1432" t="str">
        <f>INDEX(PT_DIFFERENTIATION_NUM_TER,MATCH(B44,PT_DIFFERENTIATION_TER_ID,0))</f>
        <v>.</v>
      </c>
      <c r="T44" s="416" t="s">
        <v>482</v>
      </c>
      <c r="U44" s="408"/>
      <c r="V44" s="3109"/>
      <c r="W44" s="3110"/>
      <c r="X44" s="3110"/>
      <c r="Y44" s="3110"/>
      <c r="Z44" s="3110"/>
      <c r="AA44" s="3110"/>
      <c r="AB44" s="3110"/>
      <c r="AC44" s="3111"/>
      <c r="AD44" s="3109" t="str">
        <f>INDEX(PT_DIFFERENTIATION_TER,MATCH(B44,PT_DIFFERENTIATION_TER_ID,0))</f>
        <v/>
      </c>
      <c r="AE44" s="3110"/>
      <c r="AF44" s="3110"/>
      <c r="AG44" s="3110"/>
      <c r="AH44" s="3110"/>
      <c r="AI44" s="3110"/>
      <c r="AJ44" s="3110"/>
      <c r="AK44" s="3110"/>
      <c r="AL44" s="3111"/>
      <c r="AM44" s="1354" t="s">
        <v>483</v>
      </c>
      <c r="AO44" s="607"/>
      <c r="AP44" s="607" t="str">
        <f>IF(T44="","",T44)</f>
        <v>Территория действия тарифа</v>
      </c>
      <c r="AQ44" s="607"/>
      <c r="AR44" s="607"/>
      <c r="AS44" s="1251">
        <v>21</v>
      </c>
    </row>
    <row customHeight="1" ht="24">
      <c r="A45" s="1459" t="s">
        <v>273</v>
      </c>
      <c r="B45" s="1459" t="s">
        <v>274</v>
      </c>
      <c r="C45" s="1459" t="s">
        <v>275</v>
      </c>
      <c r="D45" s="1459"/>
      <c r="E45" s="3116"/>
      <c r="F45" s="3116"/>
      <c r="G45" s="3115">
        <v>1</v>
      </c>
      <c r="H45" s="1459"/>
      <c r="I45" s="1459"/>
      <c r="J45" s="1459"/>
      <c r="K45" s="1459"/>
      <c r="L45" s="1460"/>
      <c r="M45" s="1461"/>
      <c r="N45" s="1461"/>
      <c r="O45" s="1461"/>
      <c r="P45" s="461"/>
      <c r="Q45" s="459"/>
      <c r="R45" s="460"/>
      <c r="S45" s="1432" t="str">
        <f>INDEX(PT_DIFFERENTIATION_NUM_CS,MATCH(C45,PT_DIFFERENTIATION_CS_ID,0))</f>
        <v>..</v>
      </c>
      <c r="T45" s="417" t="s">
        <v>484</v>
      </c>
      <c r="U45" s="408"/>
      <c r="V45" s="3109"/>
      <c r="W45" s="3110"/>
      <c r="X45" s="3110"/>
      <c r="Y45" s="3110"/>
      <c r="Z45" s="3110"/>
      <c r="AA45" s="3110"/>
      <c r="AB45" s="3110"/>
      <c r="AC45" s="3111"/>
      <c r="AD45" s="3109" t="str">
        <f>INDEX(PT_DIFFERENTIATION_CS,MATCH(C45,PT_DIFFERENTIATION_CS_ID,0))</f>
        <v/>
      </c>
      <c r="AE45" s="3110"/>
      <c r="AF45" s="3110"/>
      <c r="AG45" s="3110"/>
      <c r="AH45" s="3110"/>
      <c r="AI45" s="3110"/>
      <c r="AJ45" s="3110"/>
      <c r="AK45" s="3110"/>
      <c r="AL45" s="3111"/>
      <c r="AM45" s="1354" t="s">
        <v>485</v>
      </c>
      <c r="AO45" s="607"/>
      <c r="AP45" s="607" t="str">
        <f>IF(T45="","",T45)</f>
        <v>Наименование системы теплоснабжения </v>
      </c>
      <c r="AQ45" s="607"/>
      <c r="AR45" s="607"/>
      <c r="AS45" s="1251">
        <v>23</v>
      </c>
    </row>
    <row customHeight="1" ht="22.049999999999997">
      <c r="A46" s="1459" t="s">
        <v>273</v>
      </c>
      <c r="B46" s="1459" t="s">
        <v>274</v>
      </c>
      <c r="C46" s="1459" t="s">
        <v>275</v>
      </c>
      <c r="D46" s="1459" t="s">
        <v>276</v>
      </c>
      <c r="E46" s="3116"/>
      <c r="F46" s="3116"/>
      <c r="G46" s="3116"/>
      <c r="H46" s="3115">
        <v>1</v>
      </c>
      <c r="I46" s="1459"/>
      <c r="J46" s="1459"/>
      <c r="K46" s="1459"/>
      <c r="L46" s="1460"/>
      <c r="M46" s="1461"/>
      <c r="N46" s="1461"/>
      <c r="O46" s="1461"/>
      <c r="P46" s="461"/>
      <c r="Q46" s="459"/>
      <c r="R46" s="460"/>
      <c r="S46" s="1432" t="str">
        <f>INDEX(PT_DIFFERENTIATION_NUM_IST_TE,MATCH(D46,PT_DIFFERENTIATION_IST_TE_ID,0))</f>
        <v>...</v>
      </c>
      <c r="T46" s="418" t="s">
        <v>486</v>
      </c>
      <c r="U46" s="408"/>
      <c r="V46" s="3109"/>
      <c r="W46" s="3110"/>
      <c r="X46" s="3110"/>
      <c r="Y46" s="3110"/>
      <c r="Z46" s="3110"/>
      <c r="AA46" s="3110"/>
      <c r="AB46" s="3110"/>
      <c r="AC46" s="3111"/>
      <c r="AD46" s="3109" t="str">
        <f>INDEX(PT_DIFFERENTIATION_IST_TE,MATCH(D46,PT_DIFFERENTIATION_IST_TE_ID,0))</f>
        <v/>
      </c>
      <c r="AE46" s="3110"/>
      <c r="AF46" s="3110"/>
      <c r="AG46" s="3110"/>
      <c r="AH46" s="3110"/>
      <c r="AI46" s="3110"/>
      <c r="AJ46" s="3110"/>
      <c r="AK46" s="3110"/>
      <c r="AL46" s="3111"/>
      <c r="AM46" s="1354" t="s">
        <v>487</v>
      </c>
      <c r="AO46" s="607"/>
      <c r="AP46" s="607" t="str">
        <f>IF(T46="","",T46)</f>
        <v>Источник тепловой энергии  </v>
      </c>
      <c r="AQ46" s="607"/>
      <c r="AR46" s="607"/>
      <c r="AS46" s="1251">
        <v>21</v>
      </c>
    </row>
    <row s="10307" customFormat="1" customHeight="1" ht="14.25" hidden="1">
      <c r="A47" s="1439" t="s">
        <v>273</v>
      </c>
      <c r="B47" s="1439" t="s">
        <v>274</v>
      </c>
      <c r="C47" s="1439" t="s">
        <v>275</v>
      </c>
      <c r="D47" s="1439" t="s">
        <v>276</v>
      </c>
      <c r="E47" s="3116"/>
      <c r="F47" s="3116"/>
      <c r="G47" s="3116"/>
      <c r="H47" s="3116"/>
      <c r="I47" s="3117" t="str">
        <f>S46&amp;".1"</f>
        <v>....1</v>
      </c>
      <c r="J47" s="1439"/>
      <c r="K47" s="1439"/>
      <c r="L47" s="1442" t="s">
        <v>488</v>
      </c>
      <c r="M47" s="617"/>
      <c r="N47" s="617"/>
      <c r="O47" s="617"/>
      <c r="P47" s="3119">
        <v>1</v>
      </c>
      <c r="Q47" s="1427"/>
      <c r="R47" s="463"/>
      <c r="S47" s="1142"/>
      <c r="T47" s="1479"/>
      <c r="U47" s="1480"/>
      <c r="V47" s="3146"/>
      <c r="W47" s="3147"/>
      <c r="X47" s="3147"/>
      <c r="Y47" s="3147"/>
      <c r="Z47" s="3147"/>
      <c r="AA47" s="3147"/>
      <c r="AB47" s="3147"/>
      <c r="AC47" s="3148"/>
      <c r="AD47" s="3146"/>
      <c r="AE47" s="3147"/>
      <c r="AF47" s="3147"/>
      <c r="AG47" s="3147"/>
      <c r="AH47" s="3147"/>
      <c r="AI47" s="3147"/>
      <c r="AJ47" s="3147"/>
      <c r="AK47" s="3147"/>
      <c r="AL47" s="3148"/>
      <c r="AM47" s="1481"/>
      <c r="AO47" s="607"/>
      <c r="AP47" s="607" t="str">
        <f>IF(T47="","",T47)</f>
        <v/>
      </c>
      <c r="AQ47" s="607"/>
      <c r="AR47" s="607"/>
      <c r="AS47" s="618">
        <v>0</v>
      </c>
    </row>
    <row customHeight="1" ht="22.049999999999997">
      <c r="A48" s="1459" t="s">
        <v>273</v>
      </c>
      <c r="B48" s="1459" t="s">
        <v>274</v>
      </c>
      <c r="C48" s="1459" t="s">
        <v>275</v>
      </c>
      <c r="D48" s="1459" t="s">
        <v>276</v>
      </c>
      <c r="E48" s="3116"/>
      <c r="F48" s="3116"/>
      <c r="G48" s="3116"/>
      <c r="H48" s="3116"/>
      <c r="I48" s="3118"/>
      <c r="J48" s="3117" t="str">
        <f>S46&amp;".1"</f>
        <v>....1</v>
      </c>
      <c r="K48" s="1459"/>
      <c r="L48" s="1460" t="s">
        <v>491</v>
      </c>
      <c r="P48" s="3119"/>
      <c r="Q48" s="3119">
        <v>1</v>
      </c>
      <c r="R48" s="464"/>
      <c r="S48" s="1432" t="str">
        <f>$J48</f>
        <v>....1</v>
      </c>
      <c r="T48" s="394" t="s">
        <v>492</v>
      </c>
      <c r="U48" s="408"/>
      <c r="V48" s="3103"/>
      <c r="W48" s="3104"/>
      <c r="X48" s="3104"/>
      <c r="Y48" s="3104"/>
      <c r="Z48" s="3104"/>
      <c r="AA48" s="3104"/>
      <c r="AB48" s="3104"/>
      <c r="AC48" s="3105"/>
      <c r="AD48" s="3103"/>
      <c r="AE48" s="3104"/>
      <c r="AF48" s="3104"/>
      <c r="AG48" s="3104"/>
      <c r="AH48" s="3104"/>
      <c r="AI48" s="3104"/>
      <c r="AJ48" s="3104"/>
      <c r="AK48" s="3104"/>
      <c r="AL48" s="3105"/>
      <c r="AM48" s="1354" t="s">
        <v>493</v>
      </c>
      <c r="AO48" s="607"/>
      <c r="AP48" s="607" t="str">
        <f>IF(T48="","",T48)</f>
        <v>Группа потребителей</v>
      </c>
      <c r="AQ48" s="607"/>
      <c r="AR48" s="607"/>
      <c r="AS48" s="1251">
        <v>21</v>
      </c>
    </row>
    <row customHeight="1" ht="22.049999999999997">
      <c r="A49" s="1459" t="s">
        <v>273</v>
      </c>
      <c r="B49" s="1459" t="s">
        <v>274</v>
      </c>
      <c r="C49" s="1459" t="s">
        <v>275</v>
      </c>
      <c r="D49" s="1459" t="s">
        <v>276</v>
      </c>
      <c r="E49" s="3116"/>
      <c r="F49" s="3116"/>
      <c r="G49" s="3116"/>
      <c r="H49" s="3116"/>
      <c r="I49" s="3118"/>
      <c r="J49" s="3118"/>
      <c r="K49" s="3117" t="str">
        <f>J48&amp;".1"</f>
        <v>....1.1</v>
      </c>
      <c r="L49" s="1460" t="s">
        <v>494</v>
      </c>
      <c r="P49" s="3119"/>
      <c r="Q49" s="3119"/>
      <c r="R49" s="464">
        <v>1</v>
      </c>
      <c r="S49" s="1432" t="str">
        <f>$K49</f>
        <v>....1.1</v>
      </c>
      <c r="T49" s="1443"/>
      <c r="U49" s="408"/>
      <c r="V49" s="858"/>
      <c r="W49" s="433"/>
      <c r="X49" s="858"/>
      <c r="Y49" s="1353"/>
      <c r="Z49" s="3120"/>
      <c r="AA49" s="2989" t="s">
        <v>62</v>
      </c>
      <c r="AB49" s="3120"/>
      <c r="AC49" s="2989" t="s">
        <v>62</v>
      </c>
      <c r="AD49" s="858"/>
      <c r="AE49" s="433"/>
      <c r="AF49" s="858"/>
      <c r="AG49" s="1353"/>
      <c r="AH49" s="3120"/>
      <c r="AI49" s="2989" t="s">
        <v>62</v>
      </c>
      <c r="AJ49" s="3122"/>
      <c r="AK49" s="2989" t="s">
        <v>62</v>
      </c>
      <c r="AL49" s="1444"/>
      <c r="AM49" s="3138" t="s">
        <v>536</v>
      </c>
      <c r="AN49" s="618">
        <f>STRCHECKDATE(V50:AL50)</f>
      </c>
      <c r="AO49" s="607"/>
      <c r="AP49" s="607" t="str">
        <f>IF(T49="","",T49)</f>
        <v/>
      </c>
      <c r="AQ49" s="607"/>
      <c r="AR49" s="607"/>
      <c r="AS49" s="1251">
        <v>21</v>
      </c>
    </row>
    <row customHeight="1" ht="14.25" hidden="1">
      <c r="A50" s="1459" t="s">
        <v>273</v>
      </c>
      <c r="B50" s="1459" t="s">
        <v>274</v>
      </c>
      <c r="C50" s="1459" t="s">
        <v>275</v>
      </c>
      <c r="D50" s="1459" t="s">
        <v>276</v>
      </c>
      <c r="E50" s="3116"/>
      <c r="F50" s="3116"/>
      <c r="G50" s="3116"/>
      <c r="H50" s="3116"/>
      <c r="I50" s="3118"/>
      <c r="J50" s="3118"/>
      <c r="K50" s="3117"/>
      <c r="L50" s="1460"/>
      <c r="P50" s="3119"/>
      <c r="Q50" s="3119"/>
      <c r="R50" s="464"/>
      <c r="S50" s="1438"/>
      <c r="T50" s="408"/>
      <c r="U50" s="408"/>
      <c r="V50" s="433"/>
      <c r="W50" s="433"/>
      <c r="X50" s="433"/>
      <c r="Y50" s="436" t="str">
        <f>Z49&amp;"-"&amp;AB49</f>
        <v>-</v>
      </c>
      <c r="Z50" s="3121"/>
      <c r="AA50" s="2989"/>
      <c r="AB50" s="3121"/>
      <c r="AC50" s="2989"/>
      <c r="AD50" s="433"/>
      <c r="AE50" s="433"/>
      <c r="AF50" s="433"/>
      <c r="AG50" s="436" t="str">
        <f>AH49&amp;"-"&amp;AJ49</f>
        <v>-</v>
      </c>
      <c r="AH50" s="3121"/>
      <c r="AI50" s="2989"/>
      <c r="AJ50" s="3123"/>
      <c r="AK50" s="2989"/>
      <c r="AL50" s="1445"/>
      <c r="AM50" s="3139"/>
      <c r="AO50" s="607"/>
      <c r="AP50" s="607" t="str">
        <f>IF(T50="","",T50)</f>
        <v/>
      </c>
      <c r="AQ50" s="607"/>
      <c r="AR50" s="607"/>
      <c r="AS50" s="1251">
        <v>0</v>
      </c>
    </row>
    <row customHeight="1" ht="11.549999999999999">
      <c r="A51" s="1459" t="s">
        <v>273</v>
      </c>
      <c r="B51" s="1459" t="s">
        <v>274</v>
      </c>
      <c r="C51" s="1459" t="s">
        <v>275</v>
      </c>
      <c r="D51" s="1459" t="s">
        <v>276</v>
      </c>
      <c r="E51" s="3116"/>
      <c r="F51" s="3116"/>
      <c r="G51" s="3116"/>
      <c r="H51" s="3116"/>
      <c r="I51" s="3118"/>
      <c r="J51" s="3117"/>
      <c r="K51" s="1459"/>
      <c r="L51" s="1460"/>
      <c r="P51" s="3119"/>
      <c r="Q51" s="3119"/>
      <c r="R51" s="463"/>
      <c r="S51" s="1374"/>
      <c r="T51" s="395" t="s">
        <v>496</v>
      </c>
      <c r="U51" s="474"/>
      <c r="V51" s="474"/>
      <c r="W51" s="474"/>
      <c r="X51" s="474"/>
      <c r="Y51" s="474"/>
      <c r="Z51" s="474"/>
      <c r="AA51" s="474"/>
      <c r="AB51" s="474"/>
      <c r="AC51" s="474"/>
      <c r="AD51" s="474"/>
      <c r="AE51" s="474"/>
      <c r="AF51" s="474"/>
      <c r="AG51" s="474"/>
      <c r="AH51" s="474"/>
      <c r="AI51" s="474"/>
      <c r="AJ51" s="474"/>
      <c r="AK51" s="474"/>
      <c r="AL51" s="432"/>
      <c r="AM51" s="3140"/>
      <c r="AO51" s="607"/>
      <c r="AP51" s="607" t="str">
        <f>IF(T51="","",T51)</f>
        <v>Добавить вид теплоносителя (параметры теплоносителя)</v>
      </c>
      <c r="AQ51" s="607"/>
      <c r="AR51" s="607"/>
      <c r="AS51" s="1251">
        <v>11</v>
      </c>
    </row>
    <row customHeight="1" ht="11.549999999999999">
      <c r="A52" s="1459" t="s">
        <v>273</v>
      </c>
      <c r="B52" s="1459" t="s">
        <v>274</v>
      </c>
      <c r="C52" s="1459" t="s">
        <v>275</v>
      </c>
      <c r="D52" s="1459" t="s">
        <v>276</v>
      </c>
      <c r="E52" s="3116"/>
      <c r="F52" s="3116"/>
      <c r="G52" s="3116"/>
      <c r="H52" s="3116"/>
      <c r="I52" s="3117"/>
      <c r="J52" s="1459"/>
      <c r="K52" s="1459"/>
      <c r="L52" s="1460"/>
      <c r="P52" s="3119"/>
      <c r="Q52" s="1427"/>
      <c r="R52" s="463"/>
      <c r="S52" s="1374"/>
      <c r="T52" s="472" t="s">
        <v>497</v>
      </c>
      <c r="U52" s="474"/>
      <c r="V52" s="474"/>
      <c r="W52" s="474"/>
      <c r="X52" s="474"/>
      <c r="Y52" s="474"/>
      <c r="Z52" s="474"/>
      <c r="AA52" s="474"/>
      <c r="AB52" s="474"/>
      <c r="AC52" s="473"/>
      <c r="AD52" s="474"/>
      <c r="AE52" s="474"/>
      <c r="AF52" s="474"/>
      <c r="AG52" s="474"/>
      <c r="AH52" s="474"/>
      <c r="AI52" s="474"/>
      <c r="AJ52" s="474"/>
      <c r="AK52" s="473"/>
      <c r="AL52" s="474"/>
      <c r="AM52" s="411"/>
      <c r="AO52" s="607"/>
      <c r="AP52" s="607" t="str">
        <f>IF(T52="","",T52)</f>
        <v>Добавить группу потребителей</v>
      </c>
      <c r="AQ52" s="607"/>
      <c r="AR52" s="607"/>
      <c r="AS52" s="1251">
        <v>11</v>
      </c>
    </row>
    <row customHeight="1" ht="14.25" hidden="1">
      <c r="A53" s="1459" t="s">
        <v>273</v>
      </c>
      <c r="B53" s="1459" t="s">
        <v>274</v>
      </c>
      <c r="C53" s="1459" t="s">
        <v>275</v>
      </c>
      <c r="D53" s="1459" t="s">
        <v>276</v>
      </c>
      <c r="E53" s="3116"/>
      <c r="F53" s="3116"/>
      <c r="G53" s="3116"/>
      <c r="H53" s="3115"/>
      <c r="I53" s="1459"/>
      <c r="J53" s="1459"/>
      <c r="K53" s="1459"/>
      <c r="L53" s="1460"/>
      <c r="M53" s="1461"/>
      <c r="N53" s="1461"/>
      <c r="O53" s="644"/>
      <c r="P53" s="467"/>
      <c r="Q53" s="482"/>
      <c r="R53" s="462"/>
      <c r="S53" s="1482"/>
      <c r="T53" s="1483"/>
      <c r="U53" s="1484"/>
      <c r="V53" s="1484"/>
      <c r="W53" s="1484"/>
      <c r="X53" s="1484"/>
      <c r="Y53" s="1484"/>
      <c r="Z53" s="1484"/>
      <c r="AA53" s="1484"/>
      <c r="AB53" s="1484"/>
      <c r="AC53" s="1484"/>
      <c r="AD53" s="1484"/>
      <c r="AE53" s="1484"/>
      <c r="AF53" s="1484"/>
      <c r="AG53" s="1484"/>
      <c r="AH53" s="1484"/>
      <c r="AI53" s="1484"/>
      <c r="AJ53" s="1484"/>
      <c r="AK53" s="1484"/>
      <c r="AL53" s="1484"/>
      <c r="AM53" s="1485"/>
      <c r="AO53" s="607"/>
      <c r="AP53" s="607" t="str">
        <f>IF(T53="","",T53)</f>
        <v/>
      </c>
      <c r="AQ53" s="607"/>
      <c r="AR53" s="607"/>
      <c r="AS53" s="1251">
        <v>0</v>
      </c>
    </row>
    <row s="10307" customFormat="1" customHeight="1" ht="14.25" hidden="1">
      <c r="A54" s="1439" t="s">
        <v>273</v>
      </c>
      <c r="B54" s="1439" t="s">
        <v>274</v>
      </c>
      <c r="C54" s="1439" t="s">
        <v>275</v>
      </c>
      <c r="D54" s="1410"/>
      <c r="E54" s="3116"/>
      <c r="F54" s="3116"/>
      <c r="G54" s="3115"/>
      <c r="H54" s="1410"/>
      <c r="I54" s="1410"/>
      <c r="J54" s="1410"/>
      <c r="K54" s="1410"/>
      <c r="L54" s="1435"/>
      <c r="M54" s="1411"/>
      <c r="N54" s="1411"/>
      <c r="P54" s="1412"/>
      <c r="Q54" s="1413"/>
      <c r="R54" s="1412"/>
      <c r="S54" s="1418"/>
      <c r="T54" s="1421" t="s">
        <v>499</v>
      </c>
      <c r="U54" s="1420"/>
      <c r="V54" s="1420"/>
      <c r="W54" s="1420"/>
      <c r="X54" s="1420"/>
      <c r="Y54" s="1420"/>
      <c r="Z54" s="1420"/>
      <c r="AA54" s="1420"/>
      <c r="AB54" s="1420"/>
      <c r="AC54" s="1420"/>
      <c r="AD54" s="1420"/>
      <c r="AE54" s="1420"/>
      <c r="AF54" s="1420"/>
      <c r="AG54" s="1420"/>
      <c r="AH54" s="1420"/>
      <c r="AI54" s="1420"/>
      <c r="AJ54" s="1420"/>
      <c r="AK54" s="1420"/>
      <c r="AL54" s="1420"/>
      <c r="AM54" s="1420"/>
      <c r="AO54" s="890"/>
      <c r="AP54" s="890" t="str">
        <f>IF(T54="","",T54)</f>
        <v>Добавить источник для дифференциации</v>
      </c>
      <c r="AQ54" s="890"/>
      <c r="AR54" s="890"/>
      <c r="AS54" s="625">
        <v>0</v>
      </c>
    </row>
    <row s="10307" customFormat="1" customHeight="1" ht="14.25" hidden="1">
      <c r="A55" s="1439" t="s">
        <v>273</v>
      </c>
      <c r="B55" s="1439" t="s">
        <v>274</v>
      </c>
      <c r="C55" s="1410"/>
      <c r="D55" s="1410"/>
      <c r="E55" s="3116"/>
      <c r="F55" s="3115"/>
      <c r="G55" s="1410"/>
      <c r="H55" s="1410"/>
      <c r="I55" s="1410"/>
      <c r="J55" s="1410"/>
      <c r="K55" s="1410"/>
      <c r="L55" s="1435"/>
      <c r="M55" s="1417"/>
      <c r="N55" s="1417"/>
      <c r="P55" s="1412"/>
      <c r="Q55" s="1413"/>
      <c r="R55" s="1412"/>
      <c r="S55" s="1418"/>
      <c r="T55" s="1421" t="s">
        <v>500</v>
      </c>
      <c r="U55" s="1420"/>
      <c r="V55" s="1420"/>
      <c r="W55" s="1420"/>
      <c r="X55" s="1420"/>
      <c r="Y55" s="1420"/>
      <c r="Z55" s="1420"/>
      <c r="AA55" s="1420"/>
      <c r="AB55" s="1420"/>
      <c r="AC55" s="1420"/>
      <c r="AD55" s="1420"/>
      <c r="AE55" s="1420"/>
      <c r="AF55" s="1420"/>
      <c r="AG55" s="1420"/>
      <c r="AH55" s="1420"/>
      <c r="AI55" s="1420"/>
      <c r="AJ55" s="1420"/>
      <c r="AK55" s="1420"/>
      <c r="AL55" s="1420"/>
      <c r="AM55" s="1420"/>
      <c r="AO55" s="890"/>
      <c r="AP55" s="890" t="str">
        <f>IF(T55="","",T55)</f>
        <v>Добавить централизованную систему для дифференциации</v>
      </c>
      <c r="AQ55" s="890"/>
      <c r="AR55" s="890"/>
      <c r="AS55" s="625">
        <v>0</v>
      </c>
    </row>
    <row s="10307" customFormat="1" customHeight="1" ht="14.25" hidden="1">
      <c r="A56" s="1439" t="s">
        <v>273</v>
      </c>
      <c r="B56" s="1439"/>
      <c r="C56" s="1439"/>
      <c r="D56" s="1439"/>
      <c r="E56" s="3115"/>
      <c r="F56" s="1439"/>
      <c r="G56" s="1439"/>
      <c r="H56" s="1439"/>
      <c r="I56" s="1439"/>
      <c r="J56" s="1439"/>
      <c r="K56" s="1439"/>
      <c r="L56" s="1442"/>
      <c r="M56" s="1417"/>
      <c r="N56" s="1417"/>
      <c r="O56" s="625"/>
      <c r="P56" s="487"/>
      <c r="Q56" s="1440"/>
      <c r="R56" s="487"/>
      <c r="S56" s="1418"/>
      <c r="T56" s="1421" t="s">
        <v>501</v>
      </c>
      <c r="U56" s="1420"/>
      <c r="V56" s="1420"/>
      <c r="W56" s="1420"/>
      <c r="X56" s="1420"/>
      <c r="Y56" s="1420"/>
      <c r="Z56" s="1420"/>
      <c r="AA56" s="1420"/>
      <c r="AB56" s="1420"/>
      <c r="AC56" s="1420"/>
      <c r="AD56" s="1420"/>
      <c r="AE56" s="1420"/>
      <c r="AF56" s="1420"/>
      <c r="AG56" s="1420"/>
      <c r="AH56" s="1420"/>
      <c r="AI56" s="1420"/>
      <c r="AJ56" s="1420"/>
      <c r="AK56" s="1420"/>
      <c r="AL56" s="1420"/>
      <c r="AM56" s="1420"/>
      <c r="AO56" s="607"/>
      <c r="AP56" s="607" t="str">
        <f>IF(T56="","",T56)</f>
        <v>Добавить территорию для дифференциации</v>
      </c>
      <c r="AQ56" s="607"/>
      <c r="AR56" s="607"/>
      <c r="AS56" s="618">
        <v>0</v>
      </c>
    </row>
    <row s="10307" customFormat="1" customHeight="1" ht="4.2">
      <c r="A57" s="1410"/>
      <c r="B57" s="1410"/>
      <c r="C57" s="1410"/>
      <c r="D57" s="1410"/>
      <c r="E57" s="1439"/>
      <c r="F57" s="1410"/>
      <c r="G57" s="1410"/>
      <c r="H57" s="1410"/>
      <c r="I57" s="1410"/>
      <c r="J57" s="1410"/>
      <c r="K57" s="1410"/>
      <c r="L57" s="1435"/>
      <c r="M57" s="1417"/>
      <c r="N57" s="1417"/>
      <c r="P57" s="1412"/>
      <c r="Q57" s="1413"/>
      <c r="R57" s="1412"/>
      <c r="S57" s="1418"/>
      <c r="T57" s="1421" t="s">
        <v>533</v>
      </c>
      <c r="U57" s="1420"/>
      <c r="V57" s="1420"/>
      <c r="W57" s="1420"/>
      <c r="X57" s="1420"/>
      <c r="Y57" s="1420"/>
      <c r="Z57" s="1420"/>
      <c r="AA57" s="1420"/>
      <c r="AB57" s="1420"/>
      <c r="AC57" s="1420"/>
      <c r="AD57" s="1420"/>
      <c r="AE57" s="1420"/>
      <c r="AF57" s="1420"/>
      <c r="AG57" s="1420"/>
      <c r="AH57" s="1420"/>
      <c r="AI57" s="1420"/>
      <c r="AJ57" s="1420"/>
      <c r="AK57" s="1420"/>
      <c r="AL57" s="1420"/>
      <c r="AM57" s="1420"/>
      <c r="AO57" s="890"/>
      <c r="AP57" s="890" t="str">
        <f>IF(T57="","",T57)</f>
        <v>Добавить наименование тарифа</v>
      </c>
      <c r="AQ57" s="890"/>
      <c r="AR57" s="890"/>
      <c r="AS57" s="625">
        <v>4</v>
      </c>
    </row>
    <row customHeight="1" ht="11.549999999999999">
      <c r="M58" s="1256"/>
      <c r="N58" s="1256"/>
      <c r="O58" s="644"/>
      <c r="P58" s="1251"/>
      <c r="Q58" s="1251"/>
      <c r="R58" s="1251"/>
      <c r="S58" s="1251"/>
      <c r="AN58" s="1251"/>
      <c r="AO58" s="1251"/>
      <c r="AP58" s="1251"/>
      <c r="AQ58" s="1251"/>
      <c r="AR58" s="1251"/>
      <c r="AS58" s="1251">
        <v>11</v>
      </c>
    </row>
    <row customHeight="1" ht="14.699999999999998">
      <c r="O59" s="644"/>
      <c r="S59" s="1349"/>
      <c r="T59" s="3114"/>
      <c r="U59" s="3114"/>
      <c r="V59" s="3114"/>
      <c r="W59" s="3114"/>
      <c r="X59" s="3114"/>
      <c r="Y59" s="3114"/>
      <c r="Z59" s="3114"/>
      <c r="AA59" s="3114"/>
      <c r="AB59" s="3114"/>
      <c r="AC59" s="3114"/>
      <c r="AD59" s="3114"/>
      <c r="AE59" s="3114"/>
      <c r="AF59" s="3114"/>
      <c r="AG59" s="3114"/>
      <c r="AH59" s="3114"/>
      <c r="AI59" s="3114"/>
      <c r="AJ59" s="3114"/>
      <c r="AK59" s="3114"/>
      <c r="AL59" s="3114"/>
      <c r="AM59" s="3114"/>
      <c r="AS59" s="1251">
        <v>14</v>
      </c>
    </row>
    <row customHeight="1" ht="14.699999999999998">
      <c r="O60" s="644"/>
      <c r="T60" s="3114"/>
      <c r="U60" s="3114"/>
      <c r="V60" s="3114"/>
      <c r="W60" s="3114"/>
      <c r="X60" s="3114"/>
      <c r="Y60" s="3114"/>
      <c r="Z60" s="3114"/>
      <c r="AA60" s="3114"/>
      <c r="AB60" s="3114"/>
      <c r="AC60" s="3114"/>
      <c r="AD60" s="3114"/>
      <c r="AE60" s="3114"/>
      <c r="AF60" s="3114"/>
      <c r="AG60" s="3114"/>
      <c r="AH60" s="3114"/>
      <c r="AI60" s="3114"/>
      <c r="AJ60" s="3114"/>
      <c r="AK60" s="3114"/>
      <c r="AL60" s="3114"/>
      <c r="AM60" s="3114"/>
      <c r="AS60" s="1251">
        <v>14</v>
      </c>
    </row>
    <row customHeight="1" ht="14.699999999999998">
      <c r="O61" s="644"/>
      <c r="T61" s="3114"/>
      <c r="U61" s="3114"/>
      <c r="V61" s="3114"/>
      <c r="W61" s="3114"/>
      <c r="X61" s="3114"/>
      <c r="Y61" s="3114"/>
      <c r="Z61" s="3114"/>
      <c r="AA61" s="3114"/>
      <c r="AB61" s="3114"/>
      <c r="AC61" s="3114"/>
      <c r="AD61" s="3114"/>
      <c r="AE61" s="3114"/>
      <c r="AF61" s="3114"/>
      <c r="AG61" s="3114"/>
      <c r="AH61" s="3114"/>
      <c r="AI61" s="3114"/>
      <c r="AJ61" s="3114"/>
      <c r="AK61" s="3114"/>
      <c r="AL61" s="3114"/>
      <c r="AM61" s="3114"/>
      <c r="AS61" s="1251">
        <v>14</v>
      </c>
    </row>
    <row customHeight="1" ht="14.699999999999998">
      <c r="O62" s="644"/>
      <c r="AS62" s="1251">
        <v>14</v>
      </c>
    </row>
    <row customHeight="1" ht="14.699999999999998">
      <c r="O63" s="644"/>
      <c r="S63" s="1349"/>
      <c r="T63" s="3028"/>
      <c r="U63" s="3114"/>
      <c r="V63" s="3114"/>
      <c r="W63" s="3114"/>
      <c r="X63" s="3114"/>
      <c r="Y63" s="3114"/>
      <c r="Z63" s="3114"/>
      <c r="AA63" s="3114"/>
      <c r="AB63" s="3114"/>
      <c r="AC63" s="3114"/>
      <c r="AD63" s="3114"/>
      <c r="AE63" s="3114"/>
      <c r="AF63" s="3114"/>
      <c r="AG63" s="3114"/>
      <c r="AH63" s="3114"/>
      <c r="AI63" s="3114"/>
      <c r="AJ63" s="3114"/>
      <c r="AK63" s="3114"/>
      <c r="AL63" s="3114"/>
      <c r="AM63" s="3114"/>
      <c r="AS63" s="1251">
        <v>14</v>
      </c>
    </row>
    <row customHeight="1" ht="14.699999999999998">
      <c r="O64" s="644"/>
      <c r="T64" s="3114"/>
      <c r="U64" s="3114"/>
      <c r="V64" s="3114"/>
      <c r="W64" s="3114"/>
      <c r="X64" s="3114"/>
      <c r="Y64" s="3114"/>
      <c r="Z64" s="3114"/>
      <c r="AA64" s="3114"/>
      <c r="AB64" s="3114"/>
      <c r="AC64" s="3114"/>
      <c r="AD64" s="3114"/>
      <c r="AE64" s="3114"/>
      <c r="AF64" s="3114"/>
      <c r="AG64" s="3114"/>
      <c r="AH64" s="3114"/>
      <c r="AI64" s="3114"/>
      <c r="AJ64" s="3114"/>
      <c r="AK64" s="3114"/>
      <c r="AL64" s="3114"/>
      <c r="AM64" s="3114"/>
      <c r="AS64" s="1251">
        <v>14</v>
      </c>
    </row>
    <row customHeight="1" ht="14.699999999999998">
      <c r="T65" s="3114"/>
      <c r="U65" s="3114"/>
      <c r="V65" s="3114"/>
      <c r="W65" s="3114"/>
      <c r="X65" s="3114"/>
      <c r="Y65" s="3114"/>
      <c r="Z65" s="3114"/>
      <c r="AA65" s="3114"/>
      <c r="AB65" s="3114"/>
      <c r="AC65" s="3114"/>
      <c r="AD65" s="3114"/>
      <c r="AE65" s="3114"/>
      <c r="AF65" s="3114"/>
      <c r="AG65" s="3114"/>
      <c r="AH65" s="3114"/>
      <c r="AI65" s="3114"/>
      <c r="AJ65" s="3114"/>
      <c r="AK65" s="3114"/>
      <c r="AL65" s="3114"/>
      <c r="AM65" s="3114"/>
      <c r="AS65" s="1251">
        <v>14</v>
      </c>
    </row>
    <row customHeight="1" ht="22.5" hidden="1">
      <c r="A66" s="1256" t="s">
        <v>82</v>
      </c>
      <c r="B66" s="1256">
        <v>0</v>
      </c>
      <c r="C66" s="1256">
        <v>0</v>
      </c>
      <c r="D66" s="1256">
        <v>0</v>
      </c>
      <c r="E66" s="1256">
        <v>0</v>
      </c>
      <c r="F66" s="1256">
        <v>0</v>
      </c>
      <c r="G66" s="1256">
        <v>0</v>
      </c>
      <c r="H66" s="1256">
        <v>0</v>
      </c>
      <c r="I66" s="1256">
        <v>0</v>
      </c>
      <c r="J66" s="1256">
        <v>0</v>
      </c>
      <c r="K66" s="1256">
        <v>0</v>
      </c>
      <c r="L66" s="1425">
        <v>0</v>
      </c>
      <c r="M66" s="1458">
        <v>0</v>
      </c>
      <c r="N66" s="1458">
        <v>0</v>
      </c>
      <c r="O66" s="1458">
        <v>0</v>
      </c>
      <c r="P66" s="1424">
        <v>0</v>
      </c>
      <c r="Q66" s="452">
        <v>3</v>
      </c>
      <c r="R66" s="452">
        <v>3</v>
      </c>
      <c r="S66" s="688">
        <v>12</v>
      </c>
      <c r="T66" s="1251">
        <v>31</v>
      </c>
      <c r="U66" s="1251">
        <v>0</v>
      </c>
      <c r="V66" s="1251">
        <v>0</v>
      </c>
      <c r="W66" s="1251">
        <v>0</v>
      </c>
      <c r="X66" s="1251">
        <v>0</v>
      </c>
      <c r="Y66" s="1251">
        <v>0</v>
      </c>
      <c r="Z66" s="1251">
        <v>0</v>
      </c>
      <c r="AA66" s="1251">
        <v>0</v>
      </c>
      <c r="AB66" s="1251">
        <v>0</v>
      </c>
      <c r="AC66" s="1251">
        <v>0</v>
      </c>
      <c r="AD66" s="1251">
        <v>24</v>
      </c>
      <c r="AE66" s="1251">
        <v>0</v>
      </c>
      <c r="AF66" s="1251">
        <v>24</v>
      </c>
      <c r="AG66" s="1251">
        <v>24</v>
      </c>
      <c r="AH66" s="1251">
        <v>11</v>
      </c>
      <c r="AI66" s="1251">
        <v>3</v>
      </c>
      <c r="AJ66" s="1251">
        <v>11</v>
      </c>
      <c r="AK66" s="1251">
        <v>0</v>
      </c>
      <c r="AL66" s="1251">
        <v>4</v>
      </c>
      <c r="AM66" s="1251">
        <v>115</v>
      </c>
      <c r="AN66" s="618">
        <v>10</v>
      </c>
      <c r="AO66" s="618">
        <v>10</v>
      </c>
      <c r="AP66" s="618">
        <v>10</v>
      </c>
      <c r="AQ66" s="618">
        <v>10</v>
      </c>
      <c r="AR66" s="618">
        <v>10</v>
      </c>
      <c r="AS66" s="1251">
        <v>23</v>
      </c>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AE9FB-DB3F-A339-A0CA-5741CB17CC2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232" width="10.57421875" hidden="1"/>
    <col min="2" max="2" style="10232" width="11.00390625" hidden="1" customWidth="1"/>
    <col min="3" max="3" style="10232" width="10.57421875" hidden="1"/>
    <col min="4" max="4" style="10232" width="11.8515625" hidden="1" customWidth="1"/>
    <col min="5" max="5" style="10232" width="10.00390625" hidden="1" customWidth="1"/>
    <col min="6" max="6" style="10232" width="8.7109375" hidden="1" customWidth="1"/>
    <col min="7" max="7" style="10232" width="7.57421875" hidden="1" customWidth="1"/>
    <col min="8" max="8" style="10232" width="11.421875" hidden="1" customWidth="1"/>
    <col min="9" max="9" style="10232" width="12.00390625" hidden="1" customWidth="1"/>
    <col min="10" max="10" style="10232" width="9.8515625" hidden="1" customWidth="1"/>
    <col min="11" max="12" style="10232" width="11.421875" hidden="1" customWidth="1"/>
    <col min="13" max="13" style="10304" width="19.140625" hidden="1" customWidth="1"/>
    <col min="14" max="15" style="11081" width="12.28125" hidden="1" customWidth="1"/>
    <col min="16" max="16" style="11081" width="23.421875" hidden="1" customWidth="1"/>
    <col min="17" max="17" style="11081" width="3.7109375" hidden="1" customWidth="1"/>
    <col min="18" max="20" style="11082" width="3.00390625" customWidth="1"/>
    <col min="21" max="21" style="11083" width="12.00390625" customWidth="1"/>
    <col min="22" max="22" style="10232" width="31.00390625" customWidth="1"/>
    <col min="23" max="23" style="10232" width="0.140625" customWidth="1"/>
    <col min="24" max="28" style="10232" width="21.7109375" hidden="1" customWidth="1"/>
    <col min="29" max="29" style="10232" width="11.7109375" hidden="1" customWidth="1"/>
    <col min="30" max="30" style="10232" width="3.7109375" hidden="1" customWidth="1"/>
    <col min="31" max="31" style="10232" width="11.7109375" hidden="1" customWidth="1"/>
    <col min="32" max="32" style="10232" width="8.57421875" hidden="1" customWidth="1"/>
    <col min="33" max="33" style="10232" width="21.7109375" customWidth="1"/>
    <col min="34" max="37" style="10232" width="21.00390625" customWidth="1"/>
    <col min="38" max="38" style="10232" width="11.00390625" customWidth="1"/>
    <col min="39" max="39" style="10232" width="3.7109375" customWidth="1"/>
    <col min="40" max="40" style="10232" width="11.00390625" customWidth="1"/>
    <col min="41" max="41" style="10232" width="8.57421875" hidden="1" customWidth="1"/>
    <col min="42" max="42" style="10232" width="4.00390625" customWidth="1"/>
    <col min="43" max="43" style="10232" width="115.00390625" customWidth="1"/>
    <col min="44" max="48" style="10307" width="10.00390625" customWidth="1"/>
    <col min="49" max="49" style="10232" width="10.57421875" hidden="1"/>
  </cols>
  <sheetData>
    <row customHeight="1" ht="22.5" hidden="1">
      <c r="AB1" s="435"/>
      <c r="AC1" s="435"/>
      <c r="AK1" s="435"/>
      <c r="AL1" s="435"/>
      <c r="AW1" s="1251" t="s">
        <v>14</v>
      </c>
    </row>
    <row customHeight="1" ht="21" hidden="1">
      <c r="A2" s="1363"/>
      <c r="B2" s="1363"/>
      <c r="C2" s="1363"/>
      <c r="D2" s="1363"/>
      <c r="E2" s="3141">
        <v>1</v>
      </c>
      <c r="F2" s="1363"/>
      <c r="G2" s="1363"/>
      <c r="H2" s="1363"/>
      <c r="I2" s="1363"/>
      <c r="J2" s="1363"/>
      <c r="K2" s="1363"/>
      <c r="L2" s="1363"/>
      <c r="M2" s="1406"/>
      <c r="N2" s="795"/>
      <c r="O2" s="795"/>
      <c r="P2" s="795"/>
      <c r="Q2" s="468"/>
      <c r="R2" s="467"/>
      <c r="S2" s="467"/>
      <c r="T2" s="462"/>
      <c r="U2" s="1432">
        <f>INDEX(PT_DIFFERENTIATION_NUM_NTAR,MATCH(A2,PT_DIFFERENTIATION_NTAR_ID,0))</f>
      </c>
      <c r="V2" s="406" t="s">
        <v>210</v>
      </c>
      <c r="W2" s="408"/>
      <c r="X2" s="3109"/>
      <c r="Y2" s="3110"/>
      <c r="Z2" s="3110"/>
      <c r="AA2" s="3110"/>
      <c r="AB2" s="3110"/>
      <c r="AC2" s="3110"/>
      <c r="AD2" s="3110"/>
      <c r="AE2" s="3110"/>
      <c r="AF2" s="3111"/>
      <c r="AG2" s="3109">
        <f>INDEX(PT_DIFFERENTIATION_NTAR,MATCH(A2,PT_DIFFERENTIATION_NTAR_ID,0))</f>
      </c>
      <c r="AH2" s="3110"/>
      <c r="AI2" s="3110"/>
      <c r="AJ2" s="3110"/>
      <c r="AK2" s="3110"/>
      <c r="AL2" s="3110"/>
      <c r="AM2" s="3110"/>
      <c r="AN2" s="3110"/>
      <c r="AO2" s="3110"/>
      <c r="AP2" s="3111"/>
      <c r="AQ2" s="1354" t="s">
        <v>481</v>
      </c>
      <c r="AS2" s="607"/>
      <c r="AT2" s="607" t="str">
        <f>IF(V2="","",V2)</f>
        <v>Наименование тарифа</v>
      </c>
      <c r="AU2" s="607"/>
      <c r="AV2" s="607"/>
      <c r="AW2" s="1251">
        <v>0</v>
      </c>
    </row>
    <row customHeight="1" ht="21" hidden="1">
      <c r="A3" s="1363"/>
      <c r="B3" s="1363"/>
      <c r="C3" s="1363"/>
      <c r="D3" s="1363"/>
      <c r="E3" s="3142"/>
      <c r="F3" s="3141">
        <v>1</v>
      </c>
      <c r="G3" s="1363"/>
      <c r="H3" s="1363"/>
      <c r="I3" s="1363"/>
      <c r="J3" s="1363"/>
      <c r="K3" s="1363"/>
      <c r="L3" s="1363"/>
      <c r="M3" s="1406"/>
      <c r="N3" s="795"/>
      <c r="O3" s="795"/>
      <c r="P3" s="795"/>
      <c r="Q3" s="1428"/>
      <c r="R3" s="459"/>
      <c r="S3" s="616"/>
      <c r="T3" s="460"/>
      <c r="U3" s="1432">
        <f>INDEX(PT_DIFFERENTIATION_NUM_TER,MATCH(B3,PT_DIFFERENTIATION_TER_ID,0))</f>
      </c>
      <c r="V3" s="416" t="s">
        <v>482</v>
      </c>
      <c r="W3" s="408"/>
      <c r="X3" s="3109"/>
      <c r="Y3" s="3110"/>
      <c r="Z3" s="3110"/>
      <c r="AA3" s="3110"/>
      <c r="AB3" s="3110"/>
      <c r="AC3" s="3110"/>
      <c r="AD3" s="3110"/>
      <c r="AE3" s="3110"/>
      <c r="AF3" s="3111"/>
      <c r="AG3" s="3109">
        <f>INDEX(PT_DIFFERENTIATION_TER,MATCH(B3,PT_DIFFERENTIATION_TER_ID,0))</f>
      </c>
      <c r="AH3" s="3110"/>
      <c r="AI3" s="3110"/>
      <c r="AJ3" s="3110"/>
      <c r="AK3" s="3110"/>
      <c r="AL3" s="3110"/>
      <c r="AM3" s="3110"/>
      <c r="AN3" s="3110"/>
      <c r="AO3" s="3110"/>
      <c r="AP3" s="3111"/>
      <c r="AQ3" s="1354" t="s">
        <v>483</v>
      </c>
      <c r="AS3" s="607"/>
      <c r="AT3" s="607" t="str">
        <f>IF(V3="","",V3)</f>
        <v>Территория действия тарифа</v>
      </c>
      <c r="AU3" s="607"/>
      <c r="AV3" s="607"/>
      <c r="AW3" s="1251">
        <v>0</v>
      </c>
    </row>
    <row customHeight="1" ht="22.5" hidden="1">
      <c r="A4" s="1363"/>
      <c r="B4" s="1363"/>
      <c r="C4" s="1363"/>
      <c r="D4" s="1363"/>
      <c r="E4" s="3142"/>
      <c r="F4" s="3142"/>
      <c r="G4" s="3141">
        <v>1</v>
      </c>
      <c r="H4" s="1363"/>
      <c r="I4" s="1363"/>
      <c r="J4" s="1363"/>
      <c r="K4" s="1363"/>
      <c r="L4" s="1363"/>
      <c r="M4" s="1406"/>
      <c r="N4" s="795"/>
      <c r="O4" s="795"/>
      <c r="P4" s="795"/>
      <c r="Q4" s="461"/>
      <c r="R4" s="459"/>
      <c r="S4" s="616"/>
      <c r="T4" s="460"/>
      <c r="U4" s="1432">
        <f>INDEX(PT_DIFFERENTIATION_NUM_CS,MATCH(C4,PT_DIFFERENTIATION_CS_ID,0))</f>
      </c>
      <c r="V4" s="417" t="s">
        <v>484</v>
      </c>
      <c r="W4" s="408"/>
      <c r="X4" s="3109"/>
      <c r="Y4" s="3110"/>
      <c r="Z4" s="3110"/>
      <c r="AA4" s="3110"/>
      <c r="AB4" s="3110"/>
      <c r="AC4" s="3110"/>
      <c r="AD4" s="3110"/>
      <c r="AE4" s="3110"/>
      <c r="AF4" s="3111"/>
      <c r="AG4" s="3109">
        <f>INDEX(PT_DIFFERENTIATION_CS,MATCH(C4,PT_DIFFERENTIATION_CS_ID,0))</f>
      </c>
      <c r="AH4" s="3110"/>
      <c r="AI4" s="3110"/>
      <c r="AJ4" s="3110"/>
      <c r="AK4" s="3110"/>
      <c r="AL4" s="3110"/>
      <c r="AM4" s="3110"/>
      <c r="AN4" s="3110"/>
      <c r="AO4" s="3110"/>
      <c r="AP4" s="3111"/>
      <c r="AQ4" s="1354" t="s">
        <v>485</v>
      </c>
      <c r="AS4" s="607"/>
      <c r="AT4" s="607" t="str">
        <f>IF(V4="","",V4)</f>
        <v>Наименование системы теплоснабжения </v>
      </c>
      <c r="AU4" s="607"/>
      <c r="AV4" s="607"/>
      <c r="AW4" s="1251">
        <v>0</v>
      </c>
    </row>
    <row customHeight="1" ht="21" hidden="1">
      <c r="A5" s="1363"/>
      <c r="B5" s="1363"/>
      <c r="C5" s="1363"/>
      <c r="D5" s="1363"/>
      <c r="E5" s="3142"/>
      <c r="F5" s="3142"/>
      <c r="G5" s="3142"/>
      <c r="H5" s="3141">
        <v>1</v>
      </c>
      <c r="I5" s="1363"/>
      <c r="J5" s="1363"/>
      <c r="K5" s="1363"/>
      <c r="L5" s="1363"/>
      <c r="M5" s="1406"/>
      <c r="N5" s="795"/>
      <c r="O5" s="795"/>
      <c r="P5" s="795"/>
      <c r="Q5" s="461"/>
      <c r="R5" s="459"/>
      <c r="S5" s="616"/>
      <c r="T5" s="460"/>
      <c r="U5" s="1432">
        <f>INDEX(PT_DIFFERENTIATION_NUM_IST_TE,MATCH(D5,PT_DIFFERENTIATION_IST_TE_ID,0))</f>
      </c>
      <c r="V5" s="418" t="s">
        <v>486</v>
      </c>
      <c r="W5" s="408"/>
      <c r="X5" s="3109"/>
      <c r="Y5" s="3110"/>
      <c r="Z5" s="3110"/>
      <c r="AA5" s="3110"/>
      <c r="AB5" s="3110"/>
      <c r="AC5" s="3110"/>
      <c r="AD5" s="3110"/>
      <c r="AE5" s="3110"/>
      <c r="AF5" s="3111"/>
      <c r="AG5" s="3109">
        <f>INDEX(PT_DIFFERENTIATION_IST_TE,MATCH(D5,PT_DIFFERENTIATION_IST_TE_ID,0))</f>
      </c>
      <c r="AH5" s="3110"/>
      <c r="AI5" s="3110"/>
      <c r="AJ5" s="3110"/>
      <c r="AK5" s="3110"/>
      <c r="AL5" s="3110"/>
      <c r="AM5" s="3110"/>
      <c r="AN5" s="3110"/>
      <c r="AO5" s="3110"/>
      <c r="AP5" s="3111"/>
      <c r="AQ5" s="1354" t="s">
        <v>487</v>
      </c>
      <c r="AS5" s="607"/>
      <c r="AT5" s="607" t="str">
        <f>IF(V5="","",V5)</f>
        <v>Источник тепловой энергии  </v>
      </c>
      <c r="AU5" s="607"/>
      <c r="AV5" s="607"/>
      <c r="AW5" s="1251">
        <v>0</v>
      </c>
    </row>
    <row customHeight="1" ht="14.25" hidden="1">
      <c r="A6" s="1363"/>
      <c r="B6" s="1363"/>
      <c r="C6" s="1363"/>
      <c r="D6" s="1363"/>
      <c r="E6" s="3142"/>
      <c r="F6" s="3142"/>
      <c r="G6" s="3142"/>
      <c r="H6" s="3142"/>
      <c r="I6" s="2978">
        <f>U5&amp;".1"</f>
      </c>
      <c r="J6" s="1363"/>
      <c r="K6" s="1363"/>
      <c r="L6" s="1363"/>
      <c r="M6" s="1406" t="s">
        <v>488</v>
      </c>
      <c r="N6" s="616"/>
      <c r="Q6" s="3119">
        <v>1</v>
      </c>
      <c r="R6" s="1427"/>
      <c r="S6" s="1427"/>
      <c r="T6" s="463"/>
      <c r="U6" s="1142"/>
      <c r="V6" s="1479"/>
      <c r="W6" s="1480"/>
      <c r="X6" s="3146"/>
      <c r="Y6" s="3147"/>
      <c r="Z6" s="3147"/>
      <c r="AA6" s="3147"/>
      <c r="AB6" s="3147"/>
      <c r="AC6" s="3147"/>
      <c r="AD6" s="3147"/>
      <c r="AE6" s="3147"/>
      <c r="AF6" s="3148"/>
      <c r="AG6" s="3146"/>
      <c r="AH6" s="3147"/>
      <c r="AI6" s="3147"/>
      <c r="AJ6" s="3147"/>
      <c r="AK6" s="3147"/>
      <c r="AL6" s="3147"/>
      <c r="AM6" s="3147"/>
      <c r="AN6" s="3147"/>
      <c r="AO6" s="3147"/>
      <c r="AP6" s="3148"/>
      <c r="AQ6" s="1481"/>
      <c r="AS6" s="607"/>
      <c r="AT6" s="607" t="str">
        <f>IF(V6="","",V6)</f>
        <v/>
      </c>
      <c r="AU6" s="607"/>
      <c r="AV6" s="607"/>
      <c r="AW6" s="1251">
        <v>0</v>
      </c>
    </row>
    <row customHeight="1" ht="21" hidden="1">
      <c r="A7" s="1363"/>
      <c r="B7" s="1363"/>
      <c r="C7" s="1363"/>
      <c r="D7" s="1363"/>
      <c r="E7" s="3142"/>
      <c r="F7" s="3142"/>
      <c r="G7" s="3142"/>
      <c r="H7" s="3142"/>
      <c r="I7" s="2959"/>
      <c r="J7" s="2978">
        <f>I6&amp;".1"</f>
      </c>
      <c r="K7" s="1363"/>
      <c r="L7" s="1363"/>
      <c r="M7" s="1406" t="s">
        <v>491</v>
      </c>
      <c r="N7" s="616"/>
      <c r="O7" s="435"/>
      <c r="Q7" s="3119"/>
      <c r="R7" s="3119">
        <v>1</v>
      </c>
      <c r="S7" s="625"/>
      <c r="T7" s="464"/>
      <c r="U7" s="1432">
        <f>$J7</f>
      </c>
      <c r="V7" s="394" t="s">
        <v>492</v>
      </c>
      <c r="W7" s="408"/>
      <c r="X7" s="3103"/>
      <c r="Y7" s="3104"/>
      <c r="Z7" s="3104"/>
      <c r="AA7" s="3104"/>
      <c r="AB7" s="3104"/>
      <c r="AC7" s="3099"/>
      <c r="AD7" s="3099"/>
      <c r="AE7" s="3099"/>
      <c r="AF7" s="3159"/>
      <c r="AG7" s="3103"/>
      <c r="AH7" s="3104"/>
      <c r="AI7" s="3104"/>
      <c r="AJ7" s="3104"/>
      <c r="AK7" s="3104"/>
      <c r="AL7" s="3104"/>
      <c r="AM7" s="3104"/>
      <c r="AN7" s="3104"/>
      <c r="AO7" s="3104"/>
      <c r="AP7" s="3105"/>
      <c r="AQ7" s="1354" t="s">
        <v>493</v>
      </c>
      <c r="AS7" s="607"/>
      <c r="AT7" s="607" t="str">
        <f>IF(V7="","",V7)</f>
        <v>Группа потребителей</v>
      </c>
      <c r="AU7" s="607"/>
      <c r="AV7" s="607"/>
      <c r="AW7" s="1251">
        <v>0</v>
      </c>
    </row>
    <row customHeight="1" ht="21" hidden="1">
      <c r="A8" s="1363"/>
      <c r="B8" s="1363"/>
      <c r="C8" s="1363"/>
      <c r="D8" s="1363"/>
      <c r="E8" s="3142"/>
      <c r="F8" s="3142"/>
      <c r="G8" s="3142"/>
      <c r="H8" s="3142"/>
      <c r="I8" s="2959"/>
      <c r="J8" s="2959"/>
      <c r="K8" s="2978">
        <f>J7&amp;".1"</f>
      </c>
      <c r="L8" s="248"/>
      <c r="M8" s="1406" t="s">
        <v>494</v>
      </c>
      <c r="N8" s="616"/>
      <c r="O8" s="435"/>
      <c r="P8" s="435"/>
      <c r="Q8" s="3119"/>
      <c r="R8" s="3119"/>
      <c r="S8" s="3119">
        <v>1</v>
      </c>
      <c r="T8" s="464"/>
      <c r="U8" s="1432">
        <f>$K8</f>
      </c>
      <c r="V8" s="1443"/>
      <c r="W8" s="408"/>
      <c r="X8" s="858"/>
      <c r="Y8" s="858"/>
      <c r="Z8" s="858"/>
      <c r="AA8" s="858"/>
      <c r="AB8" s="1501"/>
      <c r="AC8" s="3120"/>
      <c r="AD8" s="2989" t="s">
        <v>62</v>
      </c>
      <c r="AE8" s="3120"/>
      <c r="AF8" s="2989" t="s">
        <v>62</v>
      </c>
      <c r="AG8" s="1503"/>
      <c r="AH8" s="858"/>
      <c r="AI8" s="858"/>
      <c r="AJ8" s="858"/>
      <c r="AK8" s="1353"/>
      <c r="AL8" s="3120"/>
      <c r="AM8" s="2989" t="s">
        <v>62</v>
      </c>
      <c r="AN8" s="3120"/>
      <c r="AO8" s="2989" t="s">
        <v>62</v>
      </c>
      <c r="AP8" s="433"/>
      <c r="AQ8" s="1403" t="s">
        <v>537</v>
      </c>
      <c r="AR8" s="618">
        <f>STRCHECKDATE(X10:AP10)</f>
      </c>
      <c r="AS8" s="607"/>
      <c r="AT8" s="607" t="str">
        <f>IF(V8="","",V8)</f>
        <v/>
      </c>
      <c r="AU8" s="607"/>
      <c r="AV8" s="607"/>
      <c r="AW8" s="1251">
        <v>0</v>
      </c>
    </row>
    <row customHeight="1" ht="21" hidden="1">
      <c r="A9" s="1363"/>
      <c r="B9" s="1363"/>
      <c r="C9" s="1363"/>
      <c r="D9" s="1363"/>
      <c r="E9" s="3142"/>
      <c r="F9" s="3142"/>
      <c r="G9" s="3142"/>
      <c r="H9" s="3142"/>
      <c r="I9" s="2959"/>
      <c r="J9" s="2959"/>
      <c r="K9" s="2959"/>
      <c r="L9" s="2978">
        <f>K8&amp;".1"</f>
      </c>
      <c r="M9" s="1406"/>
      <c r="N9" s="616"/>
      <c r="O9" s="435"/>
      <c r="P9" s="435"/>
      <c r="Q9" s="3119"/>
      <c r="R9" s="3119"/>
      <c r="S9" s="3119"/>
      <c r="T9" s="464"/>
      <c r="U9" s="1432">
        <f>$L9</f>
      </c>
      <c r="V9" s="1487"/>
      <c r="W9" s="408"/>
      <c r="X9" s="433"/>
      <c r="Y9" s="858"/>
      <c r="Z9" s="858"/>
      <c r="AA9" s="858"/>
      <c r="AB9" s="1501"/>
      <c r="AC9" s="3121"/>
      <c r="AD9" s="2989"/>
      <c r="AE9" s="3121"/>
      <c r="AF9" s="2989"/>
      <c r="AG9" s="1503"/>
      <c r="AH9" s="858"/>
      <c r="AI9" s="858"/>
      <c r="AJ9" s="858"/>
      <c r="AK9" s="1353"/>
      <c r="AL9" s="3121"/>
      <c r="AM9" s="2989"/>
      <c r="AN9" s="3121"/>
      <c r="AO9" s="2989"/>
      <c r="AP9" s="433"/>
      <c r="AQ9" s="3138" t="s">
        <v>538</v>
      </c>
      <c r="AS9" s="607"/>
      <c r="AT9" s="607"/>
      <c r="AU9" s="607"/>
      <c r="AV9" s="607"/>
      <c r="AW9" s="1251">
        <v>0</v>
      </c>
    </row>
    <row customHeight="1" ht="14.25" hidden="1">
      <c r="A10" s="1363"/>
      <c r="B10" s="1363"/>
      <c r="C10" s="1363"/>
      <c r="D10" s="1363"/>
      <c r="E10" s="3142"/>
      <c r="F10" s="3142"/>
      <c r="G10" s="3142"/>
      <c r="H10" s="3142"/>
      <c r="I10" s="2959"/>
      <c r="J10" s="2959"/>
      <c r="K10" s="2959"/>
      <c r="L10" s="2978"/>
      <c r="M10" s="1406"/>
      <c r="N10" s="616"/>
      <c r="O10" s="435"/>
      <c r="P10" s="435"/>
      <c r="Q10" s="3119"/>
      <c r="R10" s="3119"/>
      <c r="S10" s="3119"/>
      <c r="T10" s="464"/>
      <c r="U10" s="1438"/>
      <c r="V10" s="408"/>
      <c r="W10" s="408"/>
      <c r="X10" s="433"/>
      <c r="Y10" s="433"/>
      <c r="Z10" s="433"/>
      <c r="AA10" s="433"/>
      <c r="AB10" s="1502" t="str">
        <f>AC8&amp;"-"&amp;AE8</f>
        <v>-</v>
      </c>
      <c r="AC10" s="3121"/>
      <c r="AD10" s="2989"/>
      <c r="AE10" s="3121"/>
      <c r="AF10" s="2989"/>
      <c r="AG10" s="1478"/>
      <c r="AH10" s="433"/>
      <c r="AI10" s="433"/>
      <c r="AJ10" s="433"/>
      <c r="AK10" s="436" t="str">
        <f>AL8&amp;"-"&amp;AN8</f>
        <v>-</v>
      </c>
      <c r="AL10" s="3121"/>
      <c r="AM10" s="2989"/>
      <c r="AN10" s="3121"/>
      <c r="AO10" s="2989"/>
      <c r="AP10" s="433"/>
      <c r="AQ10" s="3139"/>
      <c r="AS10" s="607"/>
      <c r="AT10" s="607" t="str">
        <f>IF(V10="","",V10)</f>
        <v/>
      </c>
      <c r="AU10" s="607"/>
      <c r="AV10" s="607"/>
      <c r="AW10" s="1251">
        <v>0</v>
      </c>
    </row>
    <row customHeight="1" ht="11.25" hidden="1">
      <c r="A11" s="1363"/>
      <c r="B11" s="1363"/>
      <c r="C11" s="1363"/>
      <c r="D11" s="1363"/>
      <c r="E11" s="3142"/>
      <c r="F11" s="3142"/>
      <c r="G11" s="3142"/>
      <c r="H11" s="3142"/>
      <c r="I11" s="2959"/>
      <c r="J11" s="2959"/>
      <c r="K11" s="2978"/>
      <c r="L11" s="1363"/>
      <c r="M11" s="1406"/>
      <c r="N11" s="616"/>
      <c r="O11" s="435"/>
      <c r="P11" s="435"/>
      <c r="Q11" s="3119"/>
      <c r="R11" s="3119"/>
      <c r="S11" s="3119"/>
      <c r="T11" s="464"/>
      <c r="U11" s="1374"/>
      <c r="V11" s="396" t="s">
        <v>539</v>
      </c>
      <c r="W11" s="1488"/>
      <c r="X11" s="1489"/>
      <c r="Y11" s="1489"/>
      <c r="Z11" s="1489"/>
      <c r="AA11" s="1489"/>
      <c r="AB11" s="1490"/>
      <c r="AC11" s="3121"/>
      <c r="AD11" s="2989"/>
      <c r="AE11" s="3121"/>
      <c r="AF11" s="2989"/>
      <c r="AG11" s="1489"/>
      <c r="AH11" s="1489"/>
      <c r="AI11" s="1489"/>
      <c r="AJ11" s="1489"/>
      <c r="AK11" s="1490"/>
      <c r="AL11" s="3121"/>
      <c r="AM11" s="2989"/>
      <c r="AN11" s="3121"/>
      <c r="AO11" s="2989"/>
      <c r="AP11" s="1491"/>
      <c r="AQ11" s="3139"/>
      <c r="AS11" s="607"/>
      <c r="AT11" s="607"/>
      <c r="AU11" s="607"/>
      <c r="AV11" s="607"/>
      <c r="AW11" s="1251">
        <v>0</v>
      </c>
    </row>
    <row customHeight="1" ht="15" hidden="1">
      <c r="A12" s="1363"/>
      <c r="B12" s="1363"/>
      <c r="C12" s="1363"/>
      <c r="D12" s="1363"/>
      <c r="E12" s="3142"/>
      <c r="F12" s="3142"/>
      <c r="G12" s="3142"/>
      <c r="H12" s="3142"/>
      <c r="I12" s="2959"/>
      <c r="J12" s="2978"/>
      <c r="K12" s="1363"/>
      <c r="L12" s="1363"/>
      <c r="M12" s="1406"/>
      <c r="N12" s="616"/>
      <c r="O12" s="435"/>
      <c r="Q12" s="3119"/>
      <c r="R12" s="3119"/>
      <c r="S12" s="1427"/>
      <c r="T12" s="463"/>
      <c r="U12" s="1374"/>
      <c r="V12" s="395" t="s">
        <v>496</v>
      </c>
      <c r="W12" s="474"/>
      <c r="X12" s="474"/>
      <c r="Y12" s="474"/>
      <c r="Z12" s="474"/>
      <c r="AA12" s="474"/>
      <c r="AB12" s="474"/>
      <c r="AC12" s="1504"/>
      <c r="AD12" s="1504"/>
      <c r="AE12" s="1504"/>
      <c r="AF12" s="1504"/>
      <c r="AG12" s="474"/>
      <c r="AH12" s="474"/>
      <c r="AI12" s="474"/>
      <c r="AJ12" s="474"/>
      <c r="AK12" s="474"/>
      <c r="AL12" s="474"/>
      <c r="AM12" s="474"/>
      <c r="AN12" s="474"/>
      <c r="AO12" s="474"/>
      <c r="AP12" s="432"/>
      <c r="AQ12" s="3140"/>
      <c r="AS12" s="607"/>
      <c r="AT12" s="607" t="str">
        <f>IF(V12="","",V12)</f>
        <v>Добавить вид теплоносителя (параметры теплоносителя)</v>
      </c>
      <c r="AU12" s="607"/>
      <c r="AV12" s="607"/>
      <c r="AW12" s="1251">
        <v>0</v>
      </c>
    </row>
    <row customHeight="1" ht="11.25" hidden="1">
      <c r="A13" s="1363"/>
      <c r="B13" s="1363"/>
      <c r="C13" s="1363"/>
      <c r="D13" s="1363"/>
      <c r="E13" s="3142"/>
      <c r="F13" s="3142"/>
      <c r="G13" s="3142"/>
      <c r="H13" s="3142"/>
      <c r="I13" s="2978"/>
      <c r="J13" s="1363"/>
      <c r="K13" s="1363"/>
      <c r="L13" s="1363"/>
      <c r="M13" s="1406"/>
      <c r="N13" s="616"/>
      <c r="Q13" s="3119"/>
      <c r="R13" s="1427"/>
      <c r="S13" s="1427"/>
      <c r="T13" s="463"/>
      <c r="U13" s="1374"/>
      <c r="V13" s="472" t="s">
        <v>497</v>
      </c>
      <c r="W13" s="474"/>
      <c r="X13" s="474"/>
      <c r="Y13" s="474"/>
      <c r="Z13" s="474"/>
      <c r="AA13" s="474"/>
      <c r="AB13" s="474"/>
      <c r="AC13" s="474"/>
      <c r="AD13" s="474"/>
      <c r="AE13" s="474"/>
      <c r="AF13" s="473"/>
      <c r="AG13" s="474"/>
      <c r="AH13" s="474"/>
      <c r="AI13" s="474"/>
      <c r="AJ13" s="474"/>
      <c r="AK13" s="474"/>
      <c r="AL13" s="474"/>
      <c r="AM13" s="474"/>
      <c r="AN13" s="474"/>
      <c r="AO13" s="473"/>
      <c r="AP13" s="474"/>
      <c r="AQ13" s="411"/>
      <c r="AS13" s="607"/>
      <c r="AT13" s="607" t="str">
        <f>IF(V13="","",V13)</f>
        <v>Добавить группу потребителей</v>
      </c>
      <c r="AU13" s="607"/>
      <c r="AV13" s="607"/>
      <c r="AW13" s="1251">
        <v>0</v>
      </c>
    </row>
    <row customHeight="1" ht="14.25" hidden="1">
      <c r="A14" s="1363"/>
      <c r="B14" s="1363"/>
      <c r="C14" s="1363"/>
      <c r="D14" s="1363"/>
      <c r="E14" s="3142"/>
      <c r="F14" s="3142"/>
      <c r="G14" s="3142"/>
      <c r="H14" s="3141"/>
      <c r="I14" s="1363"/>
      <c r="J14" s="1363"/>
      <c r="K14" s="1363"/>
      <c r="L14" s="1363"/>
      <c r="M14" s="1406"/>
      <c r="N14" s="795"/>
      <c r="O14" s="795"/>
      <c r="P14" s="616"/>
      <c r="Q14" s="467"/>
      <c r="R14" s="482"/>
      <c r="S14" s="462"/>
      <c r="T14" s="467"/>
      <c r="U14" s="1482"/>
      <c r="V14" s="1483"/>
      <c r="W14" s="1484"/>
      <c r="X14" s="1484"/>
      <c r="Y14" s="1484"/>
      <c r="Z14" s="1484"/>
      <c r="AA14" s="1484"/>
      <c r="AB14" s="1484"/>
      <c r="AC14" s="1484"/>
      <c r="AD14" s="1484"/>
      <c r="AE14" s="1484"/>
      <c r="AF14" s="1484"/>
      <c r="AG14" s="1484"/>
      <c r="AH14" s="1484"/>
      <c r="AI14" s="1484"/>
      <c r="AJ14" s="1484"/>
      <c r="AK14" s="1484"/>
      <c r="AL14" s="1484"/>
      <c r="AM14" s="1484"/>
      <c r="AN14" s="1484"/>
      <c r="AO14" s="1484"/>
      <c r="AP14" s="1484"/>
      <c r="AQ14" s="1485"/>
      <c r="AS14" s="607"/>
      <c r="AT14" s="607" t="str">
        <f>IF(V14="","",V14)</f>
        <v/>
      </c>
      <c r="AU14" s="607"/>
      <c r="AV14" s="607"/>
      <c r="AW14" s="1251">
        <v>0</v>
      </c>
    </row>
    <row s="10307" customFormat="1" customHeight="1" ht="14.25" hidden="1">
      <c r="A15" s="1470"/>
      <c r="B15" s="1470"/>
      <c r="C15" s="1470"/>
      <c r="D15" s="1470"/>
      <c r="E15" s="3142"/>
      <c r="F15" s="3142"/>
      <c r="G15" s="3141"/>
      <c r="H15" s="1470"/>
      <c r="I15" s="1470"/>
      <c r="J15" s="1470"/>
      <c r="K15" s="1470"/>
      <c r="L15" s="1470"/>
      <c r="M15" s="1473"/>
      <c r="N15" s="1474"/>
      <c r="O15" s="1474"/>
      <c r="P15" s="458"/>
      <c r="Q15" s="1412"/>
      <c r="R15" s="1413"/>
      <c r="S15" s="1412"/>
      <c r="T15" s="1412"/>
      <c r="U15" s="1414"/>
      <c r="V15" s="1415" t="s">
        <v>499</v>
      </c>
      <c r="W15" s="1416"/>
      <c r="X15" s="1416"/>
      <c r="Y15" s="1416"/>
      <c r="Z15" s="1416"/>
      <c r="AA15" s="1416"/>
      <c r="AB15" s="1416"/>
      <c r="AC15" s="1416"/>
      <c r="AD15" s="1416"/>
      <c r="AE15" s="1416"/>
      <c r="AF15" s="1416"/>
      <c r="AG15" s="1416"/>
      <c r="AH15" s="1416"/>
      <c r="AI15" s="1416"/>
      <c r="AJ15" s="1416"/>
      <c r="AK15" s="1416"/>
      <c r="AL15" s="1416"/>
      <c r="AM15" s="1416"/>
      <c r="AN15" s="1416"/>
      <c r="AO15" s="1416"/>
      <c r="AP15" s="1416"/>
      <c r="AQ15" s="1416"/>
      <c r="AS15" s="890"/>
      <c r="AT15" s="890" t="str">
        <f>IF(V15="","",V15)</f>
        <v>Добавить источник для дифференциации</v>
      </c>
      <c r="AU15" s="890"/>
      <c r="AV15" s="890"/>
      <c r="AW15" s="625">
        <v>0</v>
      </c>
    </row>
    <row s="10307" customFormat="1" customHeight="1" ht="14.25" hidden="1">
      <c r="A16" s="1470"/>
      <c r="B16" s="1470"/>
      <c r="C16" s="1470"/>
      <c r="D16" s="1470"/>
      <c r="E16" s="3142"/>
      <c r="F16" s="3141"/>
      <c r="G16" s="1470"/>
      <c r="H16" s="1470"/>
      <c r="I16" s="1470"/>
      <c r="J16" s="1470"/>
      <c r="K16" s="1470"/>
      <c r="L16" s="1470"/>
      <c r="M16" s="1473"/>
      <c r="N16" s="1475"/>
      <c r="O16" s="1475"/>
      <c r="P16" s="458"/>
      <c r="Q16" s="1412"/>
      <c r="R16" s="1413"/>
      <c r="S16" s="1412"/>
      <c r="T16" s="1412"/>
      <c r="U16" s="1418"/>
      <c r="V16" s="1419" t="s">
        <v>500</v>
      </c>
      <c r="W16" s="1420"/>
      <c r="X16" s="1420"/>
      <c r="Y16" s="1420"/>
      <c r="Z16" s="1420"/>
      <c r="AA16" s="1420"/>
      <c r="AB16" s="1420"/>
      <c r="AC16" s="1420"/>
      <c r="AD16" s="1420"/>
      <c r="AE16" s="1420"/>
      <c r="AF16" s="1420"/>
      <c r="AG16" s="1420"/>
      <c r="AH16" s="1420"/>
      <c r="AI16" s="1420"/>
      <c r="AJ16" s="1420"/>
      <c r="AK16" s="1420"/>
      <c r="AL16" s="1420"/>
      <c r="AM16" s="1420"/>
      <c r="AN16" s="1420"/>
      <c r="AO16" s="1420"/>
      <c r="AP16" s="1420"/>
      <c r="AQ16" s="1420"/>
      <c r="AS16" s="890"/>
      <c r="AT16" s="890" t="str">
        <f>IF(V16="","",V16)</f>
        <v>Добавить централизованную систему для дифференциации</v>
      </c>
      <c r="AU16" s="890"/>
      <c r="AV16" s="890"/>
      <c r="AW16" s="625">
        <v>0</v>
      </c>
    </row>
    <row s="10307" customFormat="1" customHeight="1" ht="14.25" hidden="1">
      <c r="A17" s="1470"/>
      <c r="B17" s="1470"/>
      <c r="C17" s="1470"/>
      <c r="D17" s="1470"/>
      <c r="E17" s="3141"/>
      <c r="F17" s="1470"/>
      <c r="G17" s="1470"/>
      <c r="H17" s="1470"/>
      <c r="I17" s="1470"/>
      <c r="J17" s="1470"/>
      <c r="K17" s="1470"/>
      <c r="L17" s="1470"/>
      <c r="M17" s="1473"/>
      <c r="N17" s="1475"/>
      <c r="O17" s="1475"/>
      <c r="P17" s="458"/>
      <c r="Q17" s="1412"/>
      <c r="R17" s="1413"/>
      <c r="S17" s="1412"/>
      <c r="T17" s="1412"/>
      <c r="U17" s="1418"/>
      <c r="V17" s="1421" t="s">
        <v>501</v>
      </c>
      <c r="W17" s="1420"/>
      <c r="X17" s="1420"/>
      <c r="Y17" s="1420"/>
      <c r="Z17" s="1420"/>
      <c r="AA17" s="1420"/>
      <c r="AB17" s="1420"/>
      <c r="AC17" s="1420"/>
      <c r="AD17" s="1420"/>
      <c r="AE17" s="1420"/>
      <c r="AF17" s="1420"/>
      <c r="AG17" s="1420"/>
      <c r="AH17" s="1420"/>
      <c r="AI17" s="1420"/>
      <c r="AJ17" s="1420"/>
      <c r="AK17" s="1420"/>
      <c r="AL17" s="1420"/>
      <c r="AM17" s="1420"/>
      <c r="AN17" s="1420"/>
      <c r="AO17" s="1420"/>
      <c r="AP17" s="1420"/>
      <c r="AQ17" s="1420"/>
      <c r="AS17" s="890"/>
      <c r="AT17" s="890" t="str">
        <f>IF(V17="","",V17)</f>
        <v>Добавить территорию для дифференциации</v>
      </c>
      <c r="AU17" s="890"/>
      <c r="AV17" s="890"/>
      <c r="AW17" s="625">
        <v>0</v>
      </c>
    </row>
    <row customHeight="1" ht="14.25" hidden="1">
      <c r="AF18" s="435"/>
      <c r="AO18" s="435"/>
      <c r="AW18" s="1251">
        <v>0</v>
      </c>
    </row>
    <row customHeight="1" ht="14.25" hidden="1">
      <c r="AG19" s="1456"/>
      <c r="AH19" s="1456"/>
      <c r="AI19" s="1456"/>
      <c r="AJ19" s="1456"/>
      <c r="AK19" s="1457"/>
      <c r="AL19" s="3113"/>
      <c r="AM19" s="3112" t="s">
        <v>62</v>
      </c>
      <c r="AN19" s="3113"/>
      <c r="AO19" s="3112" t="s">
        <v>62</v>
      </c>
      <c r="AW19" s="1251">
        <v>0</v>
      </c>
    </row>
    <row customHeight="1" ht="14.25" hidden="1">
      <c r="AG20" s="1456"/>
      <c r="AH20" s="1456"/>
      <c r="AI20" s="1456"/>
      <c r="AJ20" s="1456"/>
      <c r="AK20" s="1457"/>
      <c r="AL20" s="3113"/>
      <c r="AM20" s="3112"/>
      <c r="AN20" s="3113"/>
      <c r="AO20" s="3112"/>
      <c r="AW20" s="1251">
        <v>0</v>
      </c>
    </row>
    <row customHeight="1" ht="14.25" hidden="1">
      <c r="AG21" s="1456"/>
      <c r="AH21" s="1456"/>
      <c r="AI21" s="1456"/>
      <c r="AJ21" s="1456"/>
      <c r="AK21" s="1457"/>
      <c r="AL21" s="3113"/>
      <c r="AM21" s="3112"/>
      <c r="AN21" s="3113"/>
      <c r="AO21" s="3112"/>
      <c r="AW21" s="1251">
        <v>0</v>
      </c>
    </row>
    <row customHeight="1" ht="14.25" hidden="1">
      <c r="AG22" s="1456"/>
      <c r="AH22" s="1456"/>
      <c r="AI22" s="1456"/>
      <c r="AJ22" s="1456"/>
      <c r="AK22" s="436" t="str">
        <f>AL19&amp;"-"&amp;AN19</f>
        <v>-</v>
      </c>
      <c r="AL22" s="3112"/>
      <c r="AM22" s="3112"/>
      <c r="AN22" s="3112"/>
      <c r="AO22" s="3112"/>
      <c r="AW22" s="1251">
        <v>0</v>
      </c>
    </row>
    <row customHeight="1" ht="14.25" hidden="1">
      <c r="AO23" s="435"/>
      <c r="AW23" s="1251">
        <v>0</v>
      </c>
    </row>
    <row s="10306" customFormat="1" customHeight="1" ht="22.5" hidden="1">
      <c r="A24" s="1251"/>
      <c r="B24" s="1251"/>
      <c r="C24" s="1251"/>
      <c r="D24" s="1251"/>
      <c r="E24" s="1251"/>
      <c r="F24" s="1251"/>
      <c r="G24" s="1251"/>
      <c r="H24" s="1251"/>
      <c r="I24" s="1251"/>
      <c r="J24" s="1251"/>
      <c r="K24" s="1251"/>
      <c r="L24" s="1251"/>
      <c r="M24" s="1423"/>
      <c r="N24" s="1424"/>
      <c r="O24" s="1424"/>
      <c r="P24" s="1441" t="s">
        <v>502</v>
      </c>
      <c r="Q24" s="1458"/>
      <c r="R24" s="1467"/>
      <c r="S24" s="1467"/>
      <c r="T24" s="1467"/>
      <c r="U24" s="836"/>
      <c r="AC24" s="1463"/>
      <c r="AE24" s="1463"/>
      <c r="AL24" s="1463"/>
      <c r="AN24" s="1463"/>
      <c r="AR24" s="618"/>
      <c r="AS24" s="618"/>
      <c r="AT24" s="618"/>
      <c r="AU24" s="618"/>
      <c r="AV24" s="618"/>
      <c r="AW24" s="1256">
        <v>0</v>
      </c>
    </row>
    <row s="10306" customFormat="1" customHeight="1" ht="14.25" hidden="1">
      <c r="A25" s="1251"/>
      <c r="B25" s="1251"/>
      <c r="C25" s="1251"/>
      <c r="D25" s="1251"/>
      <c r="E25" s="1251"/>
      <c r="F25" s="1251"/>
      <c r="G25" s="1251"/>
      <c r="H25" s="1251"/>
      <c r="I25" s="1251"/>
      <c r="J25" s="1251"/>
      <c r="K25" s="1251"/>
      <c r="L25" s="1251"/>
      <c r="M25" s="1423"/>
      <c r="N25" s="1424"/>
      <c r="O25" s="1424"/>
      <c r="P25" s="1424"/>
      <c r="Q25" s="1458"/>
      <c r="R25" s="1467"/>
      <c r="S25" s="1467"/>
      <c r="T25" s="1467"/>
      <c r="U25" s="836"/>
      <c r="AR25" s="618"/>
      <c r="AS25" s="618"/>
      <c r="AT25" s="618"/>
      <c r="AU25" s="618"/>
      <c r="AV25" s="618"/>
      <c r="AW25" s="1256">
        <v>0</v>
      </c>
    </row>
    <row s="10306" customFormat="1" customHeight="1" ht="14.25" hidden="1">
      <c r="A26" s="1251"/>
      <c r="B26" s="1251"/>
      <c r="C26" s="1251"/>
      <c r="D26" s="1251"/>
      <c r="E26" s="1251"/>
      <c r="F26" s="1251"/>
      <c r="G26" s="1251"/>
      <c r="H26" s="1251"/>
      <c r="I26" s="1251"/>
      <c r="J26" s="1251"/>
      <c r="K26" s="1251"/>
      <c r="L26" s="1251"/>
      <c r="M26" s="1423"/>
      <c r="N26" s="1424"/>
      <c r="O26" s="1424"/>
      <c r="P26" s="1406" t="s">
        <v>503</v>
      </c>
      <c r="Q26" s="1458"/>
      <c r="R26" s="1467"/>
      <c r="S26" s="1467"/>
      <c r="T26" s="1467"/>
      <c r="U26" s="836"/>
      <c r="V26" s="1256" t="s">
        <v>504</v>
      </c>
      <c r="AD26" s="294" t="s">
        <v>505</v>
      </c>
      <c r="AF26" s="294" t="s">
        <v>506</v>
      </c>
      <c r="AG26" s="1256" t="s">
        <v>504</v>
      </c>
      <c r="AM26" s="294" t="s">
        <v>507</v>
      </c>
      <c r="AO26" s="294" t="s">
        <v>506</v>
      </c>
      <c r="AR26" s="618"/>
      <c r="AS26" s="618"/>
      <c r="AT26" s="618"/>
      <c r="AU26" s="618"/>
      <c r="AV26" s="618"/>
      <c r="AW26" s="1256">
        <v>0</v>
      </c>
    </row>
    <row customHeight="1" ht="14.25" hidden="1">
      <c r="P27" s="1406"/>
      <c r="AW27" s="1251">
        <v>0</v>
      </c>
    </row>
    <row customHeight="1" ht="14.25" hidden="1">
      <c r="P28" s="1406"/>
      <c r="AW28" s="1251">
        <v>0</v>
      </c>
    </row>
    <row customHeight="1" ht="14.699999999999998">
      <c r="R29" s="483"/>
      <c r="S29" s="483"/>
      <c r="T29" s="483"/>
      <c r="U29" s="1371"/>
      <c r="V29" s="470"/>
      <c r="W29" s="470"/>
      <c r="X29" s="616"/>
      <c r="Y29" s="616"/>
      <c r="Z29" s="616"/>
      <c r="AA29" s="616"/>
      <c r="AB29" s="616"/>
      <c r="AC29" s="616"/>
      <c r="AD29" s="616"/>
      <c r="AE29" s="616"/>
      <c r="AF29" s="616"/>
      <c r="AG29" s="616"/>
      <c r="AH29" s="616"/>
      <c r="AI29" s="616"/>
      <c r="AJ29" s="616"/>
      <c r="AK29" s="616"/>
      <c r="AL29" s="616"/>
      <c r="AM29" s="616"/>
      <c r="AN29" s="616"/>
      <c r="AO29" s="616"/>
      <c r="AW29" s="1251">
        <v>14</v>
      </c>
    </row>
    <row customHeight="1" ht="56.699999999999996">
      <c r="R30" s="483"/>
      <c r="S30" s="483"/>
      <c r="T30" s="483"/>
      <c r="U30" s="309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96"/>
      <c r="W30" s="3096"/>
      <c r="X30" s="3096"/>
      <c r="Y30" s="3096"/>
      <c r="Z30" s="3096"/>
      <c r="AA30" s="3096"/>
      <c r="AB30" s="3096"/>
      <c r="AC30" s="3096"/>
      <c r="AD30" s="3096"/>
      <c r="AE30" s="3096"/>
      <c r="AF30" s="3096"/>
      <c r="AG30" s="3096"/>
      <c r="AH30" s="3096"/>
      <c r="AI30" s="3096"/>
      <c r="AJ30" s="3096"/>
      <c r="AK30" s="3096"/>
      <c r="AL30" s="3096"/>
      <c r="AM30" s="3096"/>
      <c r="AN30" s="3096"/>
      <c r="AO30" s="1339"/>
      <c r="AW30" s="1251">
        <v>54</v>
      </c>
    </row>
    <row customHeight="1" ht="14.699999999999998">
      <c r="R31" s="483"/>
      <c r="S31" s="483"/>
      <c r="T31" s="483"/>
      <c r="U31" s="3069" t="str">
        <f>IF(org=0,"Не определено",org)</f>
        <v>АО "ДГК"</v>
      </c>
      <c r="V31" s="3069"/>
      <c r="W31" s="3069"/>
      <c r="X31" s="3069"/>
      <c r="Y31" s="3069"/>
      <c r="Z31" s="3069"/>
      <c r="AA31" s="3069"/>
      <c r="AB31" s="3069"/>
      <c r="AC31" s="3069"/>
      <c r="AD31" s="3069"/>
      <c r="AE31" s="3069"/>
      <c r="AF31" s="3069"/>
      <c r="AG31" s="3069"/>
      <c r="AH31" s="3069"/>
      <c r="AI31" s="3069"/>
      <c r="AJ31" s="3069"/>
      <c r="AK31" s="3069"/>
      <c r="AL31" s="3069"/>
      <c r="AM31" s="3069"/>
      <c r="AN31" s="3069"/>
      <c r="AO31" s="1339"/>
      <c r="AW31" s="1251">
        <v>14</v>
      </c>
    </row>
    <row customHeight="1" ht="14.25" hidden="1">
      <c r="R32" s="483"/>
      <c r="S32" s="483"/>
      <c r="T32" s="483"/>
      <c r="U32" s="1371"/>
      <c r="V32" s="470"/>
      <c r="W32" s="470"/>
      <c r="X32" s="430"/>
      <c r="Y32" s="430"/>
      <c r="Z32" s="430"/>
      <c r="AA32" s="430"/>
      <c r="AB32" s="430"/>
      <c r="AC32" s="430"/>
      <c r="AD32" s="430"/>
      <c r="AE32" s="430"/>
      <c r="AF32" s="430"/>
      <c r="AG32" s="430"/>
      <c r="AH32" s="430"/>
      <c r="AI32" s="430"/>
      <c r="AJ32" s="430"/>
      <c r="AK32" s="430"/>
      <c r="AL32" s="430"/>
      <c r="AM32" s="430"/>
      <c r="AN32" s="430"/>
      <c r="AO32" s="430"/>
      <c r="AP32" s="616"/>
      <c r="AW32" s="1251">
        <v>0</v>
      </c>
    </row>
    <row s="10446" customFormat="1" customHeight="1" ht="25.5" hidden="1">
      <c r="A33" s="1344"/>
      <c r="B33" s="1344"/>
      <c r="C33" s="1344"/>
      <c r="D33" s="1344"/>
      <c r="E33" s="1344"/>
      <c r="F33" s="1344"/>
      <c r="G33" s="1344"/>
      <c r="H33" s="1344"/>
      <c r="I33" s="1344"/>
      <c r="J33" s="1344"/>
      <c r="K33" s="1344"/>
      <c r="L33" s="1344"/>
      <c r="M33" s="1476"/>
      <c r="N33" s="1344"/>
      <c r="O33" s="1344"/>
      <c r="P33" s="1344"/>
      <c r="U33" s="3106" t="s">
        <v>41</v>
      </c>
      <c r="V33" s="3106"/>
      <c r="W33" s="1468"/>
      <c r="X33" s="3108" t="str">
        <f>IF(TITLE_NAME_OR_PR_CHANGE="",IF(TITLE_NAME_OR_PR="","",TITLE_NAME_OR_PR),TITLE_NAME_OR_PR_CHANGE)</f>
        <v/>
      </c>
      <c r="Y33" s="3108"/>
      <c r="Z33" s="3108"/>
      <c r="AA33" s="3108"/>
      <c r="AB33" s="3108"/>
      <c r="AC33" s="3108"/>
      <c r="AD33" s="3108"/>
      <c r="AE33" s="3108"/>
      <c r="AF33" s="434"/>
      <c r="AG33" s="3108" t="str">
        <f>IF(TITLE_NAME_OR_PR_CHANGE="",IF(TITLE_NAME_OR_PR="","",TITLE_NAME_OR_PR),TITLE_NAME_OR_PR_CHANGE)</f>
        <v/>
      </c>
      <c r="AH33" s="3108"/>
      <c r="AI33" s="3108"/>
      <c r="AJ33" s="3108"/>
      <c r="AK33" s="3108"/>
      <c r="AL33" s="3108"/>
      <c r="AM33" s="3108"/>
      <c r="AN33" s="3108"/>
      <c r="AO33" s="434"/>
      <c r="AP33" s="434"/>
      <c r="AQ33" s="388"/>
      <c r="AR33" s="475"/>
      <c r="AS33" s="475"/>
      <c r="AT33" s="475"/>
      <c r="AU33" s="475"/>
      <c r="AV33" s="475"/>
      <c r="AW33" s="525">
        <v>0</v>
      </c>
    </row>
    <row s="10446" customFormat="1" customHeight="1" ht="18.75" hidden="1">
      <c r="A34" s="1344"/>
      <c r="B34" s="1344"/>
      <c r="C34" s="1344"/>
      <c r="D34" s="1344"/>
      <c r="E34" s="1344"/>
      <c r="F34" s="1344"/>
      <c r="G34" s="1344"/>
      <c r="H34" s="1344"/>
      <c r="I34" s="1344"/>
      <c r="J34" s="1344"/>
      <c r="K34" s="1344"/>
      <c r="L34" s="1344"/>
      <c r="M34" s="1476"/>
      <c r="N34" s="1344"/>
      <c r="O34" s="1344"/>
      <c r="P34" s="1344"/>
      <c r="U34" s="3106" t="s">
        <v>508</v>
      </c>
      <c r="V34" s="3106"/>
      <c r="W34" s="1468"/>
      <c r="X34" s="3107" t="str">
        <f>IF(TITLE_DATE_PR_CHANGE="",IF(TITLE_DATE_PR="","",TITLE_DATE_PR),TITLE_DATE_PR_CHANGE)</f>
        <v/>
      </c>
      <c r="Y34" s="3107"/>
      <c r="Z34" s="3107"/>
      <c r="AA34" s="3107"/>
      <c r="AB34" s="3107"/>
      <c r="AC34" s="3107"/>
      <c r="AD34" s="3107"/>
      <c r="AE34" s="3107"/>
      <c r="AF34" s="434"/>
      <c r="AG34" s="3107" t="str">
        <f>IF(TITLE_DATE_PR_CHANGE="",IF(TITLE_DATE_PR="","",TITLE_DATE_PR),TITLE_DATE_PR_CHANGE)</f>
        <v/>
      </c>
      <c r="AH34" s="3107"/>
      <c r="AI34" s="3107"/>
      <c r="AJ34" s="3107"/>
      <c r="AK34" s="3107"/>
      <c r="AL34" s="3107"/>
      <c r="AM34" s="3107"/>
      <c r="AN34" s="3107"/>
      <c r="AO34" s="434"/>
      <c r="AP34" s="434"/>
      <c r="AQ34" s="388"/>
      <c r="AR34" s="475"/>
      <c r="AS34" s="475"/>
      <c r="AT34" s="475"/>
      <c r="AU34" s="475"/>
      <c r="AV34" s="475"/>
      <c r="AW34" s="525">
        <v>0</v>
      </c>
    </row>
    <row s="10446" customFormat="1" customHeight="1" ht="18.75" hidden="1">
      <c r="A35" s="1344"/>
      <c r="B35" s="1344"/>
      <c r="C35" s="1344"/>
      <c r="D35" s="1344"/>
      <c r="E35" s="1344"/>
      <c r="F35" s="1344"/>
      <c r="G35" s="1344"/>
      <c r="H35" s="1344"/>
      <c r="I35" s="1344"/>
      <c r="J35" s="1344"/>
      <c r="K35" s="1344"/>
      <c r="L35" s="1344"/>
      <c r="M35" s="1476"/>
      <c r="N35" s="1344"/>
      <c r="O35" s="1344"/>
      <c r="P35" s="1344"/>
      <c r="U35" s="3106" t="s">
        <v>509</v>
      </c>
      <c r="V35" s="3106"/>
      <c r="W35" s="1468"/>
      <c r="X35" s="3108" t="str">
        <f>IF(TITLE_NUMBER_PR_CHANGE="",IF(TITLE_NUMBER_PR="","",TITLE_NUMBER_PR),TITLE_NUMBER_PR_CHANGE)</f>
        <v/>
      </c>
      <c r="Y35" s="3108"/>
      <c r="Z35" s="3108"/>
      <c r="AA35" s="3108"/>
      <c r="AB35" s="3108"/>
      <c r="AC35" s="3108"/>
      <c r="AD35" s="3108"/>
      <c r="AE35" s="3108"/>
      <c r="AF35" s="434"/>
      <c r="AG35" s="3108" t="str">
        <f>IF(TITLE_NUMBER_PR_CHANGE="",IF(TITLE_NUMBER_PR="","",TITLE_NUMBER_PR),TITLE_NUMBER_PR_CHANGE)</f>
        <v/>
      </c>
      <c r="AH35" s="3108"/>
      <c r="AI35" s="3108"/>
      <c r="AJ35" s="3108"/>
      <c r="AK35" s="3108"/>
      <c r="AL35" s="3108"/>
      <c r="AM35" s="3108"/>
      <c r="AN35" s="3108"/>
      <c r="AO35" s="434"/>
      <c r="AP35" s="434"/>
      <c r="AQ35" s="388"/>
      <c r="AR35" s="475"/>
      <c r="AS35" s="475"/>
      <c r="AT35" s="475"/>
      <c r="AU35" s="475"/>
      <c r="AV35" s="475"/>
      <c r="AW35" s="525">
        <v>0</v>
      </c>
    </row>
    <row s="10446" customFormat="1" customHeight="1" ht="18.75" hidden="1">
      <c r="A36" s="1344"/>
      <c r="B36" s="1344"/>
      <c r="C36" s="1344"/>
      <c r="D36" s="1344"/>
      <c r="E36" s="1344"/>
      <c r="F36" s="1344"/>
      <c r="G36" s="1344"/>
      <c r="H36" s="1344"/>
      <c r="I36" s="1344"/>
      <c r="J36" s="1344"/>
      <c r="K36" s="1344"/>
      <c r="L36" s="1344"/>
      <c r="M36" s="1476"/>
      <c r="N36" s="1344"/>
      <c r="O36" s="1344"/>
      <c r="P36" s="1344"/>
      <c r="U36" s="3106" t="s">
        <v>42</v>
      </c>
      <c r="V36" s="3106"/>
      <c r="W36" s="1468"/>
      <c r="X36" s="3108" t="str">
        <f>IF(TITLE_IST_PUB_CHANGE="",IF(TITLE_IST_PUB="","",TITLE_IST_PUB),TITLE_IST_PUB_CHANGE)</f>
        <v/>
      </c>
      <c r="Y36" s="3108"/>
      <c r="Z36" s="3108"/>
      <c r="AA36" s="3108"/>
      <c r="AB36" s="3108"/>
      <c r="AC36" s="3108"/>
      <c r="AD36" s="3108"/>
      <c r="AE36" s="3108"/>
      <c r="AF36" s="434"/>
      <c r="AG36" s="3108" t="str">
        <f>IF(TITLE_IST_PUB_CHANGE="",IF(TITLE_IST_PUB="","",TITLE_IST_PUB),TITLE_IST_PUB_CHANGE)</f>
        <v/>
      </c>
      <c r="AH36" s="3108"/>
      <c r="AI36" s="3108"/>
      <c r="AJ36" s="3108"/>
      <c r="AK36" s="3108"/>
      <c r="AL36" s="3108"/>
      <c r="AM36" s="3108"/>
      <c r="AN36" s="3108"/>
      <c r="AO36" s="434"/>
      <c r="AP36" s="434"/>
      <c r="AQ36" s="388"/>
      <c r="AR36" s="475"/>
      <c r="AS36" s="475"/>
      <c r="AT36" s="475"/>
      <c r="AU36" s="475"/>
      <c r="AV36" s="475"/>
      <c r="AW36" s="525">
        <v>0</v>
      </c>
    </row>
    <row customHeight="1" ht="14.25" hidden="1">
      <c r="R37" s="483"/>
      <c r="S37" s="483"/>
      <c r="T37" s="483"/>
      <c r="U37" s="1371"/>
      <c r="V37" s="470"/>
      <c r="W37" s="470"/>
      <c r="X37" s="430"/>
      <c r="Y37" s="430"/>
      <c r="Z37" s="430"/>
      <c r="AA37" s="430"/>
      <c r="AB37" s="430"/>
      <c r="AC37" s="430"/>
      <c r="AD37" s="430"/>
      <c r="AE37" s="430"/>
      <c r="AF37" s="430"/>
      <c r="AG37" s="430"/>
      <c r="AH37" s="430"/>
      <c r="AI37" s="430"/>
      <c r="AJ37" s="430"/>
      <c r="AK37" s="430"/>
      <c r="AL37" s="430"/>
      <c r="AM37" s="430"/>
      <c r="AN37" s="430"/>
      <c r="AO37" s="430"/>
      <c r="AP37" s="616"/>
      <c r="AW37" s="1251">
        <v>0</v>
      </c>
    </row>
    <row s="10446" customFormat="1" customHeight="1" ht="18.75" hidden="1">
      <c r="A38" s="1344"/>
      <c r="B38" s="1344"/>
      <c r="C38" s="1344"/>
      <c r="D38" s="1344"/>
      <c r="E38" s="1344"/>
      <c r="F38" s="1344"/>
      <c r="G38" s="1344"/>
      <c r="H38" s="1344"/>
      <c r="I38" s="1344"/>
      <c r="J38" s="1344"/>
      <c r="K38" s="1344"/>
      <c r="L38" s="1344"/>
      <c r="M38" s="1476"/>
      <c r="N38" s="1344"/>
      <c r="O38" s="1344"/>
      <c r="P38" s="1344"/>
      <c r="U38" s="3106" t="s">
        <v>510</v>
      </c>
      <c r="V38" s="3106"/>
      <c r="W38" s="1468"/>
      <c r="X38" s="3107" t="str">
        <f>IF(TITLE_DATE_PR_CHANGE="",IF(TITLE_DATE_PR="","",TITLE_DATE_PR),TITLE_DATE_PR_CHANGE)</f>
        <v/>
      </c>
      <c r="Y38" s="3107"/>
      <c r="Z38" s="3107"/>
      <c r="AA38" s="3107"/>
      <c r="AB38" s="3107"/>
      <c r="AC38" s="3107"/>
      <c r="AD38" s="3107"/>
      <c r="AE38" s="3107"/>
      <c r="AF38" s="434"/>
      <c r="AG38" s="3107" t="str">
        <f>IF(TITLE_DATE_PR_CHANGE="",IF(TITLE_DATE_PR="","",TITLE_DATE_PR),TITLE_DATE_PR_CHANGE)</f>
        <v/>
      </c>
      <c r="AH38" s="3107"/>
      <c r="AI38" s="3107"/>
      <c r="AJ38" s="3107"/>
      <c r="AK38" s="3107"/>
      <c r="AL38" s="3107"/>
      <c r="AM38" s="3107"/>
      <c r="AN38" s="3107"/>
      <c r="AO38" s="434"/>
      <c r="AP38" s="434"/>
      <c r="AQ38" s="388"/>
      <c r="AR38" s="475"/>
      <c r="AS38" s="475"/>
      <c r="AT38" s="475"/>
      <c r="AU38" s="475"/>
      <c r="AV38" s="475"/>
      <c r="AW38" s="525">
        <v>0</v>
      </c>
    </row>
    <row s="10446" customFormat="1" customHeight="1" ht="18.75" hidden="1">
      <c r="A39" s="1344"/>
      <c r="B39" s="1344"/>
      <c r="C39" s="1344"/>
      <c r="D39" s="1344"/>
      <c r="E39" s="1344"/>
      <c r="F39" s="1344"/>
      <c r="G39" s="1344"/>
      <c r="H39" s="1344"/>
      <c r="I39" s="1344"/>
      <c r="J39" s="1344"/>
      <c r="K39" s="1344"/>
      <c r="L39" s="1344"/>
      <c r="M39" s="1476"/>
      <c r="N39" s="1344"/>
      <c r="O39" s="1344"/>
      <c r="P39" s="1344"/>
      <c r="U39" s="3106" t="s">
        <v>511</v>
      </c>
      <c r="V39" s="3106"/>
      <c r="W39" s="1468"/>
      <c r="X39" s="3108" t="str">
        <f>IF(TITLE_NUMBER_PR_CHANGE="",IF(TITLE_NUMBER_PR="","",TITLE_NUMBER_PR),TITLE_NUMBER_PR_CHANGE)</f>
        <v/>
      </c>
      <c r="Y39" s="3108"/>
      <c r="Z39" s="3108"/>
      <c r="AA39" s="3108"/>
      <c r="AB39" s="3108"/>
      <c r="AC39" s="3108"/>
      <c r="AD39" s="3108"/>
      <c r="AE39" s="3108"/>
      <c r="AF39" s="434"/>
      <c r="AG39" s="3108" t="str">
        <f>IF(TITLE_NUMBER_PR_CHANGE="",IF(TITLE_NUMBER_PR="","",TITLE_NUMBER_PR),TITLE_NUMBER_PR_CHANGE)</f>
        <v/>
      </c>
      <c r="AH39" s="3108"/>
      <c r="AI39" s="3108"/>
      <c r="AJ39" s="3108"/>
      <c r="AK39" s="3108"/>
      <c r="AL39" s="3108"/>
      <c r="AM39" s="3108"/>
      <c r="AN39" s="3108"/>
      <c r="AO39" s="434"/>
      <c r="AP39" s="434"/>
      <c r="AQ39" s="388"/>
      <c r="AR39" s="475"/>
      <c r="AS39" s="475"/>
      <c r="AT39" s="475"/>
      <c r="AU39" s="475"/>
      <c r="AV39" s="475"/>
      <c r="AW39" s="525">
        <v>0</v>
      </c>
    </row>
    <row s="10446" customFormat="1" customHeight="1" ht="14.25" hidden="1">
      <c r="A40" s="1344"/>
      <c r="B40" s="1344"/>
      <c r="C40" s="1344"/>
      <c r="D40" s="1344"/>
      <c r="E40" s="1344"/>
      <c r="F40" s="1344"/>
      <c r="G40" s="1344"/>
      <c r="H40" s="1344"/>
      <c r="I40" s="1344"/>
      <c r="J40" s="1344"/>
      <c r="K40" s="1344"/>
      <c r="L40" s="1344"/>
      <c r="M40" s="1476"/>
      <c r="N40" s="1344"/>
      <c r="O40" s="1344"/>
      <c r="P40" s="1344"/>
      <c r="U40" s="431"/>
      <c r="V40" s="431"/>
      <c r="W40" s="1436"/>
      <c r="X40" s="434"/>
      <c r="Y40" s="434"/>
      <c r="Z40" s="434"/>
      <c r="AA40" s="434"/>
      <c r="AB40" s="434"/>
      <c r="AC40" s="434"/>
      <c r="AD40" s="434"/>
      <c r="AE40" s="434"/>
      <c r="AF40" s="386" t="s">
        <v>512</v>
      </c>
      <c r="AG40" s="434"/>
      <c r="AH40" s="434"/>
      <c r="AI40" s="434"/>
      <c r="AJ40" s="434"/>
      <c r="AK40" s="434"/>
      <c r="AL40" s="434"/>
      <c r="AM40" s="434"/>
      <c r="AN40" s="434"/>
      <c r="AO40" s="386" t="s">
        <v>512</v>
      </c>
      <c r="AR40" s="475"/>
      <c r="AS40" s="475"/>
      <c r="AT40" s="475"/>
      <c r="AU40" s="475"/>
      <c r="AV40" s="475"/>
      <c r="AW40" s="525">
        <v>0</v>
      </c>
    </row>
    <row customHeight="1" ht="14.699999999999998">
      <c r="R41" s="483"/>
      <c r="S41" s="483"/>
      <c r="T41" s="483"/>
      <c r="U41" s="1371"/>
      <c r="V41" s="470"/>
      <c r="W41" s="1340"/>
      <c r="X41" s="3127"/>
      <c r="Y41" s="3127"/>
      <c r="Z41" s="3127"/>
      <c r="AA41" s="3127"/>
      <c r="AB41" s="3127"/>
      <c r="AC41" s="3127"/>
      <c r="AD41" s="3127"/>
      <c r="AE41" s="3127"/>
      <c r="AF41" s="3127"/>
      <c r="AG41" s="3127"/>
      <c r="AH41" s="3127"/>
      <c r="AI41" s="3127"/>
      <c r="AJ41" s="3127"/>
      <c r="AK41" s="3127"/>
      <c r="AL41" s="3127"/>
      <c r="AM41" s="3127"/>
      <c r="AN41" s="3127"/>
      <c r="AO41" s="3127"/>
      <c r="AW41" s="1251">
        <v>14</v>
      </c>
    </row>
    <row customHeight="1" ht="14.699999999999998">
      <c r="R42" s="483"/>
      <c r="S42" s="483"/>
      <c r="T42" s="483"/>
      <c r="U42" s="2978" t="s">
        <v>385</v>
      </c>
      <c r="V42" s="2978"/>
      <c r="W42" s="2978"/>
      <c r="X42" s="2978"/>
      <c r="Y42" s="2978"/>
      <c r="Z42" s="2978"/>
      <c r="AA42" s="2978"/>
      <c r="AB42" s="2978"/>
      <c r="AC42" s="2978"/>
      <c r="AD42" s="2978"/>
      <c r="AE42" s="2978"/>
      <c r="AF42" s="2978"/>
      <c r="AG42" s="2978"/>
      <c r="AH42" s="2978"/>
      <c r="AI42" s="2978"/>
      <c r="AJ42" s="2978"/>
      <c r="AK42" s="2978"/>
      <c r="AL42" s="2978"/>
      <c r="AM42" s="2978"/>
      <c r="AN42" s="2978"/>
      <c r="AO42" s="2978"/>
      <c r="AP42" s="2978"/>
      <c r="AQ42" s="2978" t="s">
        <v>386</v>
      </c>
      <c r="AW42" s="1251">
        <v>14</v>
      </c>
    </row>
    <row customHeight="1" ht="14.699999999999998">
      <c r="R43" s="483"/>
      <c r="S43" s="483"/>
      <c r="T43" s="483"/>
      <c r="U43" s="3128" t="s">
        <v>88</v>
      </c>
      <c r="V43" s="3077" t="s">
        <v>513</v>
      </c>
      <c r="W43" s="409"/>
      <c r="X43" s="3129" t="s">
        <v>514</v>
      </c>
      <c r="Y43" s="3145"/>
      <c r="Z43" s="3145"/>
      <c r="AA43" s="3145"/>
      <c r="AB43" s="3145"/>
      <c r="AC43" s="3130"/>
      <c r="AD43" s="3130"/>
      <c r="AE43" s="3131"/>
      <c r="AF43" s="3132" t="s">
        <v>515</v>
      </c>
      <c r="AG43" s="3129" t="s">
        <v>514</v>
      </c>
      <c r="AH43" s="3145"/>
      <c r="AI43" s="3145"/>
      <c r="AJ43" s="3145"/>
      <c r="AK43" s="3145"/>
      <c r="AL43" s="3130"/>
      <c r="AM43" s="3130"/>
      <c r="AN43" s="3131"/>
      <c r="AO43" s="3132" t="s">
        <v>516</v>
      </c>
      <c r="AP43" s="3135" t="s">
        <v>517</v>
      </c>
      <c r="AQ43" s="2978"/>
      <c r="AW43" s="1251">
        <v>14</v>
      </c>
    </row>
    <row customHeight="1" ht="35.699999999999996">
      <c r="R44" s="483"/>
      <c r="S44" s="483"/>
      <c r="T44" s="483"/>
      <c r="U44" s="3128"/>
      <c r="V44" s="3077"/>
      <c r="W44" s="1131"/>
      <c r="X44" s="3048" t="s">
        <v>540</v>
      </c>
      <c r="Y44" s="2978" t="s">
        <v>541</v>
      </c>
      <c r="Z44" s="2978"/>
      <c r="AA44" s="2978"/>
      <c r="AB44" s="2978"/>
      <c r="AC44" s="3048" t="s">
        <v>521</v>
      </c>
      <c r="AD44" s="3157"/>
      <c r="AE44" s="3049"/>
      <c r="AF44" s="3133"/>
      <c r="AG44" s="3048" t="s">
        <v>540</v>
      </c>
      <c r="AH44" s="2978" t="s">
        <v>541</v>
      </c>
      <c r="AI44" s="2978"/>
      <c r="AJ44" s="2978"/>
      <c r="AK44" s="2978"/>
      <c r="AL44" s="3048" t="s">
        <v>521</v>
      </c>
      <c r="AM44" s="3157"/>
      <c r="AN44" s="3049"/>
      <c r="AO44" s="3133"/>
      <c r="AP44" s="3136"/>
      <c r="AQ44" s="2978"/>
      <c r="AW44" s="1251">
        <v>34</v>
      </c>
    </row>
    <row customHeight="1" ht="14.699999999999998">
      <c r="R45" s="483"/>
      <c r="S45" s="483"/>
      <c r="T45" s="483"/>
      <c r="U45" s="3128"/>
      <c r="V45" s="3077"/>
      <c r="W45" s="1131"/>
      <c r="X45" s="3050"/>
      <c r="Y45" s="3083" t="s">
        <v>542</v>
      </c>
      <c r="Z45" s="3082" t="s">
        <v>543</v>
      </c>
      <c r="AA45" s="3094"/>
      <c r="AB45" s="3095"/>
      <c r="AC45" s="3053"/>
      <c r="AD45" s="3158"/>
      <c r="AE45" s="3054"/>
      <c r="AF45" s="3133"/>
      <c r="AG45" s="3050"/>
      <c r="AH45" s="3083" t="s">
        <v>542</v>
      </c>
      <c r="AI45" s="3082" t="s">
        <v>543</v>
      </c>
      <c r="AJ45" s="3094"/>
      <c r="AK45" s="3095"/>
      <c r="AL45" s="3053"/>
      <c r="AM45" s="3158"/>
      <c r="AN45" s="3054"/>
      <c r="AO45" s="3133"/>
      <c r="AP45" s="3136"/>
      <c r="AQ45" s="2978"/>
      <c r="AW45" s="1251">
        <v>14</v>
      </c>
    </row>
    <row customHeight="1" ht="27.299999999999997">
      <c r="R46" s="483"/>
      <c r="S46" s="483"/>
      <c r="T46" s="483"/>
      <c r="U46" s="3128"/>
      <c r="V46" s="3077"/>
      <c r="W46" s="1131"/>
      <c r="X46" s="3050"/>
      <c r="Y46" s="3156"/>
      <c r="Z46" s="3083" t="s">
        <v>544</v>
      </c>
      <c r="AA46" s="3082" t="s">
        <v>545</v>
      </c>
      <c r="AB46" s="3095"/>
      <c r="AC46" s="3083" t="s">
        <v>531</v>
      </c>
      <c r="AD46" s="3087" t="s">
        <v>532</v>
      </c>
      <c r="AE46" s="3085"/>
      <c r="AF46" s="3133"/>
      <c r="AG46" s="3050"/>
      <c r="AH46" s="3156"/>
      <c r="AI46" s="3083" t="s">
        <v>544</v>
      </c>
      <c r="AJ46" s="3082" t="s">
        <v>545</v>
      </c>
      <c r="AK46" s="3095"/>
      <c r="AL46" s="3083" t="s">
        <v>531</v>
      </c>
      <c r="AM46" s="3087" t="s">
        <v>532</v>
      </c>
      <c r="AN46" s="3085"/>
      <c r="AO46" s="3133"/>
      <c r="AP46" s="3136"/>
      <c r="AQ46" s="2978"/>
      <c r="AW46" s="1251">
        <v>26</v>
      </c>
    </row>
    <row customHeight="1" ht="65.25">
      <c r="A47" s="1355"/>
      <c r="B47" s="1355" t="s">
        <v>222</v>
      </c>
      <c r="C47" s="1355" t="s">
        <v>223</v>
      </c>
      <c r="D47" s="1355" t="s">
        <v>224</v>
      </c>
      <c r="E47" s="1406" t="s">
        <v>522</v>
      </c>
      <c r="F47" s="1406" t="s">
        <v>523</v>
      </c>
      <c r="G47" s="1406" t="s">
        <v>524</v>
      </c>
      <c r="H47" s="1406" t="s">
        <v>525</v>
      </c>
      <c r="I47" s="1406" t="s">
        <v>526</v>
      </c>
      <c r="J47" s="1406" t="s">
        <v>527</v>
      </c>
      <c r="K47" s="1406" t="s">
        <v>528</v>
      </c>
      <c r="L47" s="1406" t="s">
        <v>546</v>
      </c>
      <c r="M47" s="1406" t="s">
        <v>503</v>
      </c>
      <c r="R47" s="483"/>
      <c r="S47" s="483"/>
      <c r="T47" s="483"/>
      <c r="U47" s="3128"/>
      <c r="V47" s="3077"/>
      <c r="W47" s="410"/>
      <c r="X47" s="3053"/>
      <c r="Y47" s="3084"/>
      <c r="Z47" s="3084"/>
      <c r="AA47" s="1318" t="s">
        <v>547</v>
      </c>
      <c r="AB47" s="1318" t="s">
        <v>548</v>
      </c>
      <c r="AC47" s="3084"/>
      <c r="AD47" s="3088"/>
      <c r="AE47" s="3086"/>
      <c r="AF47" s="3134"/>
      <c r="AG47" s="3053"/>
      <c r="AH47" s="3084"/>
      <c r="AI47" s="3084"/>
      <c r="AJ47" s="1318" t="s">
        <v>547</v>
      </c>
      <c r="AK47" s="1318" t="s">
        <v>548</v>
      </c>
      <c r="AL47" s="3084"/>
      <c r="AM47" s="3088"/>
      <c r="AN47" s="3086"/>
      <c r="AO47" s="3134"/>
      <c r="AP47" s="3137"/>
      <c r="AQ47" s="2978"/>
      <c r="AW47" s="1251">
        <v>62</v>
      </c>
    </row>
    <row s="10851" customFormat="1" customHeight="1" ht="11.25" hidden="1">
      <c r="A48" s="1355"/>
      <c r="B48" s="1355"/>
      <c r="C48" s="1355"/>
      <c r="D48" s="1355"/>
      <c r="E48" s="1355"/>
      <c r="F48" s="1355"/>
      <c r="G48" s="1355"/>
      <c r="H48" s="1355"/>
      <c r="I48" s="1355"/>
      <c r="J48" s="1355"/>
      <c r="K48" s="1355"/>
      <c r="L48" s="1355"/>
      <c r="M48" s="1406"/>
      <c r="N48" s="1424"/>
      <c r="O48" s="1424"/>
      <c r="P48" s="1424"/>
      <c r="Q48" s="1342"/>
      <c r="R48" s="1343"/>
      <c r="S48" s="1350">
        <v>1</v>
      </c>
      <c r="T48" s="1350"/>
      <c r="U48" s="1373" t="s">
        <v>144</v>
      </c>
      <c r="V48" s="1351" t="s">
        <v>102</v>
      </c>
      <c r="W48" s="1341" t="str">
        <f>OFFSET(W48,0,-1)</f>
        <v>2</v>
      </c>
      <c r="X48" s="1431">
        <f>OFFSET(X48,0,-1)+1</f>
        <v>3</v>
      </c>
      <c r="Y48" s="1437"/>
      <c r="Z48" s="1437"/>
      <c r="AA48" s="1437">
        <f>OFFSET(AA48,0,-1)+1</f>
        <v>1</v>
      </c>
      <c r="AB48" s="1437">
        <f>OFFSET(AB48,0,-1)+1</f>
        <v>2</v>
      </c>
      <c r="AC48" s="1431">
        <f>OFFSET(AC48,0,-1)+1</f>
        <v>3</v>
      </c>
      <c r="AD48" s="3126">
        <f>OFFSET(AD48,0,-1)+1</f>
        <v>4</v>
      </c>
      <c r="AE48" s="3126"/>
      <c r="AF48" s="1431">
        <f>OFFSET(AF48,0,-2)+1</f>
        <v>5</v>
      </c>
      <c r="AG48" s="1431">
        <f>OFFSET(AG48,0,-1)+1</f>
        <v>6</v>
      </c>
      <c r="AH48" s="1431"/>
      <c r="AI48" s="1431"/>
      <c r="AJ48" s="1431">
        <f>OFFSET(AJ48,0,-1)+1</f>
        <v>1</v>
      </c>
      <c r="AK48" s="1431">
        <f>OFFSET(AK48,0,-1)+1</f>
        <v>2</v>
      </c>
      <c r="AL48" s="1431">
        <f>OFFSET(AL48,0,-1)+1</f>
        <v>3</v>
      </c>
      <c r="AM48" s="3126">
        <f>OFFSET(AM48,0,-1)+1</f>
        <v>4</v>
      </c>
      <c r="AN48" s="3126"/>
      <c r="AO48" s="1431">
        <f>OFFSET(AO48,0,-2)+1</f>
        <v>5</v>
      </c>
      <c r="AP48" s="1341">
        <f>OFFSET(AP48,0,-1)</f>
        <v>5</v>
      </c>
      <c r="AQ48" s="1431">
        <f>OFFSET(AQ48,0,-1)+1</f>
        <v>6</v>
      </c>
      <c r="AR48" s="618"/>
      <c r="AS48" s="618"/>
      <c r="AT48" s="618"/>
      <c r="AU48" s="618"/>
      <c r="AV48" s="618"/>
      <c r="AW48" s="603">
        <v>0</v>
      </c>
    </row>
    <row customHeight="1" ht="22.049999999999997">
      <c r="A49" s="1363" t="s">
        <v>261</v>
      </c>
      <c r="B49" s="1363"/>
      <c r="C49" s="1363"/>
      <c r="D49" s="1363"/>
      <c r="E49" s="3141">
        <v>1</v>
      </c>
      <c r="F49" s="1363"/>
      <c r="G49" s="1363"/>
      <c r="H49" s="1363"/>
      <c r="I49" s="1363"/>
      <c r="J49" s="1363"/>
      <c r="K49" s="1363"/>
      <c r="L49" s="1363"/>
      <c r="M49" s="1406"/>
      <c r="N49" s="795"/>
      <c r="O49" s="795"/>
      <c r="P49" s="795"/>
      <c r="Q49" s="468"/>
      <c r="R49" s="467"/>
      <c r="S49" s="467"/>
      <c r="T49" s="462"/>
      <c r="U49" s="1432">
        <f>INDEX(PT_DIFFERENTIATION_NUM_NTAR,MATCH(A49,PT_DIFFERENTIATION_NTAR_ID,0))</f>
        <v>0</v>
      </c>
      <c r="V49" s="406" t="s">
        <v>210</v>
      </c>
      <c r="W49" s="408"/>
      <c r="X49" s="3109"/>
      <c r="Y49" s="3110"/>
      <c r="Z49" s="3110"/>
      <c r="AA49" s="3110"/>
      <c r="AB49" s="3110"/>
      <c r="AC49" s="3110"/>
      <c r="AD49" s="3110"/>
      <c r="AE49" s="3110"/>
      <c r="AF49" s="3111"/>
      <c r="AG49" s="3109" t="str">
        <f>INDEX(PT_DIFFERENTIATION_NTAR,MATCH(A49,PT_DIFFERENTIATION_NTAR_ID,0))</f>
        <v/>
      </c>
      <c r="AH49" s="3110"/>
      <c r="AI49" s="3110"/>
      <c r="AJ49" s="3110"/>
      <c r="AK49" s="3110"/>
      <c r="AL49" s="3110"/>
      <c r="AM49" s="3110"/>
      <c r="AN49" s="3110"/>
      <c r="AO49" s="3110"/>
      <c r="AP49" s="3111"/>
      <c r="AQ49" s="135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07"/>
      <c r="AT49" s="607" t="str">
        <f>IF(V49="","",V49)</f>
        <v>Наименование тарифа</v>
      </c>
      <c r="AU49" s="607"/>
      <c r="AV49" s="607"/>
      <c r="AW49" s="1251">
        <v>21</v>
      </c>
    </row>
    <row customHeight="1" ht="22.049999999999997">
      <c r="A50" s="1363" t="s">
        <v>261</v>
      </c>
      <c r="B50" s="1363" t="s">
        <v>262</v>
      </c>
      <c r="C50" s="1363"/>
      <c r="D50" s="1363"/>
      <c r="E50" s="3142"/>
      <c r="F50" s="3141">
        <v>1</v>
      </c>
      <c r="G50" s="1363"/>
      <c r="H50" s="1363"/>
      <c r="I50" s="1363"/>
      <c r="J50" s="1363"/>
      <c r="K50" s="1363"/>
      <c r="L50" s="1363"/>
      <c r="M50" s="1406"/>
      <c r="N50" s="795"/>
      <c r="O50" s="795"/>
      <c r="P50" s="795"/>
      <c r="Q50" s="1428"/>
      <c r="R50" s="459"/>
      <c r="S50" s="616"/>
      <c r="T50" s="460"/>
      <c r="U50" s="1432" t="str">
        <f>INDEX(PT_DIFFERENTIATION_NUM_TER,MATCH(B50,PT_DIFFERENTIATION_TER_ID,0))</f>
        <v>.</v>
      </c>
      <c r="V50" s="416" t="s">
        <v>482</v>
      </c>
      <c r="W50" s="408"/>
      <c r="X50" s="3109"/>
      <c r="Y50" s="3110"/>
      <c r="Z50" s="3110"/>
      <c r="AA50" s="3110"/>
      <c r="AB50" s="3110"/>
      <c r="AC50" s="3110"/>
      <c r="AD50" s="3110"/>
      <c r="AE50" s="3110"/>
      <c r="AF50" s="3111"/>
      <c r="AG50" s="3109" t="str">
        <f>INDEX(PT_DIFFERENTIATION_TER,MATCH(B50,PT_DIFFERENTIATION_TER_ID,0))</f>
        <v/>
      </c>
      <c r="AH50" s="3110"/>
      <c r="AI50" s="3110"/>
      <c r="AJ50" s="3110"/>
      <c r="AK50" s="3110"/>
      <c r="AL50" s="3110"/>
      <c r="AM50" s="3110"/>
      <c r="AN50" s="3110"/>
      <c r="AO50" s="3110"/>
      <c r="AP50" s="3111"/>
      <c r="AQ50" s="1354" t="s">
        <v>483</v>
      </c>
      <c r="AS50" s="607"/>
      <c r="AT50" s="607" t="str">
        <f>IF(V50="","",V50)</f>
        <v>Территория действия тарифа</v>
      </c>
      <c r="AU50" s="607"/>
      <c r="AV50" s="607"/>
      <c r="AW50" s="1251">
        <v>21</v>
      </c>
    </row>
    <row customHeight="1" ht="24">
      <c r="A51" s="1363" t="s">
        <v>261</v>
      </c>
      <c r="B51" s="1363" t="s">
        <v>262</v>
      </c>
      <c r="C51" s="1363" t="s">
        <v>263</v>
      </c>
      <c r="D51" s="1363"/>
      <c r="E51" s="3142"/>
      <c r="F51" s="3142"/>
      <c r="G51" s="3141">
        <v>1</v>
      </c>
      <c r="H51" s="1363"/>
      <c r="I51" s="1363"/>
      <c r="J51" s="1363"/>
      <c r="K51" s="1363"/>
      <c r="L51" s="1363"/>
      <c r="M51" s="1406"/>
      <c r="N51" s="795"/>
      <c r="O51" s="795"/>
      <c r="P51" s="795"/>
      <c r="Q51" s="461"/>
      <c r="R51" s="459"/>
      <c r="S51" s="616"/>
      <c r="T51" s="460"/>
      <c r="U51" s="1432" t="str">
        <f>INDEX(PT_DIFFERENTIATION_NUM_CS,MATCH(C51,PT_DIFFERENTIATION_CS_ID,0))</f>
        <v>..</v>
      </c>
      <c r="V51" s="417" t="s">
        <v>484</v>
      </c>
      <c r="W51" s="408"/>
      <c r="X51" s="3109"/>
      <c r="Y51" s="3110"/>
      <c r="Z51" s="3110"/>
      <c r="AA51" s="3110"/>
      <c r="AB51" s="3110"/>
      <c r="AC51" s="3110"/>
      <c r="AD51" s="3110"/>
      <c r="AE51" s="3110"/>
      <c r="AF51" s="3111"/>
      <c r="AG51" s="3109" t="str">
        <f>INDEX(PT_DIFFERENTIATION_CS,MATCH(C51,PT_DIFFERENTIATION_CS_ID,0))</f>
        <v/>
      </c>
      <c r="AH51" s="3110"/>
      <c r="AI51" s="3110"/>
      <c r="AJ51" s="3110"/>
      <c r="AK51" s="3110"/>
      <c r="AL51" s="3110"/>
      <c r="AM51" s="3110"/>
      <c r="AN51" s="3110"/>
      <c r="AO51" s="3110"/>
      <c r="AP51" s="3111"/>
      <c r="AQ51" s="1354" t="s">
        <v>485</v>
      </c>
      <c r="AS51" s="607"/>
      <c r="AT51" s="607" t="str">
        <f>IF(V51="","",V51)</f>
        <v>Наименование системы теплоснабжения </v>
      </c>
      <c r="AU51" s="607"/>
      <c r="AV51" s="607"/>
      <c r="AW51" s="1251">
        <v>23</v>
      </c>
    </row>
    <row customHeight="1" ht="22.049999999999997">
      <c r="A52" s="1363" t="s">
        <v>261</v>
      </c>
      <c r="B52" s="1363" t="s">
        <v>262</v>
      </c>
      <c r="C52" s="1363" t="s">
        <v>263</v>
      </c>
      <c r="D52" s="1363" t="s">
        <v>264</v>
      </c>
      <c r="E52" s="3142"/>
      <c r="F52" s="3142"/>
      <c r="G52" s="3142"/>
      <c r="H52" s="3141">
        <v>1</v>
      </c>
      <c r="I52" s="1363"/>
      <c r="J52" s="1363"/>
      <c r="K52" s="1363"/>
      <c r="L52" s="1363"/>
      <c r="M52" s="1406"/>
      <c r="N52" s="795"/>
      <c r="O52" s="795"/>
      <c r="P52" s="795"/>
      <c r="Q52" s="461"/>
      <c r="R52" s="459"/>
      <c r="S52" s="616"/>
      <c r="T52" s="460"/>
      <c r="U52" s="1432" t="str">
        <f>INDEX(PT_DIFFERENTIATION_NUM_IST_TE,MATCH(D52,PT_DIFFERENTIATION_IST_TE_ID,0))</f>
        <v>...</v>
      </c>
      <c r="V52" s="418" t="s">
        <v>486</v>
      </c>
      <c r="W52" s="408"/>
      <c r="X52" s="3109"/>
      <c r="Y52" s="3110"/>
      <c r="Z52" s="3110"/>
      <c r="AA52" s="3110"/>
      <c r="AB52" s="3110"/>
      <c r="AC52" s="3110"/>
      <c r="AD52" s="3110"/>
      <c r="AE52" s="3110"/>
      <c r="AF52" s="3111"/>
      <c r="AG52" s="3109" t="str">
        <f>INDEX(PT_DIFFERENTIATION_IST_TE,MATCH(D52,PT_DIFFERENTIATION_IST_TE_ID,0))</f>
        <v/>
      </c>
      <c r="AH52" s="3110"/>
      <c r="AI52" s="3110"/>
      <c r="AJ52" s="3110"/>
      <c r="AK52" s="3110"/>
      <c r="AL52" s="3110"/>
      <c r="AM52" s="3110"/>
      <c r="AN52" s="3110"/>
      <c r="AO52" s="3110"/>
      <c r="AP52" s="3111"/>
      <c r="AQ52" s="1354" t="s">
        <v>487</v>
      </c>
      <c r="AS52" s="607"/>
      <c r="AT52" s="607" t="str">
        <f>IF(V52="","",V52)</f>
        <v>Источник тепловой энергии  </v>
      </c>
      <c r="AU52" s="607"/>
      <c r="AV52" s="607"/>
      <c r="AW52" s="1251">
        <v>21</v>
      </c>
    </row>
    <row s="10307" customFormat="1" customHeight="1" ht="14.25" hidden="1">
      <c r="A53" s="1471" t="s">
        <v>261</v>
      </c>
      <c r="B53" s="1471" t="s">
        <v>262</v>
      </c>
      <c r="C53" s="1471" t="s">
        <v>263</v>
      </c>
      <c r="D53" s="1471" t="s">
        <v>264</v>
      </c>
      <c r="E53" s="3142"/>
      <c r="F53" s="3142"/>
      <c r="G53" s="3142"/>
      <c r="H53" s="3142"/>
      <c r="I53" s="2978" t="str">
        <f>U52&amp;".1"</f>
        <v>....1</v>
      </c>
      <c r="J53" s="1471"/>
      <c r="K53" s="1471"/>
      <c r="L53" s="1471"/>
      <c r="M53" s="1477" t="s">
        <v>488</v>
      </c>
      <c r="N53" s="1342"/>
      <c r="O53" s="1342"/>
      <c r="P53" s="1342"/>
      <c r="Q53" s="3119">
        <v>1</v>
      </c>
      <c r="R53" s="1427"/>
      <c r="S53" s="1427"/>
      <c r="T53" s="463"/>
      <c r="U53" s="1142"/>
      <c r="V53" s="1479"/>
      <c r="W53" s="1480"/>
      <c r="X53" s="3146"/>
      <c r="Y53" s="3147"/>
      <c r="Z53" s="3147"/>
      <c r="AA53" s="3147"/>
      <c r="AB53" s="3147"/>
      <c r="AC53" s="3147"/>
      <c r="AD53" s="3147"/>
      <c r="AE53" s="3147"/>
      <c r="AF53" s="3148"/>
      <c r="AG53" s="3146"/>
      <c r="AH53" s="3147"/>
      <c r="AI53" s="3147"/>
      <c r="AJ53" s="3147"/>
      <c r="AK53" s="3147"/>
      <c r="AL53" s="3147"/>
      <c r="AM53" s="3147"/>
      <c r="AN53" s="3147"/>
      <c r="AO53" s="3147"/>
      <c r="AP53" s="3148"/>
      <c r="AQ53" s="1481"/>
      <c r="AS53" s="607"/>
      <c r="AT53" s="607" t="str">
        <f>IF(V53="","",V53)</f>
        <v/>
      </c>
      <c r="AU53" s="607"/>
      <c r="AV53" s="607"/>
      <c r="AW53" s="618">
        <v>0</v>
      </c>
    </row>
    <row customHeight="1" ht="22.049999999999997">
      <c r="A54" s="1363" t="s">
        <v>261</v>
      </c>
      <c r="B54" s="1363" t="s">
        <v>262</v>
      </c>
      <c r="C54" s="1363" t="s">
        <v>263</v>
      </c>
      <c r="D54" s="1363" t="s">
        <v>264</v>
      </c>
      <c r="E54" s="3142"/>
      <c r="F54" s="3142"/>
      <c r="G54" s="3142"/>
      <c r="H54" s="3142"/>
      <c r="I54" s="2959"/>
      <c r="J54" s="2978" t="str">
        <f>I53&amp;".1"</f>
        <v>....1.1</v>
      </c>
      <c r="K54" s="1363"/>
      <c r="L54" s="1363"/>
      <c r="M54" s="1406" t="s">
        <v>491</v>
      </c>
      <c r="Q54" s="3119"/>
      <c r="R54" s="3119">
        <v>1</v>
      </c>
      <c r="S54" s="625"/>
      <c r="T54" s="464"/>
      <c r="U54" s="1432" t="str">
        <f>$J54</f>
        <v>....1.1</v>
      </c>
      <c r="V54" s="394" t="s">
        <v>492</v>
      </c>
      <c r="W54" s="408"/>
      <c r="X54" s="3103"/>
      <c r="Y54" s="3104"/>
      <c r="Z54" s="3104"/>
      <c r="AA54" s="3104"/>
      <c r="AB54" s="3104"/>
      <c r="AC54" s="3099"/>
      <c r="AD54" s="3099"/>
      <c r="AE54" s="3099"/>
      <c r="AF54" s="3159"/>
      <c r="AG54" s="3103"/>
      <c r="AH54" s="3104"/>
      <c r="AI54" s="3104"/>
      <c r="AJ54" s="3104"/>
      <c r="AK54" s="3104"/>
      <c r="AL54" s="3104"/>
      <c r="AM54" s="3104"/>
      <c r="AN54" s="3104"/>
      <c r="AO54" s="3104"/>
      <c r="AP54" s="3105"/>
      <c r="AQ54" s="1354" t="s">
        <v>493</v>
      </c>
      <c r="AS54" s="607"/>
      <c r="AT54" s="607" t="str">
        <f>IF(V54="","",V54)</f>
        <v>Группа потребителей</v>
      </c>
      <c r="AU54" s="607"/>
      <c r="AV54" s="607"/>
      <c r="AW54" s="1251">
        <v>21</v>
      </c>
    </row>
    <row customHeight="1" ht="22.049999999999997">
      <c r="A55" s="1363" t="s">
        <v>261</v>
      </c>
      <c r="B55" s="1363" t="s">
        <v>262</v>
      </c>
      <c r="C55" s="1363" t="s">
        <v>263</v>
      </c>
      <c r="D55" s="1363" t="s">
        <v>264</v>
      </c>
      <c r="E55" s="3142"/>
      <c r="F55" s="3142"/>
      <c r="G55" s="3142"/>
      <c r="H55" s="3142"/>
      <c r="I55" s="2959"/>
      <c r="J55" s="2959"/>
      <c r="K55" s="2978" t="str">
        <f>J54&amp;".1"</f>
        <v>....1.1.1</v>
      </c>
      <c r="L55" s="248"/>
      <c r="M55" s="1406" t="s">
        <v>494</v>
      </c>
      <c r="Q55" s="3119"/>
      <c r="R55" s="3119"/>
      <c r="S55" s="625">
        <v>1</v>
      </c>
      <c r="T55" s="464"/>
      <c r="U55" s="1432" t="str">
        <f>$K55</f>
        <v>....1.1.1</v>
      </c>
      <c r="V55" s="1443"/>
      <c r="W55" s="408"/>
      <c r="X55" s="858"/>
      <c r="Y55" s="858"/>
      <c r="Z55" s="858"/>
      <c r="AA55" s="858"/>
      <c r="AB55" s="1501"/>
      <c r="AC55" s="3120"/>
      <c r="AD55" s="2989" t="s">
        <v>62</v>
      </c>
      <c r="AE55" s="3120"/>
      <c r="AF55" s="2989" t="s">
        <v>62</v>
      </c>
      <c r="AG55" s="1503"/>
      <c r="AH55" s="858"/>
      <c r="AI55" s="858"/>
      <c r="AJ55" s="858"/>
      <c r="AK55" s="1353"/>
      <c r="AL55" s="3120"/>
      <c r="AM55" s="2989" t="s">
        <v>62</v>
      </c>
      <c r="AN55" s="3120"/>
      <c r="AO55" s="2989" t="s">
        <v>62</v>
      </c>
      <c r="AP55" s="1444"/>
      <c r="AQ55" s="1403" t="s">
        <v>537</v>
      </c>
      <c r="AR55" s="618">
        <f>STRCHECKDATE(X57:AP57)</f>
      </c>
      <c r="AS55" s="607"/>
      <c r="AT55" s="607" t="str">
        <f>IF(V55="","",V55)</f>
        <v/>
      </c>
      <c r="AU55" s="607"/>
      <c r="AV55" s="607"/>
      <c r="AW55" s="1251">
        <v>21</v>
      </c>
    </row>
    <row customHeight="1" ht="11.549999999999999">
      <c r="A56" s="1363" t="s">
        <v>261</v>
      </c>
      <c r="B56" s="1363" t="s">
        <v>262</v>
      </c>
      <c r="C56" s="1363" t="s">
        <v>263</v>
      </c>
      <c r="D56" s="1363" t="s">
        <v>264</v>
      </c>
      <c r="E56" s="3142"/>
      <c r="F56" s="3142"/>
      <c r="G56" s="3142"/>
      <c r="H56" s="3142"/>
      <c r="I56" s="2959"/>
      <c r="J56" s="2959"/>
      <c r="K56" s="2959"/>
      <c r="L56" s="2978" t="str">
        <f>K55&amp;".1"</f>
        <v>....1.1.1.1</v>
      </c>
      <c r="M56" s="1406"/>
      <c r="Q56" s="3119"/>
      <c r="R56" s="3119"/>
      <c r="S56" s="625">
        <v>1</v>
      </c>
      <c r="T56" s="464"/>
      <c r="U56" s="1432" t="str">
        <f>$L56</f>
        <v>....1.1.1.1</v>
      </c>
      <c r="V56" s="1487"/>
      <c r="W56" s="408"/>
      <c r="X56" s="433"/>
      <c r="Y56" s="858"/>
      <c r="Z56" s="858"/>
      <c r="AA56" s="858"/>
      <c r="AB56" s="1501"/>
      <c r="AC56" s="3121"/>
      <c r="AD56" s="2989"/>
      <c r="AE56" s="3121"/>
      <c r="AF56" s="2989"/>
      <c r="AG56" s="1503"/>
      <c r="AH56" s="858"/>
      <c r="AI56" s="858"/>
      <c r="AJ56" s="858"/>
      <c r="AK56" s="1353"/>
      <c r="AL56" s="3121"/>
      <c r="AM56" s="2989"/>
      <c r="AN56" s="3121"/>
      <c r="AO56" s="2989"/>
      <c r="AP56" s="1444"/>
      <c r="AQ56" s="3138" t="s">
        <v>538</v>
      </c>
      <c r="AR56" s="618">
        <f>STRCHECKDATE(X58:AP58)</f>
      </c>
      <c r="AS56" s="607"/>
      <c r="AT56" s="607" t="str">
        <f>IF(V56="","",V56)</f>
        <v/>
      </c>
      <c r="AU56" s="607"/>
      <c r="AV56" s="607"/>
      <c r="AW56" s="1251">
        <v>11</v>
      </c>
    </row>
    <row customHeight="1" ht="14.25" hidden="1">
      <c r="A57" s="1363" t="s">
        <v>261</v>
      </c>
      <c r="B57" s="1363" t="s">
        <v>262</v>
      </c>
      <c r="C57" s="1363" t="s">
        <v>263</v>
      </c>
      <c r="D57" s="1363" t="s">
        <v>264</v>
      </c>
      <c r="E57" s="3142"/>
      <c r="F57" s="3142"/>
      <c r="G57" s="3142"/>
      <c r="H57" s="3142"/>
      <c r="I57" s="2959"/>
      <c r="J57" s="2959"/>
      <c r="K57" s="2959"/>
      <c r="L57" s="2978"/>
      <c r="M57" s="1406"/>
      <c r="Q57" s="3119"/>
      <c r="R57" s="3119"/>
      <c r="S57" s="625"/>
      <c r="T57" s="464"/>
      <c r="U57" s="1438"/>
      <c r="V57" s="408"/>
      <c r="W57" s="408"/>
      <c r="X57" s="433"/>
      <c r="Y57" s="433"/>
      <c r="Z57" s="433"/>
      <c r="AA57" s="433"/>
      <c r="AB57" s="1502" t="str">
        <f>AC55&amp;"-"&amp;AE55</f>
        <v>-</v>
      </c>
      <c r="AC57" s="3121"/>
      <c r="AD57" s="2989"/>
      <c r="AE57" s="3121"/>
      <c r="AF57" s="2989"/>
      <c r="AG57" s="1478"/>
      <c r="AH57" s="433"/>
      <c r="AI57" s="433"/>
      <c r="AJ57" s="433"/>
      <c r="AK57" s="436" t="str">
        <f>AL55&amp;"-"&amp;AN55</f>
        <v>-</v>
      </c>
      <c r="AL57" s="3121"/>
      <c r="AM57" s="2989"/>
      <c r="AN57" s="3121"/>
      <c r="AO57" s="2989"/>
      <c r="AP57" s="1445"/>
      <c r="AQ57" s="3139"/>
      <c r="AS57" s="607"/>
      <c r="AT57" s="607" t="str">
        <f>IF(V57="","",V57)</f>
        <v/>
      </c>
      <c r="AU57" s="607"/>
      <c r="AV57" s="607"/>
      <c r="AW57" s="1251">
        <v>0</v>
      </c>
    </row>
    <row customHeight="1" ht="11.549999999999999">
      <c r="A58" s="1363" t="s">
        <v>261</v>
      </c>
      <c r="B58" s="1363" t="s">
        <v>262</v>
      </c>
      <c r="C58" s="1363" t="s">
        <v>263</v>
      </c>
      <c r="D58" s="1363" t="s">
        <v>264</v>
      </c>
      <c r="E58" s="3142"/>
      <c r="F58" s="3142"/>
      <c r="G58" s="3142"/>
      <c r="H58" s="3142"/>
      <c r="I58" s="2959"/>
      <c r="J58" s="2959"/>
      <c r="K58" s="2978"/>
      <c r="L58" s="1363"/>
      <c r="M58" s="1406"/>
      <c r="Q58" s="3119"/>
      <c r="R58" s="3119"/>
      <c r="S58" s="1427"/>
      <c r="T58" s="463"/>
      <c r="U58" s="1374"/>
      <c r="V58" s="396" t="s">
        <v>539</v>
      </c>
      <c r="W58" s="474"/>
      <c r="X58" s="474"/>
      <c r="Y58" s="474"/>
      <c r="Z58" s="474"/>
      <c r="AA58" s="474"/>
      <c r="AB58" s="474"/>
      <c r="AC58" s="3121"/>
      <c r="AD58" s="2989"/>
      <c r="AE58" s="3121"/>
      <c r="AF58" s="2989"/>
      <c r="AG58" s="474"/>
      <c r="AH58" s="474"/>
      <c r="AI58" s="474"/>
      <c r="AJ58" s="474"/>
      <c r="AK58" s="474"/>
      <c r="AL58" s="3121"/>
      <c r="AM58" s="2989"/>
      <c r="AN58" s="3121"/>
      <c r="AO58" s="2989"/>
      <c r="AP58" s="432"/>
      <c r="AQ58" s="3139"/>
      <c r="AS58" s="607"/>
      <c r="AT58" s="607" t="str">
        <f>IF(V58="","",V58)</f>
        <v>Добавить наименование поставщика</v>
      </c>
      <c r="AU58" s="607"/>
      <c r="AV58" s="607"/>
      <c r="AW58" s="1251">
        <v>11</v>
      </c>
    </row>
    <row customHeight="1" ht="11.549999999999999">
      <c r="A59" s="1363" t="s">
        <v>261</v>
      </c>
      <c r="B59" s="1363" t="s">
        <v>262</v>
      </c>
      <c r="C59" s="1363" t="s">
        <v>263</v>
      </c>
      <c r="D59" s="1363" t="s">
        <v>264</v>
      </c>
      <c r="E59" s="3142"/>
      <c r="F59" s="3142"/>
      <c r="G59" s="3142"/>
      <c r="H59" s="3142"/>
      <c r="I59" s="2959"/>
      <c r="J59" s="2978"/>
      <c r="K59" s="1363"/>
      <c r="L59" s="1363"/>
      <c r="M59" s="1406"/>
      <c r="Q59" s="3119"/>
      <c r="R59" s="3119"/>
      <c r="S59" s="1427"/>
      <c r="T59" s="463"/>
      <c r="U59" s="1374"/>
      <c r="V59" s="395" t="s">
        <v>496</v>
      </c>
      <c r="W59" s="474"/>
      <c r="X59" s="474"/>
      <c r="Y59" s="474"/>
      <c r="Z59" s="474"/>
      <c r="AA59" s="474"/>
      <c r="AB59" s="474"/>
      <c r="AC59" s="1504"/>
      <c r="AD59" s="1504"/>
      <c r="AE59" s="1504"/>
      <c r="AF59" s="1504"/>
      <c r="AG59" s="474"/>
      <c r="AH59" s="474"/>
      <c r="AI59" s="474"/>
      <c r="AJ59" s="474"/>
      <c r="AK59" s="474"/>
      <c r="AL59" s="474"/>
      <c r="AM59" s="474"/>
      <c r="AN59" s="474"/>
      <c r="AO59" s="474"/>
      <c r="AP59" s="432"/>
      <c r="AQ59" s="3140"/>
      <c r="AS59" s="607"/>
      <c r="AT59" s="607" t="str">
        <f>IF(V59="","",V59)</f>
        <v>Добавить вид теплоносителя (параметры теплоносителя)</v>
      </c>
      <c r="AU59" s="607"/>
      <c r="AV59" s="607"/>
      <c r="AW59" s="1251">
        <v>11</v>
      </c>
    </row>
    <row customHeight="1" ht="11.549999999999999">
      <c r="A60" s="1363" t="s">
        <v>261</v>
      </c>
      <c r="B60" s="1363" t="s">
        <v>262</v>
      </c>
      <c r="C60" s="1363" t="s">
        <v>263</v>
      </c>
      <c r="D60" s="1363" t="s">
        <v>264</v>
      </c>
      <c r="E60" s="3142"/>
      <c r="F60" s="3142"/>
      <c r="G60" s="3142"/>
      <c r="H60" s="3142"/>
      <c r="I60" s="2978"/>
      <c r="J60" s="1363"/>
      <c r="K60" s="1363"/>
      <c r="L60" s="1363"/>
      <c r="M60" s="1406"/>
      <c r="Q60" s="3119"/>
      <c r="R60" s="1427"/>
      <c r="S60" s="1427"/>
      <c r="T60" s="463"/>
      <c r="U60" s="1374"/>
      <c r="V60" s="472" t="s">
        <v>497</v>
      </c>
      <c r="W60" s="474"/>
      <c r="X60" s="474"/>
      <c r="Y60" s="474"/>
      <c r="Z60" s="474"/>
      <c r="AA60" s="474"/>
      <c r="AB60" s="474"/>
      <c r="AC60" s="474"/>
      <c r="AD60" s="474"/>
      <c r="AE60" s="474"/>
      <c r="AF60" s="473"/>
      <c r="AG60" s="474"/>
      <c r="AH60" s="474"/>
      <c r="AI60" s="474"/>
      <c r="AJ60" s="474"/>
      <c r="AK60" s="474"/>
      <c r="AL60" s="474"/>
      <c r="AM60" s="474"/>
      <c r="AN60" s="474"/>
      <c r="AO60" s="473"/>
      <c r="AP60" s="474"/>
      <c r="AQ60" s="411"/>
      <c r="AS60" s="607"/>
      <c r="AT60" s="607" t="str">
        <f>IF(V60="","",V60)</f>
        <v>Добавить группу потребителей</v>
      </c>
      <c r="AU60" s="607"/>
      <c r="AV60" s="607"/>
      <c r="AW60" s="1251">
        <v>11</v>
      </c>
    </row>
    <row customHeight="1" ht="14.25" hidden="1">
      <c r="A61" s="1363" t="s">
        <v>261</v>
      </c>
      <c r="B61" s="1363" t="s">
        <v>262</v>
      </c>
      <c r="C61" s="1363" t="s">
        <v>263</v>
      </c>
      <c r="D61" s="1363" t="s">
        <v>264</v>
      </c>
      <c r="E61" s="3142"/>
      <c r="F61" s="3142"/>
      <c r="G61" s="3142"/>
      <c r="H61" s="3141"/>
      <c r="I61" s="1363"/>
      <c r="J61" s="1363"/>
      <c r="K61" s="1363"/>
      <c r="L61" s="1363"/>
      <c r="M61" s="1406"/>
      <c r="N61" s="795"/>
      <c r="O61" s="795"/>
      <c r="P61" s="616"/>
      <c r="Q61" s="467"/>
      <c r="R61" s="482"/>
      <c r="S61" s="462"/>
      <c r="T61" s="467"/>
      <c r="U61" s="1482"/>
      <c r="V61" s="1483"/>
      <c r="W61" s="1484"/>
      <c r="X61" s="1484"/>
      <c r="Y61" s="1484"/>
      <c r="Z61" s="1484"/>
      <c r="AA61" s="1484"/>
      <c r="AB61" s="1484"/>
      <c r="AC61" s="1484"/>
      <c r="AD61" s="1484"/>
      <c r="AE61" s="1484"/>
      <c r="AF61" s="1484"/>
      <c r="AG61" s="1484"/>
      <c r="AH61" s="1484"/>
      <c r="AI61" s="1484"/>
      <c r="AJ61" s="1484"/>
      <c r="AK61" s="1484"/>
      <c r="AL61" s="1484"/>
      <c r="AM61" s="1484"/>
      <c r="AN61" s="1484"/>
      <c r="AO61" s="1484"/>
      <c r="AP61" s="1484"/>
      <c r="AQ61" s="1485"/>
      <c r="AS61" s="607"/>
      <c r="AT61" s="607" t="str">
        <f>IF(V61="","",V61)</f>
        <v/>
      </c>
      <c r="AU61" s="607"/>
      <c r="AV61" s="607"/>
      <c r="AW61" s="1251">
        <v>0</v>
      </c>
    </row>
    <row s="10307" customFormat="1" customHeight="1" ht="14.25" hidden="1">
      <c r="A62" s="1471" t="s">
        <v>261</v>
      </c>
      <c r="B62" s="1471" t="s">
        <v>262</v>
      </c>
      <c r="C62" s="1471" t="s">
        <v>263</v>
      </c>
      <c r="D62" s="1470"/>
      <c r="E62" s="3142"/>
      <c r="F62" s="3142"/>
      <c r="G62" s="3141"/>
      <c r="H62" s="1470"/>
      <c r="I62" s="1470"/>
      <c r="J62" s="1470"/>
      <c r="K62" s="1470"/>
      <c r="L62" s="1470"/>
      <c r="M62" s="1473"/>
      <c r="N62" s="1474"/>
      <c r="O62" s="1474"/>
      <c r="P62" s="458"/>
      <c r="Q62" s="1412"/>
      <c r="R62" s="1413"/>
      <c r="S62" s="1412"/>
      <c r="T62" s="1412"/>
      <c r="U62" s="1418"/>
      <c r="V62" s="1421" t="s">
        <v>499</v>
      </c>
      <c r="W62" s="1420"/>
      <c r="X62" s="1420"/>
      <c r="Y62" s="1420"/>
      <c r="Z62" s="1420"/>
      <c r="AA62" s="1420"/>
      <c r="AB62" s="1420"/>
      <c r="AC62" s="1420"/>
      <c r="AD62" s="1420"/>
      <c r="AE62" s="1420"/>
      <c r="AF62" s="1420"/>
      <c r="AG62" s="1420"/>
      <c r="AH62" s="1420"/>
      <c r="AI62" s="1420"/>
      <c r="AJ62" s="1420"/>
      <c r="AK62" s="1420"/>
      <c r="AL62" s="1420"/>
      <c r="AM62" s="1420"/>
      <c r="AN62" s="1420"/>
      <c r="AO62" s="1420"/>
      <c r="AP62" s="1420"/>
      <c r="AQ62" s="1420"/>
      <c r="AS62" s="890"/>
      <c r="AT62" s="890" t="str">
        <f>IF(V62="","",V62)</f>
        <v>Добавить источник для дифференциации</v>
      </c>
      <c r="AU62" s="890"/>
      <c r="AV62" s="890"/>
      <c r="AW62" s="625">
        <v>0</v>
      </c>
    </row>
    <row s="10307" customFormat="1" customHeight="1" ht="14.25" hidden="1">
      <c r="A63" s="1471" t="s">
        <v>261</v>
      </c>
      <c r="B63" s="1471" t="s">
        <v>262</v>
      </c>
      <c r="C63" s="1470"/>
      <c r="D63" s="1470"/>
      <c r="E63" s="3142"/>
      <c r="F63" s="3141"/>
      <c r="G63" s="1470"/>
      <c r="H63" s="1470"/>
      <c r="I63" s="1470"/>
      <c r="J63" s="1470"/>
      <c r="K63" s="1470"/>
      <c r="L63" s="1470"/>
      <c r="M63" s="1473"/>
      <c r="N63" s="1475"/>
      <c r="O63" s="1475"/>
      <c r="P63" s="458"/>
      <c r="Q63" s="1412"/>
      <c r="R63" s="1413"/>
      <c r="S63" s="1412"/>
      <c r="T63" s="1412"/>
      <c r="U63" s="1418"/>
      <c r="V63" s="1421" t="s">
        <v>500</v>
      </c>
      <c r="W63" s="1420"/>
      <c r="X63" s="1420"/>
      <c r="Y63" s="1420"/>
      <c r="Z63" s="1420"/>
      <c r="AA63" s="1420"/>
      <c r="AB63" s="1420"/>
      <c r="AC63" s="1420"/>
      <c r="AD63" s="1420"/>
      <c r="AE63" s="1420"/>
      <c r="AF63" s="1420"/>
      <c r="AG63" s="1420"/>
      <c r="AH63" s="1420"/>
      <c r="AI63" s="1420"/>
      <c r="AJ63" s="1420"/>
      <c r="AK63" s="1420"/>
      <c r="AL63" s="1420"/>
      <c r="AM63" s="1420"/>
      <c r="AN63" s="1420"/>
      <c r="AO63" s="1420"/>
      <c r="AP63" s="1420"/>
      <c r="AQ63" s="1420"/>
      <c r="AS63" s="890"/>
      <c r="AT63" s="890" t="str">
        <f>IF(V63="","",V63)</f>
        <v>Добавить централизованную систему для дифференциации</v>
      </c>
      <c r="AU63" s="890"/>
      <c r="AV63" s="890"/>
      <c r="AW63" s="625">
        <v>0</v>
      </c>
    </row>
    <row s="10307" customFormat="1" customHeight="1" ht="14.25" hidden="1">
      <c r="A64" s="1471" t="s">
        <v>261</v>
      </c>
      <c r="B64" s="1471"/>
      <c r="C64" s="1471"/>
      <c r="D64" s="1471"/>
      <c r="E64" s="3141"/>
      <c r="F64" s="1471"/>
      <c r="G64" s="1471"/>
      <c r="H64" s="1471"/>
      <c r="I64" s="1471"/>
      <c r="J64" s="1471"/>
      <c r="K64" s="1471"/>
      <c r="L64" s="1471"/>
      <c r="M64" s="1477"/>
      <c r="N64" s="1475"/>
      <c r="O64" s="1475"/>
      <c r="P64" s="458"/>
      <c r="Q64" s="487"/>
      <c r="R64" s="1440"/>
      <c r="S64" s="487"/>
      <c r="T64" s="487"/>
      <c r="U64" s="1418"/>
      <c r="V64" s="1421" t="s">
        <v>501</v>
      </c>
      <c r="W64" s="1420"/>
      <c r="X64" s="1420"/>
      <c r="Y64" s="1420"/>
      <c r="Z64" s="1420"/>
      <c r="AA64" s="1420"/>
      <c r="AB64" s="1420"/>
      <c r="AC64" s="1420"/>
      <c r="AD64" s="1420"/>
      <c r="AE64" s="1420"/>
      <c r="AF64" s="1420"/>
      <c r="AG64" s="1420"/>
      <c r="AH64" s="1420"/>
      <c r="AI64" s="1420"/>
      <c r="AJ64" s="1420"/>
      <c r="AK64" s="1420"/>
      <c r="AL64" s="1420"/>
      <c r="AM64" s="1420"/>
      <c r="AN64" s="1420"/>
      <c r="AO64" s="1420"/>
      <c r="AP64" s="1420"/>
      <c r="AQ64" s="1420"/>
      <c r="AS64" s="607"/>
      <c r="AT64" s="607" t="str">
        <f>IF(V64="","",V64)</f>
        <v>Добавить территорию для дифференциации</v>
      </c>
      <c r="AU64" s="607"/>
      <c r="AV64" s="607"/>
      <c r="AW64" s="618">
        <v>0</v>
      </c>
    </row>
    <row s="10307" customFormat="1" customHeight="1" ht="4.2">
      <c r="A65" s="1470"/>
      <c r="B65" s="1470"/>
      <c r="C65" s="1470"/>
      <c r="D65" s="1470"/>
      <c r="E65" s="1471"/>
      <c r="F65" s="1470"/>
      <c r="G65" s="1470"/>
      <c r="H65" s="1470"/>
      <c r="I65" s="1470"/>
      <c r="J65" s="1470"/>
      <c r="K65" s="1470"/>
      <c r="L65" s="1470"/>
      <c r="M65" s="1473"/>
      <c r="N65" s="1475"/>
      <c r="O65" s="1475"/>
      <c r="P65" s="458"/>
      <c r="Q65" s="1412"/>
      <c r="R65" s="1413"/>
      <c r="S65" s="1412"/>
      <c r="T65" s="1412"/>
      <c r="U65" s="1418"/>
      <c r="V65" s="1421" t="s">
        <v>533</v>
      </c>
      <c r="W65" s="1420"/>
      <c r="X65" s="1420"/>
      <c r="Y65" s="1420"/>
      <c r="Z65" s="1420"/>
      <c r="AA65" s="1420"/>
      <c r="AB65" s="1420"/>
      <c r="AC65" s="1420"/>
      <c r="AD65" s="1420"/>
      <c r="AE65" s="1420"/>
      <c r="AF65" s="1420"/>
      <c r="AG65" s="1420"/>
      <c r="AH65" s="1420"/>
      <c r="AI65" s="1420"/>
      <c r="AJ65" s="1420"/>
      <c r="AK65" s="1420"/>
      <c r="AL65" s="1420"/>
      <c r="AM65" s="1420"/>
      <c r="AN65" s="1420"/>
      <c r="AO65" s="1420"/>
      <c r="AP65" s="1420"/>
      <c r="AQ65" s="1420"/>
      <c r="AS65" s="890"/>
      <c r="AT65" s="890" t="str">
        <f>IF(V65="","",V65)</f>
        <v>Добавить наименование тарифа</v>
      </c>
      <c r="AU65" s="890"/>
      <c r="AV65" s="890"/>
      <c r="AW65" s="625">
        <v>4</v>
      </c>
    </row>
    <row customHeight="1" ht="11.549999999999999">
      <c r="N66" s="1251"/>
      <c r="O66" s="1251"/>
      <c r="P66" s="616"/>
      <c r="Q66" s="1251"/>
      <c r="R66" s="1251"/>
      <c r="S66" s="1251"/>
      <c r="T66" s="1251"/>
      <c r="U66" s="1251"/>
      <c r="AR66" s="1251"/>
      <c r="AS66" s="1251"/>
      <c r="AT66" s="1251"/>
      <c r="AU66" s="1251"/>
      <c r="AV66" s="1251"/>
      <c r="AW66" s="1251">
        <v>11</v>
      </c>
    </row>
    <row customHeight="1" ht="35.699999999999996">
      <c r="P67" s="616"/>
      <c r="U67" s="1349"/>
      <c r="V67" s="3114"/>
      <c r="W67" s="3114"/>
      <c r="X67" s="3114"/>
      <c r="Y67" s="3114"/>
      <c r="Z67" s="3114"/>
      <c r="AA67" s="3114"/>
      <c r="AB67" s="3114"/>
      <c r="AC67" s="3114"/>
      <c r="AD67" s="3114"/>
      <c r="AE67" s="3114"/>
      <c r="AF67" s="3114"/>
      <c r="AG67" s="3114"/>
      <c r="AH67" s="3114"/>
      <c r="AI67" s="3114"/>
      <c r="AJ67" s="3114"/>
      <c r="AK67" s="3114"/>
      <c r="AL67" s="3114"/>
      <c r="AM67" s="3114"/>
      <c r="AN67" s="3114"/>
      <c r="AO67" s="3114"/>
      <c r="AP67" s="3114"/>
      <c r="AQ67" s="3114"/>
      <c r="AW67" s="1251">
        <v>34</v>
      </c>
    </row>
    <row customHeight="1" ht="21">
      <c r="P68" s="616"/>
      <c r="V68" s="3114"/>
      <c r="W68" s="3114"/>
      <c r="X68" s="3114"/>
      <c r="Y68" s="3114"/>
      <c r="Z68" s="3114"/>
      <c r="AA68" s="3114"/>
      <c r="AB68" s="3114"/>
      <c r="AC68" s="3114"/>
      <c r="AD68" s="3114"/>
      <c r="AE68" s="3114"/>
      <c r="AF68" s="3114"/>
      <c r="AG68" s="3114"/>
      <c r="AH68" s="3114"/>
      <c r="AI68" s="3114"/>
      <c r="AJ68" s="3114"/>
      <c r="AK68" s="3114"/>
      <c r="AL68" s="3114"/>
      <c r="AM68" s="3114"/>
      <c r="AN68" s="3114"/>
      <c r="AO68" s="3114"/>
      <c r="AP68" s="3114"/>
      <c r="AQ68" s="3114"/>
      <c r="AW68" s="1251">
        <v>20</v>
      </c>
    </row>
    <row customHeight="1" ht="14.699999999999998">
      <c r="P69" s="616"/>
      <c r="AW69" s="1251">
        <v>14</v>
      </c>
    </row>
    <row customHeight="1" ht="28.5">
      <c r="P70" s="616"/>
      <c r="V70" s="3114"/>
      <c r="W70" s="3114"/>
      <c r="X70" s="3114"/>
      <c r="Y70" s="3114"/>
      <c r="Z70" s="3114"/>
      <c r="AA70" s="3114"/>
      <c r="AB70" s="3114"/>
      <c r="AC70" s="3114"/>
      <c r="AD70" s="3114"/>
      <c r="AE70" s="3114"/>
      <c r="AF70" s="3114"/>
      <c r="AG70" s="3114"/>
      <c r="AH70" s="3114"/>
      <c r="AI70" s="3114"/>
      <c r="AJ70" s="3114"/>
      <c r="AK70" s="3114"/>
      <c r="AL70" s="3114"/>
      <c r="AM70" s="3114"/>
      <c r="AN70" s="3114"/>
      <c r="AO70" s="3114"/>
      <c r="AP70" s="3114"/>
      <c r="AQ70" s="3114"/>
      <c r="AW70" s="1251">
        <v>27</v>
      </c>
    </row>
    <row customHeight="1" ht="18.75">
      <c r="P71" s="616"/>
      <c r="V71" s="3114"/>
      <c r="W71" s="3114"/>
      <c r="X71" s="3114"/>
      <c r="Y71" s="3114"/>
      <c r="Z71" s="3114"/>
      <c r="AA71" s="3114"/>
      <c r="AB71" s="3114"/>
      <c r="AC71" s="3114"/>
      <c r="AD71" s="3114"/>
      <c r="AE71" s="3114"/>
      <c r="AF71" s="3114"/>
      <c r="AG71" s="3114"/>
      <c r="AH71" s="3114"/>
      <c r="AI71" s="3114"/>
      <c r="AJ71" s="3114"/>
      <c r="AK71" s="3114"/>
      <c r="AL71" s="3114"/>
      <c r="AM71" s="3114"/>
      <c r="AN71" s="3114"/>
      <c r="AO71" s="3114"/>
      <c r="AP71" s="3114"/>
      <c r="AQ71" s="3114"/>
      <c r="AW71" s="1251">
        <v>18</v>
      </c>
    </row>
    <row customHeight="1" ht="22.5" hidden="1">
      <c r="A72" s="1251" t="s">
        <v>82</v>
      </c>
      <c r="B72" s="1251">
        <v>0</v>
      </c>
      <c r="C72" s="1251">
        <v>0</v>
      </c>
      <c r="D72" s="1251">
        <v>0</v>
      </c>
      <c r="E72" s="1251">
        <v>0</v>
      </c>
      <c r="F72" s="1251">
        <v>0</v>
      </c>
      <c r="G72" s="1251">
        <v>0</v>
      </c>
      <c r="H72" s="1251">
        <v>0</v>
      </c>
      <c r="I72" s="1251">
        <v>0</v>
      </c>
      <c r="J72" s="1251">
        <v>0</v>
      </c>
      <c r="K72" s="1251">
        <v>0</v>
      </c>
      <c r="L72" s="1251">
        <v>0</v>
      </c>
      <c r="M72" s="1423">
        <v>0</v>
      </c>
      <c r="N72" s="1424">
        <v>0</v>
      </c>
      <c r="O72" s="1424">
        <v>0</v>
      </c>
      <c r="P72" s="1424">
        <v>0</v>
      </c>
      <c r="Q72" s="1424">
        <v>0</v>
      </c>
      <c r="R72" s="452">
        <v>3</v>
      </c>
      <c r="S72" s="452">
        <v>3</v>
      </c>
      <c r="T72" s="452">
        <v>3</v>
      </c>
      <c r="U72" s="688">
        <v>12</v>
      </c>
      <c r="V72" s="1251">
        <v>31</v>
      </c>
      <c r="W72" s="1251">
        <v>0</v>
      </c>
      <c r="X72" s="1251">
        <v>0</v>
      </c>
      <c r="Y72" s="1251">
        <v>0</v>
      </c>
      <c r="Z72" s="1251">
        <v>0</v>
      </c>
      <c r="AA72" s="1251">
        <v>0</v>
      </c>
      <c r="AB72" s="1251">
        <v>0</v>
      </c>
      <c r="AC72" s="1251">
        <v>0</v>
      </c>
      <c r="AD72" s="1251">
        <v>0</v>
      </c>
      <c r="AE72" s="1251">
        <v>0</v>
      </c>
      <c r="AF72" s="1251">
        <v>0</v>
      </c>
      <c r="AG72" s="1251">
        <v>21</v>
      </c>
      <c r="AH72" s="1251">
        <v>21</v>
      </c>
      <c r="AI72" s="1251">
        <v>21</v>
      </c>
      <c r="AJ72" s="1251">
        <v>21</v>
      </c>
      <c r="AK72" s="1251">
        <v>21</v>
      </c>
      <c r="AL72" s="1251">
        <v>11</v>
      </c>
      <c r="AM72" s="1251">
        <v>3</v>
      </c>
      <c r="AN72" s="1251">
        <v>11</v>
      </c>
      <c r="AO72" s="1251">
        <v>8</v>
      </c>
      <c r="AP72" s="1251">
        <v>4</v>
      </c>
      <c r="AQ72" s="1251">
        <v>115</v>
      </c>
      <c r="AR72" s="618">
        <v>10</v>
      </c>
      <c r="AS72" s="618">
        <v>10</v>
      </c>
      <c r="AT72" s="618">
        <v>10</v>
      </c>
      <c r="AU72" s="618">
        <v>10</v>
      </c>
      <c r="AV72" s="618">
        <v>10</v>
      </c>
      <c r="AW72" s="1251">
        <v>23</v>
      </c>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90554-BAF6-6009-5AF9-AECA8081A93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2.00390625" hidden="1" customWidth="1"/>
    <col min="10" max="10" style="10306" width="9.8515625" hidden="1" customWidth="1"/>
    <col min="11" max="11" style="10306" width="11.421875" hidden="1" customWidth="1"/>
    <col min="12" max="12" style="11079" width="19.140625" hidden="1" customWidth="1"/>
    <col min="13" max="14" style="11080" width="12.28125" hidden="1" customWidth="1"/>
    <col min="15" max="15" style="11080" width="23.421875" hidden="1" customWidth="1"/>
    <col min="16" max="16" style="11080" width="3.00390625" customWidth="1"/>
    <col min="17" max="17" style="11245" width="3.00390625" customWidth="1"/>
    <col min="18" max="18" style="11082" width="3.00390625" customWidth="1"/>
    <col min="19" max="19" style="11083" width="12.00390625" customWidth="1"/>
    <col min="20" max="20" style="10232" width="31.00390625" customWidth="1"/>
    <col min="21" max="21" style="10232" width="0.140625" customWidth="1"/>
    <col min="22" max="23" style="10232" width="21.7109375" hidden="1" customWidth="1"/>
    <col min="24" max="24" style="10232" width="11.7109375" hidden="1" customWidth="1"/>
    <col min="25" max="25" style="10232" width="3.7109375" hidden="1" customWidth="1"/>
    <col min="26" max="26" style="10232" width="11.7109375" hidden="1" customWidth="1"/>
    <col min="27" max="27" style="10232" width="8.57421875" hidden="1" customWidth="1"/>
    <col min="28" max="28" style="10232" width="5.421875" customWidth="1"/>
    <col min="29" max="30" style="10232" width="3.00390625" customWidth="1"/>
    <col min="31" max="31" style="10232" width="24.00390625" customWidth="1"/>
    <col min="32" max="32" style="10232" width="3.7109375" customWidth="1"/>
    <col min="33" max="34" style="10232" width="3.00390625" customWidth="1"/>
    <col min="35" max="35" style="10232" width="24.00390625" customWidth="1"/>
    <col min="36" max="36" style="10232" width="3.7109375" customWidth="1"/>
    <col min="37" max="38" style="10232" width="3.00390625" customWidth="1"/>
    <col min="39" max="39" style="10232" width="18.00390625" customWidth="1"/>
    <col min="40" max="41" style="10232" width="21.00390625" customWidth="1"/>
    <col min="42" max="42" style="10232" width="11.00390625" customWidth="1"/>
    <col min="43" max="43" style="10232" width="3.7109375" customWidth="1"/>
    <col min="44" max="44" style="10232" width="11.00390625" customWidth="1"/>
    <col min="45" max="45" style="10232" width="8.57421875" hidden="1" customWidth="1"/>
    <col min="46" max="46" style="10232" width="4.00390625" customWidth="1"/>
    <col min="47" max="47" style="10232" width="115.00390625" customWidth="1"/>
    <col min="48" max="52" style="10307" width="10.00390625" customWidth="1"/>
    <col min="53" max="53" style="10232" width="10.57421875" hidden="1"/>
  </cols>
  <sheetData>
    <row customHeight="1" ht="22.5" hidden="1">
      <c r="W1" s="435"/>
      <c r="X1" s="435"/>
      <c r="AO1" s="435"/>
      <c r="AP1" s="435"/>
      <c r="BA1" s="1251" t="s">
        <v>14</v>
      </c>
    </row>
    <row customHeight="1" ht="21" hidden="1">
      <c r="A2" s="1459"/>
      <c r="B2" s="1459"/>
      <c r="C2" s="1459"/>
      <c r="D2" s="1459"/>
      <c r="E2" s="3115">
        <v>1</v>
      </c>
      <c r="F2" s="1459"/>
      <c r="G2" s="1459"/>
      <c r="H2" s="1459"/>
      <c r="I2" s="1459"/>
      <c r="J2" s="1459"/>
      <c r="K2" s="1459"/>
      <c r="L2" s="1460"/>
      <c r="M2" s="1461"/>
      <c r="N2" s="1461"/>
      <c r="O2" s="1461"/>
      <c r="P2" s="1505"/>
      <c r="Q2" s="974"/>
      <c r="R2" s="462"/>
      <c r="S2" s="1432">
        <f>INDEX(PT_DIFFERENTIATION_NUM_NTAR,MATCH(A2,PT_DIFFERENTIATION_NTAR_ID,0))</f>
      </c>
      <c r="T2" s="406" t="s">
        <v>210</v>
      </c>
      <c r="U2" s="408"/>
      <c r="V2" s="3110"/>
      <c r="W2" s="3110"/>
      <c r="X2" s="3110"/>
      <c r="Y2" s="3110"/>
      <c r="Z2" s="3110"/>
      <c r="AA2" s="3111"/>
      <c r="AB2" s="3109">
        <f>INDEX(PT_DIFFERENTIATION_NTAR,MATCH(A2,PT_DIFFERENTIATION_NTAR_ID,0))</f>
      </c>
      <c r="AC2" s="3110"/>
      <c r="AD2" s="3110"/>
      <c r="AE2" s="3110"/>
      <c r="AF2" s="3110"/>
      <c r="AG2" s="3110"/>
      <c r="AH2" s="3110"/>
      <c r="AI2" s="3110"/>
      <c r="AJ2" s="3110"/>
      <c r="AK2" s="3110"/>
      <c r="AL2" s="3110"/>
      <c r="AM2" s="3110"/>
      <c r="AN2" s="3110"/>
      <c r="AO2" s="3110"/>
      <c r="AP2" s="3110"/>
      <c r="AQ2" s="3110"/>
      <c r="AR2" s="3110"/>
      <c r="AS2" s="3110"/>
      <c r="AT2" s="3111"/>
      <c r="AU2" s="1354" t="s">
        <v>481</v>
      </c>
      <c r="AW2" s="607"/>
      <c r="AX2" s="607" t="str">
        <f>IF(T2="","",T2)</f>
        <v>Наименование тарифа</v>
      </c>
      <c r="AY2" s="607"/>
      <c r="AZ2" s="607"/>
      <c r="BA2" s="1251">
        <v>0</v>
      </c>
    </row>
    <row customHeight="1" ht="21" hidden="1">
      <c r="A3" s="1459"/>
      <c r="B3" s="1459"/>
      <c r="C3" s="1459"/>
      <c r="D3" s="1459"/>
      <c r="E3" s="3116"/>
      <c r="F3" s="3115">
        <v>1</v>
      </c>
      <c r="G3" s="1459"/>
      <c r="H3" s="1459"/>
      <c r="I3" s="1459"/>
      <c r="J3" s="1459"/>
      <c r="K3" s="1459"/>
      <c r="L3" s="1460"/>
      <c r="M3" s="1461"/>
      <c r="N3" s="1461"/>
      <c r="O3" s="1461"/>
      <c r="P3" s="1506"/>
      <c r="Q3" s="1507"/>
      <c r="R3" s="460"/>
      <c r="S3" s="1432">
        <f>INDEX(PT_DIFFERENTIATION_NUM_TER,MATCH(B3,PT_DIFFERENTIATION_TER_ID,0))</f>
      </c>
      <c r="T3" s="416" t="s">
        <v>482</v>
      </c>
      <c r="U3" s="408"/>
      <c r="V3" s="3110"/>
      <c r="W3" s="3110"/>
      <c r="X3" s="3110"/>
      <c r="Y3" s="3110"/>
      <c r="Z3" s="3110"/>
      <c r="AA3" s="3111"/>
      <c r="AB3" s="3109">
        <f>INDEX(PT_DIFFERENTIATION_TER,MATCH(B3,PT_DIFFERENTIATION_TER_ID,0))</f>
      </c>
      <c r="AC3" s="3110"/>
      <c r="AD3" s="3110"/>
      <c r="AE3" s="3110"/>
      <c r="AF3" s="3110"/>
      <c r="AG3" s="3110"/>
      <c r="AH3" s="3110"/>
      <c r="AI3" s="3110"/>
      <c r="AJ3" s="3110"/>
      <c r="AK3" s="3110"/>
      <c r="AL3" s="3110"/>
      <c r="AM3" s="3110"/>
      <c r="AN3" s="3110"/>
      <c r="AO3" s="3110"/>
      <c r="AP3" s="3110"/>
      <c r="AQ3" s="3110"/>
      <c r="AR3" s="3110"/>
      <c r="AS3" s="3110"/>
      <c r="AT3" s="3111"/>
      <c r="AU3" s="1354" t="s">
        <v>483</v>
      </c>
      <c r="AW3" s="607"/>
      <c r="AX3" s="607" t="str">
        <f>IF(T3="","",T3)</f>
        <v>Территория действия тарифа</v>
      </c>
      <c r="AY3" s="607"/>
      <c r="AZ3" s="607"/>
      <c r="BA3" s="1251">
        <v>0</v>
      </c>
    </row>
    <row customHeight="1" ht="22.5" hidden="1">
      <c r="A4" s="1459"/>
      <c r="B4" s="1459"/>
      <c r="C4" s="1459"/>
      <c r="D4" s="1459"/>
      <c r="E4" s="3116"/>
      <c r="F4" s="3116"/>
      <c r="G4" s="3115">
        <v>1</v>
      </c>
      <c r="H4" s="1459"/>
      <c r="I4" s="1459"/>
      <c r="J4" s="1459"/>
      <c r="K4" s="1459"/>
      <c r="L4" s="1460"/>
      <c r="M4" s="1461"/>
      <c r="N4" s="1461"/>
      <c r="O4" s="1461"/>
      <c r="P4" s="1508"/>
      <c r="Q4" s="1507"/>
      <c r="R4" s="460"/>
      <c r="S4" s="1432">
        <f>INDEX(PT_DIFFERENTIATION_NUM_CS,MATCH(C4,PT_DIFFERENTIATION_CS_ID,0))</f>
      </c>
      <c r="T4" s="417" t="s">
        <v>484</v>
      </c>
      <c r="U4" s="408"/>
      <c r="V4" s="3110"/>
      <c r="W4" s="3110"/>
      <c r="X4" s="3110"/>
      <c r="Y4" s="3110"/>
      <c r="Z4" s="3110"/>
      <c r="AA4" s="3111"/>
      <c r="AB4" s="3109">
        <f>INDEX(PT_DIFFERENTIATION_CS,MATCH(C4,PT_DIFFERENTIATION_CS_ID,0))</f>
      </c>
      <c r="AC4" s="3110"/>
      <c r="AD4" s="3110"/>
      <c r="AE4" s="3110"/>
      <c r="AF4" s="3110"/>
      <c r="AG4" s="3110"/>
      <c r="AH4" s="3110"/>
      <c r="AI4" s="3110"/>
      <c r="AJ4" s="3110"/>
      <c r="AK4" s="3110"/>
      <c r="AL4" s="3110"/>
      <c r="AM4" s="3110"/>
      <c r="AN4" s="3110"/>
      <c r="AO4" s="3110"/>
      <c r="AP4" s="3110"/>
      <c r="AQ4" s="3110"/>
      <c r="AR4" s="3110"/>
      <c r="AS4" s="3110"/>
      <c r="AT4" s="3111"/>
      <c r="AU4" s="1354" t="s">
        <v>485</v>
      </c>
      <c r="AW4" s="607"/>
      <c r="AX4" s="607" t="str">
        <f>IF(T4="","",T4)</f>
        <v>Наименование системы теплоснабжения </v>
      </c>
      <c r="AY4" s="607"/>
      <c r="AZ4" s="607"/>
      <c r="BA4" s="1251">
        <v>0</v>
      </c>
    </row>
    <row customHeight="1" ht="21" hidden="1">
      <c r="A5" s="1459"/>
      <c r="B5" s="1459"/>
      <c r="C5" s="1459"/>
      <c r="D5" s="1459"/>
      <c r="E5" s="3116"/>
      <c r="F5" s="3116"/>
      <c r="G5" s="3116"/>
      <c r="H5" s="3115">
        <v>1</v>
      </c>
      <c r="I5" s="1459"/>
      <c r="J5" s="1459"/>
      <c r="K5" s="1459"/>
      <c r="L5" s="1460"/>
      <c r="M5" s="1461"/>
      <c r="N5" s="1461"/>
      <c r="O5" s="1461"/>
      <c r="P5" s="1508"/>
      <c r="Q5" s="1507"/>
      <c r="R5" s="460"/>
      <c r="S5" s="1432">
        <f>INDEX(PT_DIFFERENTIATION_NUM_IST_TE,MATCH(D5,PT_DIFFERENTIATION_IST_TE_ID,0))</f>
      </c>
      <c r="T5" s="418" t="s">
        <v>486</v>
      </c>
      <c r="U5" s="408"/>
      <c r="V5" s="3110"/>
      <c r="W5" s="3110"/>
      <c r="X5" s="3110"/>
      <c r="Y5" s="3110"/>
      <c r="Z5" s="3110"/>
      <c r="AA5" s="3111"/>
      <c r="AB5" s="3109">
        <f>INDEX(PT_DIFFERENTIATION_IST_TE,MATCH(D5,PT_DIFFERENTIATION_IST_TE_ID,0))</f>
      </c>
      <c r="AC5" s="3110"/>
      <c r="AD5" s="3110"/>
      <c r="AE5" s="3110"/>
      <c r="AF5" s="3110"/>
      <c r="AG5" s="3110"/>
      <c r="AH5" s="3110"/>
      <c r="AI5" s="3110"/>
      <c r="AJ5" s="3110"/>
      <c r="AK5" s="3110"/>
      <c r="AL5" s="3110"/>
      <c r="AM5" s="3110"/>
      <c r="AN5" s="3110"/>
      <c r="AO5" s="3110"/>
      <c r="AP5" s="3110"/>
      <c r="AQ5" s="3110"/>
      <c r="AR5" s="3110"/>
      <c r="AS5" s="3110"/>
      <c r="AT5" s="3111"/>
      <c r="AU5" s="1354" t="s">
        <v>487</v>
      </c>
      <c r="AW5" s="607"/>
      <c r="AX5" s="607" t="str">
        <f>IF(T5="","",T5)</f>
        <v>Источник тепловой энергии  </v>
      </c>
      <c r="AY5" s="607"/>
      <c r="AZ5" s="607"/>
      <c r="BA5" s="1251">
        <v>0</v>
      </c>
    </row>
    <row s="10307" customFormat="1" customHeight="1" ht="0.75" hidden="1">
      <c r="A6" s="1439"/>
      <c r="B6" s="1439"/>
      <c r="C6" s="1439"/>
      <c r="D6" s="1439"/>
      <c r="E6" s="3116"/>
      <c r="F6" s="3116"/>
      <c r="G6" s="3116"/>
      <c r="H6" s="3116"/>
      <c r="I6" s="3117">
        <f>S5&amp;".1"</f>
      </c>
      <c r="J6" s="1439"/>
      <c r="K6" s="1439"/>
      <c r="L6" s="1442" t="s">
        <v>488</v>
      </c>
      <c r="M6" s="617"/>
      <c r="N6" s="617"/>
      <c r="O6" s="617"/>
      <c r="P6" s="3119">
        <v>1</v>
      </c>
      <c r="Q6" s="1427"/>
      <c r="R6" s="463"/>
      <c r="S6" s="1142"/>
      <c r="T6" s="1479"/>
      <c r="U6" s="1480"/>
      <c r="V6" s="3147"/>
      <c r="W6" s="3147"/>
      <c r="X6" s="3147"/>
      <c r="Y6" s="3147"/>
      <c r="Z6" s="3147"/>
      <c r="AA6" s="3148"/>
      <c r="AB6" s="3146"/>
      <c r="AC6" s="3147"/>
      <c r="AD6" s="3147"/>
      <c r="AE6" s="3147"/>
      <c r="AF6" s="3147"/>
      <c r="AG6" s="3147"/>
      <c r="AH6" s="3147"/>
      <c r="AI6" s="3147"/>
      <c r="AJ6" s="3147"/>
      <c r="AK6" s="3147"/>
      <c r="AL6" s="3147"/>
      <c r="AM6" s="3147"/>
      <c r="AN6" s="3147"/>
      <c r="AO6" s="3147"/>
      <c r="AP6" s="3147"/>
      <c r="AQ6" s="3147"/>
      <c r="AR6" s="3147"/>
      <c r="AS6" s="3147"/>
      <c r="AT6" s="3148"/>
      <c r="AU6" s="1481"/>
      <c r="AW6" s="607"/>
      <c r="AX6" s="607" t="str">
        <f>IF(T6="","",T6)</f>
        <v/>
      </c>
      <c r="AY6" s="607"/>
      <c r="AZ6" s="607"/>
      <c r="BA6" s="618">
        <v>0</v>
      </c>
    </row>
    <row s="10307" customFormat="1" customHeight="1" ht="0.75" hidden="1">
      <c r="A7" s="1439"/>
      <c r="B7" s="1439"/>
      <c r="C7" s="1439"/>
      <c r="D7" s="1439"/>
      <c r="E7" s="3116"/>
      <c r="F7" s="3116"/>
      <c r="G7" s="3116"/>
      <c r="H7" s="3116"/>
      <c r="I7" s="3118"/>
      <c r="J7" s="3117">
        <f>S5&amp;".1"</f>
      </c>
      <c r="K7" s="1439"/>
      <c r="L7" s="1442"/>
      <c r="M7" s="617"/>
      <c r="N7" s="617"/>
      <c r="O7" s="617"/>
      <c r="P7" s="3119"/>
      <c r="Q7" s="3119">
        <v>1</v>
      </c>
      <c r="R7" s="464"/>
      <c r="S7" s="1142"/>
      <c r="T7" s="1495"/>
      <c r="U7" s="1480"/>
      <c r="V7" s="3147"/>
      <c r="W7" s="3147"/>
      <c r="X7" s="3147"/>
      <c r="Y7" s="3147"/>
      <c r="Z7" s="3147"/>
      <c r="AA7" s="3148"/>
      <c r="AB7" s="3146"/>
      <c r="AC7" s="3147"/>
      <c r="AD7" s="3147"/>
      <c r="AE7" s="3147"/>
      <c r="AF7" s="3147"/>
      <c r="AG7" s="3147"/>
      <c r="AH7" s="3147"/>
      <c r="AI7" s="3147"/>
      <c r="AJ7" s="3147"/>
      <c r="AK7" s="3147"/>
      <c r="AL7" s="3147"/>
      <c r="AM7" s="3147"/>
      <c r="AN7" s="3147"/>
      <c r="AO7" s="3147"/>
      <c r="AP7" s="3147"/>
      <c r="AQ7" s="3147"/>
      <c r="AR7" s="3147"/>
      <c r="AS7" s="3147"/>
      <c r="AT7" s="3148"/>
      <c r="AU7" s="1481"/>
      <c r="AW7" s="607"/>
      <c r="AX7" s="607" t="str">
        <f>IF(T7="","",T7)</f>
        <v/>
      </c>
      <c r="AY7" s="607"/>
      <c r="AZ7" s="607"/>
      <c r="BA7" s="618">
        <v>0</v>
      </c>
    </row>
    <row customHeight="1" ht="21" hidden="1">
      <c r="A8" s="1459"/>
      <c r="B8" s="1459"/>
      <c r="C8" s="1459"/>
      <c r="D8" s="1459"/>
      <c r="E8" s="3116"/>
      <c r="F8" s="3116"/>
      <c r="G8" s="3116"/>
      <c r="H8" s="3116"/>
      <c r="I8" s="3118"/>
      <c r="J8" s="3118"/>
      <c r="K8" s="3117">
        <f>S5&amp;".1"</f>
      </c>
      <c r="L8" s="1460"/>
      <c r="P8" s="3119"/>
      <c r="Q8" s="3119"/>
      <c r="R8" s="3175">
        <v>1</v>
      </c>
      <c r="S8" s="3172">
        <f>$K8</f>
      </c>
      <c r="T8" s="3169"/>
      <c r="U8" s="408"/>
      <c r="V8" s="858"/>
      <c r="W8" s="1353"/>
      <c r="X8" s="3120"/>
      <c r="Y8" s="2989" t="s">
        <v>62</v>
      </c>
      <c r="Z8" s="3120"/>
      <c r="AA8" s="2989" t="s">
        <v>62</v>
      </c>
      <c r="AB8" s="2989" t="s">
        <v>19</v>
      </c>
      <c r="AC8" s="3168"/>
      <c r="AD8" s="3073">
        <v>1</v>
      </c>
      <c r="AE8" s="3182"/>
      <c r="AF8" s="2989" t="s">
        <v>19</v>
      </c>
      <c r="AG8" s="3168"/>
      <c r="AH8" s="3073">
        <v>1</v>
      </c>
      <c r="AI8" s="3182"/>
      <c r="AJ8" s="2989" t="s">
        <v>19</v>
      </c>
      <c r="AK8" s="419"/>
      <c r="AL8" s="1433">
        <v>1</v>
      </c>
      <c r="AM8" s="1494"/>
      <c r="AN8" s="858"/>
      <c r="AO8" s="1353"/>
      <c r="AP8" s="1830"/>
      <c r="AQ8" s="1555" t="s">
        <v>62</v>
      </c>
      <c r="AR8" s="1830"/>
      <c r="AS8" s="1555" t="s">
        <v>62</v>
      </c>
      <c r="AT8" s="1444"/>
      <c r="AU8" s="3138" t="s">
        <v>549</v>
      </c>
      <c r="AV8" s="618">
        <f>STRCHECKDATE(V11:AT11)</f>
      </c>
      <c r="AW8" s="607"/>
      <c r="AX8" s="607" t="str">
        <f>IF(T8="","",T8)</f>
        <v/>
      </c>
      <c r="AY8" s="607"/>
      <c r="AZ8" s="607"/>
      <c r="BA8" s="1251">
        <v>0</v>
      </c>
    </row>
    <row customHeight="1" ht="11.25" hidden="1">
      <c r="A9" s="1459"/>
      <c r="B9" s="1459"/>
      <c r="C9" s="1459"/>
      <c r="D9" s="1459"/>
      <c r="E9" s="3116"/>
      <c r="F9" s="3116"/>
      <c r="G9" s="3116"/>
      <c r="H9" s="3116"/>
      <c r="I9" s="3118"/>
      <c r="J9" s="3118"/>
      <c r="K9" s="3117"/>
      <c r="L9" s="1460"/>
      <c r="P9" s="3119"/>
      <c r="Q9" s="3119"/>
      <c r="R9" s="3175"/>
      <c r="S9" s="3173"/>
      <c r="T9" s="3170"/>
      <c r="U9" s="408"/>
      <c r="V9" s="1489"/>
      <c r="W9" s="1493"/>
      <c r="X9" s="3120"/>
      <c r="Y9" s="2989"/>
      <c r="Z9" s="3120"/>
      <c r="AA9" s="2989"/>
      <c r="AB9" s="2989"/>
      <c r="AC9" s="3168"/>
      <c r="AD9" s="3073"/>
      <c r="AE9" s="3182"/>
      <c r="AF9" s="2989"/>
      <c r="AG9" s="3168"/>
      <c r="AH9" s="3073"/>
      <c r="AI9" s="3182"/>
      <c r="AJ9" s="2989"/>
      <c r="AK9" s="424"/>
      <c r="AL9" s="523"/>
      <c r="AM9" s="522" t="s">
        <v>550</v>
      </c>
      <c r="AN9" s="1489"/>
      <c r="AO9" s="1592"/>
      <c r="AP9" s="1489"/>
      <c r="AQ9" s="1489"/>
      <c r="AR9" s="1489"/>
      <c r="AS9" s="1489"/>
      <c r="AT9" s="1486"/>
      <c r="AU9" s="3139"/>
      <c r="AW9" s="607"/>
      <c r="AX9" s="607"/>
      <c r="AY9" s="607"/>
      <c r="AZ9" s="607"/>
      <c r="BA9" s="1251">
        <v>0</v>
      </c>
    </row>
    <row customHeight="1" ht="11.25" hidden="1">
      <c r="A10" s="1459"/>
      <c r="B10" s="1459"/>
      <c r="C10" s="1459"/>
      <c r="D10" s="1459"/>
      <c r="E10" s="3116"/>
      <c r="F10" s="3116"/>
      <c r="G10" s="3116"/>
      <c r="H10" s="3116"/>
      <c r="I10" s="3118"/>
      <c r="J10" s="3118"/>
      <c r="K10" s="3117"/>
      <c r="L10" s="1460"/>
      <c r="P10" s="3119"/>
      <c r="Q10" s="3119"/>
      <c r="R10" s="3175"/>
      <c r="S10" s="3173"/>
      <c r="T10" s="3170"/>
      <c r="U10" s="408"/>
      <c r="V10" s="1489"/>
      <c r="W10" s="1493"/>
      <c r="X10" s="3120"/>
      <c r="Y10" s="2989"/>
      <c r="Z10" s="3120"/>
      <c r="AA10" s="2989"/>
      <c r="AB10" s="2989"/>
      <c r="AC10" s="3168"/>
      <c r="AD10" s="3073"/>
      <c r="AE10" s="3182"/>
      <c r="AF10" s="2989"/>
      <c r="AG10" s="402"/>
      <c r="AH10" s="522"/>
      <c r="AI10" s="522" t="s">
        <v>551</v>
      </c>
      <c r="AJ10" s="1489"/>
      <c r="AK10" s="1489"/>
      <c r="AL10" s="1489"/>
      <c r="AM10" s="1489"/>
      <c r="AN10" s="1489"/>
      <c r="AO10" s="1592"/>
      <c r="AP10" s="1489"/>
      <c r="AQ10" s="1489"/>
      <c r="AR10" s="1489"/>
      <c r="AS10" s="1489"/>
      <c r="AT10" s="1486"/>
      <c r="AU10" s="3139"/>
      <c r="AW10" s="607"/>
      <c r="AX10" s="607"/>
      <c r="AY10" s="607"/>
      <c r="AZ10" s="607"/>
      <c r="BA10" s="1251">
        <v>0</v>
      </c>
    </row>
    <row customHeight="1" ht="11.25" hidden="1">
      <c r="A11" s="1459"/>
      <c r="B11" s="1459"/>
      <c r="C11" s="1459"/>
      <c r="D11" s="1459"/>
      <c r="E11" s="3116"/>
      <c r="F11" s="3116"/>
      <c r="G11" s="3116"/>
      <c r="H11" s="3116"/>
      <c r="I11" s="3118"/>
      <c r="J11" s="3118"/>
      <c r="K11" s="3117"/>
      <c r="L11" s="1460"/>
      <c r="P11" s="3119"/>
      <c r="Q11" s="3119"/>
      <c r="R11" s="3175"/>
      <c r="S11" s="3174"/>
      <c r="T11" s="3171"/>
      <c r="U11" s="408"/>
      <c r="V11" s="1489"/>
      <c r="W11" s="1492" t="str">
        <f>X8&amp;"-"&amp;Z8</f>
        <v>-</v>
      </c>
      <c r="X11" s="3121"/>
      <c r="Y11" s="2989"/>
      <c r="Z11" s="3121"/>
      <c r="AA11" s="2989"/>
      <c r="AB11" s="2989"/>
      <c r="AC11" s="420"/>
      <c r="AD11" s="422"/>
      <c r="AE11" s="522" t="s">
        <v>552</v>
      </c>
      <c r="AF11" s="1489"/>
      <c r="AG11" s="1489"/>
      <c r="AH11" s="1489"/>
      <c r="AI11" s="1489"/>
      <c r="AJ11" s="1489"/>
      <c r="AK11" s="1489"/>
      <c r="AL11" s="1489"/>
      <c r="AM11" s="1489"/>
      <c r="AN11" s="1489"/>
      <c r="AO11" s="1490" t="str">
        <f>AP8&amp;"-"&amp;AR8</f>
        <v>-</v>
      </c>
      <c r="AP11" s="1489"/>
      <c r="AQ11" s="1489"/>
      <c r="AR11" s="1489"/>
      <c r="AS11" s="1489"/>
      <c r="AT11" s="1445"/>
      <c r="AU11" s="3139"/>
      <c r="AW11" s="607"/>
      <c r="AX11" s="607" t="str">
        <f>IF(T11="","",T11)</f>
        <v/>
      </c>
      <c r="AY11" s="607"/>
      <c r="AZ11" s="607"/>
      <c r="BA11" s="1251">
        <v>0</v>
      </c>
    </row>
    <row customHeight="1" ht="11.25" hidden="1">
      <c r="A12" s="1459"/>
      <c r="B12" s="1459"/>
      <c r="C12" s="1459"/>
      <c r="D12" s="1459"/>
      <c r="E12" s="3116"/>
      <c r="F12" s="3116"/>
      <c r="G12" s="3116"/>
      <c r="H12" s="3116"/>
      <c r="I12" s="3118"/>
      <c r="J12" s="3117"/>
      <c r="K12" s="1459"/>
      <c r="L12" s="1460"/>
      <c r="P12" s="3119"/>
      <c r="Q12" s="3119"/>
      <c r="R12" s="463"/>
      <c r="S12" s="1374"/>
      <c r="T12" s="395" t="s">
        <v>553</v>
      </c>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32"/>
      <c r="AU12" s="3140"/>
      <c r="AW12" s="607"/>
      <c r="AX12" s="607" t="str">
        <f>IF(T12="","",T12)</f>
        <v>Добавить строку</v>
      </c>
      <c r="AY12" s="607"/>
      <c r="AZ12" s="607"/>
      <c r="BA12" s="1251">
        <v>0</v>
      </c>
    </row>
    <row s="10307" customFormat="1" customHeight="1" ht="0.75" hidden="1">
      <c r="A13" s="1439"/>
      <c r="B13" s="1439"/>
      <c r="C13" s="1439"/>
      <c r="D13" s="1439"/>
      <c r="E13" s="3116"/>
      <c r="F13" s="3116"/>
      <c r="G13" s="3116"/>
      <c r="H13" s="3116"/>
      <c r="I13" s="3117"/>
      <c r="J13" s="1439"/>
      <c r="K13" s="1439"/>
      <c r="L13" s="1442"/>
      <c r="M13" s="617"/>
      <c r="N13" s="617"/>
      <c r="O13" s="617"/>
      <c r="P13" s="3119"/>
      <c r="Q13" s="1427"/>
      <c r="R13" s="463"/>
      <c r="S13" s="1482"/>
      <c r="T13" s="1483"/>
      <c r="U13" s="1484"/>
      <c r="V13" s="1484"/>
      <c r="W13" s="1484"/>
      <c r="X13" s="1484"/>
      <c r="Y13" s="1484"/>
      <c r="Z13" s="1484"/>
      <c r="AA13" s="1484"/>
      <c r="AB13" s="1484"/>
      <c r="AC13" s="1484"/>
      <c r="AD13" s="1484"/>
      <c r="AE13" s="1484"/>
      <c r="AF13" s="1484"/>
      <c r="AG13" s="1484"/>
      <c r="AH13" s="1484"/>
      <c r="AI13" s="1484"/>
      <c r="AJ13" s="1484"/>
      <c r="AK13" s="1484"/>
      <c r="AL13" s="1484"/>
      <c r="AM13" s="1484"/>
      <c r="AN13" s="1484"/>
      <c r="AO13" s="1484"/>
      <c r="AP13" s="1484"/>
      <c r="AQ13" s="1484"/>
      <c r="AR13" s="1484"/>
      <c r="AS13" s="1484"/>
      <c r="AT13" s="1484"/>
      <c r="AU13" s="1485"/>
      <c r="AW13" s="607"/>
      <c r="AX13" s="607" t="str">
        <f>IF(T13="","",T13)</f>
        <v/>
      </c>
      <c r="AY13" s="607"/>
      <c r="AZ13" s="607"/>
      <c r="BA13" s="618">
        <v>0</v>
      </c>
    </row>
    <row s="10307" customFormat="1" customHeight="1" ht="0.75" hidden="1">
      <c r="A14" s="1439"/>
      <c r="B14" s="1439"/>
      <c r="C14" s="1439"/>
      <c r="D14" s="1439"/>
      <c r="E14" s="3116"/>
      <c r="F14" s="3116"/>
      <c r="G14" s="3116"/>
      <c r="H14" s="3115"/>
      <c r="I14" s="1439"/>
      <c r="J14" s="1439"/>
      <c r="K14" s="1439"/>
      <c r="L14" s="1442"/>
      <c r="M14" s="1411"/>
      <c r="N14" s="1411"/>
      <c r="O14" s="625"/>
      <c r="P14" s="487"/>
      <c r="Q14" s="1440"/>
      <c r="R14" s="1497"/>
      <c r="S14" s="1482"/>
      <c r="T14" s="1483"/>
      <c r="U14" s="1484"/>
      <c r="V14" s="1484"/>
      <c r="W14" s="1484"/>
      <c r="X14" s="1484"/>
      <c r="Y14" s="1484"/>
      <c r="Z14" s="1484"/>
      <c r="AA14" s="1484"/>
      <c r="AB14" s="1484"/>
      <c r="AC14" s="1484"/>
      <c r="AD14" s="1484"/>
      <c r="AE14" s="1484"/>
      <c r="AF14" s="1484"/>
      <c r="AG14" s="1484"/>
      <c r="AH14" s="1484"/>
      <c r="AI14" s="1484"/>
      <c r="AJ14" s="1484"/>
      <c r="AK14" s="1484"/>
      <c r="AL14" s="1484"/>
      <c r="AM14" s="1484"/>
      <c r="AN14" s="1484"/>
      <c r="AO14" s="1484"/>
      <c r="AP14" s="1484"/>
      <c r="AQ14" s="1484"/>
      <c r="AR14" s="1484"/>
      <c r="AS14" s="1484"/>
      <c r="AT14" s="1484"/>
      <c r="AU14" s="1485"/>
      <c r="AW14" s="607"/>
      <c r="AX14" s="607" t="str">
        <f>IF(T14="","",T14)</f>
        <v/>
      </c>
      <c r="AY14" s="607"/>
      <c r="AZ14" s="607"/>
      <c r="BA14" s="618">
        <v>0</v>
      </c>
    </row>
    <row s="10307" customFormat="1" customHeight="1" ht="0.75" hidden="1">
      <c r="A15" s="1439"/>
      <c r="B15" s="1439"/>
      <c r="C15" s="1439"/>
      <c r="D15" s="1410"/>
      <c r="E15" s="3116"/>
      <c r="F15" s="3116"/>
      <c r="G15" s="3115"/>
      <c r="H15" s="1410"/>
      <c r="I15" s="1410"/>
      <c r="J15" s="1410"/>
      <c r="K15" s="1410"/>
      <c r="L15" s="1435"/>
      <c r="M15" s="1411"/>
      <c r="N15" s="1411"/>
      <c r="P15" s="1412"/>
      <c r="Q15" s="1413"/>
      <c r="R15" s="1412"/>
      <c r="S15" s="1418"/>
      <c r="T15" s="1421" t="s">
        <v>499</v>
      </c>
      <c r="U15" s="1420"/>
      <c r="V15" s="1420"/>
      <c r="W15" s="1420"/>
      <c r="X15" s="1420"/>
      <c r="Y15" s="1420"/>
      <c r="Z15" s="1420"/>
      <c r="AA15" s="1420"/>
      <c r="AB15" s="1420"/>
      <c r="AC15" s="1420"/>
      <c r="AD15" s="1420"/>
      <c r="AE15" s="1420"/>
      <c r="AF15" s="1420"/>
      <c r="AG15" s="1420"/>
      <c r="AH15" s="1420"/>
      <c r="AI15" s="1420"/>
      <c r="AJ15" s="1420"/>
      <c r="AK15" s="1420"/>
      <c r="AL15" s="1420"/>
      <c r="AM15" s="1420"/>
      <c r="AN15" s="1420"/>
      <c r="AO15" s="1420"/>
      <c r="AP15" s="1420"/>
      <c r="AQ15" s="1420"/>
      <c r="AR15" s="1420"/>
      <c r="AS15" s="1420"/>
      <c r="AT15" s="1420"/>
      <c r="AU15" s="1420"/>
      <c r="AW15" s="890"/>
      <c r="AX15" s="890" t="str">
        <f>IF(T15="","",T15)</f>
        <v>Добавить источник для дифференциации</v>
      </c>
      <c r="AY15" s="890"/>
      <c r="AZ15" s="890"/>
      <c r="BA15" s="625">
        <v>0</v>
      </c>
    </row>
    <row s="10307" customFormat="1" customHeight="1" ht="0.75" hidden="1">
      <c r="A16" s="1439"/>
      <c r="B16" s="1439"/>
      <c r="C16" s="1410"/>
      <c r="D16" s="1410"/>
      <c r="E16" s="3116"/>
      <c r="F16" s="3115"/>
      <c r="G16" s="1410"/>
      <c r="H16" s="1410"/>
      <c r="I16" s="1410"/>
      <c r="J16" s="1410"/>
      <c r="K16" s="1410"/>
      <c r="L16" s="1435"/>
      <c r="M16" s="1417"/>
      <c r="N16" s="1417"/>
      <c r="P16" s="1412"/>
      <c r="Q16" s="1413"/>
      <c r="R16" s="1412"/>
      <c r="S16" s="1418"/>
      <c r="T16" s="1421" t="s">
        <v>500</v>
      </c>
      <c r="U16" s="1420"/>
      <c r="V16" s="1420"/>
      <c r="W16" s="1420"/>
      <c r="X16" s="1420"/>
      <c r="Y16" s="1420"/>
      <c r="Z16" s="1420"/>
      <c r="AA16" s="1420"/>
      <c r="AB16" s="1420"/>
      <c r="AC16" s="1420"/>
      <c r="AD16" s="1420"/>
      <c r="AE16" s="1420"/>
      <c r="AF16" s="1420"/>
      <c r="AG16" s="1420"/>
      <c r="AH16" s="1420"/>
      <c r="AI16" s="1420"/>
      <c r="AJ16" s="1420"/>
      <c r="AK16" s="1420"/>
      <c r="AL16" s="1420"/>
      <c r="AM16" s="1420"/>
      <c r="AN16" s="1420"/>
      <c r="AO16" s="1420"/>
      <c r="AP16" s="1420"/>
      <c r="AQ16" s="1420"/>
      <c r="AR16" s="1420"/>
      <c r="AS16" s="1420"/>
      <c r="AT16" s="1420"/>
      <c r="AU16" s="1420"/>
      <c r="AW16" s="890"/>
      <c r="AX16" s="890" t="str">
        <f>IF(T16="","",T16)</f>
        <v>Добавить централизованную систему для дифференциации</v>
      </c>
      <c r="AY16" s="890"/>
      <c r="AZ16" s="890"/>
      <c r="BA16" s="625">
        <v>0</v>
      </c>
    </row>
    <row s="10307" customFormat="1" customHeight="1" ht="0.75" hidden="1">
      <c r="A17" s="1439"/>
      <c r="B17" s="1439"/>
      <c r="C17" s="1439"/>
      <c r="D17" s="1439"/>
      <c r="E17" s="3115"/>
      <c r="F17" s="1439"/>
      <c r="G17" s="1439"/>
      <c r="H17" s="1439"/>
      <c r="I17" s="1439"/>
      <c r="J17" s="1439"/>
      <c r="K17" s="1439"/>
      <c r="L17" s="1442"/>
      <c r="M17" s="1417"/>
      <c r="N17" s="1417"/>
      <c r="O17" s="625"/>
      <c r="P17" s="487"/>
      <c r="Q17" s="1440"/>
      <c r="R17" s="487"/>
      <c r="S17" s="1418"/>
      <c r="T17" s="1421" t="s">
        <v>501</v>
      </c>
      <c r="U17" s="1420"/>
      <c r="V17" s="1420"/>
      <c r="W17" s="1420"/>
      <c r="X17" s="1420"/>
      <c r="Y17" s="1420"/>
      <c r="Z17" s="1420"/>
      <c r="AA17" s="1420"/>
      <c r="AB17" s="1420"/>
      <c r="AC17" s="1420"/>
      <c r="AD17" s="1420"/>
      <c r="AE17" s="1420"/>
      <c r="AF17" s="1420"/>
      <c r="AG17" s="1420"/>
      <c r="AH17" s="1420"/>
      <c r="AI17" s="1420"/>
      <c r="AJ17" s="1420"/>
      <c r="AK17" s="1420"/>
      <c r="AL17" s="1420"/>
      <c r="AM17" s="1420"/>
      <c r="AN17" s="1420"/>
      <c r="AO17" s="1420"/>
      <c r="AP17" s="1420"/>
      <c r="AQ17" s="1420"/>
      <c r="AR17" s="1420"/>
      <c r="AS17" s="1420"/>
      <c r="AT17" s="1420"/>
      <c r="AU17" s="1420"/>
      <c r="AW17" s="607"/>
      <c r="AX17" s="607" t="str">
        <f>IF(T17="","",T17)</f>
        <v>Добавить территорию для дифференциации</v>
      </c>
      <c r="AY17" s="607"/>
      <c r="AZ17" s="607"/>
      <c r="BA17" s="618">
        <v>0</v>
      </c>
    </row>
    <row customHeight="1" ht="14.25" hidden="1">
      <c r="AA18" s="435"/>
      <c r="AS18" s="435"/>
      <c r="BA18" s="1251">
        <v>0</v>
      </c>
    </row>
    <row customHeight="1" ht="14.25" hidden="1">
      <c r="AB19" s="1420" t="s">
        <v>19</v>
      </c>
      <c r="AC19" s="1597"/>
      <c r="AD19" s="655">
        <v>1</v>
      </c>
      <c r="AE19" s="1598"/>
      <c r="AF19" s="1420" t="s">
        <v>19</v>
      </c>
      <c r="AG19" s="1597"/>
      <c r="AH19" s="655">
        <v>1</v>
      </c>
      <c r="AI19" s="1598"/>
      <c r="AJ19" s="1420" t="s">
        <v>19</v>
      </c>
      <c r="AK19" s="1599"/>
      <c r="AL19" s="655">
        <v>1</v>
      </c>
      <c r="AM19" s="1602"/>
      <c r="AN19" s="1499"/>
      <c r="AO19" s="1500"/>
      <c r="AP19" s="1832"/>
      <c r="AQ19" s="1556" t="s">
        <v>62</v>
      </c>
      <c r="AR19" s="1832"/>
      <c r="AS19" s="1556" t="s">
        <v>62</v>
      </c>
      <c r="BA19" s="1251">
        <v>0</v>
      </c>
    </row>
    <row customHeight="1" ht="14.25" hidden="1">
      <c r="AV20" s="603"/>
      <c r="AW20" s="603"/>
      <c r="AX20" s="603"/>
      <c r="AY20" s="603"/>
      <c r="AZ20" s="603"/>
      <c r="BA20" s="1251">
        <v>0</v>
      </c>
    </row>
    <row customHeight="1" ht="14.25" hidden="1">
      <c r="O21" s="1463" t="s">
        <v>502</v>
      </c>
      <c r="X21" s="1441"/>
      <c r="Z21" s="1441"/>
      <c r="AA21" s="435"/>
      <c r="AP21" s="1441"/>
      <c r="AR21" s="1441"/>
      <c r="AS21" s="435"/>
      <c r="AV21" s="603"/>
      <c r="AW21" s="603"/>
      <c r="AX21" s="603"/>
      <c r="AY21" s="603"/>
      <c r="AZ21" s="603"/>
      <c r="BA21" s="1251">
        <v>0</v>
      </c>
    </row>
    <row customHeight="1" ht="14.25" hidden="1">
      <c r="AA22" s="435"/>
      <c r="AS22" s="435"/>
      <c r="AV22" s="603"/>
      <c r="AW22" s="603"/>
      <c r="AX22" s="603"/>
      <c r="AY22" s="603"/>
      <c r="AZ22" s="603"/>
      <c r="BA22" s="1251">
        <v>0</v>
      </c>
    </row>
    <row s="11218" customFormat="1" customHeight="1" ht="14.25" hidden="1">
      <c r="M23" s="1604"/>
      <c r="N23" s="1604"/>
      <c r="O23" s="1605" t="s">
        <v>503</v>
      </c>
      <c r="P23" s="1604"/>
      <c r="Q23" s="1606"/>
      <c r="R23" s="1606"/>
      <c r="Y23" s="1603" t="s">
        <v>505</v>
      </c>
      <c r="AA23" s="1603" t="s">
        <v>506</v>
      </c>
      <c r="AB23" s="1603" t="s">
        <v>554</v>
      </c>
      <c r="AE23" s="1603" t="s">
        <v>555</v>
      </c>
      <c r="AF23" s="1603" t="s">
        <v>554</v>
      </c>
      <c r="AI23" s="1603" t="s">
        <v>556</v>
      </c>
      <c r="AJ23" s="1603" t="s">
        <v>554</v>
      </c>
      <c r="AM23" s="1603" t="s">
        <v>557</v>
      </c>
      <c r="AQ23" s="1603" t="s">
        <v>505</v>
      </c>
      <c r="AS23" s="1603" t="s">
        <v>506</v>
      </c>
      <c r="AV23" s="1607"/>
      <c r="AW23" s="1607"/>
      <c r="AX23" s="1607"/>
      <c r="AY23" s="1607"/>
      <c r="AZ23" s="1607"/>
      <c r="BA23" s="1603">
        <v>0</v>
      </c>
    </row>
    <row customHeight="1" ht="14.25" hidden="1">
      <c r="O24" s="1460"/>
      <c r="AV24" s="603"/>
      <c r="AW24" s="603"/>
      <c r="AX24" s="603"/>
      <c r="AY24" s="603"/>
      <c r="AZ24" s="603"/>
      <c r="BA24" s="1251">
        <v>0</v>
      </c>
    </row>
    <row customHeight="1" ht="14.25" hidden="1">
      <c r="O25" s="1460"/>
      <c r="AV25" s="603"/>
      <c r="AW25" s="603"/>
      <c r="AX25" s="603"/>
      <c r="AY25" s="603"/>
      <c r="AZ25" s="603"/>
      <c r="BA25" s="1251">
        <v>0</v>
      </c>
    </row>
    <row customHeight="1" ht="14.699999999999998">
      <c r="Q26" s="399"/>
      <c r="R26" s="483"/>
      <c r="S26" s="1371"/>
      <c r="T26" s="470"/>
      <c r="U26" s="470"/>
      <c r="V26" s="616"/>
      <c r="W26" s="616"/>
      <c r="X26" s="616"/>
      <c r="Y26" s="616"/>
      <c r="Z26" s="616"/>
      <c r="AA26" s="616"/>
      <c r="AB26" s="616"/>
      <c r="AC26" s="616"/>
      <c r="AD26" s="616"/>
      <c r="AE26" s="616"/>
      <c r="AF26" s="616"/>
      <c r="AG26" s="616"/>
      <c r="AH26" s="616"/>
      <c r="AI26" s="616"/>
      <c r="AJ26" s="616"/>
      <c r="AK26" s="616"/>
      <c r="AL26" s="616"/>
      <c r="AM26" s="616"/>
      <c r="AN26" s="616"/>
      <c r="AO26" s="616"/>
      <c r="AP26" s="616"/>
      <c r="AQ26" s="616"/>
      <c r="AR26" s="616"/>
      <c r="AS26" s="616"/>
      <c r="BA26" s="1251">
        <v>14</v>
      </c>
    </row>
    <row customHeight="1" ht="27.299999999999997">
      <c r="Q27" s="399"/>
      <c r="R27" s="483"/>
      <c r="S27" s="309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96"/>
      <c r="U27" s="3096"/>
      <c r="V27" s="3096"/>
      <c r="W27" s="3096"/>
      <c r="X27" s="3096"/>
      <c r="Y27" s="3096"/>
      <c r="Z27" s="3096"/>
      <c r="AA27" s="3096"/>
      <c r="AB27" s="3096"/>
      <c r="AC27" s="3096"/>
      <c r="AD27" s="3096"/>
      <c r="AE27" s="3096"/>
      <c r="AF27" s="3096"/>
      <c r="AG27" s="3096"/>
      <c r="AH27" s="3096"/>
      <c r="AI27" s="3096"/>
      <c r="AJ27" s="3096"/>
      <c r="AK27" s="3096"/>
      <c r="AL27" s="3096"/>
      <c r="AM27" s="3096"/>
      <c r="AN27" s="3096"/>
      <c r="AO27" s="3096"/>
      <c r="AP27" s="3096"/>
      <c r="AQ27" s="3096"/>
      <c r="AR27" s="3096"/>
      <c r="AS27" s="1339"/>
      <c r="BA27" s="1251">
        <v>26</v>
      </c>
    </row>
    <row customHeight="1" ht="14.699999999999998">
      <c r="Q28" s="399"/>
      <c r="R28" s="483"/>
      <c r="S28" s="3069" t="str">
        <f>IF(org=0,"Не определено",org)</f>
        <v>АО "ДГК"</v>
      </c>
      <c r="T28" s="3069"/>
      <c r="U28" s="3069"/>
      <c r="V28" s="3069"/>
      <c r="W28" s="3069"/>
      <c r="X28" s="3069"/>
      <c r="Y28" s="3069"/>
      <c r="Z28" s="3069"/>
      <c r="AA28" s="3069"/>
      <c r="AB28" s="3069"/>
      <c r="AC28" s="3069"/>
      <c r="AD28" s="3069"/>
      <c r="AE28" s="3069"/>
      <c r="AF28" s="3069"/>
      <c r="AG28" s="3069"/>
      <c r="AH28" s="3069"/>
      <c r="AI28" s="3069"/>
      <c r="AJ28" s="3069"/>
      <c r="AK28" s="3069"/>
      <c r="AL28" s="3069"/>
      <c r="AM28" s="3069"/>
      <c r="AN28" s="3069"/>
      <c r="AO28" s="3069"/>
      <c r="AP28" s="3069"/>
      <c r="AQ28" s="3069"/>
      <c r="AR28" s="3069"/>
      <c r="AS28" s="1339"/>
      <c r="BA28" s="1251">
        <v>14</v>
      </c>
    </row>
    <row customHeight="1" ht="14.25" hidden="1">
      <c r="Q29" s="399"/>
      <c r="R29" s="483"/>
      <c r="S29" s="1371"/>
      <c r="T29" s="470"/>
      <c r="U29" s="47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616"/>
      <c r="BA29" s="1251">
        <v>0</v>
      </c>
    </row>
    <row s="10446" customFormat="1" customHeight="1" ht="25.5" hidden="1">
      <c r="A30" s="1464"/>
      <c r="B30" s="1464"/>
      <c r="C30" s="1464"/>
      <c r="D30" s="1464"/>
      <c r="E30" s="1464"/>
      <c r="F30" s="1464"/>
      <c r="G30" s="1464"/>
      <c r="H30" s="1464"/>
      <c r="I30" s="1464"/>
      <c r="J30" s="1464"/>
      <c r="K30" s="1464"/>
      <c r="L30" s="1465"/>
      <c r="M30" s="1464"/>
      <c r="N30" s="1464"/>
      <c r="O30" s="1464"/>
      <c r="P30" s="1464"/>
      <c r="Q30" s="1464"/>
      <c r="S30" s="3106" t="s">
        <v>41</v>
      </c>
      <c r="T30" s="3106"/>
      <c r="U30" s="1468"/>
      <c r="V30" s="3108" t="str">
        <f>IF(TITLE_NAME_OR_PR_CHANGE="",IF(TITLE_NAME_OR_PR="","",TITLE_NAME_OR_PR),TITLE_NAME_OR_PR_CHANGE)</f>
        <v/>
      </c>
      <c r="W30" s="3108"/>
      <c r="X30" s="3108"/>
      <c r="Y30" s="3108"/>
      <c r="Z30" s="3108"/>
      <c r="AA30" s="434"/>
      <c r="AB30" s="3108" t="str">
        <f>IF(TITLE_NAME_OR_PR_CHANGE="",IF(TITLE_NAME_OR_PR="","",TITLE_NAME_OR_PR),TITLE_NAME_OR_PR_CHANGE)</f>
        <v/>
      </c>
      <c r="AC30" s="3108"/>
      <c r="AD30" s="3108"/>
      <c r="AE30" s="3108"/>
      <c r="AF30" s="3108"/>
      <c r="AG30" s="3108"/>
      <c r="AH30" s="3108"/>
      <c r="AI30" s="3108"/>
      <c r="AJ30" s="3108"/>
      <c r="AK30" s="3108"/>
      <c r="AL30" s="3108"/>
      <c r="AM30" s="3108"/>
      <c r="AN30" s="3108"/>
      <c r="AO30" s="3108"/>
      <c r="AP30" s="3108"/>
      <c r="AQ30" s="3108"/>
      <c r="AR30" s="3108"/>
      <c r="AS30" s="434"/>
      <c r="AT30" s="434"/>
      <c r="AU30" s="388"/>
      <c r="AV30" s="475"/>
      <c r="AW30" s="475"/>
      <c r="AX30" s="475"/>
      <c r="AY30" s="475"/>
      <c r="AZ30" s="475"/>
      <c r="BA30" s="525">
        <v>0</v>
      </c>
    </row>
    <row s="10446" customFormat="1" customHeight="1" ht="18.75" hidden="1">
      <c r="A31" s="1464"/>
      <c r="B31" s="1464"/>
      <c r="C31" s="1464"/>
      <c r="D31" s="1464"/>
      <c r="E31" s="1464"/>
      <c r="F31" s="1464"/>
      <c r="G31" s="1464"/>
      <c r="H31" s="1464"/>
      <c r="I31" s="1464"/>
      <c r="J31" s="1464"/>
      <c r="K31" s="1464"/>
      <c r="L31" s="1465"/>
      <c r="M31" s="1464"/>
      <c r="N31" s="1464"/>
      <c r="O31" s="1464"/>
      <c r="P31" s="1464"/>
      <c r="Q31" s="1464"/>
      <c r="S31" s="3106" t="s">
        <v>508</v>
      </c>
      <c r="T31" s="3106"/>
      <c r="U31" s="1468"/>
      <c r="V31" s="3107" t="str">
        <f>IF(TITLE_DATE_PR_CHANGE="",IF(TITLE_DATE_PR="","",TITLE_DATE_PR),TITLE_DATE_PR_CHANGE)</f>
        <v/>
      </c>
      <c r="W31" s="3107"/>
      <c r="X31" s="3107"/>
      <c r="Y31" s="3107"/>
      <c r="Z31" s="3107"/>
      <c r="AA31" s="434"/>
      <c r="AB31" s="3107" t="str">
        <f>IF(TITLE_DATE_PR_CHANGE="",IF(TITLE_DATE_PR="","",TITLE_DATE_PR),TITLE_DATE_PR_CHANGE)</f>
        <v/>
      </c>
      <c r="AC31" s="3107"/>
      <c r="AD31" s="3107"/>
      <c r="AE31" s="3107"/>
      <c r="AF31" s="3107"/>
      <c r="AG31" s="3107"/>
      <c r="AH31" s="3107"/>
      <c r="AI31" s="3107"/>
      <c r="AJ31" s="3107"/>
      <c r="AK31" s="3107"/>
      <c r="AL31" s="3107"/>
      <c r="AM31" s="3107"/>
      <c r="AN31" s="3107"/>
      <c r="AO31" s="3107"/>
      <c r="AP31" s="3107"/>
      <c r="AQ31" s="3107"/>
      <c r="AR31" s="3107"/>
      <c r="AS31" s="434"/>
      <c r="AT31" s="434"/>
      <c r="AU31" s="388"/>
      <c r="AV31" s="475"/>
      <c r="AW31" s="475"/>
      <c r="AX31" s="475"/>
      <c r="AY31" s="475"/>
      <c r="AZ31" s="475"/>
      <c r="BA31" s="525">
        <v>0</v>
      </c>
    </row>
    <row s="10446" customFormat="1" customHeight="1" ht="18.75" hidden="1">
      <c r="A32" s="1464"/>
      <c r="B32" s="1464"/>
      <c r="C32" s="1464"/>
      <c r="D32" s="1464"/>
      <c r="E32" s="1464"/>
      <c r="F32" s="1464"/>
      <c r="G32" s="1464"/>
      <c r="H32" s="1464"/>
      <c r="I32" s="1464"/>
      <c r="J32" s="1464"/>
      <c r="K32" s="1464"/>
      <c r="L32" s="1465"/>
      <c r="M32" s="1464"/>
      <c r="N32" s="1464"/>
      <c r="O32" s="1464"/>
      <c r="P32" s="1464"/>
      <c r="Q32" s="1464"/>
      <c r="S32" s="3106" t="s">
        <v>509</v>
      </c>
      <c r="T32" s="3106"/>
      <c r="U32" s="1468"/>
      <c r="V32" s="3108" t="str">
        <f>IF(TITLE_NUMBER_PR_CHANGE="",IF(TITLE_NUMBER_PR="","",TITLE_NUMBER_PR),TITLE_NUMBER_PR_CHANGE)</f>
        <v/>
      </c>
      <c r="W32" s="3108"/>
      <c r="X32" s="3108"/>
      <c r="Y32" s="3108"/>
      <c r="Z32" s="3108"/>
      <c r="AA32" s="434"/>
      <c r="AB32" s="3108" t="str">
        <f>IF(TITLE_NUMBER_PR_CHANGE="",IF(TITLE_NUMBER_PR="","",TITLE_NUMBER_PR),TITLE_NUMBER_PR_CHANGE)</f>
        <v/>
      </c>
      <c r="AC32" s="3108"/>
      <c r="AD32" s="3108"/>
      <c r="AE32" s="3108"/>
      <c r="AF32" s="3108"/>
      <c r="AG32" s="3108"/>
      <c r="AH32" s="3108"/>
      <c r="AI32" s="3108"/>
      <c r="AJ32" s="3108"/>
      <c r="AK32" s="3108"/>
      <c r="AL32" s="3108"/>
      <c r="AM32" s="3108"/>
      <c r="AN32" s="3108"/>
      <c r="AO32" s="3108"/>
      <c r="AP32" s="3108"/>
      <c r="AQ32" s="3108"/>
      <c r="AR32" s="3108"/>
      <c r="AS32" s="434"/>
      <c r="AT32" s="434"/>
      <c r="AU32" s="388"/>
      <c r="AV32" s="475"/>
      <c r="AW32" s="475"/>
      <c r="AX32" s="475"/>
      <c r="AY32" s="475"/>
      <c r="AZ32" s="475"/>
      <c r="BA32" s="525">
        <v>0</v>
      </c>
    </row>
    <row s="10446" customFormat="1" customHeight="1" ht="18.75" hidden="1">
      <c r="A33" s="1464"/>
      <c r="B33" s="1464"/>
      <c r="C33" s="1464"/>
      <c r="D33" s="1464"/>
      <c r="E33" s="1464"/>
      <c r="F33" s="1464"/>
      <c r="G33" s="1464"/>
      <c r="H33" s="1464"/>
      <c r="I33" s="1464"/>
      <c r="J33" s="1464"/>
      <c r="K33" s="1464"/>
      <c r="L33" s="1465"/>
      <c r="M33" s="1464"/>
      <c r="N33" s="1464"/>
      <c r="O33" s="1464"/>
      <c r="P33" s="1464"/>
      <c r="Q33" s="1464"/>
      <c r="S33" s="3106" t="s">
        <v>42</v>
      </c>
      <c r="T33" s="3106"/>
      <c r="U33" s="1468"/>
      <c r="V33" s="3108" t="str">
        <f>IF(TITLE_IST_PUB_CHANGE="",IF(TITLE_IST_PUB="","",TITLE_IST_PUB),TITLE_IST_PUB_CHANGE)</f>
        <v/>
      </c>
      <c r="W33" s="3108"/>
      <c r="X33" s="3108"/>
      <c r="Y33" s="3108"/>
      <c r="Z33" s="3108"/>
      <c r="AA33" s="434"/>
      <c r="AB33" s="3108" t="str">
        <f>IF(TITLE_IST_PUB_CHANGE="",IF(TITLE_IST_PUB="","",TITLE_IST_PUB),TITLE_IST_PUB_CHANGE)</f>
        <v/>
      </c>
      <c r="AC33" s="3108"/>
      <c r="AD33" s="3108"/>
      <c r="AE33" s="3108"/>
      <c r="AF33" s="3108"/>
      <c r="AG33" s="3108"/>
      <c r="AH33" s="3108"/>
      <c r="AI33" s="3108"/>
      <c r="AJ33" s="3108"/>
      <c r="AK33" s="3108"/>
      <c r="AL33" s="3108"/>
      <c r="AM33" s="3108"/>
      <c r="AN33" s="3108"/>
      <c r="AO33" s="3108"/>
      <c r="AP33" s="3108"/>
      <c r="AQ33" s="3108"/>
      <c r="AR33" s="3108"/>
      <c r="AS33" s="434"/>
      <c r="AT33" s="434"/>
      <c r="AU33" s="388"/>
      <c r="AV33" s="475"/>
      <c r="AW33" s="475"/>
      <c r="AX33" s="475"/>
      <c r="AY33" s="475"/>
      <c r="AZ33" s="475"/>
      <c r="BA33" s="525">
        <v>0</v>
      </c>
    </row>
    <row customHeight="1" ht="14.25" hidden="1">
      <c r="Q34" s="399"/>
      <c r="R34" s="483"/>
      <c r="S34" s="1371"/>
      <c r="T34" s="470"/>
      <c r="U34" s="47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616"/>
      <c r="BA34" s="1251">
        <v>0</v>
      </c>
    </row>
    <row s="10446" customFormat="1" customHeight="1" ht="18.75" hidden="1">
      <c r="A35" s="1464"/>
      <c r="B35" s="1464"/>
      <c r="C35" s="1464"/>
      <c r="D35" s="1464"/>
      <c r="E35" s="1464"/>
      <c r="F35" s="1464"/>
      <c r="G35" s="1464"/>
      <c r="H35" s="1464"/>
      <c r="I35" s="1464"/>
      <c r="J35" s="1464"/>
      <c r="K35" s="1464"/>
      <c r="L35" s="1465"/>
      <c r="M35" s="1464"/>
      <c r="N35" s="1464"/>
      <c r="O35" s="1464"/>
      <c r="P35" s="1464"/>
      <c r="Q35" s="1464"/>
      <c r="S35" s="3106" t="s">
        <v>508</v>
      </c>
      <c r="T35" s="3106"/>
      <c r="U35" s="1468"/>
      <c r="V35" s="3107" t="str">
        <f>IF(TITLE_DATE_PR_CHANGE="",IF(TITLE_DATE_PR="","",TITLE_DATE_PR),TITLE_DATE_PR_CHANGE)</f>
        <v/>
      </c>
      <c r="W35" s="3107"/>
      <c r="X35" s="3107"/>
      <c r="Y35" s="3107"/>
      <c r="Z35" s="3107"/>
      <c r="AA35" s="434"/>
      <c r="AB35" s="3107" t="str">
        <f>IF(TITLE_DATE_PR_CHANGE="",IF(TITLE_DATE_PR="","",TITLE_DATE_PR),TITLE_DATE_PR_CHANGE)</f>
        <v/>
      </c>
      <c r="AC35" s="3107"/>
      <c r="AD35" s="3107"/>
      <c r="AE35" s="3107"/>
      <c r="AF35" s="3107"/>
      <c r="AG35" s="3107"/>
      <c r="AH35" s="3107"/>
      <c r="AI35" s="3107"/>
      <c r="AJ35" s="3107"/>
      <c r="AK35" s="3107"/>
      <c r="AL35" s="3107"/>
      <c r="AM35" s="3107"/>
      <c r="AN35" s="3107"/>
      <c r="AO35" s="3107"/>
      <c r="AP35" s="3107"/>
      <c r="AQ35" s="3107"/>
      <c r="AR35" s="3107"/>
      <c r="AS35" s="434"/>
      <c r="AT35" s="434"/>
      <c r="AU35" s="388"/>
      <c r="AV35" s="475"/>
      <c r="AW35" s="475"/>
      <c r="AX35" s="475"/>
      <c r="AY35" s="475"/>
      <c r="AZ35" s="475"/>
      <c r="BA35" s="525">
        <v>0</v>
      </c>
    </row>
    <row s="10446" customFormat="1" customHeight="1" ht="18" hidden="1">
      <c r="A36" s="1464"/>
      <c r="B36" s="1464"/>
      <c r="C36" s="1464"/>
      <c r="D36" s="1464"/>
      <c r="E36" s="1464"/>
      <c r="F36" s="1464"/>
      <c r="G36" s="1464"/>
      <c r="H36" s="1464"/>
      <c r="I36" s="1464"/>
      <c r="J36" s="1464"/>
      <c r="K36" s="1464"/>
      <c r="L36" s="1465"/>
      <c r="M36" s="1464"/>
      <c r="N36" s="1464"/>
      <c r="O36" s="1464"/>
      <c r="P36" s="1464"/>
      <c r="Q36" s="1464"/>
      <c r="S36" s="3106" t="s">
        <v>509</v>
      </c>
      <c r="T36" s="3106"/>
      <c r="U36" s="1468"/>
      <c r="V36" s="3108" t="str">
        <f>IF(TITLE_NUMBER_PR_CHANGE="",IF(TITLE_NUMBER_PR="","",TITLE_NUMBER_PR),TITLE_NUMBER_PR_CHANGE)</f>
        <v/>
      </c>
      <c r="W36" s="3108"/>
      <c r="X36" s="3108"/>
      <c r="Y36" s="3108"/>
      <c r="Z36" s="3108"/>
      <c r="AA36" s="434"/>
      <c r="AB36" s="3108" t="str">
        <f>IF(TITLE_NUMBER_PR_CHANGE="",IF(TITLE_NUMBER_PR="","",TITLE_NUMBER_PR),TITLE_NUMBER_PR_CHANGE)</f>
        <v/>
      </c>
      <c r="AC36" s="3108"/>
      <c r="AD36" s="3108"/>
      <c r="AE36" s="3108"/>
      <c r="AF36" s="3108"/>
      <c r="AG36" s="3108"/>
      <c r="AH36" s="3108"/>
      <c r="AI36" s="3108"/>
      <c r="AJ36" s="3108"/>
      <c r="AK36" s="3108"/>
      <c r="AL36" s="3108"/>
      <c r="AM36" s="3108"/>
      <c r="AN36" s="3108"/>
      <c r="AO36" s="3108"/>
      <c r="AP36" s="3108"/>
      <c r="AQ36" s="3108"/>
      <c r="AR36" s="3108"/>
      <c r="AS36" s="434"/>
      <c r="AT36" s="434"/>
      <c r="AU36" s="388"/>
      <c r="AV36" s="475"/>
      <c r="AW36" s="475"/>
      <c r="AX36" s="475"/>
      <c r="AY36" s="475"/>
      <c r="AZ36" s="475"/>
      <c r="BA36" s="525">
        <v>0</v>
      </c>
    </row>
    <row s="10446" customFormat="1" customHeight="1" ht="1.05">
      <c r="A37" s="1464"/>
      <c r="B37" s="1464"/>
      <c r="C37" s="1464"/>
      <c r="D37" s="1464"/>
      <c r="E37" s="1464"/>
      <c r="F37" s="1464"/>
      <c r="G37" s="1464"/>
      <c r="H37" s="1464"/>
      <c r="I37" s="1464"/>
      <c r="J37" s="1464"/>
      <c r="K37" s="1464"/>
      <c r="L37" s="1465"/>
      <c r="M37" s="1464"/>
      <c r="N37" s="1464"/>
      <c r="O37" s="1464"/>
      <c r="P37" s="1464"/>
      <c r="Q37" s="1464"/>
      <c r="S37" s="431"/>
      <c r="T37" s="431"/>
      <c r="U37" s="1436"/>
      <c r="V37" s="434"/>
      <c r="W37" s="434"/>
      <c r="X37" s="434"/>
      <c r="Y37" s="434"/>
      <c r="Z37" s="434"/>
      <c r="AA37" s="386" t="s">
        <v>512</v>
      </c>
      <c r="AB37" s="434"/>
      <c r="AC37" s="434"/>
      <c r="AD37" s="434"/>
      <c r="AE37" s="434"/>
      <c r="AF37" s="434"/>
      <c r="AG37" s="434"/>
      <c r="AH37" s="434"/>
      <c r="AI37" s="434"/>
      <c r="AJ37" s="434"/>
      <c r="AK37" s="434"/>
      <c r="AL37" s="434"/>
      <c r="AM37" s="434"/>
      <c r="AN37" s="434"/>
      <c r="AO37" s="434"/>
      <c r="AP37" s="434"/>
      <c r="AQ37" s="434"/>
      <c r="AR37" s="434"/>
      <c r="AS37" s="386" t="s">
        <v>512</v>
      </c>
      <c r="AV37" s="475"/>
      <c r="AW37" s="475"/>
      <c r="AX37" s="475"/>
      <c r="AY37" s="475"/>
      <c r="AZ37" s="475"/>
      <c r="BA37" s="525">
        <v>1</v>
      </c>
    </row>
    <row customHeight="1" ht="14.699999999999998">
      <c r="Q38" s="399"/>
      <c r="R38" s="483"/>
      <c r="S38" s="1371"/>
      <c r="T38" s="470"/>
      <c r="U38" s="1340"/>
      <c r="V38" s="3127"/>
      <c r="W38" s="3127"/>
      <c r="X38" s="3127"/>
      <c r="Y38" s="3127"/>
      <c r="Z38" s="3127"/>
      <c r="AA38" s="3127"/>
      <c r="AB38" s="3127"/>
      <c r="AC38" s="3127"/>
      <c r="AD38" s="3127"/>
      <c r="AE38" s="3127"/>
      <c r="AF38" s="3127"/>
      <c r="AG38" s="3127"/>
      <c r="AH38" s="3127"/>
      <c r="AI38" s="3127"/>
      <c r="AJ38" s="3127"/>
      <c r="AK38" s="3127"/>
      <c r="AL38" s="3127"/>
      <c r="AM38" s="3127"/>
      <c r="AN38" s="3127"/>
      <c r="AO38" s="3127"/>
      <c r="AP38" s="3127"/>
      <c r="AQ38" s="3127"/>
      <c r="AR38" s="3127"/>
      <c r="AS38" s="3127"/>
      <c r="BA38" s="1251">
        <v>14</v>
      </c>
    </row>
    <row customHeight="1" ht="14.699999999999998">
      <c r="Q39" s="399"/>
      <c r="R39" s="483"/>
      <c r="S39" s="2978" t="s">
        <v>385</v>
      </c>
      <c r="T39" s="2978"/>
      <c r="U39" s="2978"/>
      <c r="V39" s="2978"/>
      <c r="W39" s="2978"/>
      <c r="X39" s="2978"/>
      <c r="Y39" s="2978"/>
      <c r="Z39" s="2978"/>
      <c r="AA39" s="2978"/>
      <c r="AB39" s="3047"/>
      <c r="AC39" s="3047"/>
      <c r="AD39" s="3047"/>
      <c r="AE39" s="3047"/>
      <c r="AF39" s="2978"/>
      <c r="AG39" s="2978"/>
      <c r="AH39" s="2978"/>
      <c r="AI39" s="2978"/>
      <c r="AJ39" s="2978"/>
      <c r="AK39" s="2978"/>
      <c r="AL39" s="2978"/>
      <c r="AM39" s="2978"/>
      <c r="AN39" s="2978"/>
      <c r="AO39" s="2978"/>
      <c r="AP39" s="2978"/>
      <c r="AQ39" s="2978"/>
      <c r="AR39" s="2978"/>
      <c r="AS39" s="2978"/>
      <c r="AT39" s="2978"/>
      <c r="AU39" s="2978" t="s">
        <v>386</v>
      </c>
      <c r="BA39" s="1251">
        <v>14</v>
      </c>
    </row>
    <row customHeight="1" ht="14.699999999999998">
      <c r="Q40" s="399"/>
      <c r="R40" s="483"/>
      <c r="S40" s="3128" t="s">
        <v>88</v>
      </c>
      <c r="T40" s="3077" t="s">
        <v>558</v>
      </c>
      <c r="U40" s="409"/>
      <c r="V40" s="3130"/>
      <c r="W40" s="3130"/>
      <c r="X40" s="3130"/>
      <c r="Y40" s="3130"/>
      <c r="Z40" s="3131"/>
      <c r="AA40" s="3177" t="s">
        <v>515</v>
      </c>
      <c r="AB40" s="3161" t="s">
        <v>559</v>
      </c>
      <c r="AC40" s="3145"/>
      <c r="AD40" s="3145"/>
      <c r="AE40" s="3162"/>
      <c r="AF40" s="3145" t="s">
        <v>560</v>
      </c>
      <c r="AG40" s="3145"/>
      <c r="AH40" s="3145"/>
      <c r="AI40" s="3162"/>
      <c r="AJ40" s="3161" t="s">
        <v>561</v>
      </c>
      <c r="AK40" s="3145"/>
      <c r="AL40" s="3145"/>
      <c r="AM40" s="3162"/>
      <c r="AN40" s="3161" t="s">
        <v>514</v>
      </c>
      <c r="AO40" s="3145"/>
      <c r="AP40" s="3130"/>
      <c r="AQ40" s="3130"/>
      <c r="AR40" s="3131"/>
      <c r="AS40" s="3132" t="s">
        <v>515</v>
      </c>
      <c r="AT40" s="3135" t="s">
        <v>517</v>
      </c>
      <c r="AU40" s="2978"/>
      <c r="BA40" s="1251">
        <v>14</v>
      </c>
    </row>
    <row customHeight="1" ht="35.699999999999996">
      <c r="Q41" s="399"/>
      <c r="R41" s="483"/>
      <c r="S41" s="3128"/>
      <c r="T41" s="3077"/>
      <c r="U41" s="1131"/>
      <c r="V41" s="2978" t="s">
        <v>562</v>
      </c>
      <c r="W41" s="2978"/>
      <c r="X41" s="3048" t="s">
        <v>521</v>
      </c>
      <c r="Y41" s="3157"/>
      <c r="Z41" s="3049"/>
      <c r="AA41" s="3178"/>
      <c r="AB41" s="3163"/>
      <c r="AC41" s="3164"/>
      <c r="AD41" s="3164"/>
      <c r="AE41" s="3176"/>
      <c r="AF41" s="3164"/>
      <c r="AG41" s="3164"/>
      <c r="AH41" s="3164"/>
      <c r="AI41" s="3176"/>
      <c r="AJ41" s="3163"/>
      <c r="AK41" s="3164"/>
      <c r="AL41" s="3164"/>
      <c r="AM41" s="3164"/>
      <c r="AN41" s="2978" t="s">
        <v>562</v>
      </c>
      <c r="AO41" s="2978"/>
      <c r="AP41" s="3157" t="s">
        <v>521</v>
      </c>
      <c r="AQ41" s="3157"/>
      <c r="AR41" s="3049"/>
      <c r="AS41" s="3133"/>
      <c r="AT41" s="3136"/>
      <c r="AU41" s="2978"/>
      <c r="BA41" s="1251">
        <v>34</v>
      </c>
    </row>
    <row customHeight="1" ht="14.699999999999998">
      <c r="Q42" s="399"/>
      <c r="R42" s="483"/>
      <c r="S42" s="3128"/>
      <c r="T42" s="3077"/>
      <c r="U42" s="1131"/>
      <c r="V42" s="3181" t="str">
        <f>IF($AN$42&lt;&gt;"",$AN$42,"")</f>
        <v/>
      </c>
      <c r="W42" s="3181"/>
      <c r="X42" s="3053"/>
      <c r="Y42" s="3158"/>
      <c r="Z42" s="3054"/>
      <c r="AA42" s="3178"/>
      <c r="AB42" s="3163"/>
      <c r="AC42" s="3164"/>
      <c r="AD42" s="3164"/>
      <c r="AE42" s="3176"/>
      <c r="AF42" s="3164"/>
      <c r="AG42" s="3164"/>
      <c r="AH42" s="3164"/>
      <c r="AI42" s="3176"/>
      <c r="AJ42" s="3163"/>
      <c r="AK42" s="3164"/>
      <c r="AL42" s="3164"/>
      <c r="AM42" s="3164"/>
      <c r="AN42" s="3180"/>
      <c r="AO42" s="3180"/>
      <c r="AP42" s="3158"/>
      <c r="AQ42" s="3158"/>
      <c r="AR42" s="3054"/>
      <c r="AS42" s="3133"/>
      <c r="AT42" s="3136"/>
      <c r="AU42" s="2978"/>
      <c r="BA42" s="1251">
        <v>14</v>
      </c>
    </row>
    <row customHeight="1" ht="14.699999999999998">
      <c r="A43" s="1466"/>
      <c r="B43" s="1466" t="s">
        <v>222</v>
      </c>
      <c r="C43" s="1466" t="s">
        <v>223</v>
      </c>
      <c r="D43" s="1466" t="s">
        <v>224</v>
      </c>
      <c r="E43" s="1460" t="s">
        <v>522</v>
      </c>
      <c r="F43" s="1460" t="s">
        <v>523</v>
      </c>
      <c r="G43" s="1460" t="s">
        <v>524</v>
      </c>
      <c r="H43" s="1460" t="s">
        <v>525</v>
      </c>
      <c r="I43" s="1460" t="s">
        <v>526</v>
      </c>
      <c r="J43" s="1460" t="s">
        <v>527</v>
      </c>
      <c r="K43" s="1460" t="s">
        <v>528</v>
      </c>
      <c r="L43" s="1460" t="s">
        <v>503</v>
      </c>
      <c r="Q43" s="399"/>
      <c r="R43" s="483"/>
      <c r="S43" s="3128"/>
      <c r="T43" s="3077"/>
      <c r="U43" s="410"/>
      <c r="V43" s="1426" t="s">
        <v>563</v>
      </c>
      <c r="W43" s="1426" t="s">
        <v>564</v>
      </c>
      <c r="X43" s="1434" t="s">
        <v>531</v>
      </c>
      <c r="Y43" s="3082" t="s">
        <v>532</v>
      </c>
      <c r="Z43" s="3095"/>
      <c r="AA43" s="3179"/>
      <c r="AB43" s="3165"/>
      <c r="AC43" s="3166"/>
      <c r="AD43" s="3166"/>
      <c r="AE43" s="3167"/>
      <c r="AF43" s="3166"/>
      <c r="AG43" s="3166"/>
      <c r="AH43" s="3166"/>
      <c r="AI43" s="3167"/>
      <c r="AJ43" s="3165"/>
      <c r="AK43" s="3166"/>
      <c r="AL43" s="3166"/>
      <c r="AM43" s="3167"/>
      <c r="AN43" s="1954" t="s">
        <v>563</v>
      </c>
      <c r="AO43" s="1954" t="s">
        <v>564</v>
      </c>
      <c r="AP43" s="1434" t="s">
        <v>531</v>
      </c>
      <c r="AQ43" s="3082" t="s">
        <v>532</v>
      </c>
      <c r="AR43" s="3095"/>
      <c r="AS43" s="3134"/>
      <c r="AT43" s="3137"/>
      <c r="AU43" s="2978"/>
      <c r="BA43" s="1251">
        <v>14</v>
      </c>
    </row>
    <row s="10851" customFormat="1" customHeight="1" ht="11.25" hidden="1">
      <c r="A44" s="1466"/>
      <c r="B44" s="1466"/>
      <c r="C44" s="1466"/>
      <c r="D44" s="1466"/>
      <c r="E44" s="1466"/>
      <c r="F44" s="1466"/>
      <c r="G44" s="1466"/>
      <c r="H44" s="1466"/>
      <c r="I44" s="1466"/>
      <c r="J44" s="1466"/>
      <c r="K44" s="1466"/>
      <c r="L44" s="1460"/>
      <c r="M44" s="1458"/>
      <c r="N44" s="1458"/>
      <c r="O44" s="1458"/>
      <c r="P44" s="617"/>
      <c r="Q44" s="1350"/>
      <c r="R44" s="1350">
        <v>1</v>
      </c>
      <c r="S44" s="1373" t="s">
        <v>144</v>
      </c>
      <c r="T44" s="1351" t="s">
        <v>102</v>
      </c>
      <c r="U44" s="1341" t="str">
        <f>OFFSET(U44,0,-1)</f>
        <v>2</v>
      </c>
      <c r="V44" s="1431">
        <f>OFFSET(V44,0,-1)+1</f>
        <v>3</v>
      </c>
      <c r="W44" s="1431">
        <f>OFFSET(W44,0,-1)+1</f>
        <v>4</v>
      </c>
      <c r="X44" s="1431">
        <f>OFFSET(X44,0,-1)+1</f>
        <v>5</v>
      </c>
      <c r="Y44" s="3126">
        <f>OFFSET(Y44,0,-1)+1</f>
        <v>6</v>
      </c>
      <c r="Z44" s="3126"/>
      <c r="AA44" s="1431">
        <f>OFFSET(AA44,0,-2)+1</f>
        <v>7</v>
      </c>
      <c r="AB44" s="1437">
        <f>OFFSET(AB44,0,-1)+1</f>
        <v>8</v>
      </c>
      <c r="AC44" s="1437"/>
      <c r="AD44" s="1437"/>
      <c r="AE44" s="1437"/>
      <c r="AF44" s="1431"/>
      <c r="AG44" s="1431"/>
      <c r="AH44" s="1431"/>
      <c r="AI44" s="1431"/>
      <c r="AJ44" s="1431"/>
      <c r="AK44" s="1431"/>
      <c r="AL44" s="1431"/>
      <c r="AM44" s="1431"/>
      <c r="AN44" s="1431">
        <f>OFFSET(AN44,0,-1)+1</f>
        <v>1</v>
      </c>
      <c r="AO44" s="1431">
        <f>OFFSET(AO44,0,-1)+1</f>
        <v>2</v>
      </c>
      <c r="AP44" s="1431">
        <f>OFFSET(AP44,0,-1)+1</f>
        <v>3</v>
      </c>
      <c r="AQ44" s="3126">
        <f>OFFSET(AQ44,0,-1)+1</f>
        <v>4</v>
      </c>
      <c r="AR44" s="3126"/>
      <c r="AS44" s="1431">
        <f>OFFSET(AS44,0,-2)+1</f>
        <v>5</v>
      </c>
      <c r="AT44" s="1341">
        <f>OFFSET(AT44,0,-1)</f>
        <v>5</v>
      </c>
      <c r="AU44" s="1431">
        <f>OFFSET(AU44,0,-1)+1</f>
        <v>6</v>
      </c>
      <c r="AV44" s="618"/>
      <c r="AW44" s="618"/>
      <c r="AX44" s="618"/>
      <c r="AY44" s="618"/>
      <c r="AZ44" s="618"/>
      <c r="BA44" s="603">
        <v>0</v>
      </c>
    </row>
    <row customHeight="1" ht="107.25">
      <c r="A45" s="1459" t="s">
        <v>285</v>
      </c>
      <c r="B45" s="1459"/>
      <c r="C45" s="1459"/>
      <c r="D45" s="1459"/>
      <c r="E45" s="3115">
        <v>1</v>
      </c>
      <c r="F45" s="1459"/>
      <c r="G45" s="1459"/>
      <c r="H45" s="1459"/>
      <c r="I45" s="1459"/>
      <c r="J45" s="1459"/>
      <c r="K45" s="1459"/>
      <c r="L45" s="1460"/>
      <c r="M45" s="1461"/>
      <c r="N45" s="1461"/>
      <c r="O45" s="1461"/>
      <c r="P45" s="1505"/>
      <c r="Q45" s="974"/>
      <c r="R45" s="462"/>
      <c r="S45" s="1432">
        <f>INDEX(PT_DIFFERENTIATION_NUM_NTAR,MATCH(A45,PT_DIFFERENTIATION_NTAR_ID,0))</f>
        <v>0</v>
      </c>
      <c r="T45" s="406" t="s">
        <v>210</v>
      </c>
      <c r="U45" s="408"/>
      <c r="V45" s="3110"/>
      <c r="W45" s="3110"/>
      <c r="X45" s="3110"/>
      <c r="Y45" s="3110"/>
      <c r="Z45" s="3110"/>
      <c r="AA45" s="3111"/>
      <c r="AB45" s="3109" t="str">
        <f>INDEX(PT_DIFFERENTIATION_NTAR,MATCH(A45,PT_DIFFERENTIATION_NTAR_ID,0))</f>
        <v/>
      </c>
      <c r="AC45" s="3110"/>
      <c r="AD45" s="3110"/>
      <c r="AE45" s="3110"/>
      <c r="AF45" s="3110"/>
      <c r="AG45" s="3110"/>
      <c r="AH45" s="3110"/>
      <c r="AI45" s="3110"/>
      <c r="AJ45" s="3110"/>
      <c r="AK45" s="3110"/>
      <c r="AL45" s="3110"/>
      <c r="AM45" s="3110"/>
      <c r="AN45" s="3110"/>
      <c r="AO45" s="3110"/>
      <c r="AP45" s="3110"/>
      <c r="AQ45" s="3110"/>
      <c r="AR45" s="3110"/>
      <c r="AS45" s="3110"/>
      <c r="AT45" s="3111"/>
      <c r="AU45" s="135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07"/>
      <c r="AX45" s="607" t="str">
        <f>IF(T45="","",T45)</f>
        <v>Наименование тарифа</v>
      </c>
      <c r="AY45" s="607"/>
      <c r="AZ45" s="607"/>
      <c r="BA45" s="1251">
        <v>102</v>
      </c>
    </row>
    <row customHeight="1" ht="22.049999999999997">
      <c r="A46" s="1459" t="s">
        <v>285</v>
      </c>
      <c r="B46" s="1459" t="s">
        <v>286</v>
      </c>
      <c r="C46" s="1459"/>
      <c r="D46" s="1459"/>
      <c r="E46" s="3116"/>
      <c r="F46" s="3115">
        <v>1</v>
      </c>
      <c r="G46" s="1459"/>
      <c r="H46" s="1459"/>
      <c r="I46" s="1459"/>
      <c r="J46" s="1459"/>
      <c r="K46" s="1459"/>
      <c r="L46" s="1460"/>
      <c r="M46" s="1461"/>
      <c r="N46" s="1461"/>
      <c r="O46" s="1461"/>
      <c r="P46" s="1506"/>
      <c r="Q46" s="1507"/>
      <c r="R46" s="460"/>
      <c r="S46" s="1432" t="str">
        <f>INDEX(PT_DIFFERENTIATION_NUM_TER,MATCH(B46,PT_DIFFERENTIATION_TER_ID,0))</f>
        <v>.</v>
      </c>
      <c r="T46" s="416" t="s">
        <v>482</v>
      </c>
      <c r="U46" s="408"/>
      <c r="V46" s="3110"/>
      <c r="W46" s="3110"/>
      <c r="X46" s="3110"/>
      <c r="Y46" s="3110"/>
      <c r="Z46" s="3110"/>
      <c r="AA46" s="3111"/>
      <c r="AB46" s="3109" t="str">
        <f>INDEX(PT_DIFFERENTIATION_TER,MATCH(B46,PT_DIFFERENTIATION_TER_ID,0))</f>
        <v/>
      </c>
      <c r="AC46" s="3110"/>
      <c r="AD46" s="3110"/>
      <c r="AE46" s="3110"/>
      <c r="AF46" s="3110"/>
      <c r="AG46" s="3110"/>
      <c r="AH46" s="3110"/>
      <c r="AI46" s="3110"/>
      <c r="AJ46" s="3110"/>
      <c r="AK46" s="3110"/>
      <c r="AL46" s="3110"/>
      <c r="AM46" s="3110"/>
      <c r="AN46" s="3110"/>
      <c r="AO46" s="3110"/>
      <c r="AP46" s="3110"/>
      <c r="AQ46" s="3110"/>
      <c r="AR46" s="3110"/>
      <c r="AS46" s="3110"/>
      <c r="AT46" s="3111"/>
      <c r="AU46" s="1354" t="s">
        <v>483</v>
      </c>
      <c r="AW46" s="607"/>
      <c r="AX46" s="607" t="str">
        <f>IF(T46="","",T46)</f>
        <v>Территория действия тарифа</v>
      </c>
      <c r="AY46" s="607"/>
      <c r="AZ46" s="607"/>
      <c r="BA46" s="1251">
        <v>21</v>
      </c>
    </row>
    <row customHeight="1" ht="24">
      <c r="A47" s="1459" t="s">
        <v>285</v>
      </c>
      <c r="B47" s="1459" t="s">
        <v>286</v>
      </c>
      <c r="C47" s="1459" t="s">
        <v>287</v>
      </c>
      <c r="D47" s="1459"/>
      <c r="E47" s="3116"/>
      <c r="F47" s="3116"/>
      <c r="G47" s="3115">
        <v>1</v>
      </c>
      <c r="H47" s="1459"/>
      <c r="I47" s="1459"/>
      <c r="J47" s="1459"/>
      <c r="K47" s="1459"/>
      <c r="L47" s="1460"/>
      <c r="M47" s="1461"/>
      <c r="N47" s="1461"/>
      <c r="O47" s="1461"/>
      <c r="P47" s="1508"/>
      <c r="Q47" s="1507"/>
      <c r="R47" s="460"/>
      <c r="S47" s="1432" t="str">
        <f>INDEX(PT_DIFFERENTIATION_NUM_CS,MATCH(C47,PT_DIFFERENTIATION_CS_ID,0))</f>
        <v>..</v>
      </c>
      <c r="T47" s="417" t="s">
        <v>484</v>
      </c>
      <c r="U47" s="408"/>
      <c r="V47" s="3110"/>
      <c r="W47" s="3110"/>
      <c r="X47" s="3110"/>
      <c r="Y47" s="3110"/>
      <c r="Z47" s="3110"/>
      <c r="AA47" s="3111"/>
      <c r="AB47" s="3109" t="str">
        <f>INDEX(PT_DIFFERENTIATION_CS,MATCH(C47,PT_DIFFERENTIATION_CS_ID,0))</f>
        <v/>
      </c>
      <c r="AC47" s="3110"/>
      <c r="AD47" s="3110"/>
      <c r="AE47" s="3110"/>
      <c r="AF47" s="3110"/>
      <c r="AG47" s="3110"/>
      <c r="AH47" s="3110"/>
      <c r="AI47" s="3110"/>
      <c r="AJ47" s="3110"/>
      <c r="AK47" s="3110"/>
      <c r="AL47" s="3110"/>
      <c r="AM47" s="3110"/>
      <c r="AN47" s="3110"/>
      <c r="AO47" s="3110"/>
      <c r="AP47" s="3110"/>
      <c r="AQ47" s="3110"/>
      <c r="AR47" s="3110"/>
      <c r="AS47" s="3110"/>
      <c r="AT47" s="3111"/>
      <c r="AU47" s="1354" t="s">
        <v>485</v>
      </c>
      <c r="AW47" s="607"/>
      <c r="AX47" s="607" t="str">
        <f>IF(T47="","",T47)</f>
        <v>Наименование системы теплоснабжения </v>
      </c>
      <c r="AY47" s="607"/>
      <c r="AZ47" s="607"/>
      <c r="BA47" s="1251">
        <v>23</v>
      </c>
    </row>
    <row customHeight="1" ht="21">
      <c r="A48" s="1459" t="s">
        <v>285</v>
      </c>
      <c r="B48" s="1459" t="s">
        <v>286</v>
      </c>
      <c r="C48" s="1459" t="s">
        <v>287</v>
      </c>
      <c r="D48" s="1459" t="s">
        <v>288</v>
      </c>
      <c r="E48" s="3116"/>
      <c r="F48" s="3116"/>
      <c r="G48" s="3116"/>
      <c r="H48" s="3115">
        <v>1</v>
      </c>
      <c r="I48" s="1459"/>
      <c r="J48" s="1459"/>
      <c r="K48" s="1459"/>
      <c r="L48" s="1460"/>
      <c r="M48" s="1461"/>
      <c r="N48" s="1461"/>
      <c r="O48" s="1461"/>
      <c r="P48" s="1508"/>
      <c r="Q48" s="1507"/>
      <c r="R48" s="460"/>
      <c r="S48" s="1432" t="str">
        <f>INDEX(PT_DIFFERENTIATION_NUM_IST_TE,MATCH(D48,PT_DIFFERENTIATION_IST_TE_ID,0))</f>
        <v>...</v>
      </c>
      <c r="T48" s="418" t="s">
        <v>486</v>
      </c>
      <c r="U48" s="408"/>
      <c r="V48" s="3110"/>
      <c r="W48" s="3110"/>
      <c r="X48" s="3110"/>
      <c r="Y48" s="3110"/>
      <c r="Z48" s="3110"/>
      <c r="AA48" s="3111"/>
      <c r="AB48" s="3109" t="str">
        <f>INDEX(PT_DIFFERENTIATION_IST_TE,MATCH(D48,PT_DIFFERENTIATION_IST_TE_ID,0))</f>
        <v/>
      </c>
      <c r="AC48" s="3110"/>
      <c r="AD48" s="3110"/>
      <c r="AE48" s="3110"/>
      <c r="AF48" s="3110"/>
      <c r="AG48" s="3110"/>
      <c r="AH48" s="3110"/>
      <c r="AI48" s="3110"/>
      <c r="AJ48" s="3110"/>
      <c r="AK48" s="3110"/>
      <c r="AL48" s="3110"/>
      <c r="AM48" s="3110"/>
      <c r="AN48" s="3110"/>
      <c r="AO48" s="3110"/>
      <c r="AP48" s="3110"/>
      <c r="AQ48" s="3110"/>
      <c r="AR48" s="3110"/>
      <c r="AS48" s="3110"/>
      <c r="AT48" s="3111"/>
      <c r="AU48" s="1354" t="s">
        <v>487</v>
      </c>
      <c r="AW48" s="607"/>
      <c r="AX48" s="607" t="str">
        <f>IF(T48="","",T48)</f>
        <v>Источник тепловой энергии  </v>
      </c>
      <c r="AY48" s="607"/>
      <c r="AZ48" s="607"/>
      <c r="BA48" s="1251">
        <v>20</v>
      </c>
    </row>
    <row s="10307" customFormat="1" customHeight="1" ht="1.05">
      <c r="A49" s="1439" t="s">
        <v>285</v>
      </c>
      <c r="B49" s="1439" t="s">
        <v>286</v>
      </c>
      <c r="C49" s="1439" t="s">
        <v>287</v>
      </c>
      <c r="D49" s="1439" t="s">
        <v>288</v>
      </c>
      <c r="E49" s="3116"/>
      <c r="F49" s="3116"/>
      <c r="G49" s="3116"/>
      <c r="H49" s="3116"/>
      <c r="I49" s="3117" t="str">
        <f>S48&amp;".1"</f>
        <v>....1</v>
      </c>
      <c r="J49" s="1439"/>
      <c r="K49" s="1439"/>
      <c r="L49" s="1442" t="s">
        <v>488</v>
      </c>
      <c r="M49" s="617"/>
      <c r="N49" s="617"/>
      <c r="O49" s="617"/>
      <c r="P49" s="3119">
        <v>1</v>
      </c>
      <c r="Q49" s="1427"/>
      <c r="R49" s="463"/>
      <c r="S49" s="1142"/>
      <c r="T49" s="1479"/>
      <c r="U49" s="1480"/>
      <c r="V49" s="3147"/>
      <c r="W49" s="3147"/>
      <c r="X49" s="3147"/>
      <c r="Y49" s="3147"/>
      <c r="Z49" s="3147"/>
      <c r="AA49" s="3148"/>
      <c r="AB49" s="3146"/>
      <c r="AC49" s="3147"/>
      <c r="AD49" s="3147"/>
      <c r="AE49" s="3147"/>
      <c r="AF49" s="3147"/>
      <c r="AG49" s="3147"/>
      <c r="AH49" s="3147"/>
      <c r="AI49" s="3147"/>
      <c r="AJ49" s="3147"/>
      <c r="AK49" s="3147"/>
      <c r="AL49" s="3147"/>
      <c r="AM49" s="3147"/>
      <c r="AN49" s="3147"/>
      <c r="AO49" s="3147"/>
      <c r="AP49" s="3147"/>
      <c r="AQ49" s="3147"/>
      <c r="AR49" s="3147"/>
      <c r="AS49" s="3147"/>
      <c r="AT49" s="3148"/>
      <c r="AU49" s="1481"/>
      <c r="AW49" s="607"/>
      <c r="AX49" s="607" t="str">
        <f>IF(T49="","",T49)</f>
        <v/>
      </c>
      <c r="AY49" s="607"/>
      <c r="AZ49" s="607"/>
      <c r="BA49" s="618">
        <v>1</v>
      </c>
    </row>
    <row s="10307" customFormat="1" customHeight="1" ht="1.05">
      <c r="A50" s="1439" t="s">
        <v>285</v>
      </c>
      <c r="B50" s="1439" t="s">
        <v>286</v>
      </c>
      <c r="C50" s="1439" t="s">
        <v>287</v>
      </c>
      <c r="D50" s="1439" t="s">
        <v>288</v>
      </c>
      <c r="E50" s="3116"/>
      <c r="F50" s="3116"/>
      <c r="G50" s="3116"/>
      <c r="H50" s="3116"/>
      <c r="I50" s="3118"/>
      <c r="J50" s="3117" t="str">
        <f>S48&amp;".1"</f>
        <v>....1</v>
      </c>
      <c r="K50" s="1439"/>
      <c r="L50" s="1442"/>
      <c r="M50" s="617"/>
      <c r="N50" s="617"/>
      <c r="O50" s="617"/>
      <c r="P50" s="3119"/>
      <c r="Q50" s="3119">
        <v>1</v>
      </c>
      <c r="R50" s="464"/>
      <c r="S50" s="1142"/>
      <c r="T50" s="1495"/>
      <c r="U50" s="1480"/>
      <c r="V50" s="3147"/>
      <c r="W50" s="3147"/>
      <c r="X50" s="3147"/>
      <c r="Y50" s="3147"/>
      <c r="Z50" s="3147"/>
      <c r="AA50" s="3148"/>
      <c r="AB50" s="3146"/>
      <c r="AC50" s="3147"/>
      <c r="AD50" s="3147"/>
      <c r="AE50" s="3147"/>
      <c r="AF50" s="3147"/>
      <c r="AG50" s="3147"/>
      <c r="AH50" s="3147"/>
      <c r="AI50" s="3147"/>
      <c r="AJ50" s="3147"/>
      <c r="AK50" s="3147"/>
      <c r="AL50" s="3147"/>
      <c r="AM50" s="3147"/>
      <c r="AN50" s="3147"/>
      <c r="AO50" s="3147"/>
      <c r="AP50" s="3147"/>
      <c r="AQ50" s="3147"/>
      <c r="AR50" s="3147"/>
      <c r="AS50" s="3147"/>
      <c r="AT50" s="3148"/>
      <c r="AU50" s="1481"/>
      <c r="AW50" s="607"/>
      <c r="AX50" s="607" t="str">
        <f>IF(T50="","",T50)</f>
        <v/>
      </c>
      <c r="AY50" s="607"/>
      <c r="AZ50" s="607"/>
      <c r="BA50" s="618">
        <v>1</v>
      </c>
    </row>
    <row customHeight="1" ht="22.049999999999997">
      <c r="A51" s="1459" t="s">
        <v>285</v>
      </c>
      <c r="B51" s="1459" t="s">
        <v>286</v>
      </c>
      <c r="C51" s="1459" t="s">
        <v>287</v>
      </c>
      <c r="D51" s="1459" t="s">
        <v>288</v>
      </c>
      <c r="E51" s="3116"/>
      <c r="F51" s="3116"/>
      <c r="G51" s="3116"/>
      <c r="H51" s="3116"/>
      <c r="I51" s="3118"/>
      <c r="J51" s="3118"/>
      <c r="K51" s="3117" t="str">
        <f>S48&amp;".1"</f>
        <v>....1</v>
      </c>
      <c r="L51" s="1460"/>
      <c r="P51" s="3119"/>
      <c r="Q51" s="3119"/>
      <c r="R51" s="464">
        <v>1</v>
      </c>
      <c r="S51" s="3172" t="str">
        <f>$K51</f>
        <v>....1</v>
      </c>
      <c r="T51" s="3169"/>
      <c r="U51" s="408"/>
      <c r="V51" s="858"/>
      <c r="W51" s="1353"/>
      <c r="X51" s="1830"/>
      <c r="Y51" s="1555" t="s">
        <v>62</v>
      </c>
      <c r="Z51" s="1830"/>
      <c r="AA51" s="1555" t="s">
        <v>62</v>
      </c>
      <c r="AB51" s="2989" t="s">
        <v>19</v>
      </c>
      <c r="AC51" s="3168"/>
      <c r="AD51" s="3073">
        <v>1</v>
      </c>
      <c r="AE51" s="3160" t="s">
        <v>22</v>
      </c>
      <c r="AF51" s="2989" t="s">
        <v>19</v>
      </c>
      <c r="AG51" s="3168"/>
      <c r="AH51" s="3073">
        <v>1</v>
      </c>
      <c r="AI51" s="3160" t="s">
        <v>22</v>
      </c>
      <c r="AJ51" s="2989" t="s">
        <v>19</v>
      </c>
      <c r="AK51" s="419"/>
      <c r="AL51" s="1433">
        <v>1</v>
      </c>
      <c r="AM51" s="1498"/>
      <c r="AN51" s="858"/>
      <c r="AO51" s="1353"/>
      <c r="AP51" s="1830"/>
      <c r="AQ51" s="1555" t="s">
        <v>62</v>
      </c>
      <c r="AR51" s="1830"/>
      <c r="AS51" s="1555" t="s">
        <v>62</v>
      </c>
      <c r="AT51" s="1444"/>
      <c r="AU51" s="3138" t="s">
        <v>565</v>
      </c>
      <c r="AV51" s="618">
        <f>STRCHECKDATE(V54:AT54)</f>
      </c>
      <c r="AW51" s="607"/>
      <c r="AX51" s="607" t="str">
        <f>IF(T51="","",T51)</f>
        <v/>
      </c>
      <c r="AY51" s="607"/>
      <c r="AZ51" s="607"/>
      <c r="BA51" s="1251">
        <v>21</v>
      </c>
    </row>
    <row customHeight="1" ht="11.549999999999999">
      <c r="A52" s="1459" t="s">
        <v>285</v>
      </c>
      <c r="B52" s="1459"/>
      <c r="C52" s="1459"/>
      <c r="D52" s="1459"/>
      <c r="E52" s="3116"/>
      <c r="F52" s="3116"/>
      <c r="G52" s="3116"/>
      <c r="H52" s="3116"/>
      <c r="I52" s="3118"/>
      <c r="J52" s="3118"/>
      <c r="K52" s="3117"/>
      <c r="L52" s="1460"/>
      <c r="P52" s="3119"/>
      <c r="Q52" s="3119"/>
      <c r="R52" s="464"/>
      <c r="S52" s="3173"/>
      <c r="T52" s="3170"/>
      <c r="U52" s="408"/>
      <c r="V52" s="1489"/>
      <c r="W52" s="1592"/>
      <c r="X52" s="1489"/>
      <c r="Y52" s="1489"/>
      <c r="Z52" s="1489"/>
      <c r="AA52" s="1489"/>
      <c r="AB52" s="2989"/>
      <c r="AC52" s="3168"/>
      <c r="AD52" s="3073"/>
      <c r="AE52" s="3160"/>
      <c r="AF52" s="2989"/>
      <c r="AG52" s="3168"/>
      <c r="AH52" s="3073"/>
      <c r="AI52" s="3160"/>
      <c r="AJ52" s="2989"/>
      <c r="AK52" s="424"/>
      <c r="AL52" s="523"/>
      <c r="AM52" s="522" t="s">
        <v>550</v>
      </c>
      <c r="AN52" s="1489"/>
      <c r="AO52" s="1592"/>
      <c r="AP52" s="1489"/>
      <c r="AQ52" s="1489"/>
      <c r="AR52" s="1489"/>
      <c r="AS52" s="1489"/>
      <c r="AT52" s="1486"/>
      <c r="AU52" s="3139"/>
      <c r="AW52" s="607"/>
      <c r="AX52" s="607"/>
      <c r="AY52" s="607"/>
      <c r="AZ52" s="607"/>
      <c r="BA52" s="1251">
        <v>11</v>
      </c>
    </row>
    <row customHeight="1" ht="11.549999999999999">
      <c r="A53" s="1459" t="s">
        <v>285</v>
      </c>
      <c r="B53" s="1459"/>
      <c r="C53" s="1459"/>
      <c r="D53" s="1459"/>
      <c r="E53" s="3116"/>
      <c r="F53" s="3116"/>
      <c r="G53" s="3116"/>
      <c r="H53" s="3116"/>
      <c r="I53" s="3118"/>
      <c r="J53" s="3118"/>
      <c r="K53" s="3117"/>
      <c r="L53" s="1460"/>
      <c r="P53" s="3119"/>
      <c r="Q53" s="3119"/>
      <c r="R53" s="464"/>
      <c r="S53" s="3173"/>
      <c r="T53" s="3170"/>
      <c r="U53" s="408"/>
      <c r="V53" s="1489"/>
      <c r="W53" s="1592"/>
      <c r="X53" s="1489"/>
      <c r="Y53" s="1489"/>
      <c r="Z53" s="1489"/>
      <c r="AA53" s="1489"/>
      <c r="AB53" s="2989"/>
      <c r="AC53" s="3168"/>
      <c r="AD53" s="3073"/>
      <c r="AE53" s="3160"/>
      <c r="AF53" s="2989"/>
      <c r="AG53" s="402"/>
      <c r="AH53" s="522"/>
      <c r="AI53" s="522" t="s">
        <v>551</v>
      </c>
      <c r="AJ53" s="1489"/>
      <c r="AK53" s="1489"/>
      <c r="AL53" s="1489"/>
      <c r="AM53" s="1489"/>
      <c r="AN53" s="1489"/>
      <c r="AO53" s="1592"/>
      <c r="AP53" s="1489"/>
      <c r="AQ53" s="1489"/>
      <c r="AR53" s="1489"/>
      <c r="AS53" s="1489"/>
      <c r="AT53" s="1486"/>
      <c r="AU53" s="3139"/>
      <c r="AW53" s="607"/>
      <c r="AX53" s="607"/>
      <c r="AY53" s="607"/>
      <c r="AZ53" s="607"/>
      <c r="BA53" s="1251">
        <v>11</v>
      </c>
    </row>
    <row customHeight="1" ht="11.549999999999999">
      <c r="A54" s="1459" t="s">
        <v>285</v>
      </c>
      <c r="B54" s="1459" t="s">
        <v>286</v>
      </c>
      <c r="C54" s="1459" t="s">
        <v>287</v>
      </c>
      <c r="D54" s="1459" t="s">
        <v>288</v>
      </c>
      <c r="E54" s="3116"/>
      <c r="F54" s="3116"/>
      <c r="G54" s="3116"/>
      <c r="H54" s="3116"/>
      <c r="I54" s="3118"/>
      <c r="J54" s="3118"/>
      <c r="K54" s="3117"/>
      <c r="L54" s="1460"/>
      <c r="P54" s="3119"/>
      <c r="Q54" s="3119"/>
      <c r="R54" s="464"/>
      <c r="S54" s="3174"/>
      <c r="T54" s="3171"/>
      <c r="U54" s="408"/>
      <c r="V54" s="1489"/>
      <c r="W54" s="1490" t="str">
        <f>X51&amp;"-"&amp;Z51</f>
        <v>-</v>
      </c>
      <c r="X54" s="1489"/>
      <c r="Y54" s="1489"/>
      <c r="Z54" s="1489"/>
      <c r="AA54" s="1489"/>
      <c r="AB54" s="2989"/>
      <c r="AC54" s="420"/>
      <c r="AD54" s="422"/>
      <c r="AE54" s="522" t="s">
        <v>552</v>
      </c>
      <c r="AF54" s="1489"/>
      <c r="AG54" s="1489"/>
      <c r="AH54" s="1489"/>
      <c r="AI54" s="1489"/>
      <c r="AJ54" s="1489"/>
      <c r="AK54" s="1489"/>
      <c r="AL54" s="1489"/>
      <c r="AM54" s="1489"/>
      <c r="AN54" s="1489"/>
      <c r="AO54" s="1490" t="str">
        <f>AP51&amp;"-"&amp;AR51</f>
        <v>-</v>
      </c>
      <c r="AP54" s="1489"/>
      <c r="AQ54" s="1489"/>
      <c r="AR54" s="1489"/>
      <c r="AS54" s="1489"/>
      <c r="AT54" s="1445"/>
      <c r="AU54" s="3139"/>
      <c r="AW54" s="607"/>
      <c r="AX54" s="607" t="str">
        <f>IF(T54="","",T54)</f>
        <v/>
      </c>
      <c r="AY54" s="607"/>
      <c r="AZ54" s="607"/>
      <c r="BA54" s="1251">
        <v>11</v>
      </c>
    </row>
    <row customHeight="1" ht="11.549999999999999">
      <c r="A55" s="1459" t="s">
        <v>285</v>
      </c>
      <c r="B55" s="1459" t="s">
        <v>286</v>
      </c>
      <c r="C55" s="1459" t="s">
        <v>287</v>
      </c>
      <c r="D55" s="1459" t="s">
        <v>288</v>
      </c>
      <c r="E55" s="3116"/>
      <c r="F55" s="3116"/>
      <c r="G55" s="3116"/>
      <c r="H55" s="3116"/>
      <c r="I55" s="3118"/>
      <c r="J55" s="3117"/>
      <c r="K55" s="1459"/>
      <c r="L55" s="1460"/>
      <c r="P55" s="3119"/>
      <c r="Q55" s="3119"/>
      <c r="R55" s="463"/>
      <c r="S55" s="1374"/>
      <c r="T55" s="395" t="s">
        <v>553</v>
      </c>
      <c r="U55" s="474"/>
      <c r="V55" s="474"/>
      <c r="W55" s="474"/>
      <c r="X55" s="474"/>
      <c r="Y55" s="474"/>
      <c r="Z55" s="474"/>
      <c r="AA55" s="432"/>
      <c r="AB55" s="1601"/>
      <c r="AC55" s="474"/>
      <c r="AD55" s="474"/>
      <c r="AE55" s="474"/>
      <c r="AF55" s="474"/>
      <c r="AG55" s="474"/>
      <c r="AH55" s="474"/>
      <c r="AI55" s="474"/>
      <c r="AJ55" s="474"/>
      <c r="AK55" s="474"/>
      <c r="AL55" s="474"/>
      <c r="AM55" s="474"/>
      <c r="AN55" s="474"/>
      <c r="AO55" s="474"/>
      <c r="AP55" s="474"/>
      <c r="AQ55" s="474"/>
      <c r="AR55" s="474"/>
      <c r="AS55" s="474"/>
      <c r="AT55" s="432"/>
      <c r="AU55" s="3140"/>
      <c r="AW55" s="607"/>
      <c r="AX55" s="607" t="str">
        <f>IF(T55="","",T55)</f>
        <v>Добавить строку</v>
      </c>
      <c r="AY55" s="607"/>
      <c r="AZ55" s="607"/>
      <c r="BA55" s="1251">
        <v>11</v>
      </c>
    </row>
    <row s="10307" customFormat="1" customHeight="1" ht="1.05">
      <c r="A56" s="1439" t="s">
        <v>285</v>
      </c>
      <c r="B56" s="1439" t="s">
        <v>286</v>
      </c>
      <c r="C56" s="1439" t="s">
        <v>287</v>
      </c>
      <c r="D56" s="1439" t="s">
        <v>288</v>
      </c>
      <c r="E56" s="3116"/>
      <c r="F56" s="3116"/>
      <c r="G56" s="3116"/>
      <c r="H56" s="3116"/>
      <c r="I56" s="3117"/>
      <c r="J56" s="1439"/>
      <c r="K56" s="1439"/>
      <c r="L56" s="1442"/>
      <c r="M56" s="617"/>
      <c r="N56" s="617"/>
      <c r="O56" s="617"/>
      <c r="P56" s="3119"/>
      <c r="Q56" s="1427"/>
      <c r="R56" s="463"/>
      <c r="S56" s="1482"/>
      <c r="T56" s="1483" t="s">
        <v>497</v>
      </c>
      <c r="U56" s="1484"/>
      <c r="V56" s="1484"/>
      <c r="W56" s="1484"/>
      <c r="X56" s="1484"/>
      <c r="Y56" s="1484"/>
      <c r="Z56" s="1484"/>
      <c r="AA56" s="1484"/>
      <c r="AB56" s="1484"/>
      <c r="AC56" s="1484"/>
      <c r="AD56" s="1484"/>
      <c r="AE56" s="1484"/>
      <c r="AF56" s="1484"/>
      <c r="AG56" s="1484"/>
      <c r="AH56" s="1484"/>
      <c r="AI56" s="1484"/>
      <c r="AJ56" s="1484"/>
      <c r="AK56" s="1484"/>
      <c r="AL56" s="1484"/>
      <c r="AM56" s="1484"/>
      <c r="AN56" s="1484"/>
      <c r="AO56" s="1484"/>
      <c r="AP56" s="1484"/>
      <c r="AQ56" s="1484"/>
      <c r="AR56" s="1484"/>
      <c r="AS56" s="1484"/>
      <c r="AT56" s="1484"/>
      <c r="AU56" s="1485"/>
      <c r="AW56" s="607"/>
      <c r="AX56" s="607" t="str">
        <f>IF(T56="","",T56)</f>
        <v>Добавить группу потребителей</v>
      </c>
      <c r="AY56" s="607"/>
      <c r="AZ56" s="607"/>
      <c r="BA56" s="618">
        <v>1</v>
      </c>
    </row>
    <row s="10851" customFormat="1" customHeight="1" ht="1.05">
      <c r="A57" s="1439" t="s">
        <v>285</v>
      </c>
      <c r="B57" s="1439" t="s">
        <v>286</v>
      </c>
      <c r="C57" s="1439" t="s">
        <v>287</v>
      </c>
      <c r="D57" s="1439" t="s">
        <v>288</v>
      </c>
      <c r="E57" s="3116"/>
      <c r="F57" s="3116"/>
      <c r="G57" s="3116"/>
      <c r="H57" s="3115"/>
      <c r="I57" s="1439"/>
      <c r="J57" s="1439"/>
      <c r="K57" s="1439"/>
      <c r="L57" s="1442"/>
      <c r="M57" s="1411"/>
      <c r="N57" s="1411"/>
      <c r="O57" s="625"/>
      <c r="P57" s="487"/>
      <c r="Q57" s="1440"/>
      <c r="R57" s="1496"/>
      <c r="S57" s="1482"/>
      <c r="T57" s="1483"/>
      <c r="U57" s="1484"/>
      <c r="V57" s="1484"/>
      <c r="W57" s="1484"/>
      <c r="X57" s="1484"/>
      <c r="Y57" s="1484"/>
      <c r="Z57" s="1484"/>
      <c r="AA57" s="1484"/>
      <c r="AB57" s="1484"/>
      <c r="AC57" s="1484"/>
      <c r="AD57" s="1484"/>
      <c r="AE57" s="1484"/>
      <c r="AF57" s="1484"/>
      <c r="AG57" s="1484"/>
      <c r="AH57" s="1484"/>
      <c r="AI57" s="1484"/>
      <c r="AJ57" s="1484"/>
      <c r="AK57" s="1484"/>
      <c r="AL57" s="1484"/>
      <c r="AM57" s="1484"/>
      <c r="AN57" s="1484"/>
      <c r="AO57" s="1484"/>
      <c r="AP57" s="1484"/>
      <c r="AQ57" s="1484"/>
      <c r="AR57" s="1484"/>
      <c r="AS57" s="1484"/>
      <c r="AT57" s="1484"/>
      <c r="AU57" s="1485"/>
      <c r="AV57" s="618"/>
      <c r="AW57" s="607"/>
      <c r="AX57" s="607" t="str">
        <f>IF(T57="","",T57)</f>
        <v/>
      </c>
      <c r="AY57" s="607"/>
      <c r="AZ57" s="607"/>
      <c r="BA57" s="603">
        <v>1</v>
      </c>
    </row>
    <row s="10307" customFormat="1" customHeight="1" ht="1.05">
      <c r="A58" s="1439" t="s">
        <v>285</v>
      </c>
      <c r="B58" s="1439" t="s">
        <v>286</v>
      </c>
      <c r="C58" s="1439" t="s">
        <v>287</v>
      </c>
      <c r="D58" s="1410"/>
      <c r="E58" s="3116"/>
      <c r="F58" s="3116"/>
      <c r="G58" s="3115"/>
      <c r="H58" s="1410"/>
      <c r="I58" s="1410"/>
      <c r="J58" s="1410"/>
      <c r="K58" s="1410"/>
      <c r="L58" s="1435"/>
      <c r="M58" s="1411"/>
      <c r="N58" s="1411"/>
      <c r="P58" s="1412"/>
      <c r="Q58" s="1413"/>
      <c r="R58" s="1412"/>
      <c r="S58" s="1418"/>
      <c r="T58" s="1421" t="s">
        <v>499</v>
      </c>
      <c r="U58" s="1420"/>
      <c r="V58" s="1420"/>
      <c r="W58" s="1420"/>
      <c r="X58" s="1420"/>
      <c r="Y58" s="1420"/>
      <c r="Z58" s="1420"/>
      <c r="AA58" s="1420"/>
      <c r="AB58" s="1420"/>
      <c r="AC58" s="1420"/>
      <c r="AD58" s="1420"/>
      <c r="AE58" s="1420"/>
      <c r="AF58" s="1420"/>
      <c r="AG58" s="1420"/>
      <c r="AH58" s="1420"/>
      <c r="AI58" s="1420"/>
      <c r="AJ58" s="1420"/>
      <c r="AK58" s="1420"/>
      <c r="AL58" s="1420"/>
      <c r="AM58" s="1420"/>
      <c r="AN58" s="1420"/>
      <c r="AO58" s="1420"/>
      <c r="AP58" s="1420"/>
      <c r="AQ58" s="1420"/>
      <c r="AR58" s="1420"/>
      <c r="AS58" s="1420"/>
      <c r="AT58" s="1420"/>
      <c r="AU58" s="1420"/>
      <c r="AW58" s="890"/>
      <c r="AX58" s="890" t="str">
        <f>IF(T58="","",T58)</f>
        <v>Добавить источник для дифференциации</v>
      </c>
      <c r="AY58" s="890"/>
      <c r="AZ58" s="890"/>
      <c r="BA58" s="625">
        <v>1</v>
      </c>
    </row>
    <row s="10307" customFormat="1" customHeight="1" ht="1.05">
      <c r="A59" s="1439" t="s">
        <v>285</v>
      </c>
      <c r="B59" s="1439" t="s">
        <v>286</v>
      </c>
      <c r="C59" s="1410"/>
      <c r="D59" s="1410"/>
      <c r="E59" s="3116"/>
      <c r="F59" s="3115"/>
      <c r="G59" s="1410"/>
      <c r="H59" s="1410"/>
      <c r="I59" s="1410"/>
      <c r="J59" s="1410"/>
      <c r="K59" s="1410"/>
      <c r="L59" s="1435"/>
      <c r="M59" s="1417"/>
      <c r="N59" s="1417"/>
      <c r="P59" s="1412"/>
      <c r="Q59" s="1413"/>
      <c r="R59" s="1412"/>
      <c r="S59" s="1418"/>
      <c r="T59" s="1421" t="s">
        <v>500</v>
      </c>
      <c r="U59" s="1420"/>
      <c r="V59" s="1420"/>
      <c r="W59" s="1420"/>
      <c r="X59" s="1420"/>
      <c r="Y59" s="1420"/>
      <c r="Z59" s="1420"/>
      <c r="AA59" s="1420"/>
      <c r="AB59" s="1420"/>
      <c r="AC59" s="1420"/>
      <c r="AD59" s="1420"/>
      <c r="AE59" s="1420"/>
      <c r="AF59" s="1420"/>
      <c r="AG59" s="1420"/>
      <c r="AH59" s="1420"/>
      <c r="AI59" s="1420"/>
      <c r="AJ59" s="1420"/>
      <c r="AK59" s="1420"/>
      <c r="AL59" s="1420"/>
      <c r="AM59" s="1420"/>
      <c r="AN59" s="1420"/>
      <c r="AO59" s="1420"/>
      <c r="AP59" s="1420"/>
      <c r="AQ59" s="1420"/>
      <c r="AR59" s="1420"/>
      <c r="AS59" s="1420"/>
      <c r="AT59" s="1420"/>
      <c r="AU59" s="1420"/>
      <c r="AW59" s="890"/>
      <c r="AX59" s="890" t="str">
        <f>IF(T59="","",T59)</f>
        <v>Добавить централизованную систему для дифференциации</v>
      </c>
      <c r="AY59" s="890"/>
      <c r="AZ59" s="890"/>
      <c r="BA59" s="625">
        <v>1</v>
      </c>
    </row>
    <row s="10307" customFormat="1" customHeight="1" ht="1.05">
      <c r="A60" s="1439" t="s">
        <v>285</v>
      </c>
      <c r="B60" s="1439"/>
      <c r="C60" s="1439"/>
      <c r="D60" s="1439"/>
      <c r="E60" s="3116"/>
      <c r="F60" s="1439"/>
      <c r="G60" s="1439"/>
      <c r="H60" s="1439"/>
      <c r="I60" s="1439"/>
      <c r="J60" s="1439"/>
      <c r="K60" s="1439"/>
      <c r="L60" s="1442"/>
      <c r="M60" s="1417"/>
      <c r="N60" s="1417"/>
      <c r="O60" s="625"/>
      <c r="P60" s="487"/>
      <c r="Q60" s="1440"/>
      <c r="R60" s="487"/>
      <c r="S60" s="1418"/>
      <c r="T60" s="1421" t="s">
        <v>501</v>
      </c>
      <c r="U60" s="1420"/>
      <c r="V60" s="1420"/>
      <c r="W60" s="1420"/>
      <c r="X60" s="1420"/>
      <c r="Y60" s="1420"/>
      <c r="Z60" s="1420"/>
      <c r="AA60" s="1420"/>
      <c r="AB60" s="1420"/>
      <c r="AC60" s="1420"/>
      <c r="AD60" s="1420"/>
      <c r="AE60" s="1420"/>
      <c r="AF60" s="1420"/>
      <c r="AG60" s="1420"/>
      <c r="AH60" s="1420"/>
      <c r="AI60" s="1420"/>
      <c r="AJ60" s="1420"/>
      <c r="AK60" s="1420"/>
      <c r="AL60" s="1420"/>
      <c r="AM60" s="1420"/>
      <c r="AN60" s="1420"/>
      <c r="AO60" s="1420"/>
      <c r="AP60" s="1420"/>
      <c r="AQ60" s="1420"/>
      <c r="AR60" s="1420"/>
      <c r="AS60" s="1420"/>
      <c r="AT60" s="1420"/>
      <c r="AU60" s="1420"/>
      <c r="AW60" s="607"/>
      <c r="AX60" s="607" t="str">
        <f>IF(T60="","",T60)</f>
        <v>Добавить территорию для дифференциации</v>
      </c>
      <c r="AY60" s="607"/>
      <c r="AZ60" s="607"/>
      <c r="BA60" s="618">
        <v>1</v>
      </c>
    </row>
    <row s="10307" customFormat="1" customHeight="1" ht="1.05">
      <c r="A61" s="1439" t="s">
        <v>285</v>
      </c>
      <c r="B61" s="1439"/>
      <c r="C61" s="1439"/>
      <c r="D61" s="1439"/>
      <c r="E61" s="3115"/>
      <c r="F61" s="1439"/>
      <c r="G61" s="1439"/>
      <c r="H61" s="1439"/>
      <c r="I61" s="1439"/>
      <c r="J61" s="1439"/>
      <c r="K61" s="1439"/>
      <c r="L61" s="1442"/>
      <c r="M61" s="1417"/>
      <c r="N61" s="1417"/>
      <c r="O61" s="625"/>
      <c r="P61" s="487"/>
      <c r="Q61" s="1440"/>
      <c r="R61" s="487"/>
      <c r="S61" s="1418"/>
      <c r="T61" s="1421" t="s">
        <v>501</v>
      </c>
      <c r="U61" s="1420"/>
      <c r="V61" s="1420"/>
      <c r="W61" s="1420"/>
      <c r="X61" s="1420"/>
      <c r="Y61" s="1420"/>
      <c r="Z61" s="1420"/>
      <c r="AA61" s="1420"/>
      <c r="AB61" s="1420"/>
      <c r="AC61" s="1420"/>
      <c r="AD61" s="1420"/>
      <c r="AE61" s="1420"/>
      <c r="AF61" s="1420"/>
      <c r="AG61" s="1420"/>
      <c r="AH61" s="1420"/>
      <c r="AI61" s="1420"/>
      <c r="AJ61" s="1420"/>
      <c r="AK61" s="1420"/>
      <c r="AL61" s="1420"/>
      <c r="AM61" s="1420"/>
      <c r="AN61" s="1420"/>
      <c r="AO61" s="1420"/>
      <c r="AP61" s="1420"/>
      <c r="AQ61" s="1420"/>
      <c r="AR61" s="1420"/>
      <c r="AS61" s="1420"/>
      <c r="AT61" s="1420"/>
      <c r="AU61" s="1420"/>
      <c r="AW61" s="607"/>
      <c r="AX61" s="607" t="str">
        <f>IF(T61="","",T61)</f>
        <v>Добавить территорию для дифференциации</v>
      </c>
      <c r="AY61" s="607"/>
      <c r="AZ61" s="607"/>
      <c r="BA61" s="618">
        <v>1</v>
      </c>
    </row>
    <row s="10307" customFormat="1" customHeight="1" ht="1.05">
      <c r="A62" s="1410"/>
      <c r="B62" s="1410"/>
      <c r="C62" s="1410"/>
      <c r="D62" s="1410"/>
      <c r="E62" s="1439"/>
      <c r="F62" s="1410"/>
      <c r="G62" s="1410"/>
      <c r="H62" s="1410"/>
      <c r="I62" s="1410"/>
      <c r="J62" s="1410"/>
      <c r="K62" s="1410"/>
      <c r="L62" s="1435"/>
      <c r="M62" s="1417"/>
      <c r="N62" s="1417"/>
      <c r="P62" s="1412"/>
      <c r="Q62" s="1413"/>
      <c r="R62" s="1412"/>
      <c r="S62" s="1418"/>
      <c r="T62" s="1421" t="s">
        <v>533</v>
      </c>
      <c r="U62" s="1420"/>
      <c r="V62" s="1420"/>
      <c r="W62" s="1420"/>
      <c r="X62" s="1420"/>
      <c r="Y62" s="1420"/>
      <c r="Z62" s="1420"/>
      <c r="AA62" s="1420"/>
      <c r="AB62" s="1420"/>
      <c r="AC62" s="1420"/>
      <c r="AD62" s="1420"/>
      <c r="AE62" s="1420"/>
      <c r="AF62" s="1420"/>
      <c r="AG62" s="1420"/>
      <c r="AH62" s="1420"/>
      <c r="AI62" s="1420"/>
      <c r="AJ62" s="1420"/>
      <c r="AK62" s="1420"/>
      <c r="AL62" s="1420"/>
      <c r="AM62" s="1420"/>
      <c r="AN62" s="1420"/>
      <c r="AO62" s="1420"/>
      <c r="AP62" s="1420"/>
      <c r="AQ62" s="1420"/>
      <c r="AR62" s="1420"/>
      <c r="AS62" s="1420"/>
      <c r="AT62" s="1420"/>
      <c r="AU62" s="1420"/>
      <c r="AW62" s="890"/>
      <c r="AX62" s="890" t="str">
        <f>IF(T62="","",T62)</f>
        <v>Добавить наименование тарифа</v>
      </c>
      <c r="AY62" s="890"/>
      <c r="AZ62" s="890"/>
      <c r="BA62" s="625">
        <v>1</v>
      </c>
    </row>
    <row customHeight="1" ht="11.549999999999999">
      <c r="M63" s="1256"/>
      <c r="N63" s="1256"/>
      <c r="O63" s="644"/>
      <c r="P63" s="1256"/>
      <c r="Q63" s="1256"/>
      <c r="R63" s="1251"/>
      <c r="S63" s="1251"/>
      <c r="AV63" s="1251"/>
      <c r="AW63" s="1251"/>
      <c r="AX63" s="1251"/>
      <c r="AY63" s="1251"/>
      <c r="AZ63" s="1251"/>
      <c r="BA63" s="1251">
        <v>11</v>
      </c>
    </row>
    <row customHeight="1" ht="19.95">
      <c r="O64" s="644"/>
      <c r="S64" s="1349"/>
      <c r="T64" s="3114"/>
      <c r="U64" s="3114"/>
      <c r="V64" s="3114"/>
      <c r="W64" s="3114"/>
      <c r="X64" s="3114"/>
      <c r="Y64" s="3114"/>
      <c r="Z64" s="3114"/>
      <c r="AA64" s="3114"/>
      <c r="AB64" s="3114"/>
      <c r="AC64" s="3114"/>
      <c r="AD64" s="3114"/>
      <c r="AE64" s="3114"/>
      <c r="AF64" s="3114"/>
      <c r="AG64" s="3114"/>
      <c r="AH64" s="3114"/>
      <c r="AI64" s="3114"/>
      <c r="AJ64" s="3114"/>
      <c r="AK64" s="3114"/>
      <c r="AL64" s="3114"/>
      <c r="AM64" s="3114"/>
      <c r="AN64" s="3114"/>
      <c r="AO64" s="3114"/>
      <c r="AP64" s="3114"/>
      <c r="AQ64" s="3114"/>
      <c r="AR64" s="3114"/>
      <c r="AS64" s="3114"/>
      <c r="AT64" s="3114"/>
      <c r="AU64" s="3114"/>
      <c r="BA64" s="1251">
        <v>19</v>
      </c>
    </row>
    <row customHeight="1" ht="21">
      <c r="O65" s="644"/>
      <c r="T65" s="3114"/>
      <c r="U65" s="3114"/>
      <c r="V65" s="3114"/>
      <c r="W65" s="3114"/>
      <c r="X65" s="3114"/>
      <c r="Y65" s="3114"/>
      <c r="Z65" s="3114"/>
      <c r="AA65" s="3114"/>
      <c r="AB65" s="3114"/>
      <c r="AC65" s="3114"/>
      <c r="AD65" s="3114"/>
      <c r="AE65" s="3114"/>
      <c r="AF65" s="3114"/>
      <c r="AG65" s="3114"/>
      <c r="AH65" s="3114"/>
      <c r="AI65" s="3114"/>
      <c r="AJ65" s="3114"/>
      <c r="AK65" s="3114"/>
      <c r="AL65" s="3114"/>
      <c r="AM65" s="3114"/>
      <c r="AN65" s="3114"/>
      <c r="AO65" s="3114"/>
      <c r="AP65" s="3114"/>
      <c r="AQ65" s="3114"/>
      <c r="AR65" s="3114"/>
      <c r="AS65" s="3114"/>
      <c r="AT65" s="3114"/>
      <c r="AU65" s="3114"/>
      <c r="BA65" s="1251">
        <v>20</v>
      </c>
    </row>
    <row customHeight="1" ht="14.699999999999998">
      <c r="O66" s="644"/>
      <c r="T66" s="1429"/>
      <c r="U66" s="1429"/>
      <c r="V66" s="1429"/>
      <c r="W66" s="1429"/>
      <c r="X66" s="1429"/>
      <c r="Y66" s="1429"/>
      <c r="Z66" s="1429"/>
      <c r="AA66" s="1429"/>
      <c r="AB66" s="1429"/>
      <c r="AC66" s="1429"/>
      <c r="AD66" s="1429"/>
      <c r="AE66" s="1429"/>
      <c r="AF66" s="1429"/>
      <c r="AG66" s="1429"/>
      <c r="AH66" s="1429"/>
      <c r="AI66" s="1429"/>
      <c r="AJ66" s="1429"/>
      <c r="AK66" s="1429"/>
      <c r="AL66" s="1429"/>
      <c r="AM66" s="1429"/>
      <c r="AN66" s="1429"/>
      <c r="AO66" s="1429"/>
      <c r="AP66" s="1429"/>
      <c r="AQ66" s="1429"/>
      <c r="AR66" s="1429"/>
      <c r="AS66" s="1429"/>
      <c r="AT66" s="1429"/>
      <c r="AU66" s="1429"/>
      <c r="BA66" s="1251">
        <v>14</v>
      </c>
    </row>
    <row customHeight="1" ht="19.95">
      <c r="O67" s="644"/>
      <c r="T67" s="3114"/>
      <c r="U67" s="3114"/>
      <c r="V67" s="3114"/>
      <c r="W67" s="3114"/>
      <c r="X67" s="3114"/>
      <c r="Y67" s="3114"/>
      <c r="Z67" s="3114"/>
      <c r="AA67" s="3114"/>
      <c r="AB67" s="3114"/>
      <c r="AC67" s="3114"/>
      <c r="AD67" s="3114"/>
      <c r="AE67" s="3114"/>
      <c r="AF67" s="3114"/>
      <c r="AG67" s="3114"/>
      <c r="AH67" s="3114"/>
      <c r="AI67" s="3114"/>
      <c r="AJ67" s="3114"/>
      <c r="AK67" s="3114"/>
      <c r="AL67" s="3114"/>
      <c r="AM67" s="3114"/>
      <c r="AN67" s="3114"/>
      <c r="AO67" s="3114"/>
      <c r="AP67" s="3114"/>
      <c r="AQ67" s="3114"/>
      <c r="AR67" s="3114"/>
      <c r="AS67" s="3114"/>
      <c r="AT67" s="3114"/>
      <c r="AU67" s="3114"/>
      <c r="BA67" s="1251">
        <v>19</v>
      </c>
    </row>
    <row customHeight="1" ht="16.8">
      <c r="O68" s="644"/>
      <c r="T68" s="3114"/>
      <c r="U68" s="3114"/>
      <c r="V68" s="3114"/>
      <c r="W68" s="3114"/>
      <c r="X68" s="3114"/>
      <c r="Y68" s="3114"/>
      <c r="Z68" s="3114"/>
      <c r="AA68" s="3114"/>
      <c r="AB68" s="3114"/>
      <c r="AC68" s="3114"/>
      <c r="AD68" s="3114"/>
      <c r="AE68" s="3114"/>
      <c r="AF68" s="3114"/>
      <c r="AG68" s="3114"/>
      <c r="AH68" s="3114"/>
      <c r="AI68" s="3114"/>
      <c r="AJ68" s="3114"/>
      <c r="AK68" s="3114"/>
      <c r="AL68" s="3114"/>
      <c r="AM68" s="3114"/>
      <c r="AN68" s="3114"/>
      <c r="AO68" s="3114"/>
      <c r="AP68" s="3114"/>
      <c r="AQ68" s="3114"/>
      <c r="AR68" s="3114"/>
      <c r="AS68" s="3114"/>
      <c r="AT68" s="3114"/>
      <c r="AU68" s="3114"/>
      <c r="BA68" s="1251">
        <v>16</v>
      </c>
    </row>
    <row customHeight="1" ht="14.699999999999998">
      <c r="O69" s="644"/>
      <c r="BA69" s="1251">
        <v>14</v>
      </c>
    </row>
    <row customHeight="1" ht="22.5" hidden="1">
      <c r="A70" s="1256" t="s">
        <v>82</v>
      </c>
      <c r="B70" s="1256">
        <v>0</v>
      </c>
      <c r="C70" s="1256">
        <v>0</v>
      </c>
      <c r="D70" s="1256">
        <v>0</v>
      </c>
      <c r="E70" s="1256">
        <v>0</v>
      </c>
      <c r="F70" s="1256">
        <v>0</v>
      </c>
      <c r="G70" s="1256">
        <v>0</v>
      </c>
      <c r="H70" s="1256">
        <v>0</v>
      </c>
      <c r="I70" s="1256">
        <v>0</v>
      </c>
      <c r="J70" s="1256">
        <v>0</v>
      </c>
      <c r="K70" s="1256">
        <v>0</v>
      </c>
      <c r="L70" s="1425">
        <v>0</v>
      </c>
      <c r="M70" s="1458">
        <v>0</v>
      </c>
      <c r="N70" s="1458">
        <v>0</v>
      </c>
      <c r="O70" s="1458">
        <v>0</v>
      </c>
      <c r="P70" s="1458">
        <v>3</v>
      </c>
      <c r="Q70" s="1467">
        <v>3</v>
      </c>
      <c r="R70" s="452">
        <v>3</v>
      </c>
      <c r="S70" s="688">
        <v>12</v>
      </c>
      <c r="T70" s="1251">
        <v>31</v>
      </c>
      <c r="U70" s="1251">
        <v>0</v>
      </c>
      <c r="V70" s="1251">
        <v>0</v>
      </c>
      <c r="W70" s="1251">
        <v>0</v>
      </c>
      <c r="X70" s="1251">
        <v>0</v>
      </c>
      <c r="Y70" s="1251">
        <v>0</v>
      </c>
      <c r="Z70" s="1251">
        <v>0</v>
      </c>
      <c r="AA70" s="1251">
        <v>0</v>
      </c>
      <c r="AB70" s="1251">
        <v>5</v>
      </c>
      <c r="AC70" s="1251">
        <v>3</v>
      </c>
      <c r="AD70" s="1251">
        <v>3</v>
      </c>
      <c r="AE70" s="1251">
        <v>24</v>
      </c>
      <c r="AF70" s="1251">
        <v>3</v>
      </c>
      <c r="AG70" s="1251">
        <v>3</v>
      </c>
      <c r="AH70" s="1251">
        <v>3</v>
      </c>
      <c r="AI70" s="1251">
        <v>24</v>
      </c>
      <c r="AJ70" s="1251">
        <v>3</v>
      </c>
      <c r="AK70" s="1251">
        <v>3</v>
      </c>
      <c r="AL70" s="1251">
        <v>3</v>
      </c>
      <c r="AM70" s="1251">
        <v>18</v>
      </c>
      <c r="AN70" s="1251">
        <v>21</v>
      </c>
      <c r="AO70" s="1251">
        <v>21</v>
      </c>
      <c r="AP70" s="1251">
        <v>11</v>
      </c>
      <c r="AQ70" s="1251">
        <v>3</v>
      </c>
      <c r="AR70" s="1251">
        <v>11</v>
      </c>
      <c r="AS70" s="1251">
        <v>8</v>
      </c>
      <c r="AT70" s="1251">
        <v>4</v>
      </c>
      <c r="AU70" s="1251">
        <v>115</v>
      </c>
      <c r="AV70" s="618">
        <v>10</v>
      </c>
      <c r="AW70" s="618">
        <v>10</v>
      </c>
      <c r="AX70" s="618">
        <v>10</v>
      </c>
      <c r="AY70" s="618">
        <v>10</v>
      </c>
      <c r="AZ70" s="618">
        <v>10</v>
      </c>
      <c r="BA70" s="1251">
        <v>23</v>
      </c>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D4A76-B027-6DED-D181-DEFDD18E88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4.140625" hidden="1" customWidth="1"/>
    <col min="10" max="10" style="10306" width="9.8515625" hidden="1" customWidth="1"/>
    <col min="11" max="11" style="10306" width="14.7109375" hidden="1" customWidth="1"/>
    <col min="12" max="12" style="11079" width="19.140625" hidden="1" customWidth="1"/>
    <col min="13" max="14" style="11080" width="12.28125" hidden="1" customWidth="1"/>
    <col min="15" max="15" style="11080" width="23.421875" hidden="1" customWidth="1"/>
    <col min="16" max="16" style="11081" width="3.00390625" customWidth="1"/>
    <col min="17" max="18" style="11082" width="3.00390625" customWidth="1"/>
    <col min="19" max="19" style="11083" width="12.00390625" customWidth="1"/>
    <col min="20" max="20" style="10232" width="35.00390625" customWidth="1"/>
    <col min="21" max="21" style="10232" width="0.140625" customWidth="1"/>
    <col min="22" max="24" style="10232" width="24.7109375" hidden="1" customWidth="1"/>
    <col min="25" max="25" style="10232" width="11.7109375" hidden="1" customWidth="1"/>
    <col min="26" max="26" style="10232" width="3.7109375" hidden="1" customWidth="1"/>
    <col min="27" max="27" style="10232" width="11.7109375" hidden="1" customWidth="1"/>
    <col min="28" max="28" style="10232" width="8.57421875" hidden="1" customWidth="1"/>
    <col min="29" max="29" style="10232" width="24.7109375" customWidth="1"/>
    <col min="30" max="31" style="10232" width="24.00390625" customWidth="1"/>
    <col min="32" max="32" style="10232" width="11.00390625" customWidth="1"/>
    <col min="33" max="33" style="10232" width="3.7109375" customWidth="1"/>
    <col min="34" max="34" style="10232" width="11.00390625" customWidth="1"/>
    <col min="35" max="35" style="10232" width="8.57421875" hidden="1" customWidth="1"/>
    <col min="36" max="36" style="10232" width="4.00390625" customWidth="1"/>
    <col min="37" max="37" style="10232" width="115.00390625" customWidth="1"/>
    <col min="38" max="42" style="10307" width="10.00390625" customWidth="1"/>
    <col min="43" max="43" style="10232" width="10.57421875" hidden="1"/>
  </cols>
  <sheetData>
    <row customHeight="1" ht="22.5" hidden="1">
      <c r="X1" s="435"/>
      <c r="Y1" s="435"/>
      <c r="AE1" s="435"/>
      <c r="AF1" s="435"/>
      <c r="AQ1" s="1251" t="s">
        <v>14</v>
      </c>
    </row>
    <row customHeight="1" ht="23.25" hidden="1">
      <c r="A2" s="1459"/>
      <c r="B2" s="1459"/>
      <c r="C2" s="1459"/>
      <c r="D2" s="1459"/>
      <c r="E2" s="3115">
        <v>1</v>
      </c>
      <c r="F2" s="1459"/>
      <c r="G2" s="1459"/>
      <c r="H2" s="1459"/>
      <c r="I2" s="1459"/>
      <c r="J2" s="1459"/>
      <c r="K2" s="1459"/>
      <c r="L2" s="1460"/>
      <c r="M2" s="1461"/>
      <c r="N2" s="1461"/>
      <c r="O2" s="1461"/>
      <c r="P2" s="468"/>
      <c r="Q2" s="467"/>
      <c r="R2" s="462"/>
      <c r="S2" s="1521">
        <f>INDEX(PT_DIFFERENTIATION_NUM_NTAR,MATCH(A2,PT_DIFFERENTIATION_NTAR_ID,0))</f>
      </c>
      <c r="T2" s="406" t="s">
        <v>210</v>
      </c>
      <c r="U2" s="408"/>
      <c r="V2" s="3109"/>
      <c r="W2" s="3110"/>
      <c r="X2" s="3110"/>
      <c r="Y2" s="3110"/>
      <c r="Z2" s="3110"/>
      <c r="AA2" s="3110"/>
      <c r="AB2" s="3111"/>
      <c r="AC2" s="3109">
        <f>INDEX(PT_DIFFERENTIATION_NTAR,MATCH(A2,PT_DIFFERENTIATION_NTAR_ID,0))</f>
      </c>
      <c r="AD2" s="3110"/>
      <c r="AE2" s="3110"/>
      <c r="AF2" s="3110"/>
      <c r="AG2" s="3110"/>
      <c r="AH2" s="3110"/>
      <c r="AI2" s="3110"/>
      <c r="AJ2" s="3111"/>
      <c r="AK2"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7"/>
      <c r="AN2" s="607" t="str">
        <f>IF(T2="","",T2)</f>
        <v>Наименование тарифа</v>
      </c>
      <c r="AO2" s="607"/>
      <c r="AP2" s="607"/>
      <c r="AQ2" s="1251">
        <v>0</v>
      </c>
    </row>
    <row customHeight="1" ht="23.25" hidden="1">
      <c r="A3" s="1459"/>
      <c r="B3" s="1459"/>
      <c r="C3" s="1459"/>
      <c r="D3" s="1459"/>
      <c r="E3" s="3116"/>
      <c r="F3" s="3115">
        <v>1</v>
      </c>
      <c r="G3" s="1459"/>
      <c r="H3" s="1459"/>
      <c r="I3" s="1459"/>
      <c r="J3" s="1459"/>
      <c r="K3" s="1459"/>
      <c r="L3" s="1460"/>
      <c r="M3" s="1461"/>
      <c r="N3" s="1461"/>
      <c r="O3" s="1461"/>
      <c r="P3" s="1519"/>
      <c r="Q3" s="459"/>
      <c r="R3" s="460"/>
      <c r="S3" s="1521">
        <f>INDEX(PT_DIFFERENTIATION_NUM_TER,MATCH(B3,PT_DIFFERENTIATION_TER_ID,0))</f>
      </c>
      <c r="T3" s="416" t="s">
        <v>482</v>
      </c>
      <c r="U3" s="408"/>
      <c r="V3" s="3109"/>
      <c r="W3" s="3110"/>
      <c r="X3" s="3110"/>
      <c r="Y3" s="3110"/>
      <c r="Z3" s="3110"/>
      <c r="AA3" s="3110"/>
      <c r="AB3" s="3111"/>
      <c r="AC3" s="3109">
        <f>INDEX(PT_DIFFERENTIATION_TER,MATCH(B3,PT_DIFFERENTIATION_TER_ID,0))</f>
      </c>
      <c r="AD3" s="3110"/>
      <c r="AE3" s="3110"/>
      <c r="AF3" s="3110"/>
      <c r="AG3" s="3110"/>
      <c r="AH3" s="3110"/>
      <c r="AI3" s="3110"/>
      <c r="AJ3" s="3111"/>
      <c r="AK3" s="1354" t="s">
        <v>483</v>
      </c>
      <c r="AM3" s="607"/>
      <c r="AN3" s="607" t="str">
        <f>IF(T3="","",T3)</f>
        <v>Территория действия тарифа</v>
      </c>
      <c r="AO3" s="607"/>
      <c r="AP3" s="607"/>
      <c r="AQ3" s="1251">
        <v>0</v>
      </c>
    </row>
    <row customHeight="1" ht="23.25" hidden="1">
      <c r="A4" s="1459"/>
      <c r="B4" s="1459"/>
      <c r="C4" s="1459"/>
      <c r="D4" s="1459"/>
      <c r="E4" s="3116"/>
      <c r="F4" s="3116"/>
      <c r="G4" s="3115">
        <v>1</v>
      </c>
      <c r="H4" s="1459"/>
      <c r="I4" s="1459"/>
      <c r="J4" s="1459"/>
      <c r="K4" s="1459"/>
      <c r="L4" s="1460"/>
      <c r="M4" s="1461"/>
      <c r="N4" s="1461"/>
      <c r="O4" s="1461"/>
      <c r="P4" s="461"/>
      <c r="Q4" s="459"/>
      <c r="R4" s="460"/>
      <c r="S4" s="1521">
        <f>INDEX(PT_DIFFERENTIATION_NUM_CS,MATCH(C4,PT_DIFFERENTIATION_CS_ID,0))</f>
      </c>
      <c r="T4" s="417" t="s">
        <v>566</v>
      </c>
      <c r="U4" s="408"/>
      <c r="V4" s="3109"/>
      <c r="W4" s="3110"/>
      <c r="X4" s="3110"/>
      <c r="Y4" s="3110"/>
      <c r="Z4" s="3110"/>
      <c r="AA4" s="3110"/>
      <c r="AB4" s="3111"/>
      <c r="AC4" s="3109">
        <f>INDEX(PT_DIFFERENTIATION_CS,MATCH(C4,PT_DIFFERENTIATION_CS_ID,0))</f>
      </c>
      <c r="AD4" s="3110"/>
      <c r="AE4" s="3110"/>
      <c r="AF4" s="3110"/>
      <c r="AG4" s="3110"/>
      <c r="AH4" s="3110"/>
      <c r="AI4" s="3110"/>
      <c r="AJ4" s="3111"/>
      <c r="AK4" s="1354" t="s">
        <v>567</v>
      </c>
      <c r="AM4" s="607"/>
      <c r="AN4" s="607" t="str">
        <f>IF(T4="","",T4)</f>
        <v>Наименование централизованной системы холодного водоснабжения</v>
      </c>
      <c r="AO4" s="607"/>
      <c r="AP4" s="607"/>
      <c r="AQ4" s="1251">
        <v>0</v>
      </c>
    </row>
    <row customHeight="1" ht="23.25" hidden="1">
      <c r="A5" s="1459"/>
      <c r="B5" s="1459"/>
      <c r="C5" s="1459"/>
      <c r="D5" s="1459"/>
      <c r="E5" s="3116"/>
      <c r="F5" s="3116"/>
      <c r="G5" s="3116"/>
      <c r="H5" s="3116"/>
      <c r="I5" s="3117">
        <f>S4&amp;".1"</f>
      </c>
      <c r="J5" s="1459"/>
      <c r="K5" s="1459"/>
      <c r="L5" s="1460"/>
      <c r="P5" s="3119">
        <v>1</v>
      </c>
      <c r="Q5" s="1518"/>
      <c r="R5" s="463"/>
      <c r="S5" s="1521">
        <f>$I5</f>
      </c>
      <c r="T5" s="393" t="s">
        <v>568</v>
      </c>
      <c r="U5" s="408"/>
      <c r="V5" s="3183"/>
      <c r="W5" s="3184"/>
      <c r="X5" s="3184"/>
      <c r="Y5" s="3184"/>
      <c r="Z5" s="3184"/>
      <c r="AA5" s="3184"/>
      <c r="AB5" s="3185"/>
      <c r="AC5" s="3186"/>
      <c r="AD5" s="3187"/>
      <c r="AE5" s="3187"/>
      <c r="AF5" s="3187"/>
      <c r="AG5" s="3187"/>
      <c r="AH5" s="3187"/>
      <c r="AI5" s="3187"/>
      <c r="AJ5" s="3188"/>
      <c r="AK5" s="1354" t="s">
        <v>569</v>
      </c>
      <c r="AM5" s="607"/>
      <c r="AN5" s="607" t="str">
        <f>IF(T5="","",T5)</f>
        <v>Наименование признака дифференциации</v>
      </c>
      <c r="AO5" s="607"/>
      <c r="AP5" s="607"/>
      <c r="AQ5" s="1251">
        <v>0</v>
      </c>
    </row>
    <row customHeight="1" ht="23.25" hidden="1">
      <c r="A6" s="1459"/>
      <c r="B6" s="1459"/>
      <c r="C6" s="1459"/>
      <c r="D6" s="1459"/>
      <c r="E6" s="3116"/>
      <c r="F6" s="3116"/>
      <c r="G6" s="3116"/>
      <c r="H6" s="3116"/>
      <c r="I6" s="3118"/>
      <c r="J6" s="3117">
        <f>I5&amp;".1"</f>
      </c>
      <c r="K6" s="1459"/>
      <c r="L6" s="1460" t="s">
        <v>491</v>
      </c>
      <c r="P6" s="3119"/>
      <c r="Q6" s="3119">
        <v>1</v>
      </c>
      <c r="R6" s="464"/>
      <c r="S6" s="1521">
        <f>$J6</f>
      </c>
      <c r="T6" s="394" t="s">
        <v>492</v>
      </c>
      <c r="U6" s="408"/>
      <c r="V6" s="3103"/>
      <c r="W6" s="3104"/>
      <c r="X6" s="3104"/>
      <c r="Y6" s="3104"/>
      <c r="Z6" s="3104"/>
      <c r="AA6" s="3104"/>
      <c r="AB6" s="3105"/>
      <c r="AC6" s="3103"/>
      <c r="AD6" s="3104"/>
      <c r="AE6" s="3104"/>
      <c r="AF6" s="3104"/>
      <c r="AG6" s="3104"/>
      <c r="AH6" s="3104"/>
      <c r="AI6" s="3104"/>
      <c r="AJ6" s="3105"/>
      <c r="AK6" s="1403" t="s">
        <v>570</v>
      </c>
      <c r="AM6" s="607"/>
      <c r="AN6" s="607" t="str">
        <f>IF(T6="","",T6)</f>
        <v>Группа потребителей</v>
      </c>
      <c r="AO6" s="607"/>
      <c r="AP6" s="607"/>
      <c r="AQ6" s="1251">
        <v>0</v>
      </c>
    </row>
    <row customHeight="1" ht="23.25" hidden="1">
      <c r="A7" s="1459"/>
      <c r="B7" s="1459"/>
      <c r="C7" s="1459"/>
      <c r="D7" s="1459"/>
      <c r="E7" s="3116"/>
      <c r="F7" s="3116"/>
      <c r="G7" s="3116"/>
      <c r="H7" s="3116"/>
      <c r="I7" s="3118"/>
      <c r="J7" s="3118"/>
      <c r="K7" s="3117">
        <f>J6&amp;".1"</f>
      </c>
      <c r="L7" s="1460"/>
      <c r="P7" s="3119"/>
      <c r="Q7" s="3119"/>
      <c r="R7" s="464">
        <v>1</v>
      </c>
      <c r="S7" s="1521">
        <f>$K7</f>
      </c>
      <c r="T7" s="1533"/>
      <c r="U7" s="408"/>
      <c r="V7" s="858"/>
      <c r="W7" s="858"/>
      <c r="X7" s="1353"/>
      <c r="Y7" s="3120"/>
      <c r="Z7" s="2989" t="s">
        <v>62</v>
      </c>
      <c r="AA7" s="3120"/>
      <c r="AB7" s="2989" t="s">
        <v>62</v>
      </c>
      <c r="AC7" s="858"/>
      <c r="AD7" s="858"/>
      <c r="AE7" s="1353"/>
      <c r="AF7" s="3120"/>
      <c r="AG7" s="2989" t="s">
        <v>62</v>
      </c>
      <c r="AH7" s="3122"/>
      <c r="AI7" s="2989" t="s">
        <v>62</v>
      </c>
      <c r="AJ7" s="1534"/>
      <c r="AK7"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8">
        <f>STRCHECKDATE(V8:AJ8)</f>
      </c>
      <c r="AM7" s="607"/>
      <c r="AN7" s="607" t="str">
        <f>IF(T7="","",T7)</f>
        <v/>
      </c>
      <c r="AO7" s="607"/>
      <c r="AP7" s="607"/>
      <c r="AQ7" s="1251">
        <v>0</v>
      </c>
    </row>
    <row customHeight="1" ht="14.25" hidden="1">
      <c r="A8" s="1459"/>
      <c r="B8" s="1459"/>
      <c r="C8" s="1459"/>
      <c r="D8" s="1459"/>
      <c r="E8" s="3116"/>
      <c r="F8" s="3116"/>
      <c r="G8" s="3116"/>
      <c r="H8" s="3116"/>
      <c r="I8" s="3118"/>
      <c r="J8" s="3118"/>
      <c r="K8" s="3117"/>
      <c r="L8" s="1460"/>
      <c r="P8" s="3119"/>
      <c r="Q8" s="3119"/>
      <c r="R8" s="464"/>
      <c r="S8" s="1520"/>
      <c r="T8" s="408"/>
      <c r="U8" s="408"/>
      <c r="V8" s="433"/>
      <c r="W8" s="433"/>
      <c r="X8" s="436" t="str">
        <f>Y7&amp;"-"&amp;AA7</f>
        <v>-</v>
      </c>
      <c r="Y8" s="3121"/>
      <c r="Z8" s="2989"/>
      <c r="AA8" s="3121"/>
      <c r="AB8" s="2989"/>
      <c r="AC8" s="433"/>
      <c r="AD8" s="433"/>
      <c r="AE8" s="436" t="str">
        <f>AF7&amp;"-"&amp;AH7</f>
        <v>-</v>
      </c>
      <c r="AF8" s="3121"/>
      <c r="AG8" s="2989"/>
      <c r="AH8" s="3123"/>
      <c r="AI8" s="2989"/>
      <c r="AJ8" s="1535"/>
      <c r="AK8" s="3189"/>
      <c r="AM8" s="607"/>
      <c r="AN8" s="607" t="str">
        <f>IF(T8="","",T8)</f>
        <v/>
      </c>
      <c r="AO8" s="607"/>
      <c r="AP8" s="607"/>
      <c r="AQ8" s="1251">
        <v>0</v>
      </c>
    </row>
    <row customHeight="1" ht="21" hidden="1">
      <c r="A9" s="1459"/>
      <c r="B9" s="1459"/>
      <c r="C9" s="1459"/>
      <c r="D9" s="1459"/>
      <c r="E9" s="3116"/>
      <c r="F9" s="3116"/>
      <c r="G9" s="3116"/>
      <c r="H9" s="3116"/>
      <c r="I9" s="3118"/>
      <c r="J9" s="3117"/>
      <c r="K9" s="1459"/>
      <c r="L9" s="1460"/>
      <c r="P9" s="3119"/>
      <c r="Q9" s="3119"/>
      <c r="R9" s="463"/>
      <c r="S9" s="1374"/>
      <c r="T9" s="395" t="s">
        <v>571</v>
      </c>
      <c r="U9" s="474"/>
      <c r="V9" s="474"/>
      <c r="W9" s="474"/>
      <c r="X9" s="474"/>
      <c r="Y9" s="474"/>
      <c r="Z9" s="474"/>
      <c r="AA9" s="474"/>
      <c r="AB9" s="474"/>
      <c r="AC9" s="474"/>
      <c r="AD9" s="474"/>
      <c r="AE9" s="474"/>
      <c r="AF9" s="474"/>
      <c r="AG9" s="474"/>
      <c r="AH9" s="474"/>
      <c r="AI9" s="474"/>
      <c r="AJ9" s="474"/>
      <c r="AK9" s="1354" t="s">
        <v>572</v>
      </c>
      <c r="AM9" s="607"/>
      <c r="AN9" s="607" t="str">
        <f>IF(T9="","",T9)</f>
        <v>Добавить значение признака дифференциации</v>
      </c>
      <c r="AO9" s="607"/>
      <c r="AP9" s="607"/>
      <c r="AQ9" s="1251">
        <v>0</v>
      </c>
    </row>
    <row customHeight="1" ht="21" hidden="1">
      <c r="A10" s="1459"/>
      <c r="B10" s="1459"/>
      <c r="C10" s="1459"/>
      <c r="D10" s="1459"/>
      <c r="E10" s="3116"/>
      <c r="F10" s="3116"/>
      <c r="G10" s="3116"/>
      <c r="H10" s="3116"/>
      <c r="I10" s="3117"/>
      <c r="J10" s="1459"/>
      <c r="K10" s="1459"/>
      <c r="L10" s="1460"/>
      <c r="P10" s="3119"/>
      <c r="Q10" s="1518"/>
      <c r="R10" s="463"/>
      <c r="S10" s="1374"/>
      <c r="T10" s="472" t="s">
        <v>497</v>
      </c>
      <c r="U10" s="474"/>
      <c r="V10" s="474"/>
      <c r="W10" s="474"/>
      <c r="X10" s="474"/>
      <c r="Y10" s="474"/>
      <c r="Z10" s="474"/>
      <c r="AA10" s="474"/>
      <c r="AB10" s="473"/>
      <c r="AC10" s="474"/>
      <c r="AD10" s="474"/>
      <c r="AE10" s="474"/>
      <c r="AF10" s="474"/>
      <c r="AG10" s="474"/>
      <c r="AH10" s="474"/>
      <c r="AI10" s="473"/>
      <c r="AJ10" s="474"/>
      <c r="AK10" s="1536"/>
      <c r="AM10" s="607"/>
      <c r="AN10" s="607" t="str">
        <f>IF(T10="","",T10)</f>
        <v>Добавить группу потребителей</v>
      </c>
      <c r="AO10" s="607"/>
      <c r="AP10" s="607"/>
      <c r="AQ10" s="1251">
        <v>0</v>
      </c>
    </row>
    <row customHeight="1" ht="14.25" hidden="1">
      <c r="A11" s="1459"/>
      <c r="B11" s="1459"/>
      <c r="C11" s="1459"/>
      <c r="D11" s="1459"/>
      <c r="E11" s="3116"/>
      <c r="F11" s="3116"/>
      <c r="G11" s="3116"/>
      <c r="H11" s="3115"/>
      <c r="I11" s="1459"/>
      <c r="J11" s="1459"/>
      <c r="K11" s="1459"/>
      <c r="L11" s="1460"/>
      <c r="M11" s="1461"/>
      <c r="N11" s="1461"/>
      <c r="O11" s="644"/>
      <c r="P11" s="467"/>
      <c r="Q11" s="482"/>
      <c r="R11" s="462"/>
      <c r="S11" s="1374"/>
      <c r="T11" s="479" t="s">
        <v>573</v>
      </c>
      <c r="U11" s="474"/>
      <c r="V11" s="474"/>
      <c r="W11" s="474"/>
      <c r="X11" s="474"/>
      <c r="Y11" s="474"/>
      <c r="Z11" s="474"/>
      <c r="AA11" s="474"/>
      <c r="AB11" s="473"/>
      <c r="AC11" s="474"/>
      <c r="AD11" s="474"/>
      <c r="AE11" s="474"/>
      <c r="AF11" s="474"/>
      <c r="AG11" s="474"/>
      <c r="AH11" s="474"/>
      <c r="AI11" s="473"/>
      <c r="AJ11" s="474"/>
      <c r="AK11" s="411"/>
      <c r="AM11" s="607"/>
      <c r="AN11" s="607" t="str">
        <f>IF(T11="","",T11)</f>
        <v>Добавить наименование признака дифференциации</v>
      </c>
      <c r="AO11" s="607"/>
      <c r="AP11" s="607"/>
      <c r="AQ11" s="1251">
        <v>0</v>
      </c>
    </row>
    <row s="10307" customFormat="1" customHeight="1" ht="14.25" hidden="1">
      <c r="A12" s="1439"/>
      <c r="B12" s="1439"/>
      <c r="C12" s="1410"/>
      <c r="D12" s="1410"/>
      <c r="E12" s="3116"/>
      <c r="F12" s="3115"/>
      <c r="G12" s="1410"/>
      <c r="H12" s="1410"/>
      <c r="I12" s="1410"/>
      <c r="J12" s="1410"/>
      <c r="K12" s="1410"/>
      <c r="L12" s="1522"/>
      <c r="M12" s="1417"/>
      <c r="N12" s="1417"/>
      <c r="P12" s="1412"/>
      <c r="Q12" s="1413"/>
      <c r="R12" s="1412"/>
      <c r="S12" s="1418"/>
      <c r="T12" s="1421" t="s">
        <v>500</v>
      </c>
      <c r="U12" s="1420"/>
      <c r="V12" s="1420"/>
      <c r="W12" s="1420"/>
      <c r="X12" s="1420"/>
      <c r="Y12" s="1420"/>
      <c r="Z12" s="1420"/>
      <c r="AA12" s="1420"/>
      <c r="AB12" s="1420"/>
      <c r="AC12" s="1420"/>
      <c r="AD12" s="1420"/>
      <c r="AE12" s="1420"/>
      <c r="AF12" s="1420"/>
      <c r="AG12" s="1420"/>
      <c r="AH12" s="1420"/>
      <c r="AI12" s="1420"/>
      <c r="AJ12" s="1420"/>
      <c r="AK12" s="1420"/>
      <c r="AM12" s="890"/>
      <c r="AN12" s="890" t="str">
        <f>IF(T12="","",T12)</f>
        <v>Добавить централизованную систему для дифференциации</v>
      </c>
      <c r="AO12" s="890"/>
      <c r="AP12" s="890"/>
      <c r="AQ12" s="625">
        <v>0</v>
      </c>
    </row>
    <row s="10307" customFormat="1" customHeight="1" ht="14.25" hidden="1">
      <c r="A13" s="1439"/>
      <c r="B13" s="1439"/>
      <c r="C13" s="1439"/>
      <c r="D13" s="1439"/>
      <c r="E13" s="3115"/>
      <c r="F13" s="1439"/>
      <c r="G13" s="1439"/>
      <c r="H13" s="1439"/>
      <c r="I13" s="1439"/>
      <c r="J13" s="1439"/>
      <c r="K13" s="1439"/>
      <c r="L13" s="1442"/>
      <c r="M13" s="1417"/>
      <c r="N13" s="1417"/>
      <c r="O13" s="625"/>
      <c r="P13" s="487"/>
      <c r="Q13" s="1440"/>
      <c r="R13" s="487"/>
      <c r="S13" s="1418"/>
      <c r="T13" s="1421" t="s">
        <v>501</v>
      </c>
      <c r="U13" s="1420"/>
      <c r="V13" s="1420"/>
      <c r="W13" s="1420"/>
      <c r="X13" s="1420"/>
      <c r="Y13" s="1420"/>
      <c r="Z13" s="1420"/>
      <c r="AA13" s="1420"/>
      <c r="AB13" s="1420"/>
      <c r="AC13" s="1420"/>
      <c r="AD13" s="1420"/>
      <c r="AE13" s="1420"/>
      <c r="AF13" s="1420"/>
      <c r="AG13" s="1420"/>
      <c r="AH13" s="1420"/>
      <c r="AI13" s="1420"/>
      <c r="AJ13" s="1420"/>
      <c r="AK13" s="1420"/>
      <c r="AM13" s="607"/>
      <c r="AN13" s="607" t="str">
        <f>IF(T13="","",T13)</f>
        <v>Добавить территорию для дифференциации</v>
      </c>
      <c r="AO13" s="607"/>
      <c r="AP13" s="607"/>
      <c r="AQ13" s="618">
        <v>0</v>
      </c>
    </row>
    <row customHeight="1" ht="14.25" hidden="1">
      <c r="AB14" s="435"/>
      <c r="AI14" s="435"/>
      <c r="AQ14" s="1251">
        <v>0</v>
      </c>
    </row>
    <row customHeight="1" ht="14.25" hidden="1">
      <c r="AC15" s="1456"/>
      <c r="AD15" s="1456"/>
      <c r="AE15" s="1457"/>
      <c r="AF15" s="3113"/>
      <c r="AG15" s="3112" t="s">
        <v>62</v>
      </c>
      <c r="AH15" s="3113"/>
      <c r="AI15" s="3112" t="s">
        <v>62</v>
      </c>
      <c r="AQ15" s="1251">
        <v>0</v>
      </c>
    </row>
    <row customHeight="1" ht="14.25" hidden="1">
      <c r="AC16" s="1456"/>
      <c r="AD16" s="1456"/>
      <c r="AE16" s="436" t="str">
        <f>AF15&amp;"-"&amp;AH15</f>
        <v>-</v>
      </c>
      <c r="AF16" s="3112"/>
      <c r="AG16" s="3112"/>
      <c r="AH16" s="3112"/>
      <c r="AI16" s="3112"/>
      <c r="AQ16" s="1251">
        <v>0</v>
      </c>
    </row>
    <row customHeight="1" ht="14.25" hidden="1">
      <c r="AI17" s="435"/>
      <c r="AQ17" s="1251">
        <v>0</v>
      </c>
    </row>
    <row s="10306" customFormat="1" customHeight="1" ht="22.5" hidden="1">
      <c r="L18" s="1517"/>
      <c r="M18" s="1458"/>
      <c r="N18" s="1458"/>
      <c r="O18" s="1463" t="s">
        <v>502</v>
      </c>
      <c r="P18" s="1458"/>
      <c r="Q18" s="1467"/>
      <c r="R18" s="1467"/>
      <c r="S18" s="836"/>
      <c r="Y18" s="1463"/>
      <c r="AA18" s="1463"/>
      <c r="AF18" s="1463"/>
      <c r="AH18" s="1463"/>
      <c r="AL18" s="618"/>
      <c r="AM18" s="618"/>
      <c r="AN18" s="618"/>
      <c r="AO18" s="618"/>
      <c r="AP18" s="618"/>
      <c r="AQ18" s="1256">
        <v>0</v>
      </c>
    </row>
    <row s="10306" customFormat="1" customHeight="1" ht="14.25" hidden="1">
      <c r="L19" s="1517"/>
      <c r="M19" s="1458"/>
      <c r="N19" s="1458"/>
      <c r="O19" s="1458"/>
      <c r="P19" s="1458"/>
      <c r="Q19" s="1467"/>
      <c r="R19" s="1467"/>
      <c r="S19" s="836"/>
      <c r="AL19" s="618"/>
      <c r="AM19" s="618"/>
      <c r="AN19" s="618"/>
      <c r="AO19" s="618"/>
      <c r="AP19" s="618"/>
      <c r="AQ19" s="1256">
        <v>0</v>
      </c>
    </row>
    <row s="10306" customFormat="1" customHeight="1" ht="12" hidden="1">
      <c r="L20" s="1517"/>
      <c r="M20" s="1458"/>
      <c r="N20" s="1458"/>
      <c r="O20" s="1460" t="s">
        <v>503</v>
      </c>
      <c r="P20" s="1458"/>
      <c r="Q20" s="1538"/>
      <c r="R20" s="1538"/>
      <c r="S20" s="836"/>
      <c r="T20" s="1256" t="s">
        <v>504</v>
      </c>
      <c r="Z20" s="294" t="s">
        <v>505</v>
      </c>
      <c r="AB20" s="294" t="s">
        <v>506</v>
      </c>
      <c r="AC20" s="1256" t="s">
        <v>504</v>
      </c>
      <c r="AG20" s="294" t="s">
        <v>507</v>
      </c>
      <c r="AI20" s="294" t="s">
        <v>506</v>
      </c>
      <c r="AQ20" s="1256">
        <v>0</v>
      </c>
    </row>
    <row customHeight="1" ht="14.25" hidden="1">
      <c r="O21" s="1460"/>
      <c r="AQ21" s="1251">
        <v>0</v>
      </c>
    </row>
    <row customHeight="1" ht="14.25" hidden="1">
      <c r="O22" s="1460"/>
      <c r="AQ22" s="1251">
        <v>0</v>
      </c>
    </row>
    <row customHeight="1" ht="14.699999999999998">
      <c r="Q23" s="483"/>
      <c r="R23" s="483"/>
      <c r="S23" s="1371"/>
      <c r="T23" s="470"/>
      <c r="U23" s="470"/>
      <c r="V23" s="616"/>
      <c r="W23" s="616"/>
      <c r="X23" s="616"/>
      <c r="Y23" s="616"/>
      <c r="Z23" s="616"/>
      <c r="AA23" s="616"/>
      <c r="AB23" s="616"/>
      <c r="AC23" s="616"/>
      <c r="AD23" s="616"/>
      <c r="AE23" s="616"/>
      <c r="AF23" s="616"/>
      <c r="AG23" s="616"/>
      <c r="AH23" s="616"/>
      <c r="AI23" s="616"/>
      <c r="AQ23" s="1251">
        <v>14</v>
      </c>
    </row>
    <row customHeight="1" ht="14.699999999999998">
      <c r="Q24" s="483"/>
      <c r="R24" s="483"/>
      <c r="S24" s="30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96"/>
      <c r="U24" s="3096"/>
      <c r="V24" s="3096"/>
      <c r="W24" s="3096"/>
      <c r="X24" s="3096"/>
      <c r="Y24" s="3096"/>
      <c r="Z24" s="3096"/>
      <c r="AA24" s="3096"/>
      <c r="AB24" s="3096"/>
      <c r="AC24" s="3096"/>
      <c r="AD24" s="3096"/>
      <c r="AE24" s="3096"/>
      <c r="AF24" s="3096"/>
      <c r="AG24" s="3096"/>
      <c r="AH24" s="3096"/>
      <c r="AI24" s="1339"/>
      <c r="AQ24" s="1251">
        <v>14</v>
      </c>
    </row>
    <row customHeight="1" ht="14.699999999999998">
      <c r="Q25" s="483"/>
      <c r="R25" s="483"/>
      <c r="S25" s="3069" t="str">
        <f>IF(org=0,"Не определено",org)</f>
        <v>АО "ДГК"</v>
      </c>
      <c r="T25" s="3069"/>
      <c r="U25" s="3069"/>
      <c r="V25" s="3069"/>
      <c r="W25" s="3069"/>
      <c r="X25" s="3069"/>
      <c r="Y25" s="3069"/>
      <c r="Z25" s="3069"/>
      <c r="AA25" s="3069"/>
      <c r="AB25" s="3069"/>
      <c r="AC25" s="3069"/>
      <c r="AD25" s="3069"/>
      <c r="AE25" s="3069"/>
      <c r="AF25" s="3069"/>
      <c r="AG25" s="3069"/>
      <c r="AH25" s="3069"/>
      <c r="AI25" s="1339"/>
      <c r="AQ25" s="1251">
        <v>14</v>
      </c>
    </row>
    <row customHeight="1" ht="14.25" hidden="1">
      <c r="Q26" s="483"/>
      <c r="R26" s="483"/>
      <c r="S26" s="1371"/>
      <c r="T26" s="470"/>
      <c r="U26" s="470"/>
      <c r="V26" s="430"/>
      <c r="W26" s="430"/>
      <c r="X26" s="430"/>
      <c r="Y26" s="430"/>
      <c r="Z26" s="430"/>
      <c r="AA26" s="430"/>
      <c r="AB26" s="430"/>
      <c r="AC26" s="430"/>
      <c r="AD26" s="430"/>
      <c r="AE26" s="430"/>
      <c r="AF26" s="430"/>
      <c r="AG26" s="430"/>
      <c r="AH26" s="430"/>
      <c r="AI26" s="430"/>
      <c r="AJ26" s="616"/>
      <c r="AQ26" s="1251">
        <v>0</v>
      </c>
    </row>
    <row s="10446" customFormat="1" customHeight="1" ht="25.5" hidden="1">
      <c r="A27" s="1464"/>
      <c r="B27" s="1464"/>
      <c r="C27" s="1464"/>
      <c r="D27" s="1464"/>
      <c r="E27" s="1464"/>
      <c r="F27" s="1464"/>
      <c r="G27" s="1464"/>
      <c r="H27" s="1464"/>
      <c r="I27" s="1464"/>
      <c r="J27" s="1464"/>
      <c r="K27" s="1464"/>
      <c r="L27" s="1465"/>
      <c r="M27" s="1464"/>
      <c r="N27" s="1464"/>
      <c r="O27" s="1464"/>
      <c r="S27" s="3106" t="s">
        <v>41</v>
      </c>
      <c r="T27" s="3106"/>
      <c r="U27" s="1468"/>
      <c r="V27" s="3108" t="str">
        <f>IF(TITLE_NAME_OR_PR_CHANGE="",IF(TITLE_NAME_OR_PR="","",TITLE_NAME_OR_PR),TITLE_NAME_OR_PR_CHANGE)</f>
        <v/>
      </c>
      <c r="W27" s="3108"/>
      <c r="X27" s="3108"/>
      <c r="Y27" s="3108"/>
      <c r="Z27" s="3108"/>
      <c r="AA27" s="3108"/>
      <c r="AB27" s="434"/>
      <c r="AC27" s="3108" t="str">
        <f>IF(TITLE_NAME_OR_PR_CHANGE="",IF(TITLE_NAME_OR_PR="","",TITLE_NAME_OR_PR),TITLE_NAME_OR_PR_CHANGE)</f>
        <v/>
      </c>
      <c r="AD27" s="3108"/>
      <c r="AE27" s="3108"/>
      <c r="AF27" s="3108"/>
      <c r="AG27" s="3108"/>
      <c r="AH27" s="3108"/>
      <c r="AI27" s="434"/>
      <c r="AJ27" s="434"/>
      <c r="AK27" s="388"/>
      <c r="AL27" s="475"/>
      <c r="AM27" s="475"/>
      <c r="AN27" s="475"/>
      <c r="AO27" s="475"/>
      <c r="AP27" s="475"/>
      <c r="AQ27" s="525">
        <v>0</v>
      </c>
    </row>
    <row s="10446" customFormat="1" customHeight="1" ht="18.75" hidden="1">
      <c r="A28" s="1464"/>
      <c r="B28" s="1464"/>
      <c r="C28" s="1464"/>
      <c r="D28" s="1464"/>
      <c r="E28" s="1464"/>
      <c r="F28" s="1464"/>
      <c r="G28" s="1464"/>
      <c r="H28" s="1464"/>
      <c r="I28" s="1464"/>
      <c r="J28" s="1464"/>
      <c r="K28" s="1464"/>
      <c r="L28" s="1465"/>
      <c r="M28" s="1464"/>
      <c r="N28" s="1464"/>
      <c r="O28" s="1464"/>
      <c r="S28" s="3106" t="s">
        <v>508</v>
      </c>
      <c r="T28" s="3106"/>
      <c r="U28" s="1468"/>
      <c r="V28" s="3107" t="str">
        <f>IF(TITLE_DATE_PR_CHANGE="",IF(TITLE_DATE_PR="","",TITLE_DATE_PR),TITLE_DATE_PR_CHANGE)</f>
        <v/>
      </c>
      <c r="W28" s="3107"/>
      <c r="X28" s="3107"/>
      <c r="Y28" s="3107"/>
      <c r="Z28" s="3107"/>
      <c r="AA28" s="3107"/>
      <c r="AB28" s="434"/>
      <c r="AC28" s="3107" t="str">
        <f>IF(TITLE_DATE_PR_CHANGE="",IF(TITLE_DATE_PR="","",TITLE_DATE_PR),TITLE_DATE_PR_CHANGE)</f>
        <v/>
      </c>
      <c r="AD28" s="3107"/>
      <c r="AE28" s="3107"/>
      <c r="AF28" s="3107"/>
      <c r="AG28" s="3107"/>
      <c r="AH28" s="3107"/>
      <c r="AI28" s="434"/>
      <c r="AJ28" s="434"/>
      <c r="AK28" s="388"/>
      <c r="AL28" s="475"/>
      <c r="AM28" s="475"/>
      <c r="AN28" s="475"/>
      <c r="AO28" s="475"/>
      <c r="AP28" s="475"/>
      <c r="AQ28" s="525">
        <v>0</v>
      </c>
    </row>
    <row s="10446" customFormat="1" customHeight="1" ht="18.75" hidden="1">
      <c r="A29" s="1464"/>
      <c r="B29" s="1464"/>
      <c r="C29" s="1464"/>
      <c r="D29" s="1464"/>
      <c r="E29" s="1464"/>
      <c r="F29" s="1464"/>
      <c r="G29" s="1464"/>
      <c r="H29" s="1464"/>
      <c r="I29" s="1464"/>
      <c r="J29" s="1464"/>
      <c r="K29" s="1464"/>
      <c r="L29" s="1465"/>
      <c r="M29" s="1464"/>
      <c r="N29" s="1464"/>
      <c r="O29" s="1464"/>
      <c r="S29" s="3106" t="s">
        <v>509</v>
      </c>
      <c r="T29" s="3106"/>
      <c r="U29" s="1468"/>
      <c r="V29" s="3108" t="str">
        <f>IF(TITLE_NUMBER_PR_CHANGE="",IF(TITLE_NUMBER_PR="","",TITLE_NUMBER_PR),TITLE_NUMBER_PR_CHANGE)</f>
        <v/>
      </c>
      <c r="W29" s="3108"/>
      <c r="X29" s="3108"/>
      <c r="Y29" s="3108"/>
      <c r="Z29" s="3108"/>
      <c r="AA29" s="3108"/>
      <c r="AB29" s="434"/>
      <c r="AC29" s="3108" t="str">
        <f>IF(TITLE_NUMBER_PR_CHANGE="",IF(TITLE_NUMBER_PR="","",TITLE_NUMBER_PR),TITLE_NUMBER_PR_CHANGE)</f>
        <v/>
      </c>
      <c r="AD29" s="3108"/>
      <c r="AE29" s="3108"/>
      <c r="AF29" s="3108"/>
      <c r="AG29" s="3108"/>
      <c r="AH29" s="3108"/>
      <c r="AI29" s="434"/>
      <c r="AJ29" s="434"/>
      <c r="AK29" s="388"/>
      <c r="AL29" s="475"/>
      <c r="AM29" s="475"/>
      <c r="AN29" s="475"/>
      <c r="AO29" s="475"/>
      <c r="AP29" s="475"/>
      <c r="AQ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42</v>
      </c>
      <c r="T30" s="3106"/>
      <c r="U30" s="1468"/>
      <c r="V30" s="3108" t="str">
        <f>IF(TITLE_IST_PUB_CHANGE="",IF(TITLE_IST_PUB="","",TITLE_IST_PUB),TITLE_IST_PUB_CHANGE)</f>
        <v/>
      </c>
      <c r="W30" s="3108"/>
      <c r="X30" s="3108"/>
      <c r="Y30" s="3108"/>
      <c r="Z30" s="3108"/>
      <c r="AA30" s="3108"/>
      <c r="AB30" s="434"/>
      <c r="AC30" s="3108" t="str">
        <f>IF(TITLE_IST_PUB_CHANGE="",IF(TITLE_IST_PUB="","",TITLE_IST_PUB),TITLE_IST_PUB_CHANGE)</f>
        <v/>
      </c>
      <c r="AD30" s="3108"/>
      <c r="AE30" s="3108"/>
      <c r="AF30" s="3108"/>
      <c r="AG30" s="3108"/>
      <c r="AH30" s="3108"/>
      <c r="AI30" s="434"/>
      <c r="AJ30" s="434"/>
      <c r="AK30" s="388"/>
      <c r="AL30" s="475"/>
      <c r="AM30" s="475"/>
      <c r="AN30" s="475"/>
      <c r="AO30" s="475"/>
      <c r="AP30" s="475"/>
      <c r="AQ30" s="525">
        <v>0</v>
      </c>
    </row>
    <row customHeight="1" ht="14.25" hidden="1">
      <c r="Q31" s="483"/>
      <c r="R31" s="483"/>
      <c r="S31" s="1371"/>
      <c r="T31" s="470"/>
      <c r="U31" s="470"/>
      <c r="V31" s="430"/>
      <c r="W31" s="430"/>
      <c r="X31" s="430"/>
      <c r="Y31" s="430"/>
      <c r="Z31" s="430"/>
      <c r="AA31" s="430"/>
      <c r="AB31" s="430"/>
      <c r="AC31" s="430"/>
      <c r="AD31" s="430"/>
      <c r="AE31" s="430"/>
      <c r="AF31" s="430"/>
      <c r="AG31" s="430"/>
      <c r="AH31" s="430"/>
      <c r="AI31" s="430"/>
      <c r="AJ31" s="616"/>
      <c r="AQ31" s="1251">
        <v>0</v>
      </c>
    </row>
    <row s="10446" customFormat="1" customHeight="1" ht="18.75" hidden="1">
      <c r="A32" s="1464"/>
      <c r="B32" s="1464"/>
      <c r="C32" s="1464"/>
      <c r="D32" s="1464"/>
      <c r="E32" s="1464"/>
      <c r="F32" s="1464"/>
      <c r="G32" s="1464"/>
      <c r="H32" s="1464"/>
      <c r="I32" s="1464"/>
      <c r="J32" s="1464"/>
      <c r="K32" s="1464"/>
      <c r="L32" s="1465"/>
      <c r="M32" s="1464"/>
      <c r="N32" s="1464"/>
      <c r="O32" s="1464"/>
      <c r="S32" s="3106" t="s">
        <v>510</v>
      </c>
      <c r="T32" s="3106"/>
      <c r="U32" s="1468"/>
      <c r="V32" s="3107" t="str">
        <f>IF(TITLE_DATE_PR_CHANGE="",IF(TITLE_DATE_PR="","",TITLE_DATE_PR),TITLE_DATE_PR_CHANGE)</f>
        <v/>
      </c>
      <c r="W32" s="3107"/>
      <c r="X32" s="3107"/>
      <c r="Y32" s="3107"/>
      <c r="Z32" s="3107"/>
      <c r="AA32" s="3107"/>
      <c r="AB32" s="434"/>
      <c r="AC32" s="3107" t="str">
        <f>IF(TITLE_DATE_PR_CHANGE="",IF(TITLE_DATE_PR="","",TITLE_DATE_PR),TITLE_DATE_PR_CHANGE)</f>
        <v/>
      </c>
      <c r="AD32" s="3107"/>
      <c r="AE32" s="3107"/>
      <c r="AF32" s="3107"/>
      <c r="AG32" s="3107"/>
      <c r="AH32" s="3107"/>
      <c r="AI32" s="434"/>
      <c r="AJ32" s="434"/>
      <c r="AK32" s="388"/>
      <c r="AL32" s="475"/>
      <c r="AM32" s="475"/>
      <c r="AN32" s="475"/>
      <c r="AO32" s="475"/>
      <c r="AP32" s="475"/>
      <c r="AQ32" s="525">
        <v>0</v>
      </c>
    </row>
    <row s="10446" customFormat="1" customHeight="1" ht="18.75" hidden="1">
      <c r="A33" s="1464"/>
      <c r="B33" s="1464"/>
      <c r="C33" s="1464"/>
      <c r="D33" s="1464"/>
      <c r="E33" s="1464"/>
      <c r="F33" s="1464"/>
      <c r="G33" s="1464"/>
      <c r="H33" s="1464"/>
      <c r="I33" s="1464"/>
      <c r="J33" s="1464"/>
      <c r="K33" s="1464"/>
      <c r="L33" s="1465"/>
      <c r="M33" s="1464"/>
      <c r="N33" s="1464"/>
      <c r="O33" s="1464"/>
      <c r="S33" s="3106" t="s">
        <v>511</v>
      </c>
      <c r="T33" s="3106"/>
      <c r="U33" s="1468"/>
      <c r="V33" s="3108" t="str">
        <f>IF(TITLE_NUMBER_PR_CHANGE="",IF(TITLE_NUMBER_PR="","",TITLE_NUMBER_PR),TITLE_NUMBER_PR_CHANGE)</f>
        <v/>
      </c>
      <c r="W33" s="3108"/>
      <c r="X33" s="3108"/>
      <c r="Y33" s="3108"/>
      <c r="Z33" s="3108"/>
      <c r="AA33" s="3108"/>
      <c r="AB33" s="434"/>
      <c r="AC33" s="3108" t="str">
        <f>IF(TITLE_NUMBER_PR_CHANGE="",IF(TITLE_NUMBER_PR="","",TITLE_NUMBER_PR),TITLE_NUMBER_PR_CHANGE)</f>
        <v/>
      </c>
      <c r="AD33" s="3108"/>
      <c r="AE33" s="3108"/>
      <c r="AF33" s="3108"/>
      <c r="AG33" s="3108"/>
      <c r="AH33" s="3108"/>
      <c r="AI33" s="434"/>
      <c r="AJ33" s="434"/>
      <c r="AK33" s="388"/>
      <c r="AL33" s="475"/>
      <c r="AM33" s="475"/>
      <c r="AN33" s="475"/>
      <c r="AO33" s="475"/>
      <c r="AP33" s="475"/>
      <c r="AQ33" s="525">
        <v>0</v>
      </c>
    </row>
    <row s="10446" customFormat="1" customHeight="1" ht="1.05">
      <c r="A34" s="1464"/>
      <c r="B34" s="1464"/>
      <c r="C34" s="1464"/>
      <c r="D34" s="1464"/>
      <c r="E34" s="1464"/>
      <c r="F34" s="1464"/>
      <c r="G34" s="1464"/>
      <c r="H34" s="1464"/>
      <c r="I34" s="1464"/>
      <c r="J34" s="1464"/>
      <c r="K34" s="1464"/>
      <c r="L34" s="1465"/>
      <c r="M34" s="1464"/>
      <c r="N34" s="1464"/>
      <c r="O34" s="1464"/>
      <c r="S34" s="431"/>
      <c r="T34" s="431"/>
      <c r="U34" s="1451"/>
      <c r="V34" s="434"/>
      <c r="W34" s="434"/>
      <c r="X34" s="434"/>
      <c r="Y34" s="434"/>
      <c r="Z34" s="434"/>
      <c r="AA34" s="434"/>
      <c r="AB34" s="386" t="s">
        <v>512</v>
      </c>
      <c r="AC34" s="434"/>
      <c r="AD34" s="434"/>
      <c r="AE34" s="434"/>
      <c r="AF34" s="434"/>
      <c r="AG34" s="434"/>
      <c r="AH34" s="434"/>
      <c r="AI34" s="386" t="s">
        <v>512</v>
      </c>
      <c r="AL34" s="475"/>
      <c r="AM34" s="475"/>
      <c r="AN34" s="475"/>
      <c r="AO34" s="475"/>
      <c r="AP34" s="475"/>
      <c r="AQ34" s="525">
        <v>1</v>
      </c>
    </row>
    <row customHeight="1" ht="14.699999999999998">
      <c r="Q35" s="483"/>
      <c r="R35" s="483"/>
      <c r="S35" s="1371"/>
      <c r="T35" s="470"/>
      <c r="U35" s="1340"/>
      <c r="V35" s="3127"/>
      <c r="W35" s="3127"/>
      <c r="X35" s="3127"/>
      <c r="Y35" s="3127"/>
      <c r="Z35" s="3127"/>
      <c r="AA35" s="3127"/>
      <c r="AB35" s="3127"/>
      <c r="AC35" s="3127"/>
      <c r="AD35" s="3127"/>
      <c r="AE35" s="3127"/>
      <c r="AF35" s="3127"/>
      <c r="AG35" s="3127"/>
      <c r="AH35" s="3127"/>
      <c r="AI35" s="3127"/>
      <c r="AQ35" s="1251">
        <v>14</v>
      </c>
    </row>
    <row customHeight="1" ht="14.699999999999998">
      <c r="Q36" s="483"/>
      <c r="R36" s="483"/>
      <c r="S36" s="2978" t="s">
        <v>385</v>
      </c>
      <c r="T36" s="2978"/>
      <c r="U36" s="2978"/>
      <c r="V36" s="2978"/>
      <c r="W36" s="2978"/>
      <c r="X36" s="2978"/>
      <c r="Y36" s="2978"/>
      <c r="Z36" s="2978"/>
      <c r="AA36" s="2978"/>
      <c r="AB36" s="2978"/>
      <c r="AC36" s="2978"/>
      <c r="AD36" s="2978"/>
      <c r="AE36" s="2978"/>
      <c r="AF36" s="2978"/>
      <c r="AG36" s="2978"/>
      <c r="AH36" s="2978"/>
      <c r="AI36" s="2978"/>
      <c r="AJ36" s="2978"/>
      <c r="AK36" s="2978" t="s">
        <v>386</v>
      </c>
      <c r="AQ36" s="1251">
        <v>14</v>
      </c>
    </row>
    <row customHeight="1" ht="14.699999999999998">
      <c r="Q37" s="483"/>
      <c r="R37" s="483"/>
      <c r="S37" s="3128" t="s">
        <v>88</v>
      </c>
      <c r="T37" s="3077" t="s">
        <v>513</v>
      </c>
      <c r="U37" s="409"/>
      <c r="V37" s="3129" t="s">
        <v>514</v>
      </c>
      <c r="W37" s="3130"/>
      <c r="X37" s="3130"/>
      <c r="Y37" s="3130"/>
      <c r="Z37" s="3130"/>
      <c r="AA37" s="3131"/>
      <c r="AB37" s="3132" t="s">
        <v>515</v>
      </c>
      <c r="AC37" s="3129" t="s">
        <v>514</v>
      </c>
      <c r="AD37" s="3130"/>
      <c r="AE37" s="3130"/>
      <c r="AF37" s="3130"/>
      <c r="AG37" s="3130"/>
      <c r="AH37" s="3131"/>
      <c r="AI37" s="3132" t="s">
        <v>516</v>
      </c>
      <c r="AJ37" s="3135" t="s">
        <v>517</v>
      </c>
      <c r="AK37" s="2978"/>
      <c r="AQ37" s="1251">
        <v>14</v>
      </c>
    </row>
    <row customHeight="1" ht="35.699999999999996">
      <c r="Q38" s="483"/>
      <c r="R38" s="483"/>
      <c r="S38" s="3128"/>
      <c r="T38" s="3077"/>
      <c r="U38" s="1131"/>
      <c r="V38" s="1448" t="s">
        <v>574</v>
      </c>
      <c r="W38" s="2959" t="s">
        <v>520</v>
      </c>
      <c r="X38" s="2958"/>
      <c r="Y38" s="2959" t="s">
        <v>521</v>
      </c>
      <c r="Z38" s="2965"/>
      <c r="AA38" s="2958"/>
      <c r="AB38" s="3133"/>
      <c r="AC38" s="1448" t="s">
        <v>574</v>
      </c>
      <c r="AD38" s="2959" t="s">
        <v>520</v>
      </c>
      <c r="AE38" s="2958"/>
      <c r="AF38" s="2959" t="s">
        <v>521</v>
      </c>
      <c r="AG38" s="2965"/>
      <c r="AH38" s="2958"/>
      <c r="AI38" s="3133"/>
      <c r="AJ38" s="3136"/>
      <c r="AK38" s="2978"/>
      <c r="AQ38" s="1251">
        <v>34</v>
      </c>
    </row>
    <row customHeight="1" ht="35.699999999999996">
      <c r="A39" s="1466"/>
      <c r="B39" s="1466" t="s">
        <v>222</v>
      </c>
      <c r="C39" s="1466" t="s">
        <v>223</v>
      </c>
      <c r="D39" s="1466" t="s">
        <v>224</v>
      </c>
      <c r="E39" s="1460" t="s">
        <v>522</v>
      </c>
      <c r="F39" s="1460" t="s">
        <v>523</v>
      </c>
      <c r="G39" s="1460" t="s">
        <v>524</v>
      </c>
      <c r="H39" s="1460"/>
      <c r="I39" s="1460" t="s">
        <v>575</v>
      </c>
      <c r="J39" s="1460" t="s">
        <v>527</v>
      </c>
      <c r="K39" s="1460" t="s">
        <v>576</v>
      </c>
      <c r="L39" s="1460" t="s">
        <v>503</v>
      </c>
      <c r="Q39" s="483"/>
      <c r="R39" s="483"/>
      <c r="S39" s="3128"/>
      <c r="T39" s="3077"/>
      <c r="U39" s="410"/>
      <c r="V39" s="1448" t="s">
        <v>577</v>
      </c>
      <c r="W39" s="1318" t="s">
        <v>578</v>
      </c>
      <c r="X39" s="1318" t="s">
        <v>579</v>
      </c>
      <c r="Y39" s="1453" t="s">
        <v>531</v>
      </c>
      <c r="Z39" s="3082" t="s">
        <v>532</v>
      </c>
      <c r="AA39" s="3095"/>
      <c r="AB39" s="3134"/>
      <c r="AC39" s="1448" t="s">
        <v>577</v>
      </c>
      <c r="AD39" s="1318" t="s">
        <v>578</v>
      </c>
      <c r="AE39" s="1318" t="s">
        <v>579</v>
      </c>
      <c r="AF39" s="1453" t="s">
        <v>531</v>
      </c>
      <c r="AG39" s="3082" t="s">
        <v>532</v>
      </c>
      <c r="AH39" s="3095"/>
      <c r="AI39" s="3134"/>
      <c r="AJ39" s="3137"/>
      <c r="AK39" s="2978"/>
      <c r="AQ39" s="1251">
        <v>34</v>
      </c>
    </row>
    <row s="10851" customFormat="1" customHeight="1" ht="11.25" hidden="1">
      <c r="A40" s="1466"/>
      <c r="B40" s="1466"/>
      <c r="C40" s="1466"/>
      <c r="D40" s="1466"/>
      <c r="E40" s="1466"/>
      <c r="F40" s="1466"/>
      <c r="G40" s="1466"/>
      <c r="H40" s="1466"/>
      <c r="I40" s="1466"/>
      <c r="J40" s="1466"/>
      <c r="K40" s="1466"/>
      <c r="L40" s="1460"/>
      <c r="M40" s="1458"/>
      <c r="N40" s="1458"/>
      <c r="O40" s="1458"/>
      <c r="P40" s="1342"/>
      <c r="Q40" s="1343"/>
      <c r="R40" s="1350">
        <v>1</v>
      </c>
      <c r="S40" s="1373" t="s">
        <v>144</v>
      </c>
      <c r="T40" s="1351" t="s">
        <v>102</v>
      </c>
      <c r="U40" s="1341" t="str">
        <f>OFFSET(U40,0,-1)</f>
        <v>2</v>
      </c>
      <c r="V40" s="1449">
        <f>OFFSET(V40,0,-1)+1</f>
        <v>3</v>
      </c>
      <c r="W40" s="1449">
        <f>OFFSET(W40,0,-1)+1</f>
        <v>4</v>
      </c>
      <c r="X40" s="1449">
        <f>OFFSET(X40,0,-1)+1</f>
        <v>5</v>
      </c>
      <c r="Y40" s="1449">
        <f>OFFSET(Y40,0,-1)+1</f>
        <v>6</v>
      </c>
      <c r="Z40" s="3126">
        <f>OFFSET(Z40,0,-1)+1</f>
        <v>7</v>
      </c>
      <c r="AA40" s="3126"/>
      <c r="AB40" s="1449">
        <f>OFFSET(AB40,0,-2)+1</f>
        <v>8</v>
      </c>
      <c r="AC40" s="1449">
        <f>OFFSET(AC40,0,-1)+1</f>
        <v>9</v>
      </c>
      <c r="AD40" s="1449">
        <f>OFFSET(AD40,0,-1)+1</f>
        <v>10</v>
      </c>
      <c r="AE40" s="1449">
        <f>OFFSET(AE40,0,-1)+1</f>
        <v>11</v>
      </c>
      <c r="AF40" s="1449">
        <f>OFFSET(AF40,0,-1)+1</f>
        <v>12</v>
      </c>
      <c r="AG40" s="3126">
        <f>OFFSET(AG40,0,-1)+1</f>
        <v>13</v>
      </c>
      <c r="AH40" s="3126"/>
      <c r="AI40" s="1449">
        <f>OFFSET(AI40,0,-2)+1</f>
        <v>14</v>
      </c>
      <c r="AJ40" s="1341">
        <f>OFFSET(AJ40,0,-1)</f>
        <v>14</v>
      </c>
      <c r="AK40" s="1449">
        <f>OFFSET(AK40,0,-1)+1</f>
        <v>15</v>
      </c>
      <c r="AL40" s="618"/>
      <c r="AM40" s="618"/>
      <c r="AN40" s="618"/>
      <c r="AO40" s="618"/>
      <c r="AP40" s="618"/>
      <c r="AQ40" s="603">
        <v>0</v>
      </c>
    </row>
    <row customHeight="1" ht="24">
      <c r="A41" s="1459" t="s">
        <v>311</v>
      </c>
      <c r="B41" s="1459"/>
      <c r="C41" s="1459"/>
      <c r="D41" s="1459"/>
      <c r="E41" s="3115">
        <v>1</v>
      </c>
      <c r="F41" s="1459"/>
      <c r="G41" s="1459"/>
      <c r="H41" s="1459"/>
      <c r="I41" s="1459"/>
      <c r="J41" s="1459"/>
      <c r="K41" s="1459"/>
      <c r="L41" s="1460"/>
      <c r="M41" s="1461"/>
      <c r="N41" s="1461"/>
      <c r="O41" s="1461"/>
      <c r="P41" s="468"/>
      <c r="Q41" s="467"/>
      <c r="R41" s="462"/>
      <c r="S41" s="1454">
        <f>INDEX(PT_DIFFERENTIATION_NUM_NTAR,MATCH(A41,PT_DIFFERENTIATION_NTAR_ID,0))</f>
        <v>0</v>
      </c>
      <c r="T41" s="406" t="s">
        <v>210</v>
      </c>
      <c r="U41" s="408"/>
      <c r="V41" s="3109"/>
      <c r="W41" s="3110"/>
      <c r="X41" s="3110"/>
      <c r="Y41" s="3110"/>
      <c r="Z41" s="3110"/>
      <c r="AA41" s="3110"/>
      <c r="AB41" s="3111"/>
      <c r="AC41" s="3109" t="str">
        <f>INDEX(PT_DIFFERENTIATION_NTAR,MATCH(A41,PT_DIFFERENTIATION_NTAR_ID,0))</f>
        <v/>
      </c>
      <c r="AD41" s="3110"/>
      <c r="AE41" s="3110"/>
      <c r="AF41" s="3110"/>
      <c r="AG41" s="3110"/>
      <c r="AH41" s="3110"/>
      <c r="AI41" s="3110"/>
      <c r="AJ41" s="3111"/>
      <c r="AK41"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7"/>
      <c r="AN41" s="607" t="str">
        <f>IF(T41="","",T41)</f>
        <v>Наименование тарифа</v>
      </c>
      <c r="AO41" s="607"/>
      <c r="AP41" s="607"/>
      <c r="AQ41" s="1251">
        <v>23</v>
      </c>
    </row>
    <row customHeight="1" ht="24">
      <c r="A42" s="1459" t="s">
        <v>311</v>
      </c>
      <c r="B42" s="1459" t="s">
        <v>312</v>
      </c>
      <c r="C42" s="1459"/>
      <c r="D42" s="1459"/>
      <c r="E42" s="3116"/>
      <c r="F42" s="3115">
        <v>1</v>
      </c>
      <c r="G42" s="1459"/>
      <c r="H42" s="1459"/>
      <c r="I42" s="1459"/>
      <c r="J42" s="1459"/>
      <c r="K42" s="1459"/>
      <c r="L42" s="1460"/>
      <c r="M42" s="1461"/>
      <c r="N42" s="1461"/>
      <c r="O42" s="1461"/>
      <c r="P42" s="1452"/>
      <c r="Q42" s="459"/>
      <c r="R42" s="460"/>
      <c r="S42" s="1454" t="str">
        <f>INDEX(PT_DIFFERENTIATION_NUM_TER,MATCH(B42,PT_DIFFERENTIATION_TER_ID,0))</f>
        <v>.</v>
      </c>
      <c r="T42" s="416" t="s">
        <v>482</v>
      </c>
      <c r="U42" s="408"/>
      <c r="V42" s="3109"/>
      <c r="W42" s="3110"/>
      <c r="X42" s="3110"/>
      <c r="Y42" s="3110"/>
      <c r="Z42" s="3110"/>
      <c r="AA42" s="3110"/>
      <c r="AB42" s="3111"/>
      <c r="AC42" s="3109" t="str">
        <f>INDEX(PT_DIFFERENTIATION_TER,MATCH(B42,PT_DIFFERENTIATION_TER_ID,0))</f>
        <v/>
      </c>
      <c r="AD42" s="3110"/>
      <c r="AE42" s="3110"/>
      <c r="AF42" s="3110"/>
      <c r="AG42" s="3110"/>
      <c r="AH42" s="3110"/>
      <c r="AI42" s="3110"/>
      <c r="AJ42" s="3111"/>
      <c r="AK42" s="1354" t="s">
        <v>483</v>
      </c>
      <c r="AM42" s="607"/>
      <c r="AN42" s="607" t="str">
        <f>IF(T42="","",T42)</f>
        <v>Территория действия тарифа</v>
      </c>
      <c r="AO42" s="607"/>
      <c r="AP42" s="607"/>
      <c r="AQ42" s="1251">
        <v>23</v>
      </c>
    </row>
    <row customHeight="1" ht="24">
      <c r="A43" s="1459" t="s">
        <v>311</v>
      </c>
      <c r="B43" s="1459" t="s">
        <v>312</v>
      </c>
      <c r="C43" s="1459" t="s">
        <v>313</v>
      </c>
      <c r="D43" s="1459"/>
      <c r="E43" s="3116"/>
      <c r="F43" s="3116"/>
      <c r="G43" s="3115">
        <v>1</v>
      </c>
      <c r="H43" s="1459"/>
      <c r="I43" s="1459"/>
      <c r="J43" s="1459"/>
      <c r="K43" s="1459"/>
      <c r="L43" s="1460"/>
      <c r="M43" s="1461"/>
      <c r="N43" s="1461"/>
      <c r="O43" s="1461"/>
      <c r="P43" s="461"/>
      <c r="Q43" s="459"/>
      <c r="R43" s="460"/>
      <c r="S43" s="1454" t="str">
        <f>INDEX(PT_DIFFERENTIATION_NUM_CS,MATCH(C43,PT_DIFFERENTIATION_CS_ID,0))</f>
        <v>..</v>
      </c>
      <c r="T43" s="417" t="s">
        <v>566</v>
      </c>
      <c r="U43" s="408"/>
      <c r="V43" s="3109"/>
      <c r="W43" s="3110"/>
      <c r="X43" s="3110"/>
      <c r="Y43" s="3110"/>
      <c r="Z43" s="3110"/>
      <c r="AA43" s="3110"/>
      <c r="AB43" s="3111"/>
      <c r="AC43" s="3109" t="str">
        <f>INDEX(PT_DIFFERENTIATION_CS,MATCH(C43,PT_DIFFERENTIATION_CS_ID,0))</f>
        <v/>
      </c>
      <c r="AD43" s="3110"/>
      <c r="AE43" s="3110"/>
      <c r="AF43" s="3110"/>
      <c r="AG43" s="3110"/>
      <c r="AH43" s="3110"/>
      <c r="AI43" s="3110"/>
      <c r="AJ43" s="3111"/>
      <c r="AK43" s="1354" t="s">
        <v>567</v>
      </c>
      <c r="AM43" s="607"/>
      <c r="AN43" s="607" t="str">
        <f>IF(T43="","",T43)</f>
        <v>Наименование централизованной системы холодного водоснабжения</v>
      </c>
      <c r="AO43" s="607"/>
      <c r="AP43" s="607"/>
      <c r="AQ43" s="1251">
        <v>23</v>
      </c>
    </row>
    <row customHeight="1" ht="24">
      <c r="A44" s="1459" t="s">
        <v>311</v>
      </c>
      <c r="B44" s="1459" t="s">
        <v>312</v>
      </c>
      <c r="C44" s="1459" t="s">
        <v>313</v>
      </c>
      <c r="D44" s="1459" t="s">
        <v>580</v>
      </c>
      <c r="E44" s="3116"/>
      <c r="F44" s="3116"/>
      <c r="G44" s="3116"/>
      <c r="H44" s="3116"/>
      <c r="I44" s="3117" t="str">
        <f>S43&amp;".1"</f>
        <v>...1</v>
      </c>
      <c r="J44" s="1459"/>
      <c r="K44" s="1459"/>
      <c r="L44" s="1460"/>
      <c r="P44" s="3119">
        <v>1</v>
      </c>
      <c r="Q44" s="1450"/>
      <c r="R44" s="463"/>
      <c r="S44" s="1454" t="str">
        <f>$I44</f>
        <v>...1</v>
      </c>
      <c r="T44" s="393" t="s">
        <v>568</v>
      </c>
      <c r="U44" s="408"/>
      <c r="V44" s="3183"/>
      <c r="W44" s="3184"/>
      <c r="X44" s="3184"/>
      <c r="Y44" s="3184"/>
      <c r="Z44" s="3184"/>
      <c r="AA44" s="3184"/>
      <c r="AB44" s="3185"/>
      <c r="AC44" s="3186"/>
      <c r="AD44" s="3187"/>
      <c r="AE44" s="3187"/>
      <c r="AF44" s="3187"/>
      <c r="AG44" s="3187"/>
      <c r="AH44" s="3187"/>
      <c r="AI44" s="3187"/>
      <c r="AJ44" s="3188"/>
      <c r="AK44" s="1354" t="s">
        <v>569</v>
      </c>
      <c r="AM44" s="607"/>
      <c r="AN44" s="607" t="str">
        <f>IF(T44="","",T44)</f>
        <v>Наименование признака дифференциации</v>
      </c>
      <c r="AO44" s="607"/>
      <c r="AP44" s="607"/>
      <c r="AQ44" s="1251">
        <v>23</v>
      </c>
    </row>
    <row customHeight="1" ht="24">
      <c r="A45" s="1459" t="s">
        <v>311</v>
      </c>
      <c r="B45" s="1459" t="s">
        <v>312</v>
      </c>
      <c r="C45" s="1459" t="s">
        <v>313</v>
      </c>
      <c r="D45" s="1459" t="s">
        <v>580</v>
      </c>
      <c r="E45" s="3116"/>
      <c r="F45" s="3116"/>
      <c r="G45" s="3116"/>
      <c r="H45" s="3116"/>
      <c r="I45" s="3118"/>
      <c r="J45" s="3117" t="str">
        <f>I44&amp;".1"</f>
        <v>...1.1</v>
      </c>
      <c r="K45" s="1459"/>
      <c r="L45" s="1460" t="s">
        <v>491</v>
      </c>
      <c r="P45" s="3119"/>
      <c r="Q45" s="3119">
        <v>1</v>
      </c>
      <c r="R45" s="464"/>
      <c r="S45" s="1454" t="str">
        <f>$J45</f>
        <v>...1.1</v>
      </c>
      <c r="T45" s="394" t="s">
        <v>492</v>
      </c>
      <c r="U45" s="408"/>
      <c r="V45" s="3103"/>
      <c r="W45" s="3104"/>
      <c r="X45" s="3104"/>
      <c r="Y45" s="3104"/>
      <c r="Z45" s="3104"/>
      <c r="AA45" s="3104"/>
      <c r="AB45" s="3105"/>
      <c r="AC45" s="3103"/>
      <c r="AD45" s="3104"/>
      <c r="AE45" s="3104"/>
      <c r="AF45" s="3104"/>
      <c r="AG45" s="3104"/>
      <c r="AH45" s="3104"/>
      <c r="AI45" s="3104"/>
      <c r="AJ45" s="3105"/>
      <c r="AK45" s="1403" t="s">
        <v>570</v>
      </c>
      <c r="AM45" s="607"/>
      <c r="AN45" s="607" t="str">
        <f>IF(T45="","",T45)</f>
        <v>Группа потребителей</v>
      </c>
      <c r="AO45" s="607"/>
      <c r="AP45" s="607"/>
      <c r="AQ45" s="1251">
        <v>23</v>
      </c>
    </row>
    <row customHeight="1" ht="24">
      <c r="A46" s="1459" t="s">
        <v>311</v>
      </c>
      <c r="B46" s="1459" t="s">
        <v>312</v>
      </c>
      <c r="C46" s="1459" t="s">
        <v>313</v>
      </c>
      <c r="D46" s="1459" t="s">
        <v>580</v>
      </c>
      <c r="E46" s="3116"/>
      <c r="F46" s="3116"/>
      <c r="G46" s="3116"/>
      <c r="H46" s="3116"/>
      <c r="I46" s="3118"/>
      <c r="J46" s="3118"/>
      <c r="K46" s="3117" t="str">
        <f>J45&amp;".1"</f>
        <v>...1.1.1</v>
      </c>
      <c r="L46" s="1460"/>
      <c r="P46" s="3119"/>
      <c r="Q46" s="3119"/>
      <c r="R46" s="464">
        <v>1</v>
      </c>
      <c r="S46" s="1454" t="str">
        <f>$K46</f>
        <v>...1.1.1</v>
      </c>
      <c r="T46" s="1533"/>
      <c r="U46" s="408"/>
      <c r="V46" s="1456"/>
      <c r="W46" s="1456"/>
      <c r="X46" s="1457"/>
      <c r="Y46" s="3113"/>
      <c r="Z46" s="3112" t="s">
        <v>62</v>
      </c>
      <c r="AA46" s="3113"/>
      <c r="AB46" s="3112" t="s">
        <v>62</v>
      </c>
      <c r="AC46" s="858"/>
      <c r="AD46" s="858"/>
      <c r="AE46" s="1353"/>
      <c r="AF46" s="3120"/>
      <c r="AG46" s="2989" t="s">
        <v>62</v>
      </c>
      <c r="AH46" s="3122"/>
      <c r="AI46" s="2989" t="s">
        <v>19</v>
      </c>
      <c r="AJ46" s="1534"/>
      <c r="AK46"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8">
        <f>STRCHECKDATE(V47:AJ47)</f>
      </c>
      <c r="AM46" s="607"/>
      <c r="AN46" s="607" t="str">
        <f>IF(T46="","",T46)</f>
        <v/>
      </c>
      <c r="AO46" s="607"/>
      <c r="AP46" s="607"/>
      <c r="AQ46" s="1251">
        <v>23</v>
      </c>
    </row>
    <row customHeight="1" ht="14.25" hidden="1">
      <c r="A47" s="1459" t="s">
        <v>311</v>
      </c>
      <c r="B47" s="1459" t="s">
        <v>312</v>
      </c>
      <c r="C47" s="1459" t="s">
        <v>313</v>
      </c>
      <c r="D47" s="1459" t="s">
        <v>580</v>
      </c>
      <c r="E47" s="3116"/>
      <c r="F47" s="3116"/>
      <c r="G47" s="3116"/>
      <c r="H47" s="3116"/>
      <c r="I47" s="3118"/>
      <c r="J47" s="3118"/>
      <c r="K47" s="3117"/>
      <c r="L47" s="1460"/>
      <c r="P47" s="3119"/>
      <c r="Q47" s="3119"/>
      <c r="R47" s="464"/>
      <c r="S47" s="1455"/>
      <c r="T47" s="408"/>
      <c r="U47" s="408"/>
      <c r="V47" s="1456"/>
      <c r="W47" s="1456"/>
      <c r="X47" s="436" t="str">
        <f>Y46&amp;"-"&amp;AA46</f>
        <v>-</v>
      </c>
      <c r="Y47" s="3112"/>
      <c r="Z47" s="3112"/>
      <c r="AA47" s="3112"/>
      <c r="AB47" s="3112"/>
      <c r="AC47" s="433"/>
      <c r="AD47" s="433"/>
      <c r="AE47" s="436" t="str">
        <f>AF46&amp;"-"&amp;AH46</f>
        <v>-</v>
      </c>
      <c r="AF47" s="3121"/>
      <c r="AG47" s="2989"/>
      <c r="AH47" s="3123"/>
      <c r="AI47" s="2989"/>
      <c r="AJ47" s="1535"/>
      <c r="AK47" s="3189"/>
      <c r="AM47" s="607"/>
      <c r="AN47" s="607" t="str">
        <f>IF(T47="","",T47)</f>
        <v/>
      </c>
      <c r="AO47" s="607"/>
      <c r="AP47" s="607"/>
      <c r="AQ47" s="1251">
        <v>0</v>
      </c>
    </row>
    <row customHeight="1" ht="21">
      <c r="A48" s="1459" t="s">
        <v>311</v>
      </c>
      <c r="B48" s="1459" t="s">
        <v>312</v>
      </c>
      <c r="C48" s="1459" t="s">
        <v>313</v>
      </c>
      <c r="D48" s="1459" t="s">
        <v>580</v>
      </c>
      <c r="E48" s="3116"/>
      <c r="F48" s="3116"/>
      <c r="G48" s="3116"/>
      <c r="H48" s="3116"/>
      <c r="I48" s="3118"/>
      <c r="J48" s="3117"/>
      <c r="K48" s="1459"/>
      <c r="L48" s="1460"/>
      <c r="P48" s="3119"/>
      <c r="Q48" s="3119"/>
      <c r="R48" s="463"/>
      <c r="S48" s="1374"/>
      <c r="T48" s="395" t="s">
        <v>571</v>
      </c>
      <c r="U48" s="474"/>
      <c r="V48" s="474"/>
      <c r="W48" s="474"/>
      <c r="X48" s="474"/>
      <c r="Y48" s="474"/>
      <c r="Z48" s="474"/>
      <c r="AA48" s="474"/>
      <c r="AB48" s="474"/>
      <c r="AC48" s="474"/>
      <c r="AD48" s="474"/>
      <c r="AE48" s="474"/>
      <c r="AF48" s="474"/>
      <c r="AG48" s="474"/>
      <c r="AH48" s="474"/>
      <c r="AI48" s="474"/>
      <c r="AJ48" s="474"/>
      <c r="AK48" s="1354" t="s">
        <v>572</v>
      </c>
      <c r="AM48" s="607"/>
      <c r="AN48" s="607" t="str">
        <f>IF(T48="","",T48)</f>
        <v>Добавить значение признака дифференциации</v>
      </c>
      <c r="AO48" s="607"/>
      <c r="AP48" s="607"/>
      <c r="AQ48" s="1251">
        <v>20</v>
      </c>
    </row>
    <row customHeight="1" ht="22.049999999999997">
      <c r="A49" s="1459" t="s">
        <v>311</v>
      </c>
      <c r="B49" s="1459" t="s">
        <v>312</v>
      </c>
      <c r="C49" s="1459" t="s">
        <v>313</v>
      </c>
      <c r="D49" s="1459" t="s">
        <v>580</v>
      </c>
      <c r="E49" s="3116"/>
      <c r="F49" s="3116"/>
      <c r="G49" s="3116"/>
      <c r="H49" s="3116"/>
      <c r="I49" s="3117"/>
      <c r="J49" s="1459"/>
      <c r="K49" s="1459"/>
      <c r="L49" s="1460"/>
      <c r="P49" s="3119"/>
      <c r="Q49" s="1450"/>
      <c r="R49" s="463"/>
      <c r="S49" s="1374"/>
      <c r="T49" s="472" t="s">
        <v>497</v>
      </c>
      <c r="U49" s="474"/>
      <c r="V49" s="474"/>
      <c r="W49" s="474"/>
      <c r="X49" s="474"/>
      <c r="Y49" s="474"/>
      <c r="Z49" s="474"/>
      <c r="AA49" s="474"/>
      <c r="AB49" s="473"/>
      <c r="AC49" s="474"/>
      <c r="AD49" s="474"/>
      <c r="AE49" s="474"/>
      <c r="AF49" s="474"/>
      <c r="AG49" s="474"/>
      <c r="AH49" s="474"/>
      <c r="AI49" s="473"/>
      <c r="AJ49" s="474"/>
      <c r="AK49" s="1536"/>
      <c r="AM49" s="607"/>
      <c r="AN49" s="607" t="str">
        <f>IF(T49="","",T49)</f>
        <v>Добавить группу потребителей</v>
      </c>
      <c r="AO49" s="607"/>
      <c r="AP49" s="607"/>
      <c r="AQ49" s="1251">
        <v>21</v>
      </c>
    </row>
    <row customHeight="1" ht="22.049999999999997">
      <c r="A50" s="1459" t="s">
        <v>311</v>
      </c>
      <c r="B50" s="1459" t="s">
        <v>312</v>
      </c>
      <c r="C50" s="1459" t="s">
        <v>313</v>
      </c>
      <c r="D50" s="1459" t="s">
        <v>580</v>
      </c>
      <c r="E50" s="3116"/>
      <c r="F50" s="3116"/>
      <c r="G50" s="3116"/>
      <c r="H50" s="3115"/>
      <c r="I50" s="1459"/>
      <c r="J50" s="1459"/>
      <c r="K50" s="1459"/>
      <c r="L50" s="1460"/>
      <c r="M50" s="1461"/>
      <c r="N50" s="1461"/>
      <c r="O50" s="644"/>
      <c r="P50" s="467"/>
      <c r="Q50" s="482"/>
      <c r="R50" s="462"/>
      <c r="S50" s="1374"/>
      <c r="T50" s="479" t="s">
        <v>573</v>
      </c>
      <c r="U50" s="474"/>
      <c r="V50" s="474"/>
      <c r="W50" s="474"/>
      <c r="X50" s="474"/>
      <c r="Y50" s="474"/>
      <c r="Z50" s="474"/>
      <c r="AA50" s="474"/>
      <c r="AB50" s="473"/>
      <c r="AC50" s="474"/>
      <c r="AD50" s="474"/>
      <c r="AE50" s="474"/>
      <c r="AF50" s="474"/>
      <c r="AG50" s="474"/>
      <c r="AH50" s="474"/>
      <c r="AI50" s="473"/>
      <c r="AJ50" s="474"/>
      <c r="AK50" s="411"/>
      <c r="AM50" s="607"/>
      <c r="AN50" s="607" t="str">
        <f>IF(T50="","",T50)</f>
        <v>Добавить наименование признака дифференциации</v>
      </c>
      <c r="AO50" s="607"/>
      <c r="AP50" s="607"/>
      <c r="AQ50" s="1251">
        <v>21</v>
      </c>
    </row>
    <row s="10307" customFormat="1" customHeight="1" ht="14.25" hidden="1">
      <c r="A51" s="1439" t="s">
        <v>311</v>
      </c>
      <c r="B51" s="1439" t="s">
        <v>312</v>
      </c>
      <c r="C51" s="1410"/>
      <c r="D51" s="1410"/>
      <c r="E51" s="3116"/>
      <c r="F51" s="3115"/>
      <c r="G51" s="1410"/>
      <c r="H51" s="1410"/>
      <c r="I51" s="1410"/>
      <c r="J51" s="1410"/>
      <c r="K51" s="1410"/>
      <c r="L51" s="1522"/>
      <c r="M51" s="1417"/>
      <c r="N51" s="1417"/>
      <c r="P51" s="1412"/>
      <c r="Q51" s="1413"/>
      <c r="R51" s="1412"/>
      <c r="S51" s="1418"/>
      <c r="T51" s="1421" t="s">
        <v>500</v>
      </c>
      <c r="U51" s="1420"/>
      <c r="V51" s="1420"/>
      <c r="W51" s="1420"/>
      <c r="X51" s="1420"/>
      <c r="Y51" s="1420"/>
      <c r="Z51" s="1420"/>
      <c r="AA51" s="1420"/>
      <c r="AB51" s="1420"/>
      <c r="AC51" s="1420"/>
      <c r="AD51" s="1420"/>
      <c r="AE51" s="1420"/>
      <c r="AF51" s="1420"/>
      <c r="AG51" s="1420"/>
      <c r="AH51" s="1420"/>
      <c r="AI51" s="1420"/>
      <c r="AJ51" s="1420"/>
      <c r="AK51" s="1420"/>
      <c r="AM51" s="890"/>
      <c r="AN51" s="890" t="str">
        <f>IF(T51="","",T51)</f>
        <v>Добавить централизованную систему для дифференциации</v>
      </c>
      <c r="AO51" s="890"/>
      <c r="AP51" s="890"/>
      <c r="AQ51" s="625">
        <v>0</v>
      </c>
    </row>
    <row s="10307" customFormat="1" customHeight="1" ht="14.25" hidden="1">
      <c r="A52" s="1439" t="s">
        <v>311</v>
      </c>
      <c r="B52" s="1439"/>
      <c r="C52" s="1439"/>
      <c r="D52" s="1439"/>
      <c r="E52" s="3115"/>
      <c r="F52" s="1439"/>
      <c r="G52" s="1439"/>
      <c r="H52" s="1439"/>
      <c r="I52" s="1439"/>
      <c r="J52" s="1439"/>
      <c r="K52" s="1439"/>
      <c r="L52" s="1442"/>
      <c r="M52" s="1417"/>
      <c r="N52" s="1417"/>
      <c r="O52" s="625"/>
      <c r="P52" s="487"/>
      <c r="Q52" s="1440"/>
      <c r="R52" s="487"/>
      <c r="S52" s="1418"/>
      <c r="T52" s="1421" t="s">
        <v>501</v>
      </c>
      <c r="U52" s="1420"/>
      <c r="V52" s="1420"/>
      <c r="W52" s="1420"/>
      <c r="X52" s="1420"/>
      <c r="Y52" s="1420"/>
      <c r="Z52" s="1420"/>
      <c r="AA52" s="1420"/>
      <c r="AB52" s="1420"/>
      <c r="AC52" s="1420"/>
      <c r="AD52" s="1420"/>
      <c r="AE52" s="1420"/>
      <c r="AF52" s="1420"/>
      <c r="AG52" s="1420"/>
      <c r="AH52" s="1420"/>
      <c r="AI52" s="1420"/>
      <c r="AJ52" s="1420"/>
      <c r="AK52" s="1420"/>
      <c r="AM52" s="607"/>
      <c r="AN52" s="607" t="str">
        <f>IF(T52="","",T52)</f>
        <v>Добавить территорию для дифференциации</v>
      </c>
      <c r="AO52" s="607"/>
      <c r="AP52" s="607"/>
      <c r="AQ52" s="618">
        <v>0</v>
      </c>
    </row>
    <row s="10307" customFormat="1" customHeight="1" ht="14.25" hidden="1">
      <c r="A53" s="1410"/>
      <c r="B53" s="1410"/>
      <c r="C53" s="1410"/>
      <c r="D53" s="1410"/>
      <c r="E53" s="1439"/>
      <c r="F53" s="1410"/>
      <c r="G53" s="1410"/>
      <c r="H53" s="1410"/>
      <c r="I53" s="1410"/>
      <c r="J53" s="1410"/>
      <c r="K53" s="1410"/>
      <c r="L53" s="1522"/>
      <c r="M53" s="1417"/>
      <c r="N53" s="1417"/>
      <c r="P53" s="1412"/>
      <c r="Q53" s="1413"/>
      <c r="R53" s="1412"/>
      <c r="S53" s="1418"/>
      <c r="T53" s="1421" t="s">
        <v>533</v>
      </c>
      <c r="U53" s="1420"/>
      <c r="V53" s="1420"/>
      <c r="W53" s="1420"/>
      <c r="X53" s="1420"/>
      <c r="Y53" s="1420"/>
      <c r="Z53" s="1420"/>
      <c r="AA53" s="1420"/>
      <c r="AB53" s="1420"/>
      <c r="AC53" s="1420"/>
      <c r="AD53" s="1420"/>
      <c r="AE53" s="1420"/>
      <c r="AF53" s="1420"/>
      <c r="AG53" s="1420"/>
      <c r="AH53" s="1420"/>
      <c r="AI53" s="1420"/>
      <c r="AJ53" s="1420"/>
      <c r="AK53" s="1420"/>
      <c r="AM53" s="890"/>
      <c r="AN53" s="890" t="str">
        <f>IF(T53="","",T53)</f>
        <v>Добавить наименование тарифа</v>
      </c>
      <c r="AO53" s="890"/>
      <c r="AP53" s="890"/>
      <c r="AQ53" s="625">
        <v>0</v>
      </c>
    </row>
    <row customHeight="1" ht="11.549999999999999">
      <c r="M54" s="1256"/>
      <c r="N54" s="1256"/>
      <c r="O54" s="644"/>
      <c r="P54" s="1251"/>
      <c r="Q54" s="1251"/>
      <c r="R54" s="1251"/>
      <c r="S54" s="1251"/>
      <c r="AL54" s="1251"/>
      <c r="AM54" s="1251"/>
      <c r="AN54" s="1251"/>
      <c r="AO54" s="1251"/>
      <c r="AP54" s="1251"/>
      <c r="AQ54" s="1251">
        <v>11</v>
      </c>
    </row>
    <row customHeight="1" ht="14.699999999999998">
      <c r="O55" s="644"/>
      <c r="S55" s="1349"/>
      <c r="T55" s="3114"/>
      <c r="U55" s="3114"/>
      <c r="V55" s="3114"/>
      <c r="W55" s="3114"/>
      <c r="X55" s="3114"/>
      <c r="Y55" s="3114"/>
      <c r="Z55" s="3114"/>
      <c r="AA55" s="3114"/>
      <c r="AB55" s="3114"/>
      <c r="AC55" s="3114"/>
      <c r="AD55" s="3114"/>
      <c r="AE55" s="3114"/>
      <c r="AF55" s="3114"/>
      <c r="AG55" s="3114"/>
      <c r="AH55" s="3114"/>
      <c r="AI55" s="3114"/>
      <c r="AJ55" s="3114"/>
      <c r="AK55" s="3114"/>
      <c r="AQ55" s="1251">
        <v>14</v>
      </c>
    </row>
    <row customHeight="1" ht="14.699999999999998">
      <c r="O56" s="644"/>
      <c r="AQ56" s="1251">
        <v>14</v>
      </c>
    </row>
    <row customHeight="1" ht="14.699999999999998">
      <c r="O57" s="644"/>
      <c r="S57" s="1349"/>
      <c r="T57" s="3114"/>
      <c r="U57" s="3114"/>
      <c r="V57" s="3114"/>
      <c r="W57" s="3114"/>
      <c r="X57" s="3114"/>
      <c r="Y57" s="3114"/>
      <c r="Z57" s="3114"/>
      <c r="AA57" s="3114"/>
      <c r="AB57" s="3114"/>
      <c r="AC57" s="3114"/>
      <c r="AD57" s="3114"/>
      <c r="AE57" s="3114"/>
      <c r="AF57" s="3114"/>
      <c r="AG57" s="3114"/>
      <c r="AH57" s="3114"/>
      <c r="AI57" s="3114"/>
      <c r="AJ57" s="3114"/>
      <c r="AK57" s="3114"/>
      <c r="AQ57" s="1251">
        <v>14</v>
      </c>
    </row>
    <row customHeight="1" ht="22.5" hidden="1">
      <c r="A58" s="1256" t="s">
        <v>82</v>
      </c>
      <c r="B58" s="1256">
        <v>0</v>
      </c>
      <c r="C58" s="1256">
        <v>0</v>
      </c>
      <c r="D58" s="1256">
        <v>0</v>
      </c>
      <c r="E58" s="1256">
        <v>0</v>
      </c>
      <c r="F58" s="1256">
        <v>0</v>
      </c>
      <c r="G58" s="1256">
        <v>0</v>
      </c>
      <c r="H58" s="1256">
        <v>0</v>
      </c>
      <c r="I58" s="1256">
        <v>0</v>
      </c>
      <c r="J58" s="1256">
        <v>0</v>
      </c>
      <c r="K58" s="1256">
        <v>0</v>
      </c>
      <c r="L58" s="1517">
        <v>0</v>
      </c>
      <c r="M58" s="1458">
        <v>0</v>
      </c>
      <c r="N58" s="1458">
        <v>0</v>
      </c>
      <c r="O58" s="1458">
        <v>0</v>
      </c>
      <c r="P58" s="1447">
        <v>3</v>
      </c>
      <c r="Q58" s="452">
        <v>3</v>
      </c>
      <c r="R58" s="452">
        <v>3</v>
      </c>
      <c r="S58" s="688">
        <v>12</v>
      </c>
      <c r="T58" s="1251">
        <v>35</v>
      </c>
      <c r="U58" s="1251">
        <v>0</v>
      </c>
      <c r="V58" s="1251">
        <v>0</v>
      </c>
      <c r="W58" s="1251">
        <v>0</v>
      </c>
      <c r="X58" s="1251">
        <v>0</v>
      </c>
      <c r="Y58" s="1251">
        <v>0</v>
      </c>
      <c r="Z58" s="1251">
        <v>0</v>
      </c>
      <c r="AA58" s="1251">
        <v>0</v>
      </c>
      <c r="AB58" s="1251">
        <v>0</v>
      </c>
      <c r="AC58" s="1251">
        <v>24</v>
      </c>
      <c r="AD58" s="1251">
        <v>24</v>
      </c>
      <c r="AE58" s="1251">
        <v>24</v>
      </c>
      <c r="AF58" s="1251">
        <v>11</v>
      </c>
      <c r="AG58" s="1251">
        <v>3</v>
      </c>
      <c r="AH58" s="1251">
        <v>11</v>
      </c>
      <c r="AI58" s="1251">
        <v>0</v>
      </c>
      <c r="AJ58" s="1251">
        <v>4</v>
      </c>
      <c r="AK58" s="1251">
        <v>115</v>
      </c>
      <c r="AL58" s="618">
        <v>10</v>
      </c>
      <c r="AM58" s="618">
        <v>10</v>
      </c>
      <c r="AN58" s="618">
        <v>10</v>
      </c>
      <c r="AO58" s="618">
        <v>10</v>
      </c>
      <c r="AP58" s="618">
        <v>10</v>
      </c>
      <c r="AQ58" s="1251">
        <v>23</v>
      </c>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3675C-3675-AECA-FDBF-5C86BB4634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4.140625" hidden="1" customWidth="1"/>
    <col min="10" max="10" style="10306" width="9.8515625" hidden="1" customWidth="1"/>
    <col min="11" max="11" style="10306" width="14.7109375" hidden="1" customWidth="1"/>
    <col min="12" max="12" style="11079" width="19.140625" hidden="1" customWidth="1"/>
    <col min="13" max="14" style="11080" width="12.28125" hidden="1" customWidth="1"/>
    <col min="15" max="15" style="11080" width="23.421875" hidden="1" customWidth="1"/>
    <col min="16" max="16" style="11081" width="3.00390625" customWidth="1"/>
    <col min="17" max="18" style="11082" width="3.00390625" customWidth="1"/>
    <col min="19" max="19" style="11083" width="12.00390625" customWidth="1"/>
    <col min="20" max="20" style="10232" width="35.00390625" customWidth="1"/>
    <col min="21" max="21" style="10232" width="0.140625" customWidth="1"/>
    <col min="22" max="24" style="10232" width="24.7109375" hidden="1" customWidth="1"/>
    <col min="25" max="25" style="10232" width="11.7109375" hidden="1" customWidth="1"/>
    <col min="26" max="26" style="10232" width="3.7109375" hidden="1" customWidth="1"/>
    <col min="27" max="27" style="10232" width="11.7109375" hidden="1" customWidth="1"/>
    <col min="28" max="28" style="10232" width="8.57421875" hidden="1" customWidth="1"/>
    <col min="29" max="29" style="10232" width="24.7109375" customWidth="1"/>
    <col min="30" max="31" style="10232" width="24.00390625" customWidth="1"/>
    <col min="32" max="32" style="10232" width="11.00390625" customWidth="1"/>
    <col min="33" max="33" style="10232" width="3.7109375" customWidth="1"/>
    <col min="34" max="34" style="10232" width="11.00390625" customWidth="1"/>
    <col min="35" max="35" style="10232" width="8.57421875" hidden="1" customWidth="1"/>
    <col min="36" max="36" style="10232" width="4.00390625" customWidth="1"/>
    <col min="37" max="37" style="10232" width="115.00390625" customWidth="1"/>
    <col min="38" max="42" style="10307" width="10.00390625" customWidth="1"/>
    <col min="43" max="43" style="10232" width="10.57421875" hidden="1"/>
  </cols>
  <sheetData>
    <row customHeight="1" ht="22.5" hidden="1">
      <c r="X1" s="435"/>
      <c r="Y1" s="435"/>
      <c r="AE1" s="435"/>
      <c r="AF1" s="435"/>
      <c r="AQ1" s="1251" t="s">
        <v>14</v>
      </c>
    </row>
    <row customHeight="1" ht="23.25" hidden="1">
      <c r="A2" s="1459"/>
      <c r="B2" s="1459"/>
      <c r="C2" s="1459"/>
      <c r="D2" s="1459"/>
      <c r="E2" s="3115">
        <v>1</v>
      </c>
      <c r="F2" s="1459"/>
      <c r="G2" s="1459"/>
      <c r="H2" s="1459"/>
      <c r="I2" s="1459"/>
      <c r="J2" s="1459"/>
      <c r="K2" s="1459"/>
      <c r="L2" s="1460"/>
      <c r="M2" s="1461"/>
      <c r="N2" s="1461"/>
      <c r="O2" s="1461"/>
      <c r="P2" s="468"/>
      <c r="Q2" s="467"/>
      <c r="R2" s="462"/>
      <c r="S2" s="1553">
        <f>INDEX(PT_DIFFERENTIATION_NUM_NTAR,MATCH(A2,PT_DIFFERENTIATION_NTAR_ID,0))</f>
      </c>
      <c r="T2" s="406" t="s">
        <v>210</v>
      </c>
      <c r="U2" s="408"/>
      <c r="V2" s="3109"/>
      <c r="W2" s="3110"/>
      <c r="X2" s="3110"/>
      <c r="Y2" s="3110"/>
      <c r="Z2" s="3110"/>
      <c r="AA2" s="3110"/>
      <c r="AB2" s="3111"/>
      <c r="AC2" s="3109">
        <f>INDEX(PT_DIFFERENTIATION_NTAR,MATCH(A2,PT_DIFFERENTIATION_NTAR_ID,0))</f>
      </c>
      <c r="AD2" s="3110"/>
      <c r="AE2" s="3110"/>
      <c r="AF2" s="3110"/>
      <c r="AG2" s="3110"/>
      <c r="AH2" s="3110"/>
      <c r="AI2" s="3110"/>
      <c r="AJ2" s="3111"/>
      <c r="AK2"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7"/>
      <c r="AN2" s="607" t="str">
        <f>IF(T2="","",T2)</f>
        <v>Наименование тарифа</v>
      </c>
      <c r="AO2" s="607"/>
      <c r="AP2" s="607"/>
      <c r="AQ2" s="1251">
        <v>0</v>
      </c>
    </row>
    <row customHeight="1" ht="23.25" hidden="1">
      <c r="A3" s="1459"/>
      <c r="B3" s="1459"/>
      <c r="C3" s="1459"/>
      <c r="D3" s="1459"/>
      <c r="E3" s="3116"/>
      <c r="F3" s="3115">
        <v>1</v>
      </c>
      <c r="G3" s="1459"/>
      <c r="H3" s="1459"/>
      <c r="I3" s="1459"/>
      <c r="J3" s="1459"/>
      <c r="K3" s="1459"/>
      <c r="L3" s="1460"/>
      <c r="M3" s="1461"/>
      <c r="N3" s="1461"/>
      <c r="O3" s="1461"/>
      <c r="P3" s="1549"/>
      <c r="Q3" s="459"/>
      <c r="R3" s="460"/>
      <c r="S3" s="1553">
        <f>INDEX(PT_DIFFERENTIATION_NUM_TER,MATCH(B3,PT_DIFFERENTIATION_TER_ID,0))</f>
      </c>
      <c r="T3" s="416" t="s">
        <v>482</v>
      </c>
      <c r="U3" s="408"/>
      <c r="V3" s="3109"/>
      <c r="W3" s="3110"/>
      <c r="X3" s="3110"/>
      <c r="Y3" s="3110"/>
      <c r="Z3" s="3110"/>
      <c r="AA3" s="3110"/>
      <c r="AB3" s="3111"/>
      <c r="AC3" s="3109">
        <f>INDEX(PT_DIFFERENTIATION_TER,MATCH(B3,PT_DIFFERENTIATION_TER_ID,0))</f>
      </c>
      <c r="AD3" s="3110"/>
      <c r="AE3" s="3110"/>
      <c r="AF3" s="3110"/>
      <c r="AG3" s="3110"/>
      <c r="AH3" s="3110"/>
      <c r="AI3" s="3110"/>
      <c r="AJ3" s="3111"/>
      <c r="AK3" s="1354" t="s">
        <v>483</v>
      </c>
      <c r="AM3" s="607"/>
      <c r="AN3" s="607" t="str">
        <f>IF(T3="","",T3)</f>
        <v>Территория действия тарифа</v>
      </c>
      <c r="AO3" s="607"/>
      <c r="AP3" s="607"/>
      <c r="AQ3" s="1251">
        <v>0</v>
      </c>
    </row>
    <row customHeight="1" ht="23.25" hidden="1">
      <c r="A4" s="1459"/>
      <c r="B4" s="1459"/>
      <c r="C4" s="1459"/>
      <c r="D4" s="1459"/>
      <c r="E4" s="3116"/>
      <c r="F4" s="3116"/>
      <c r="G4" s="3115">
        <v>1</v>
      </c>
      <c r="H4" s="1459"/>
      <c r="I4" s="1459"/>
      <c r="J4" s="1459"/>
      <c r="K4" s="1459"/>
      <c r="L4" s="1460"/>
      <c r="M4" s="1461"/>
      <c r="N4" s="1461"/>
      <c r="O4" s="1461"/>
      <c r="P4" s="461"/>
      <c r="Q4" s="459"/>
      <c r="R4" s="460"/>
      <c r="S4" s="1553">
        <f>INDEX(PT_DIFFERENTIATION_NUM_CS,MATCH(C4,PT_DIFFERENTIATION_CS_ID,0))</f>
      </c>
      <c r="T4" s="417" t="s">
        <v>566</v>
      </c>
      <c r="U4" s="408"/>
      <c r="V4" s="3109"/>
      <c r="W4" s="3110"/>
      <c r="X4" s="3110"/>
      <c r="Y4" s="3110"/>
      <c r="Z4" s="3110"/>
      <c r="AA4" s="3110"/>
      <c r="AB4" s="3111"/>
      <c r="AC4" s="3109">
        <f>INDEX(PT_DIFFERENTIATION_CS,MATCH(C4,PT_DIFFERENTIATION_CS_ID,0))</f>
      </c>
      <c r="AD4" s="3110"/>
      <c r="AE4" s="3110"/>
      <c r="AF4" s="3110"/>
      <c r="AG4" s="3110"/>
      <c r="AH4" s="3110"/>
      <c r="AI4" s="3110"/>
      <c r="AJ4" s="3111"/>
      <c r="AK4" s="1354" t="s">
        <v>567</v>
      </c>
      <c r="AM4" s="607"/>
      <c r="AN4" s="607" t="str">
        <f>IF(T4="","",T4)</f>
        <v>Наименование централизованной системы холодного водоснабжения</v>
      </c>
      <c r="AO4" s="607"/>
      <c r="AP4" s="607"/>
      <c r="AQ4" s="1251">
        <v>0</v>
      </c>
    </row>
    <row customHeight="1" ht="23.25" hidden="1">
      <c r="A5" s="1459"/>
      <c r="B5" s="1459"/>
      <c r="C5" s="1459"/>
      <c r="D5" s="1459"/>
      <c r="E5" s="3116"/>
      <c r="F5" s="3116"/>
      <c r="G5" s="3116"/>
      <c r="H5" s="3116"/>
      <c r="I5" s="3117">
        <f>S4&amp;".1"</f>
      </c>
      <c r="J5" s="1459"/>
      <c r="K5" s="1459"/>
      <c r="L5" s="1460"/>
      <c r="P5" s="3119">
        <v>1</v>
      </c>
      <c r="Q5" s="1546"/>
      <c r="R5" s="463"/>
      <c r="S5" s="1553">
        <f>$I5</f>
      </c>
      <c r="T5" s="393" t="s">
        <v>568</v>
      </c>
      <c r="U5" s="408"/>
      <c r="V5" s="3183"/>
      <c r="W5" s="3184"/>
      <c r="X5" s="3184"/>
      <c r="Y5" s="3184"/>
      <c r="Z5" s="3184"/>
      <c r="AA5" s="3184"/>
      <c r="AB5" s="3185"/>
      <c r="AC5" s="3186"/>
      <c r="AD5" s="3187"/>
      <c r="AE5" s="3187"/>
      <c r="AF5" s="3187"/>
      <c r="AG5" s="3187"/>
      <c r="AH5" s="3187"/>
      <c r="AI5" s="3187"/>
      <c r="AJ5" s="3188"/>
      <c r="AK5" s="1354" t="s">
        <v>569</v>
      </c>
      <c r="AM5" s="607"/>
      <c r="AN5" s="607" t="str">
        <f>IF(T5="","",T5)</f>
        <v>Наименование признака дифференциации</v>
      </c>
      <c r="AO5" s="607"/>
      <c r="AP5" s="607"/>
      <c r="AQ5" s="1251">
        <v>0</v>
      </c>
    </row>
    <row customHeight="1" ht="23.25" hidden="1">
      <c r="A6" s="1459"/>
      <c r="B6" s="1459"/>
      <c r="C6" s="1459"/>
      <c r="D6" s="1459"/>
      <c r="E6" s="3116"/>
      <c r="F6" s="3116"/>
      <c r="G6" s="3116"/>
      <c r="H6" s="3116"/>
      <c r="I6" s="3118"/>
      <c r="J6" s="3117">
        <f>I5&amp;".1"</f>
      </c>
      <c r="K6" s="1459"/>
      <c r="L6" s="1460" t="s">
        <v>491</v>
      </c>
      <c r="P6" s="3119"/>
      <c r="Q6" s="3119">
        <v>1</v>
      </c>
      <c r="R6" s="464"/>
      <c r="S6" s="1553">
        <f>$J6</f>
      </c>
      <c r="T6" s="394" t="s">
        <v>492</v>
      </c>
      <c r="U6" s="408"/>
      <c r="V6" s="3103"/>
      <c r="W6" s="3104"/>
      <c r="X6" s="3104"/>
      <c r="Y6" s="3104"/>
      <c r="Z6" s="3104"/>
      <c r="AA6" s="3104"/>
      <c r="AB6" s="3105"/>
      <c r="AC6" s="3103"/>
      <c r="AD6" s="3104"/>
      <c r="AE6" s="3104"/>
      <c r="AF6" s="3104"/>
      <c r="AG6" s="3104"/>
      <c r="AH6" s="3104"/>
      <c r="AI6" s="3104"/>
      <c r="AJ6" s="3105"/>
      <c r="AK6" s="1403" t="s">
        <v>570</v>
      </c>
      <c r="AM6" s="607"/>
      <c r="AN6" s="607" t="str">
        <f>IF(T6="","",T6)</f>
        <v>Группа потребителей</v>
      </c>
      <c r="AO6" s="607"/>
      <c r="AP6" s="607"/>
      <c r="AQ6" s="1251">
        <v>0</v>
      </c>
    </row>
    <row customHeight="1" ht="23.25" hidden="1">
      <c r="A7" s="1459"/>
      <c r="B7" s="1459"/>
      <c r="C7" s="1459"/>
      <c r="D7" s="1459"/>
      <c r="E7" s="3116"/>
      <c r="F7" s="3116"/>
      <c r="G7" s="3116"/>
      <c r="H7" s="3116"/>
      <c r="I7" s="3118"/>
      <c r="J7" s="3118"/>
      <c r="K7" s="3117">
        <f>J6&amp;".1"</f>
      </c>
      <c r="L7" s="1460"/>
      <c r="P7" s="3119"/>
      <c r="Q7" s="3119"/>
      <c r="R7" s="464">
        <v>1</v>
      </c>
      <c r="S7" s="1553">
        <f>$K7</f>
      </c>
      <c r="T7" s="1533"/>
      <c r="U7" s="408"/>
      <c r="V7" s="858"/>
      <c r="W7" s="858"/>
      <c r="X7" s="1353"/>
      <c r="Y7" s="3120"/>
      <c r="Z7" s="2989" t="s">
        <v>62</v>
      </c>
      <c r="AA7" s="3120"/>
      <c r="AB7" s="2989" t="s">
        <v>62</v>
      </c>
      <c r="AC7" s="858"/>
      <c r="AD7" s="858"/>
      <c r="AE7" s="1353"/>
      <c r="AF7" s="3120"/>
      <c r="AG7" s="2989" t="s">
        <v>62</v>
      </c>
      <c r="AH7" s="3122"/>
      <c r="AI7" s="2989" t="s">
        <v>62</v>
      </c>
      <c r="AJ7" s="1534"/>
      <c r="AK7"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8">
        <f>STRCHECKDATE(V8:AJ8)</f>
      </c>
      <c r="AM7" s="607"/>
      <c r="AN7" s="607" t="str">
        <f>IF(T7="","",T7)</f>
        <v/>
      </c>
      <c r="AO7" s="607"/>
      <c r="AP7" s="607"/>
      <c r="AQ7" s="1251">
        <v>0</v>
      </c>
    </row>
    <row customHeight="1" ht="14.25" hidden="1">
      <c r="A8" s="1459"/>
      <c r="B8" s="1459"/>
      <c r="C8" s="1459"/>
      <c r="D8" s="1459"/>
      <c r="E8" s="3116"/>
      <c r="F8" s="3116"/>
      <c r="G8" s="3116"/>
      <c r="H8" s="3116"/>
      <c r="I8" s="3118"/>
      <c r="J8" s="3118"/>
      <c r="K8" s="3117"/>
      <c r="L8" s="1460"/>
      <c r="P8" s="3119"/>
      <c r="Q8" s="3119"/>
      <c r="R8" s="464"/>
      <c r="S8" s="1552"/>
      <c r="T8" s="408"/>
      <c r="U8" s="408"/>
      <c r="V8" s="433"/>
      <c r="W8" s="433"/>
      <c r="X8" s="436" t="str">
        <f>Y7&amp;"-"&amp;AA7</f>
        <v>-</v>
      </c>
      <c r="Y8" s="3121"/>
      <c r="Z8" s="2989"/>
      <c r="AA8" s="3121"/>
      <c r="AB8" s="2989"/>
      <c r="AC8" s="433"/>
      <c r="AD8" s="433"/>
      <c r="AE8" s="436" t="str">
        <f>AF7&amp;"-"&amp;AH7</f>
        <v>-</v>
      </c>
      <c r="AF8" s="3121"/>
      <c r="AG8" s="2989"/>
      <c r="AH8" s="3123"/>
      <c r="AI8" s="2989"/>
      <c r="AJ8" s="1535"/>
      <c r="AK8" s="3189"/>
      <c r="AM8" s="607"/>
      <c r="AN8" s="607" t="str">
        <f>IF(T8="","",T8)</f>
        <v/>
      </c>
      <c r="AO8" s="607"/>
      <c r="AP8" s="607"/>
      <c r="AQ8" s="1251">
        <v>0</v>
      </c>
    </row>
    <row customHeight="1" ht="21" hidden="1">
      <c r="A9" s="1459"/>
      <c r="B9" s="1459"/>
      <c r="C9" s="1459"/>
      <c r="D9" s="1459"/>
      <c r="E9" s="3116"/>
      <c r="F9" s="3116"/>
      <c r="G9" s="3116"/>
      <c r="H9" s="3116"/>
      <c r="I9" s="3118"/>
      <c r="J9" s="3117"/>
      <c r="K9" s="1459"/>
      <c r="L9" s="1460"/>
      <c r="P9" s="3119"/>
      <c r="Q9" s="3119"/>
      <c r="R9" s="463"/>
      <c r="S9" s="1374"/>
      <c r="T9" s="395" t="s">
        <v>571</v>
      </c>
      <c r="U9" s="474"/>
      <c r="V9" s="474"/>
      <c r="W9" s="474"/>
      <c r="X9" s="474"/>
      <c r="Y9" s="474"/>
      <c r="Z9" s="474"/>
      <c r="AA9" s="474"/>
      <c r="AB9" s="474"/>
      <c r="AC9" s="474"/>
      <c r="AD9" s="474"/>
      <c r="AE9" s="474"/>
      <c r="AF9" s="474"/>
      <c r="AG9" s="474"/>
      <c r="AH9" s="474"/>
      <c r="AI9" s="474"/>
      <c r="AJ9" s="474"/>
      <c r="AK9" s="1354" t="s">
        <v>572</v>
      </c>
      <c r="AM9" s="607"/>
      <c r="AN9" s="607" t="str">
        <f>IF(T9="","",T9)</f>
        <v>Добавить значение признака дифференциации</v>
      </c>
      <c r="AO9" s="607"/>
      <c r="AP9" s="607"/>
      <c r="AQ9" s="1251">
        <v>0</v>
      </c>
    </row>
    <row customHeight="1" ht="21" hidden="1">
      <c r="A10" s="1459"/>
      <c r="B10" s="1459"/>
      <c r="C10" s="1459"/>
      <c r="D10" s="1459"/>
      <c r="E10" s="3116"/>
      <c r="F10" s="3116"/>
      <c r="G10" s="3116"/>
      <c r="H10" s="3116"/>
      <c r="I10" s="3117"/>
      <c r="J10" s="1459"/>
      <c r="K10" s="1459"/>
      <c r="L10" s="1460"/>
      <c r="P10" s="3119"/>
      <c r="Q10" s="1546"/>
      <c r="R10" s="463"/>
      <c r="S10" s="1374"/>
      <c r="T10" s="472" t="s">
        <v>497</v>
      </c>
      <c r="U10" s="474"/>
      <c r="V10" s="474"/>
      <c r="W10" s="474"/>
      <c r="X10" s="474"/>
      <c r="Y10" s="474"/>
      <c r="Z10" s="474"/>
      <c r="AA10" s="474"/>
      <c r="AB10" s="473"/>
      <c r="AC10" s="474"/>
      <c r="AD10" s="474"/>
      <c r="AE10" s="474"/>
      <c r="AF10" s="474"/>
      <c r="AG10" s="474"/>
      <c r="AH10" s="474"/>
      <c r="AI10" s="473"/>
      <c r="AJ10" s="474"/>
      <c r="AK10" s="1536"/>
      <c r="AM10" s="607"/>
      <c r="AN10" s="607" t="str">
        <f>IF(T10="","",T10)</f>
        <v>Добавить группу потребителей</v>
      </c>
      <c r="AO10" s="607"/>
      <c r="AP10" s="607"/>
      <c r="AQ10" s="1251">
        <v>0</v>
      </c>
    </row>
    <row customHeight="1" ht="21" hidden="1">
      <c r="A11" s="1459"/>
      <c r="B11" s="1459"/>
      <c r="C11" s="1459"/>
      <c r="D11" s="1459"/>
      <c r="E11" s="3116"/>
      <c r="F11" s="3116"/>
      <c r="G11" s="3116"/>
      <c r="H11" s="3115"/>
      <c r="I11" s="1459"/>
      <c r="J11" s="1459"/>
      <c r="K11" s="1459"/>
      <c r="L11" s="1460"/>
      <c r="M11" s="1461"/>
      <c r="N11" s="1461"/>
      <c r="O11" s="644"/>
      <c r="P11" s="467"/>
      <c r="Q11" s="482"/>
      <c r="R11" s="462"/>
      <c r="S11" s="1374"/>
      <c r="T11" s="479" t="s">
        <v>573</v>
      </c>
      <c r="U11" s="474"/>
      <c r="V11" s="474"/>
      <c r="W11" s="474"/>
      <c r="X11" s="474"/>
      <c r="Y11" s="474"/>
      <c r="Z11" s="474"/>
      <c r="AA11" s="474"/>
      <c r="AB11" s="473"/>
      <c r="AC11" s="474"/>
      <c r="AD11" s="474"/>
      <c r="AE11" s="474"/>
      <c r="AF11" s="474"/>
      <c r="AG11" s="474"/>
      <c r="AH11" s="474"/>
      <c r="AI11" s="473"/>
      <c r="AJ11" s="474"/>
      <c r="AK11" s="411"/>
      <c r="AM11" s="607"/>
      <c r="AN11" s="607" t="str">
        <f>IF(T11="","",T11)</f>
        <v>Добавить наименование признака дифференциации</v>
      </c>
      <c r="AO11" s="607"/>
      <c r="AP11" s="607"/>
      <c r="AQ11" s="1251">
        <v>0</v>
      </c>
    </row>
    <row s="10307" customFormat="1" customHeight="1" ht="14.25" hidden="1">
      <c r="A12" s="1439"/>
      <c r="B12" s="1439"/>
      <c r="C12" s="1410"/>
      <c r="D12" s="1410"/>
      <c r="E12" s="3116"/>
      <c r="F12" s="3115"/>
      <c r="G12" s="1410"/>
      <c r="H12" s="1410"/>
      <c r="I12" s="1410"/>
      <c r="J12" s="1410"/>
      <c r="K12" s="1410"/>
      <c r="L12" s="1554"/>
      <c r="M12" s="1417"/>
      <c r="N12" s="1417"/>
      <c r="P12" s="1412"/>
      <c r="Q12" s="1413"/>
      <c r="R12" s="1412"/>
      <c r="S12" s="1418"/>
      <c r="T12" s="1421" t="s">
        <v>500</v>
      </c>
      <c r="U12" s="1420"/>
      <c r="V12" s="1420"/>
      <c r="W12" s="1420"/>
      <c r="X12" s="1420"/>
      <c r="Y12" s="1420"/>
      <c r="Z12" s="1420"/>
      <c r="AA12" s="1420"/>
      <c r="AB12" s="1420"/>
      <c r="AC12" s="1420"/>
      <c r="AD12" s="1420"/>
      <c r="AE12" s="1420"/>
      <c r="AF12" s="1420"/>
      <c r="AG12" s="1420"/>
      <c r="AH12" s="1420"/>
      <c r="AI12" s="1420"/>
      <c r="AJ12" s="1420"/>
      <c r="AK12" s="1420"/>
      <c r="AM12" s="890"/>
      <c r="AN12" s="890" t="str">
        <f>IF(T12="","",T12)</f>
        <v>Добавить централизованную систему для дифференциации</v>
      </c>
      <c r="AO12" s="890"/>
      <c r="AP12" s="890"/>
      <c r="AQ12" s="625">
        <v>0</v>
      </c>
    </row>
    <row s="10307" customFormat="1" customHeight="1" ht="14.25" hidden="1">
      <c r="A13" s="1439"/>
      <c r="B13" s="1439"/>
      <c r="C13" s="1439"/>
      <c r="D13" s="1439"/>
      <c r="E13" s="3115"/>
      <c r="F13" s="1439"/>
      <c r="G13" s="1439"/>
      <c r="H13" s="1439"/>
      <c r="I13" s="1439"/>
      <c r="J13" s="1439"/>
      <c r="K13" s="1439"/>
      <c r="L13" s="1442"/>
      <c r="M13" s="1417"/>
      <c r="N13" s="1417"/>
      <c r="O13" s="625"/>
      <c r="P13" s="487"/>
      <c r="Q13" s="1440"/>
      <c r="R13" s="487"/>
      <c r="S13" s="1418"/>
      <c r="T13" s="1421" t="s">
        <v>501</v>
      </c>
      <c r="U13" s="1420"/>
      <c r="V13" s="1420"/>
      <c r="W13" s="1420"/>
      <c r="X13" s="1420"/>
      <c r="Y13" s="1420"/>
      <c r="Z13" s="1420"/>
      <c r="AA13" s="1420"/>
      <c r="AB13" s="1420"/>
      <c r="AC13" s="1420"/>
      <c r="AD13" s="1420"/>
      <c r="AE13" s="1420"/>
      <c r="AF13" s="1420"/>
      <c r="AG13" s="1420"/>
      <c r="AH13" s="1420"/>
      <c r="AI13" s="1420"/>
      <c r="AJ13" s="1420"/>
      <c r="AK13" s="1420"/>
      <c r="AM13" s="607"/>
      <c r="AN13" s="607" t="str">
        <f>IF(T13="","",T13)</f>
        <v>Добавить территорию для дифференциации</v>
      </c>
      <c r="AO13" s="607"/>
      <c r="AP13" s="607"/>
      <c r="AQ13" s="618">
        <v>0</v>
      </c>
    </row>
    <row customHeight="1" ht="14.25" hidden="1">
      <c r="AB14" s="435"/>
      <c r="AI14" s="435"/>
      <c r="AQ14" s="1251">
        <v>0</v>
      </c>
    </row>
    <row customHeight="1" ht="14.25" hidden="1">
      <c r="AC15" s="1456"/>
      <c r="AD15" s="1456"/>
      <c r="AE15" s="1457"/>
      <c r="AF15" s="3113"/>
      <c r="AG15" s="3112" t="s">
        <v>62</v>
      </c>
      <c r="AH15" s="3113"/>
      <c r="AI15" s="3112" t="s">
        <v>62</v>
      </c>
      <c r="AQ15" s="1251">
        <v>0</v>
      </c>
    </row>
    <row customHeight="1" ht="14.25" hidden="1">
      <c r="AC16" s="1456"/>
      <c r="AD16" s="1456"/>
      <c r="AE16" s="436" t="str">
        <f>AF15&amp;"-"&amp;AH15</f>
        <v>-</v>
      </c>
      <c r="AF16" s="3112"/>
      <c r="AG16" s="3112"/>
      <c r="AH16" s="3112"/>
      <c r="AI16" s="3112"/>
      <c r="AQ16" s="1251">
        <v>0</v>
      </c>
    </row>
    <row customHeight="1" ht="14.25" hidden="1">
      <c r="AI17" s="435"/>
      <c r="AQ17" s="1251">
        <v>0</v>
      </c>
    </row>
    <row s="10306" customFormat="1" customHeight="1" ht="22.5" hidden="1">
      <c r="L18" s="1543"/>
      <c r="M18" s="1458"/>
      <c r="N18" s="1458"/>
      <c r="O18" s="1463" t="s">
        <v>502</v>
      </c>
      <c r="P18" s="1458"/>
      <c r="Q18" s="1467"/>
      <c r="R18" s="1467"/>
      <c r="S18" s="836"/>
      <c r="Y18" s="1463"/>
      <c r="AA18" s="1463"/>
      <c r="AF18" s="1463"/>
      <c r="AH18" s="1463"/>
      <c r="AL18" s="618"/>
      <c r="AM18" s="618"/>
      <c r="AN18" s="618"/>
      <c r="AO18" s="618"/>
      <c r="AP18" s="618"/>
      <c r="AQ18" s="1256">
        <v>0</v>
      </c>
    </row>
    <row s="10306" customFormat="1" customHeight="1" ht="14.25" hidden="1">
      <c r="L19" s="1543"/>
      <c r="M19" s="1458"/>
      <c r="N19" s="1458"/>
      <c r="O19" s="1458"/>
      <c r="P19" s="1458"/>
      <c r="Q19" s="1467"/>
      <c r="R19" s="1467"/>
      <c r="S19" s="836"/>
      <c r="AL19" s="618"/>
      <c r="AM19" s="618"/>
      <c r="AN19" s="618"/>
      <c r="AO19" s="618"/>
      <c r="AP19" s="618"/>
      <c r="AQ19" s="1256">
        <v>0</v>
      </c>
    </row>
    <row s="10306" customFormat="1" customHeight="1" ht="12" hidden="1">
      <c r="L20" s="1543"/>
      <c r="M20" s="1458"/>
      <c r="N20" s="1458"/>
      <c r="O20" s="1460" t="s">
        <v>503</v>
      </c>
      <c r="P20" s="1458"/>
      <c r="Q20" s="1538"/>
      <c r="R20" s="1538"/>
      <c r="S20" s="836"/>
      <c r="T20" s="1256" t="s">
        <v>504</v>
      </c>
      <c r="Z20" s="294" t="s">
        <v>505</v>
      </c>
      <c r="AB20" s="294" t="s">
        <v>506</v>
      </c>
      <c r="AC20" s="1256" t="s">
        <v>504</v>
      </c>
      <c r="AG20" s="294" t="s">
        <v>507</v>
      </c>
      <c r="AI20" s="294" t="s">
        <v>506</v>
      </c>
      <c r="AQ20" s="1256">
        <v>0</v>
      </c>
    </row>
    <row customHeight="1" ht="14.25" hidden="1">
      <c r="O21" s="1460"/>
      <c r="AQ21" s="1251">
        <v>0</v>
      </c>
    </row>
    <row customHeight="1" ht="14.25" hidden="1">
      <c r="O22" s="1460"/>
      <c r="AQ22" s="1251">
        <v>0</v>
      </c>
    </row>
    <row customHeight="1" ht="14.699999999999998">
      <c r="Q23" s="483"/>
      <c r="R23" s="483"/>
      <c r="S23" s="1371"/>
      <c r="T23" s="470"/>
      <c r="U23" s="470"/>
      <c r="V23" s="616"/>
      <c r="W23" s="616"/>
      <c r="X23" s="616"/>
      <c r="Y23" s="616"/>
      <c r="Z23" s="616"/>
      <c r="AA23" s="616"/>
      <c r="AB23" s="616"/>
      <c r="AC23" s="616"/>
      <c r="AD23" s="616"/>
      <c r="AE23" s="616"/>
      <c r="AF23" s="616"/>
      <c r="AG23" s="616"/>
      <c r="AH23" s="616"/>
      <c r="AI23" s="616"/>
      <c r="AQ23" s="1251">
        <v>14</v>
      </c>
    </row>
    <row customHeight="1" ht="14.699999999999998">
      <c r="Q24" s="483"/>
      <c r="R24" s="483"/>
      <c r="S24" s="30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96"/>
      <c r="U24" s="3096"/>
      <c r="V24" s="3096"/>
      <c r="W24" s="3096"/>
      <c r="X24" s="3096"/>
      <c r="Y24" s="3096"/>
      <c r="Z24" s="3096"/>
      <c r="AA24" s="3096"/>
      <c r="AB24" s="3096"/>
      <c r="AC24" s="3096"/>
      <c r="AD24" s="3096"/>
      <c r="AE24" s="3096"/>
      <c r="AF24" s="3096"/>
      <c r="AG24" s="3096"/>
      <c r="AH24" s="3096"/>
      <c r="AI24" s="1339"/>
      <c r="AQ24" s="1251">
        <v>14</v>
      </c>
    </row>
    <row customHeight="1" ht="14.699999999999998">
      <c r="Q25" s="483"/>
      <c r="R25" s="483"/>
      <c r="S25" s="3069" t="str">
        <f>IF(org=0,"Не определено",org)</f>
        <v>АО "ДГК"</v>
      </c>
      <c r="T25" s="3069"/>
      <c r="U25" s="3069"/>
      <c r="V25" s="3069"/>
      <c r="W25" s="3069"/>
      <c r="X25" s="3069"/>
      <c r="Y25" s="3069"/>
      <c r="Z25" s="3069"/>
      <c r="AA25" s="3069"/>
      <c r="AB25" s="3069"/>
      <c r="AC25" s="3069"/>
      <c r="AD25" s="3069"/>
      <c r="AE25" s="3069"/>
      <c r="AF25" s="3069"/>
      <c r="AG25" s="3069"/>
      <c r="AH25" s="3069"/>
      <c r="AI25" s="1339"/>
      <c r="AQ25" s="1251">
        <v>14</v>
      </c>
    </row>
    <row customHeight="1" ht="14.25" hidden="1">
      <c r="Q26" s="483"/>
      <c r="R26" s="483"/>
      <c r="S26" s="1371"/>
      <c r="T26" s="470"/>
      <c r="U26" s="470"/>
      <c r="V26" s="430"/>
      <c r="W26" s="430"/>
      <c r="X26" s="430"/>
      <c r="Y26" s="430"/>
      <c r="Z26" s="430"/>
      <c r="AA26" s="430"/>
      <c r="AB26" s="430"/>
      <c r="AC26" s="430"/>
      <c r="AD26" s="430"/>
      <c r="AE26" s="430"/>
      <c r="AF26" s="430"/>
      <c r="AG26" s="430"/>
      <c r="AH26" s="430"/>
      <c r="AI26" s="430"/>
      <c r="AJ26" s="616"/>
      <c r="AQ26" s="1251">
        <v>0</v>
      </c>
    </row>
    <row s="10446" customFormat="1" customHeight="1" ht="25.5" hidden="1">
      <c r="A27" s="1464"/>
      <c r="B27" s="1464"/>
      <c r="C27" s="1464"/>
      <c r="D27" s="1464"/>
      <c r="E27" s="1464"/>
      <c r="F27" s="1464"/>
      <c r="G27" s="1464"/>
      <c r="H27" s="1464"/>
      <c r="I27" s="1464"/>
      <c r="J27" s="1464"/>
      <c r="K27" s="1464"/>
      <c r="L27" s="1465"/>
      <c r="M27" s="1464"/>
      <c r="N27" s="1464"/>
      <c r="O27" s="1464"/>
      <c r="S27" s="3106" t="s">
        <v>41</v>
      </c>
      <c r="T27" s="3106"/>
      <c r="U27" s="1468"/>
      <c r="V27" s="3108" t="str">
        <f>IF(TITLE_NAME_OR_PR_CHANGE="",IF(TITLE_NAME_OR_PR="","",TITLE_NAME_OR_PR),TITLE_NAME_OR_PR_CHANGE)</f>
        <v/>
      </c>
      <c r="W27" s="3108"/>
      <c r="X27" s="3108"/>
      <c r="Y27" s="3108"/>
      <c r="Z27" s="3108"/>
      <c r="AA27" s="3108"/>
      <c r="AB27" s="434"/>
      <c r="AC27" s="3108" t="str">
        <f>IF(TITLE_NAME_OR_PR_CHANGE="",IF(TITLE_NAME_OR_PR="","",TITLE_NAME_OR_PR),TITLE_NAME_OR_PR_CHANGE)</f>
        <v/>
      </c>
      <c r="AD27" s="3108"/>
      <c r="AE27" s="3108"/>
      <c r="AF27" s="3108"/>
      <c r="AG27" s="3108"/>
      <c r="AH27" s="3108"/>
      <c r="AI27" s="434"/>
      <c r="AJ27" s="434"/>
      <c r="AK27" s="388"/>
      <c r="AL27" s="475"/>
      <c r="AM27" s="475"/>
      <c r="AN27" s="475"/>
      <c r="AO27" s="475"/>
      <c r="AP27" s="475"/>
      <c r="AQ27" s="525">
        <v>0</v>
      </c>
    </row>
    <row s="10446" customFormat="1" customHeight="1" ht="18.75" hidden="1">
      <c r="A28" s="1464"/>
      <c r="B28" s="1464"/>
      <c r="C28" s="1464"/>
      <c r="D28" s="1464"/>
      <c r="E28" s="1464"/>
      <c r="F28" s="1464"/>
      <c r="G28" s="1464"/>
      <c r="H28" s="1464"/>
      <c r="I28" s="1464"/>
      <c r="J28" s="1464"/>
      <c r="K28" s="1464"/>
      <c r="L28" s="1465"/>
      <c r="M28" s="1464"/>
      <c r="N28" s="1464"/>
      <c r="O28" s="1464"/>
      <c r="S28" s="3106" t="s">
        <v>508</v>
      </c>
      <c r="T28" s="3106"/>
      <c r="U28" s="1468"/>
      <c r="V28" s="3107" t="str">
        <f>IF(TITLE_DATE_PR_CHANGE="",IF(TITLE_DATE_PR="","",TITLE_DATE_PR),TITLE_DATE_PR_CHANGE)</f>
        <v/>
      </c>
      <c r="W28" s="3107"/>
      <c r="X28" s="3107"/>
      <c r="Y28" s="3107"/>
      <c r="Z28" s="3107"/>
      <c r="AA28" s="3107"/>
      <c r="AB28" s="434"/>
      <c r="AC28" s="3107" t="str">
        <f>IF(TITLE_DATE_PR_CHANGE="",IF(TITLE_DATE_PR="","",TITLE_DATE_PR),TITLE_DATE_PR_CHANGE)</f>
        <v/>
      </c>
      <c r="AD28" s="3107"/>
      <c r="AE28" s="3107"/>
      <c r="AF28" s="3107"/>
      <c r="AG28" s="3107"/>
      <c r="AH28" s="3107"/>
      <c r="AI28" s="434"/>
      <c r="AJ28" s="434"/>
      <c r="AK28" s="388"/>
      <c r="AL28" s="475"/>
      <c r="AM28" s="475"/>
      <c r="AN28" s="475"/>
      <c r="AO28" s="475"/>
      <c r="AP28" s="475"/>
      <c r="AQ28" s="525">
        <v>0</v>
      </c>
    </row>
    <row s="10446" customFormat="1" customHeight="1" ht="18.75" hidden="1">
      <c r="A29" s="1464"/>
      <c r="B29" s="1464"/>
      <c r="C29" s="1464"/>
      <c r="D29" s="1464"/>
      <c r="E29" s="1464"/>
      <c r="F29" s="1464"/>
      <c r="G29" s="1464"/>
      <c r="H29" s="1464"/>
      <c r="I29" s="1464"/>
      <c r="J29" s="1464"/>
      <c r="K29" s="1464"/>
      <c r="L29" s="1465"/>
      <c r="M29" s="1464"/>
      <c r="N29" s="1464"/>
      <c r="O29" s="1464"/>
      <c r="S29" s="3106" t="s">
        <v>509</v>
      </c>
      <c r="T29" s="3106"/>
      <c r="U29" s="1468"/>
      <c r="V29" s="3108" t="str">
        <f>IF(TITLE_NUMBER_PR_CHANGE="",IF(TITLE_NUMBER_PR="","",TITLE_NUMBER_PR),TITLE_NUMBER_PR_CHANGE)</f>
        <v/>
      </c>
      <c r="W29" s="3108"/>
      <c r="X29" s="3108"/>
      <c r="Y29" s="3108"/>
      <c r="Z29" s="3108"/>
      <c r="AA29" s="3108"/>
      <c r="AB29" s="434"/>
      <c r="AC29" s="3108" t="str">
        <f>IF(TITLE_NUMBER_PR_CHANGE="",IF(TITLE_NUMBER_PR="","",TITLE_NUMBER_PR),TITLE_NUMBER_PR_CHANGE)</f>
        <v/>
      </c>
      <c r="AD29" s="3108"/>
      <c r="AE29" s="3108"/>
      <c r="AF29" s="3108"/>
      <c r="AG29" s="3108"/>
      <c r="AH29" s="3108"/>
      <c r="AI29" s="434"/>
      <c r="AJ29" s="434"/>
      <c r="AK29" s="388"/>
      <c r="AL29" s="475"/>
      <c r="AM29" s="475"/>
      <c r="AN29" s="475"/>
      <c r="AO29" s="475"/>
      <c r="AP29" s="475"/>
      <c r="AQ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42</v>
      </c>
      <c r="T30" s="3106"/>
      <c r="U30" s="1468"/>
      <c r="V30" s="3108" t="str">
        <f>IF(TITLE_IST_PUB_CHANGE="",IF(TITLE_IST_PUB="","",TITLE_IST_PUB),TITLE_IST_PUB_CHANGE)</f>
        <v/>
      </c>
      <c r="W30" s="3108"/>
      <c r="X30" s="3108"/>
      <c r="Y30" s="3108"/>
      <c r="Z30" s="3108"/>
      <c r="AA30" s="3108"/>
      <c r="AB30" s="434"/>
      <c r="AC30" s="3108" t="str">
        <f>IF(TITLE_IST_PUB_CHANGE="",IF(TITLE_IST_PUB="","",TITLE_IST_PUB),TITLE_IST_PUB_CHANGE)</f>
        <v/>
      </c>
      <c r="AD30" s="3108"/>
      <c r="AE30" s="3108"/>
      <c r="AF30" s="3108"/>
      <c r="AG30" s="3108"/>
      <c r="AH30" s="3108"/>
      <c r="AI30" s="434"/>
      <c r="AJ30" s="434"/>
      <c r="AK30" s="388"/>
      <c r="AL30" s="475"/>
      <c r="AM30" s="475"/>
      <c r="AN30" s="475"/>
      <c r="AO30" s="475"/>
      <c r="AP30" s="475"/>
      <c r="AQ30" s="525">
        <v>0</v>
      </c>
    </row>
    <row customHeight="1" ht="14.25" hidden="1">
      <c r="Q31" s="483"/>
      <c r="R31" s="483"/>
      <c r="S31" s="1371"/>
      <c r="T31" s="470"/>
      <c r="U31" s="470"/>
      <c r="V31" s="430"/>
      <c r="W31" s="430"/>
      <c r="X31" s="430"/>
      <c r="Y31" s="430"/>
      <c r="Z31" s="430"/>
      <c r="AA31" s="430"/>
      <c r="AB31" s="430"/>
      <c r="AC31" s="430"/>
      <c r="AD31" s="430"/>
      <c r="AE31" s="430"/>
      <c r="AF31" s="430"/>
      <c r="AG31" s="430"/>
      <c r="AH31" s="430"/>
      <c r="AI31" s="430"/>
      <c r="AJ31" s="616"/>
      <c r="AQ31" s="1251">
        <v>0</v>
      </c>
    </row>
    <row s="10446" customFormat="1" customHeight="1" ht="18.75" hidden="1">
      <c r="A32" s="1464"/>
      <c r="B32" s="1464"/>
      <c r="C32" s="1464"/>
      <c r="D32" s="1464"/>
      <c r="E32" s="1464"/>
      <c r="F32" s="1464"/>
      <c r="G32" s="1464"/>
      <c r="H32" s="1464"/>
      <c r="I32" s="1464"/>
      <c r="J32" s="1464"/>
      <c r="K32" s="1464"/>
      <c r="L32" s="1465"/>
      <c r="M32" s="1464"/>
      <c r="N32" s="1464"/>
      <c r="O32" s="1464"/>
      <c r="S32" s="3106" t="s">
        <v>510</v>
      </c>
      <c r="T32" s="3106"/>
      <c r="U32" s="1468"/>
      <c r="V32" s="3107" t="str">
        <f>IF(TITLE_DATE_PR_CHANGE="",IF(TITLE_DATE_PR="","",TITLE_DATE_PR),TITLE_DATE_PR_CHANGE)</f>
        <v/>
      </c>
      <c r="W32" s="3107"/>
      <c r="X32" s="3107"/>
      <c r="Y32" s="3107"/>
      <c r="Z32" s="3107"/>
      <c r="AA32" s="3107"/>
      <c r="AB32" s="434"/>
      <c r="AC32" s="3107" t="str">
        <f>IF(TITLE_DATE_PR_CHANGE="",IF(TITLE_DATE_PR="","",TITLE_DATE_PR),TITLE_DATE_PR_CHANGE)</f>
        <v/>
      </c>
      <c r="AD32" s="3107"/>
      <c r="AE32" s="3107"/>
      <c r="AF32" s="3107"/>
      <c r="AG32" s="3107"/>
      <c r="AH32" s="3107"/>
      <c r="AI32" s="434"/>
      <c r="AJ32" s="434"/>
      <c r="AK32" s="388"/>
      <c r="AL32" s="475"/>
      <c r="AM32" s="475"/>
      <c r="AN32" s="475"/>
      <c r="AO32" s="475"/>
      <c r="AP32" s="475"/>
      <c r="AQ32" s="525">
        <v>0</v>
      </c>
    </row>
    <row s="10446" customFormat="1" customHeight="1" ht="18.75" hidden="1">
      <c r="A33" s="1464"/>
      <c r="B33" s="1464"/>
      <c r="C33" s="1464"/>
      <c r="D33" s="1464"/>
      <c r="E33" s="1464"/>
      <c r="F33" s="1464"/>
      <c r="G33" s="1464"/>
      <c r="H33" s="1464"/>
      <c r="I33" s="1464"/>
      <c r="J33" s="1464"/>
      <c r="K33" s="1464"/>
      <c r="L33" s="1465"/>
      <c r="M33" s="1464"/>
      <c r="N33" s="1464"/>
      <c r="O33" s="1464"/>
      <c r="S33" s="3106" t="s">
        <v>511</v>
      </c>
      <c r="T33" s="3106"/>
      <c r="U33" s="1468"/>
      <c r="V33" s="3108" t="str">
        <f>IF(TITLE_NUMBER_PR_CHANGE="",IF(TITLE_NUMBER_PR="","",TITLE_NUMBER_PR),TITLE_NUMBER_PR_CHANGE)</f>
        <v/>
      </c>
      <c r="W33" s="3108"/>
      <c r="X33" s="3108"/>
      <c r="Y33" s="3108"/>
      <c r="Z33" s="3108"/>
      <c r="AA33" s="3108"/>
      <c r="AB33" s="434"/>
      <c r="AC33" s="3108" t="str">
        <f>IF(TITLE_NUMBER_PR_CHANGE="",IF(TITLE_NUMBER_PR="","",TITLE_NUMBER_PR),TITLE_NUMBER_PR_CHANGE)</f>
        <v/>
      </c>
      <c r="AD33" s="3108"/>
      <c r="AE33" s="3108"/>
      <c r="AF33" s="3108"/>
      <c r="AG33" s="3108"/>
      <c r="AH33" s="3108"/>
      <c r="AI33" s="434"/>
      <c r="AJ33" s="434"/>
      <c r="AK33" s="388"/>
      <c r="AL33" s="475"/>
      <c r="AM33" s="475"/>
      <c r="AN33" s="475"/>
      <c r="AO33" s="475"/>
      <c r="AP33" s="475"/>
      <c r="AQ33" s="525">
        <v>0</v>
      </c>
    </row>
    <row s="10446" customFormat="1" customHeight="1" ht="1.05">
      <c r="A34" s="1464"/>
      <c r="B34" s="1464"/>
      <c r="C34" s="1464"/>
      <c r="D34" s="1464"/>
      <c r="E34" s="1464"/>
      <c r="F34" s="1464"/>
      <c r="G34" s="1464"/>
      <c r="H34" s="1464"/>
      <c r="I34" s="1464"/>
      <c r="J34" s="1464"/>
      <c r="K34" s="1464"/>
      <c r="L34" s="1465"/>
      <c r="M34" s="1464"/>
      <c r="N34" s="1464"/>
      <c r="O34" s="1464"/>
      <c r="S34" s="431"/>
      <c r="T34" s="431"/>
      <c r="U34" s="1550"/>
      <c r="V34" s="434"/>
      <c r="W34" s="434"/>
      <c r="X34" s="434"/>
      <c r="Y34" s="434"/>
      <c r="Z34" s="434"/>
      <c r="AA34" s="434"/>
      <c r="AB34" s="386" t="s">
        <v>512</v>
      </c>
      <c r="AC34" s="434"/>
      <c r="AD34" s="434"/>
      <c r="AE34" s="434"/>
      <c r="AF34" s="434"/>
      <c r="AG34" s="434"/>
      <c r="AH34" s="434"/>
      <c r="AI34" s="386" t="s">
        <v>512</v>
      </c>
      <c r="AL34" s="475"/>
      <c r="AM34" s="475"/>
      <c r="AN34" s="475"/>
      <c r="AO34" s="475"/>
      <c r="AP34" s="475"/>
      <c r="AQ34" s="525">
        <v>1</v>
      </c>
    </row>
    <row customHeight="1" ht="14.699999999999998">
      <c r="Q35" s="483"/>
      <c r="R35" s="483"/>
      <c r="S35" s="1371"/>
      <c r="T35" s="470"/>
      <c r="U35" s="1340"/>
      <c r="V35" s="3127"/>
      <c r="W35" s="3127"/>
      <c r="X35" s="3127"/>
      <c r="Y35" s="3127"/>
      <c r="Z35" s="3127"/>
      <c r="AA35" s="3127"/>
      <c r="AB35" s="3127"/>
      <c r="AC35" s="3127"/>
      <c r="AD35" s="3127"/>
      <c r="AE35" s="3127"/>
      <c r="AF35" s="3127"/>
      <c r="AG35" s="3127"/>
      <c r="AH35" s="3127"/>
      <c r="AI35" s="3127"/>
      <c r="AQ35" s="1251">
        <v>14</v>
      </c>
    </row>
    <row customHeight="1" ht="14.699999999999998">
      <c r="Q36" s="483"/>
      <c r="R36" s="483"/>
      <c r="S36" s="2978" t="s">
        <v>385</v>
      </c>
      <c r="T36" s="2978"/>
      <c r="U36" s="2978"/>
      <c r="V36" s="2978"/>
      <c r="W36" s="2978"/>
      <c r="X36" s="2978"/>
      <c r="Y36" s="2978"/>
      <c r="Z36" s="2978"/>
      <c r="AA36" s="2978"/>
      <c r="AB36" s="2978"/>
      <c r="AC36" s="2978"/>
      <c r="AD36" s="2978"/>
      <c r="AE36" s="2978"/>
      <c r="AF36" s="2978"/>
      <c r="AG36" s="2978"/>
      <c r="AH36" s="2978"/>
      <c r="AI36" s="2978"/>
      <c r="AJ36" s="2978"/>
      <c r="AK36" s="2978" t="s">
        <v>386</v>
      </c>
      <c r="AQ36" s="1251">
        <v>14</v>
      </c>
    </row>
    <row customHeight="1" ht="14.699999999999998">
      <c r="Q37" s="483"/>
      <c r="R37" s="483"/>
      <c r="S37" s="3128" t="s">
        <v>88</v>
      </c>
      <c r="T37" s="3077" t="s">
        <v>513</v>
      </c>
      <c r="U37" s="409"/>
      <c r="V37" s="3129" t="s">
        <v>514</v>
      </c>
      <c r="W37" s="3130"/>
      <c r="X37" s="3130"/>
      <c r="Y37" s="3130"/>
      <c r="Z37" s="3130"/>
      <c r="AA37" s="3131"/>
      <c r="AB37" s="3132" t="s">
        <v>515</v>
      </c>
      <c r="AC37" s="3129" t="s">
        <v>514</v>
      </c>
      <c r="AD37" s="3130"/>
      <c r="AE37" s="3130"/>
      <c r="AF37" s="3130"/>
      <c r="AG37" s="3130"/>
      <c r="AH37" s="3131"/>
      <c r="AI37" s="3132" t="s">
        <v>516</v>
      </c>
      <c r="AJ37" s="3135" t="s">
        <v>517</v>
      </c>
      <c r="AK37" s="2978"/>
      <c r="AQ37" s="1251">
        <v>14</v>
      </c>
    </row>
    <row customHeight="1" ht="35.699999999999996">
      <c r="Q38" s="483"/>
      <c r="R38" s="483"/>
      <c r="S38" s="3128"/>
      <c r="T38" s="3077"/>
      <c r="U38" s="1131"/>
      <c r="V38" s="1548" t="s">
        <v>574</v>
      </c>
      <c r="W38" s="2959" t="s">
        <v>520</v>
      </c>
      <c r="X38" s="2958"/>
      <c r="Y38" s="2959" t="s">
        <v>521</v>
      </c>
      <c r="Z38" s="2965"/>
      <c r="AA38" s="2958"/>
      <c r="AB38" s="3133"/>
      <c r="AC38" s="1548" t="s">
        <v>574</v>
      </c>
      <c r="AD38" s="2959" t="s">
        <v>520</v>
      </c>
      <c r="AE38" s="2958"/>
      <c r="AF38" s="2959" t="s">
        <v>521</v>
      </c>
      <c r="AG38" s="2965"/>
      <c r="AH38" s="2958"/>
      <c r="AI38" s="3133"/>
      <c r="AJ38" s="3136"/>
      <c r="AK38" s="2978"/>
      <c r="AQ38" s="1251">
        <v>34</v>
      </c>
    </row>
    <row customHeight="1" ht="35.699999999999996">
      <c r="A39" s="1466"/>
      <c r="B39" s="1466" t="s">
        <v>222</v>
      </c>
      <c r="C39" s="1466" t="s">
        <v>223</v>
      </c>
      <c r="D39" s="1466" t="s">
        <v>224</v>
      </c>
      <c r="E39" s="1460" t="s">
        <v>522</v>
      </c>
      <c r="F39" s="1460" t="s">
        <v>523</v>
      </c>
      <c r="G39" s="1460" t="s">
        <v>524</v>
      </c>
      <c r="H39" s="1460"/>
      <c r="I39" s="1460" t="s">
        <v>575</v>
      </c>
      <c r="J39" s="1460" t="s">
        <v>527</v>
      </c>
      <c r="K39" s="1460" t="s">
        <v>576</v>
      </c>
      <c r="L39" s="1460" t="s">
        <v>503</v>
      </c>
      <c r="Q39" s="483"/>
      <c r="R39" s="483"/>
      <c r="S39" s="3128"/>
      <c r="T39" s="3077"/>
      <c r="U39" s="410"/>
      <c r="V39" s="1548" t="s">
        <v>577</v>
      </c>
      <c r="W39" s="1318" t="s">
        <v>578</v>
      </c>
      <c r="X39" s="1318" t="s">
        <v>579</v>
      </c>
      <c r="Y39" s="1551" t="s">
        <v>531</v>
      </c>
      <c r="Z39" s="3082" t="s">
        <v>532</v>
      </c>
      <c r="AA39" s="3095"/>
      <c r="AB39" s="3134"/>
      <c r="AC39" s="1548" t="s">
        <v>577</v>
      </c>
      <c r="AD39" s="1318" t="s">
        <v>578</v>
      </c>
      <c r="AE39" s="1318" t="s">
        <v>579</v>
      </c>
      <c r="AF39" s="1551" t="s">
        <v>531</v>
      </c>
      <c r="AG39" s="3082" t="s">
        <v>532</v>
      </c>
      <c r="AH39" s="3095"/>
      <c r="AI39" s="3134"/>
      <c r="AJ39" s="3137"/>
      <c r="AK39" s="2978"/>
      <c r="AQ39" s="1251">
        <v>34</v>
      </c>
    </row>
    <row s="10851" customFormat="1" customHeight="1" ht="14.25" hidden="1">
      <c r="A40" s="1466"/>
      <c r="B40" s="1466"/>
      <c r="C40" s="1466"/>
      <c r="D40" s="1466"/>
      <c r="E40" s="1466"/>
      <c r="F40" s="1466"/>
      <c r="G40" s="1466"/>
      <c r="H40" s="1466"/>
      <c r="I40" s="1466"/>
      <c r="J40" s="1466"/>
      <c r="K40" s="1466"/>
      <c r="L40" s="1460"/>
      <c r="M40" s="1458"/>
      <c r="N40" s="1458"/>
      <c r="O40" s="1458"/>
      <c r="P40" s="1342"/>
      <c r="Q40" s="1343"/>
      <c r="R40" s="1350">
        <v>1</v>
      </c>
      <c r="S40" s="1373" t="s">
        <v>144</v>
      </c>
      <c r="T40" s="1351" t="s">
        <v>102</v>
      </c>
      <c r="U40" s="1341" t="str">
        <f>OFFSET(U40,0,-1)</f>
        <v>2</v>
      </c>
      <c r="V40" s="1547">
        <f>OFFSET(V40,0,-1)+1</f>
        <v>3</v>
      </c>
      <c r="W40" s="1547">
        <f>OFFSET(W40,0,-1)+1</f>
        <v>4</v>
      </c>
      <c r="X40" s="1547">
        <f>OFFSET(X40,0,-1)+1</f>
        <v>5</v>
      </c>
      <c r="Y40" s="1547">
        <f>OFFSET(Y40,0,-1)+1</f>
        <v>6</v>
      </c>
      <c r="Z40" s="3126">
        <f>OFFSET(Z40,0,-1)+1</f>
        <v>7</v>
      </c>
      <c r="AA40" s="3126"/>
      <c r="AB40" s="1547">
        <f>OFFSET(AB40,0,-2)+1</f>
        <v>8</v>
      </c>
      <c r="AC40" s="1547">
        <f>OFFSET(AC40,0,-1)+1</f>
        <v>9</v>
      </c>
      <c r="AD40" s="1547">
        <f>OFFSET(AD40,0,-1)+1</f>
        <v>10</v>
      </c>
      <c r="AE40" s="1547">
        <f>OFFSET(AE40,0,-1)+1</f>
        <v>11</v>
      </c>
      <c r="AF40" s="1547">
        <f>OFFSET(AF40,0,-1)+1</f>
        <v>12</v>
      </c>
      <c r="AG40" s="3126">
        <f>OFFSET(AG40,0,-1)+1</f>
        <v>13</v>
      </c>
      <c r="AH40" s="3126"/>
      <c r="AI40" s="1547">
        <f>OFFSET(AI40,0,-2)+1</f>
        <v>14</v>
      </c>
      <c r="AJ40" s="1341">
        <f>OFFSET(AJ40,0,-1)</f>
        <v>14</v>
      </c>
      <c r="AK40" s="1547">
        <f>OFFSET(AK40,0,-1)+1</f>
        <v>15</v>
      </c>
      <c r="AL40" s="618"/>
      <c r="AM40" s="618"/>
      <c r="AN40" s="618"/>
      <c r="AO40" s="618"/>
      <c r="AP40" s="618"/>
      <c r="AQ40" s="603">
        <v>0</v>
      </c>
    </row>
    <row customHeight="1" ht="24">
      <c r="A41" s="1459" t="s">
        <v>316</v>
      </c>
      <c r="B41" s="1459"/>
      <c r="C41" s="1459"/>
      <c r="D41" s="1459"/>
      <c r="E41" s="3115">
        <v>1</v>
      </c>
      <c r="F41" s="1459"/>
      <c r="G41" s="1459"/>
      <c r="H41" s="1459"/>
      <c r="I41" s="1459"/>
      <c r="J41" s="1459"/>
      <c r="K41" s="1459"/>
      <c r="L41" s="1460"/>
      <c r="M41" s="1461"/>
      <c r="N41" s="1461"/>
      <c r="O41" s="1461"/>
      <c r="P41" s="468"/>
      <c r="Q41" s="467"/>
      <c r="R41" s="462"/>
      <c r="S41" s="1553">
        <f>INDEX(PT_DIFFERENTIATION_NUM_NTAR,MATCH(A41,PT_DIFFERENTIATION_NTAR_ID,0))</f>
        <v>0</v>
      </c>
      <c r="T41" s="406" t="s">
        <v>210</v>
      </c>
      <c r="U41" s="408"/>
      <c r="V41" s="3109"/>
      <c r="W41" s="3110"/>
      <c r="X41" s="3110"/>
      <c r="Y41" s="3110"/>
      <c r="Z41" s="3110"/>
      <c r="AA41" s="3110"/>
      <c r="AB41" s="3111"/>
      <c r="AC41" s="3109" t="str">
        <f>INDEX(PT_DIFFERENTIATION_NTAR,MATCH(A41,PT_DIFFERENTIATION_NTAR_ID,0))</f>
        <v/>
      </c>
      <c r="AD41" s="3110"/>
      <c r="AE41" s="3110"/>
      <c r="AF41" s="3110"/>
      <c r="AG41" s="3110"/>
      <c r="AH41" s="3110"/>
      <c r="AI41" s="3110"/>
      <c r="AJ41" s="3111"/>
      <c r="AK41"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7"/>
      <c r="AN41" s="607" t="str">
        <f>IF(T41="","",T41)</f>
        <v>Наименование тарифа</v>
      </c>
      <c r="AO41" s="607"/>
      <c r="AP41" s="607"/>
      <c r="AQ41" s="1251">
        <v>23</v>
      </c>
    </row>
    <row customHeight="1" ht="24">
      <c r="A42" s="1459" t="s">
        <v>316</v>
      </c>
      <c r="B42" s="1459" t="s">
        <v>317</v>
      </c>
      <c r="C42" s="1459"/>
      <c r="D42" s="1459"/>
      <c r="E42" s="3116"/>
      <c r="F42" s="3115">
        <v>1</v>
      </c>
      <c r="G42" s="1459"/>
      <c r="H42" s="1459"/>
      <c r="I42" s="1459"/>
      <c r="J42" s="1459"/>
      <c r="K42" s="1459"/>
      <c r="L42" s="1460"/>
      <c r="M42" s="1461"/>
      <c r="N42" s="1461"/>
      <c r="O42" s="1461"/>
      <c r="P42" s="1549"/>
      <c r="Q42" s="459"/>
      <c r="R42" s="460"/>
      <c r="S42" s="1553" t="str">
        <f>INDEX(PT_DIFFERENTIATION_NUM_TER,MATCH(B42,PT_DIFFERENTIATION_TER_ID,0))</f>
        <v>.</v>
      </c>
      <c r="T42" s="416" t="s">
        <v>482</v>
      </c>
      <c r="U42" s="408"/>
      <c r="V42" s="3109"/>
      <c r="W42" s="3110"/>
      <c r="X42" s="3110"/>
      <c r="Y42" s="3110"/>
      <c r="Z42" s="3110"/>
      <c r="AA42" s="3110"/>
      <c r="AB42" s="3111"/>
      <c r="AC42" s="3109" t="str">
        <f>INDEX(PT_DIFFERENTIATION_TER,MATCH(B42,PT_DIFFERENTIATION_TER_ID,0))</f>
        <v/>
      </c>
      <c r="AD42" s="3110"/>
      <c r="AE42" s="3110"/>
      <c r="AF42" s="3110"/>
      <c r="AG42" s="3110"/>
      <c r="AH42" s="3110"/>
      <c r="AI42" s="3110"/>
      <c r="AJ42" s="3111"/>
      <c r="AK42" s="1354" t="s">
        <v>483</v>
      </c>
      <c r="AM42" s="607"/>
      <c r="AN42" s="607" t="str">
        <f>IF(T42="","",T42)</f>
        <v>Территория действия тарифа</v>
      </c>
      <c r="AO42" s="607"/>
      <c r="AP42" s="607"/>
      <c r="AQ42" s="1251">
        <v>23</v>
      </c>
    </row>
    <row customHeight="1" ht="24">
      <c r="A43" s="1459" t="s">
        <v>316</v>
      </c>
      <c r="B43" s="1459" t="s">
        <v>317</v>
      </c>
      <c r="C43" s="1459" t="s">
        <v>318</v>
      </c>
      <c r="D43" s="1459"/>
      <c r="E43" s="3116"/>
      <c r="F43" s="3116"/>
      <c r="G43" s="3115">
        <v>1</v>
      </c>
      <c r="H43" s="1459"/>
      <c r="I43" s="1459"/>
      <c r="J43" s="1459"/>
      <c r="K43" s="1459"/>
      <c r="L43" s="1460"/>
      <c r="M43" s="1461"/>
      <c r="N43" s="1461"/>
      <c r="O43" s="1461"/>
      <c r="P43" s="461"/>
      <c r="Q43" s="459"/>
      <c r="R43" s="460"/>
      <c r="S43" s="1553" t="str">
        <f>INDEX(PT_DIFFERENTIATION_NUM_CS,MATCH(C43,PT_DIFFERENTIATION_CS_ID,0))</f>
        <v>..</v>
      </c>
      <c r="T43" s="417" t="s">
        <v>566</v>
      </c>
      <c r="U43" s="408"/>
      <c r="V43" s="3109"/>
      <c r="W43" s="3110"/>
      <c r="X43" s="3110"/>
      <c r="Y43" s="3110"/>
      <c r="Z43" s="3110"/>
      <c r="AA43" s="3110"/>
      <c r="AB43" s="3111"/>
      <c r="AC43" s="3109" t="str">
        <f>INDEX(PT_DIFFERENTIATION_CS,MATCH(C43,PT_DIFFERENTIATION_CS_ID,0))</f>
        <v/>
      </c>
      <c r="AD43" s="3110"/>
      <c r="AE43" s="3110"/>
      <c r="AF43" s="3110"/>
      <c r="AG43" s="3110"/>
      <c r="AH43" s="3110"/>
      <c r="AI43" s="3110"/>
      <c r="AJ43" s="3111"/>
      <c r="AK43" s="1354" t="s">
        <v>567</v>
      </c>
      <c r="AM43" s="607"/>
      <c r="AN43" s="607" t="str">
        <f>IF(T43="","",T43)</f>
        <v>Наименование централизованной системы холодного водоснабжения</v>
      </c>
      <c r="AO43" s="607"/>
      <c r="AP43" s="607"/>
      <c r="AQ43" s="1251">
        <v>23</v>
      </c>
    </row>
    <row customHeight="1" ht="24">
      <c r="A44" s="1459" t="s">
        <v>316</v>
      </c>
      <c r="B44" s="1459" t="s">
        <v>317</v>
      </c>
      <c r="C44" s="1459" t="s">
        <v>318</v>
      </c>
      <c r="D44" s="1459" t="s">
        <v>581</v>
      </c>
      <c r="E44" s="3116"/>
      <c r="F44" s="3116"/>
      <c r="G44" s="3116"/>
      <c r="H44" s="3116"/>
      <c r="I44" s="3117" t="str">
        <f>S43&amp;".1"</f>
        <v>...1</v>
      </c>
      <c r="J44" s="1459"/>
      <c r="K44" s="1459"/>
      <c r="L44" s="1460"/>
      <c r="P44" s="3119">
        <v>1</v>
      </c>
      <c r="Q44" s="1546"/>
      <c r="R44" s="463"/>
      <c r="S44" s="1553" t="str">
        <f>$I44</f>
        <v>...1</v>
      </c>
      <c r="T44" s="393" t="s">
        <v>568</v>
      </c>
      <c r="U44" s="408"/>
      <c r="V44" s="3183"/>
      <c r="W44" s="3184"/>
      <c r="X44" s="3184"/>
      <c r="Y44" s="3184"/>
      <c r="Z44" s="3184"/>
      <c r="AA44" s="3184"/>
      <c r="AB44" s="3185"/>
      <c r="AC44" s="3186"/>
      <c r="AD44" s="3187"/>
      <c r="AE44" s="3187"/>
      <c r="AF44" s="3187"/>
      <c r="AG44" s="3187"/>
      <c r="AH44" s="3187"/>
      <c r="AI44" s="3187"/>
      <c r="AJ44" s="3188"/>
      <c r="AK44" s="1354" t="s">
        <v>569</v>
      </c>
      <c r="AM44" s="607"/>
      <c r="AN44" s="607" t="str">
        <f>IF(T44="","",T44)</f>
        <v>Наименование признака дифференциации</v>
      </c>
      <c r="AO44" s="607"/>
      <c r="AP44" s="607"/>
      <c r="AQ44" s="1251">
        <v>23</v>
      </c>
    </row>
    <row customHeight="1" ht="24">
      <c r="A45" s="1459" t="s">
        <v>316</v>
      </c>
      <c r="B45" s="1459" t="s">
        <v>317</v>
      </c>
      <c r="C45" s="1459" t="s">
        <v>318</v>
      </c>
      <c r="D45" s="1459" t="s">
        <v>581</v>
      </c>
      <c r="E45" s="3116"/>
      <c r="F45" s="3116"/>
      <c r="G45" s="3116"/>
      <c r="H45" s="3116"/>
      <c r="I45" s="3118"/>
      <c r="J45" s="3117" t="str">
        <f>I44&amp;".1"</f>
        <v>...1.1</v>
      </c>
      <c r="K45" s="1459"/>
      <c r="L45" s="1460" t="s">
        <v>491</v>
      </c>
      <c r="P45" s="3119"/>
      <c r="Q45" s="3119">
        <v>1</v>
      </c>
      <c r="R45" s="464"/>
      <c r="S45" s="1553" t="str">
        <f>$J45</f>
        <v>...1.1</v>
      </c>
      <c r="T45" s="394" t="s">
        <v>492</v>
      </c>
      <c r="U45" s="408"/>
      <c r="V45" s="3103"/>
      <c r="W45" s="3104"/>
      <c r="X45" s="3104"/>
      <c r="Y45" s="3104"/>
      <c r="Z45" s="3104"/>
      <c r="AA45" s="3104"/>
      <c r="AB45" s="3105"/>
      <c r="AC45" s="3103"/>
      <c r="AD45" s="3104"/>
      <c r="AE45" s="3104"/>
      <c r="AF45" s="3104"/>
      <c r="AG45" s="3104"/>
      <c r="AH45" s="3104"/>
      <c r="AI45" s="3104"/>
      <c r="AJ45" s="3105"/>
      <c r="AK45" s="1403" t="s">
        <v>570</v>
      </c>
      <c r="AM45" s="607"/>
      <c r="AN45" s="607" t="str">
        <f>IF(T45="","",T45)</f>
        <v>Группа потребителей</v>
      </c>
      <c r="AO45" s="607"/>
      <c r="AP45" s="607"/>
      <c r="AQ45" s="1251">
        <v>23</v>
      </c>
    </row>
    <row customHeight="1" ht="24">
      <c r="A46" s="1459" t="s">
        <v>316</v>
      </c>
      <c r="B46" s="1459" t="s">
        <v>317</v>
      </c>
      <c r="C46" s="1459" t="s">
        <v>318</v>
      </c>
      <c r="D46" s="1459" t="s">
        <v>581</v>
      </c>
      <c r="E46" s="3116"/>
      <c r="F46" s="3116"/>
      <c r="G46" s="3116"/>
      <c r="H46" s="3116"/>
      <c r="I46" s="3118"/>
      <c r="J46" s="3118"/>
      <c r="K46" s="3117" t="str">
        <f>J45&amp;".1"</f>
        <v>...1.1.1</v>
      </c>
      <c r="L46" s="1460"/>
      <c r="P46" s="3119"/>
      <c r="Q46" s="3119"/>
      <c r="R46" s="464">
        <v>1</v>
      </c>
      <c r="S46" s="1553" t="str">
        <f>$K46</f>
        <v>...1.1.1</v>
      </c>
      <c r="T46" s="1533"/>
      <c r="U46" s="408"/>
      <c r="V46" s="858"/>
      <c r="W46" s="858"/>
      <c r="X46" s="1353"/>
      <c r="Y46" s="3120"/>
      <c r="Z46" s="2989" t="s">
        <v>62</v>
      </c>
      <c r="AA46" s="3120"/>
      <c r="AB46" s="2989" t="s">
        <v>62</v>
      </c>
      <c r="AC46" s="858"/>
      <c r="AD46" s="858"/>
      <c r="AE46" s="1353"/>
      <c r="AF46" s="3120"/>
      <c r="AG46" s="2989" t="s">
        <v>62</v>
      </c>
      <c r="AH46" s="3122"/>
      <c r="AI46" s="2989" t="s">
        <v>62</v>
      </c>
      <c r="AJ46" s="1534"/>
      <c r="AK46"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8">
        <f>STRCHECKDATE(V47:AJ47)</f>
      </c>
      <c r="AM46" s="607"/>
      <c r="AN46" s="607" t="str">
        <f>IF(T46="","",T46)</f>
        <v/>
      </c>
      <c r="AO46" s="607"/>
      <c r="AP46" s="607"/>
      <c r="AQ46" s="1251">
        <v>23</v>
      </c>
    </row>
    <row customHeight="1" ht="14.25" hidden="1">
      <c r="A47" s="1459" t="s">
        <v>316</v>
      </c>
      <c r="B47" s="1459" t="s">
        <v>317</v>
      </c>
      <c r="C47" s="1459" t="s">
        <v>318</v>
      </c>
      <c r="D47" s="1459" t="s">
        <v>581</v>
      </c>
      <c r="E47" s="3116"/>
      <c r="F47" s="3116"/>
      <c r="G47" s="3116"/>
      <c r="H47" s="3116"/>
      <c r="I47" s="3118"/>
      <c r="J47" s="3118"/>
      <c r="K47" s="3117"/>
      <c r="L47" s="1460"/>
      <c r="P47" s="3119"/>
      <c r="Q47" s="3119"/>
      <c r="R47" s="464"/>
      <c r="S47" s="1552"/>
      <c r="T47" s="408"/>
      <c r="U47" s="408"/>
      <c r="V47" s="433"/>
      <c r="W47" s="433"/>
      <c r="X47" s="436" t="str">
        <f>Y46&amp;"-"&amp;AA46</f>
        <v>-</v>
      </c>
      <c r="Y47" s="3121"/>
      <c r="Z47" s="2989"/>
      <c r="AA47" s="3121"/>
      <c r="AB47" s="2989"/>
      <c r="AC47" s="433"/>
      <c r="AD47" s="433"/>
      <c r="AE47" s="436" t="str">
        <f>AF46&amp;"-"&amp;AH46</f>
        <v>-</v>
      </c>
      <c r="AF47" s="3121"/>
      <c r="AG47" s="2989"/>
      <c r="AH47" s="3123"/>
      <c r="AI47" s="2989"/>
      <c r="AJ47" s="1535"/>
      <c r="AK47" s="3189"/>
      <c r="AM47" s="607"/>
      <c r="AN47" s="607" t="str">
        <f>IF(T47="","",T47)</f>
        <v/>
      </c>
      <c r="AO47" s="607"/>
      <c r="AP47" s="607"/>
      <c r="AQ47" s="1251">
        <v>0</v>
      </c>
    </row>
    <row customHeight="1" ht="21">
      <c r="A48" s="1459" t="s">
        <v>316</v>
      </c>
      <c r="B48" s="1459" t="s">
        <v>317</v>
      </c>
      <c r="C48" s="1459" t="s">
        <v>318</v>
      </c>
      <c r="D48" s="1459" t="s">
        <v>581</v>
      </c>
      <c r="E48" s="3116"/>
      <c r="F48" s="3116"/>
      <c r="G48" s="3116"/>
      <c r="H48" s="3116"/>
      <c r="I48" s="3118"/>
      <c r="J48" s="3117"/>
      <c r="K48" s="1459"/>
      <c r="L48" s="1460"/>
      <c r="P48" s="3119"/>
      <c r="Q48" s="3119"/>
      <c r="R48" s="463"/>
      <c r="S48" s="1374"/>
      <c r="T48" s="395" t="s">
        <v>571</v>
      </c>
      <c r="U48" s="474"/>
      <c r="V48" s="474"/>
      <c r="W48" s="474"/>
      <c r="X48" s="474"/>
      <c r="Y48" s="474"/>
      <c r="Z48" s="474"/>
      <c r="AA48" s="474"/>
      <c r="AB48" s="474"/>
      <c r="AC48" s="474"/>
      <c r="AD48" s="474"/>
      <c r="AE48" s="474"/>
      <c r="AF48" s="474"/>
      <c r="AG48" s="474"/>
      <c r="AH48" s="474"/>
      <c r="AI48" s="474"/>
      <c r="AJ48" s="474"/>
      <c r="AK48" s="1354" t="s">
        <v>572</v>
      </c>
      <c r="AM48" s="607"/>
      <c r="AN48" s="607" t="str">
        <f>IF(T48="","",T48)</f>
        <v>Добавить значение признака дифференциации</v>
      </c>
      <c r="AO48" s="607"/>
      <c r="AP48" s="607"/>
      <c r="AQ48" s="1251">
        <v>20</v>
      </c>
    </row>
    <row customHeight="1" ht="22.049999999999997">
      <c r="A49" s="1459" t="s">
        <v>316</v>
      </c>
      <c r="B49" s="1459" t="s">
        <v>317</v>
      </c>
      <c r="C49" s="1459" t="s">
        <v>318</v>
      </c>
      <c r="D49" s="1459" t="s">
        <v>581</v>
      </c>
      <c r="E49" s="3116"/>
      <c r="F49" s="3116"/>
      <c r="G49" s="3116"/>
      <c r="H49" s="3116"/>
      <c r="I49" s="3117"/>
      <c r="J49" s="1459"/>
      <c r="K49" s="1459"/>
      <c r="L49" s="1460"/>
      <c r="P49" s="3119"/>
      <c r="Q49" s="1546"/>
      <c r="R49" s="463"/>
      <c r="S49" s="1374"/>
      <c r="T49" s="472" t="s">
        <v>497</v>
      </c>
      <c r="U49" s="474"/>
      <c r="V49" s="474"/>
      <c r="W49" s="474"/>
      <c r="X49" s="474"/>
      <c r="Y49" s="474"/>
      <c r="Z49" s="474"/>
      <c r="AA49" s="474"/>
      <c r="AB49" s="473"/>
      <c r="AC49" s="474"/>
      <c r="AD49" s="474"/>
      <c r="AE49" s="474"/>
      <c r="AF49" s="474"/>
      <c r="AG49" s="474"/>
      <c r="AH49" s="474"/>
      <c r="AI49" s="473"/>
      <c r="AJ49" s="474"/>
      <c r="AK49" s="1536"/>
      <c r="AM49" s="607"/>
      <c r="AN49" s="607" t="str">
        <f>IF(T49="","",T49)</f>
        <v>Добавить группу потребителей</v>
      </c>
      <c r="AO49" s="607"/>
      <c r="AP49" s="607"/>
      <c r="AQ49" s="1251">
        <v>21</v>
      </c>
    </row>
    <row customHeight="1" ht="22.049999999999997">
      <c r="A50" s="1459" t="s">
        <v>316</v>
      </c>
      <c r="B50" s="1459" t="s">
        <v>317</v>
      </c>
      <c r="C50" s="1459" t="s">
        <v>318</v>
      </c>
      <c r="D50" s="1459" t="s">
        <v>581</v>
      </c>
      <c r="E50" s="3116"/>
      <c r="F50" s="3116"/>
      <c r="G50" s="3116"/>
      <c r="H50" s="3115"/>
      <c r="I50" s="1459"/>
      <c r="J50" s="1459"/>
      <c r="K50" s="1459"/>
      <c r="L50" s="1460"/>
      <c r="M50" s="1461"/>
      <c r="N50" s="1461"/>
      <c r="O50" s="644"/>
      <c r="P50" s="467"/>
      <c r="Q50" s="482"/>
      <c r="R50" s="462"/>
      <c r="S50" s="1374"/>
      <c r="T50" s="479" t="s">
        <v>573</v>
      </c>
      <c r="U50" s="474"/>
      <c r="V50" s="474"/>
      <c r="W50" s="474"/>
      <c r="X50" s="474"/>
      <c r="Y50" s="474"/>
      <c r="Z50" s="474"/>
      <c r="AA50" s="474"/>
      <c r="AB50" s="473"/>
      <c r="AC50" s="474"/>
      <c r="AD50" s="474"/>
      <c r="AE50" s="474"/>
      <c r="AF50" s="474"/>
      <c r="AG50" s="474"/>
      <c r="AH50" s="474"/>
      <c r="AI50" s="473"/>
      <c r="AJ50" s="474"/>
      <c r="AK50" s="411"/>
      <c r="AM50" s="607"/>
      <c r="AN50" s="607" t="str">
        <f>IF(T50="","",T50)</f>
        <v>Добавить наименование признака дифференциации</v>
      </c>
      <c r="AO50" s="607"/>
      <c r="AP50" s="607"/>
      <c r="AQ50" s="1251">
        <v>21</v>
      </c>
    </row>
    <row s="10307" customFormat="1" customHeight="1" ht="14.25" hidden="1">
      <c r="A51" s="1439" t="s">
        <v>316</v>
      </c>
      <c r="B51" s="1439" t="s">
        <v>317</v>
      </c>
      <c r="C51" s="1410"/>
      <c r="D51" s="1410"/>
      <c r="E51" s="3116"/>
      <c r="F51" s="3115"/>
      <c r="G51" s="1410"/>
      <c r="H51" s="1410"/>
      <c r="I51" s="1410"/>
      <c r="J51" s="1410"/>
      <c r="K51" s="1410"/>
      <c r="L51" s="1554"/>
      <c r="M51" s="1417"/>
      <c r="N51" s="1417"/>
      <c r="P51" s="1412"/>
      <c r="Q51" s="1413"/>
      <c r="R51" s="1412"/>
      <c r="S51" s="1418"/>
      <c r="T51" s="1421" t="s">
        <v>500</v>
      </c>
      <c r="U51" s="1420"/>
      <c r="V51" s="1420"/>
      <c r="W51" s="1420"/>
      <c r="X51" s="1420"/>
      <c r="Y51" s="1420"/>
      <c r="Z51" s="1420"/>
      <c r="AA51" s="1420"/>
      <c r="AB51" s="1420"/>
      <c r="AC51" s="1420"/>
      <c r="AD51" s="1420"/>
      <c r="AE51" s="1420"/>
      <c r="AF51" s="1420"/>
      <c r="AG51" s="1420"/>
      <c r="AH51" s="1420"/>
      <c r="AI51" s="1420"/>
      <c r="AJ51" s="1420"/>
      <c r="AK51" s="1420"/>
      <c r="AM51" s="890"/>
      <c r="AN51" s="890" t="str">
        <f>IF(T51="","",T51)</f>
        <v>Добавить централизованную систему для дифференциации</v>
      </c>
      <c r="AO51" s="890"/>
      <c r="AP51" s="890"/>
      <c r="AQ51" s="625">
        <v>0</v>
      </c>
    </row>
    <row s="10307" customFormat="1" customHeight="1" ht="14.25" hidden="1">
      <c r="A52" s="1439" t="s">
        <v>316</v>
      </c>
      <c r="B52" s="1439"/>
      <c r="C52" s="1439"/>
      <c r="D52" s="1439"/>
      <c r="E52" s="3115"/>
      <c r="F52" s="1439"/>
      <c r="G52" s="1439"/>
      <c r="H52" s="1439"/>
      <c r="I52" s="1439"/>
      <c r="J52" s="1439"/>
      <c r="K52" s="1439"/>
      <c r="L52" s="1442"/>
      <c r="M52" s="1417"/>
      <c r="N52" s="1417"/>
      <c r="O52" s="625"/>
      <c r="P52" s="487"/>
      <c r="Q52" s="1440"/>
      <c r="R52" s="487"/>
      <c r="S52" s="1418"/>
      <c r="T52" s="1421" t="s">
        <v>501</v>
      </c>
      <c r="U52" s="1420"/>
      <c r="V52" s="1420"/>
      <c r="W52" s="1420"/>
      <c r="X52" s="1420"/>
      <c r="Y52" s="1420"/>
      <c r="Z52" s="1420"/>
      <c r="AA52" s="1420"/>
      <c r="AB52" s="1420"/>
      <c r="AC52" s="1420"/>
      <c r="AD52" s="1420"/>
      <c r="AE52" s="1420"/>
      <c r="AF52" s="1420"/>
      <c r="AG52" s="1420"/>
      <c r="AH52" s="1420"/>
      <c r="AI52" s="1420"/>
      <c r="AJ52" s="1420"/>
      <c r="AK52" s="1420"/>
      <c r="AM52" s="607"/>
      <c r="AN52" s="607" t="str">
        <f>IF(T52="","",T52)</f>
        <v>Добавить территорию для дифференциации</v>
      </c>
      <c r="AO52" s="607"/>
      <c r="AP52" s="607"/>
      <c r="AQ52" s="618">
        <v>0</v>
      </c>
    </row>
    <row s="10307" customFormat="1" customHeight="1" ht="14.25" hidden="1">
      <c r="A53" s="1410"/>
      <c r="B53" s="1410"/>
      <c r="C53" s="1410"/>
      <c r="D53" s="1410"/>
      <c r="E53" s="1439"/>
      <c r="F53" s="1410"/>
      <c r="G53" s="1410"/>
      <c r="H53" s="1410"/>
      <c r="I53" s="1410"/>
      <c r="J53" s="1410"/>
      <c r="K53" s="1410"/>
      <c r="L53" s="1554"/>
      <c r="M53" s="1417"/>
      <c r="N53" s="1417"/>
      <c r="P53" s="1412"/>
      <c r="Q53" s="1413"/>
      <c r="R53" s="1412"/>
      <c r="S53" s="1418"/>
      <c r="T53" s="1421" t="s">
        <v>533</v>
      </c>
      <c r="U53" s="1420"/>
      <c r="V53" s="1420"/>
      <c r="W53" s="1420"/>
      <c r="X53" s="1420"/>
      <c r="Y53" s="1420"/>
      <c r="Z53" s="1420"/>
      <c r="AA53" s="1420"/>
      <c r="AB53" s="1420"/>
      <c r="AC53" s="1420"/>
      <c r="AD53" s="1420"/>
      <c r="AE53" s="1420"/>
      <c r="AF53" s="1420"/>
      <c r="AG53" s="1420"/>
      <c r="AH53" s="1420"/>
      <c r="AI53" s="1420"/>
      <c r="AJ53" s="1420"/>
      <c r="AK53" s="1420"/>
      <c r="AM53" s="890"/>
      <c r="AN53" s="890" t="str">
        <f>IF(T53="","",T53)</f>
        <v>Добавить наименование тарифа</v>
      </c>
      <c r="AO53" s="890"/>
      <c r="AP53" s="890"/>
      <c r="AQ53" s="625">
        <v>0</v>
      </c>
    </row>
    <row customHeight="1" ht="11.549999999999999">
      <c r="M54" s="1256"/>
      <c r="N54" s="1256"/>
      <c r="O54" s="644"/>
      <c r="P54" s="1251"/>
      <c r="Q54" s="1251"/>
      <c r="R54" s="1251"/>
      <c r="S54" s="1251"/>
      <c r="AL54" s="1251"/>
      <c r="AM54" s="1251"/>
      <c r="AN54" s="1251"/>
      <c r="AO54" s="1251"/>
      <c r="AP54" s="1251"/>
      <c r="AQ54" s="1251">
        <v>11</v>
      </c>
    </row>
    <row customHeight="1" ht="14.699999999999998">
      <c r="O55" s="644"/>
      <c r="S55" s="1349"/>
      <c r="T55" s="3114"/>
      <c r="U55" s="3114"/>
      <c r="V55" s="3114"/>
      <c r="W55" s="3114"/>
      <c r="X55" s="3114"/>
      <c r="Y55" s="3114"/>
      <c r="Z55" s="3114"/>
      <c r="AA55" s="3114"/>
      <c r="AB55" s="3114"/>
      <c r="AC55" s="3114"/>
      <c r="AD55" s="3114"/>
      <c r="AE55" s="3114"/>
      <c r="AF55" s="3114"/>
      <c r="AG55" s="3114"/>
      <c r="AH55" s="3114"/>
      <c r="AI55" s="3114"/>
      <c r="AJ55" s="3114"/>
      <c r="AK55" s="3114"/>
      <c r="AQ55" s="1251">
        <v>14</v>
      </c>
    </row>
    <row customHeight="1" ht="14.699999999999998">
      <c r="O56" s="644"/>
      <c r="AQ56" s="1251">
        <v>14</v>
      </c>
    </row>
    <row customHeight="1" ht="14.699999999999998">
      <c r="O57" s="644"/>
      <c r="S57" s="1349"/>
      <c r="T57" s="3114"/>
      <c r="U57" s="3114"/>
      <c r="V57" s="3114"/>
      <c r="W57" s="3114"/>
      <c r="X57" s="3114"/>
      <c r="Y57" s="3114"/>
      <c r="Z57" s="3114"/>
      <c r="AA57" s="3114"/>
      <c r="AB57" s="3114"/>
      <c r="AC57" s="3114"/>
      <c r="AD57" s="3114"/>
      <c r="AE57" s="3114"/>
      <c r="AF57" s="3114"/>
      <c r="AG57" s="3114"/>
      <c r="AH57" s="3114"/>
      <c r="AI57" s="3114"/>
      <c r="AJ57" s="3114"/>
      <c r="AK57" s="3114"/>
      <c r="AQ57" s="1251">
        <v>14</v>
      </c>
    </row>
    <row customHeight="1" ht="22.5" hidden="1">
      <c r="A58" s="1256" t="s">
        <v>82</v>
      </c>
      <c r="B58" s="1256">
        <v>0</v>
      </c>
      <c r="C58" s="1256">
        <v>0</v>
      </c>
      <c r="D58" s="1256">
        <v>0</v>
      </c>
      <c r="E58" s="1256">
        <v>0</v>
      </c>
      <c r="F58" s="1256">
        <v>0</v>
      </c>
      <c r="G58" s="1256">
        <v>0</v>
      </c>
      <c r="H58" s="1256">
        <v>0</v>
      </c>
      <c r="I58" s="1256">
        <v>0</v>
      </c>
      <c r="J58" s="1256">
        <v>0</v>
      </c>
      <c r="K58" s="1256">
        <v>0</v>
      </c>
      <c r="L58" s="1543">
        <v>0</v>
      </c>
      <c r="M58" s="1458">
        <v>0</v>
      </c>
      <c r="N58" s="1458">
        <v>0</v>
      </c>
      <c r="O58" s="1458">
        <v>0</v>
      </c>
      <c r="P58" s="1542">
        <v>3</v>
      </c>
      <c r="Q58" s="452">
        <v>3</v>
      </c>
      <c r="R58" s="452">
        <v>3</v>
      </c>
      <c r="S58" s="688">
        <v>12</v>
      </c>
      <c r="T58" s="1251">
        <v>35</v>
      </c>
      <c r="U58" s="1251">
        <v>0</v>
      </c>
      <c r="V58" s="1251">
        <v>0</v>
      </c>
      <c r="W58" s="1251">
        <v>0</v>
      </c>
      <c r="X58" s="1251">
        <v>0</v>
      </c>
      <c r="Y58" s="1251">
        <v>0</v>
      </c>
      <c r="Z58" s="1251">
        <v>0</v>
      </c>
      <c r="AA58" s="1251">
        <v>0</v>
      </c>
      <c r="AB58" s="1251">
        <v>0</v>
      </c>
      <c r="AC58" s="1251">
        <v>24</v>
      </c>
      <c r="AD58" s="1251">
        <v>24</v>
      </c>
      <c r="AE58" s="1251">
        <v>24</v>
      </c>
      <c r="AF58" s="1251">
        <v>11</v>
      </c>
      <c r="AG58" s="1251">
        <v>3</v>
      </c>
      <c r="AH58" s="1251">
        <v>11</v>
      </c>
      <c r="AI58" s="1251">
        <v>0</v>
      </c>
      <c r="AJ58" s="1251">
        <v>4</v>
      </c>
      <c r="AK58" s="1251">
        <v>115</v>
      </c>
      <c r="AL58" s="618">
        <v>10</v>
      </c>
      <c r="AM58" s="618">
        <v>10</v>
      </c>
      <c r="AN58" s="618">
        <v>10</v>
      </c>
      <c r="AO58" s="618">
        <v>10</v>
      </c>
      <c r="AP58" s="618">
        <v>10</v>
      </c>
      <c r="AQ58" s="1251">
        <v>23</v>
      </c>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4AE19-6294-C52F-68BE-C03DA0208F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4.140625" hidden="1" customWidth="1"/>
    <col min="10" max="10" style="10306" width="9.8515625" hidden="1" customWidth="1"/>
    <col min="11" max="11" style="10306" width="14.7109375" hidden="1" customWidth="1"/>
    <col min="12" max="12" style="11079" width="19.140625" hidden="1" customWidth="1"/>
    <col min="13" max="14" style="11080" width="12.28125" hidden="1" customWidth="1"/>
    <col min="15" max="15" style="11080" width="23.421875" hidden="1" customWidth="1"/>
    <col min="16" max="16" style="11081" width="3.00390625" customWidth="1"/>
    <col min="17" max="18" style="11082" width="3.00390625" customWidth="1"/>
    <col min="19" max="19" style="11083" width="12.00390625" customWidth="1"/>
    <col min="20" max="20" style="10232" width="35.00390625" customWidth="1"/>
    <col min="21" max="21" style="10232" width="0.140625" customWidth="1"/>
    <col min="22" max="24" style="10232" width="24.7109375" hidden="1" customWidth="1"/>
    <col min="25" max="25" style="10232" width="11.7109375" hidden="1" customWidth="1"/>
    <col min="26" max="26" style="10232" width="3.7109375" hidden="1" customWidth="1"/>
    <col min="27" max="27" style="10232" width="11.7109375" hidden="1" customWidth="1"/>
    <col min="28" max="28" style="10232" width="8.57421875" hidden="1" customWidth="1"/>
    <col min="29" max="29" style="10232" width="24.7109375" customWidth="1"/>
    <col min="30" max="31" style="10232" width="24.00390625" customWidth="1"/>
    <col min="32" max="32" style="10232" width="11.00390625" customWidth="1"/>
    <col min="33" max="33" style="10232" width="3.7109375" customWidth="1"/>
    <col min="34" max="34" style="10232" width="11.00390625" customWidth="1"/>
    <col min="35" max="35" style="10232" width="8.57421875" hidden="1" customWidth="1"/>
    <col min="36" max="36" style="10232" width="4.00390625" customWidth="1"/>
    <col min="37" max="37" style="10232" width="115.00390625" customWidth="1"/>
    <col min="38" max="42" style="10307" width="10.00390625" customWidth="1"/>
    <col min="43" max="43" style="10232" width="10.57421875" hidden="1"/>
  </cols>
  <sheetData>
    <row customHeight="1" ht="22.5" hidden="1">
      <c r="X1" s="435"/>
      <c r="Y1" s="435"/>
      <c r="AE1" s="435"/>
      <c r="AF1" s="435"/>
      <c r="AQ1" s="1251" t="s">
        <v>14</v>
      </c>
    </row>
    <row customHeight="1" ht="23.25" hidden="1">
      <c r="A2" s="1459"/>
      <c r="B2" s="1459"/>
      <c r="C2" s="1459"/>
      <c r="D2" s="1459"/>
      <c r="E2" s="3115">
        <v>1</v>
      </c>
      <c r="F2" s="1459"/>
      <c r="G2" s="1459"/>
      <c r="H2" s="1459"/>
      <c r="I2" s="1459"/>
      <c r="J2" s="1459"/>
      <c r="K2" s="1459"/>
      <c r="L2" s="1460"/>
      <c r="M2" s="1461"/>
      <c r="N2" s="1461"/>
      <c r="O2" s="1461"/>
      <c r="P2" s="468"/>
      <c r="Q2" s="467"/>
      <c r="R2" s="462"/>
      <c r="S2" s="1553">
        <f>INDEX(PT_DIFFERENTIATION_NUM_NTAR,MATCH(A2,PT_DIFFERENTIATION_NTAR_ID,0))</f>
      </c>
      <c r="T2" s="406" t="s">
        <v>210</v>
      </c>
      <c r="U2" s="408"/>
      <c r="V2" s="3109"/>
      <c r="W2" s="3110"/>
      <c r="X2" s="3110"/>
      <c r="Y2" s="3110"/>
      <c r="Z2" s="3110"/>
      <c r="AA2" s="3110"/>
      <c r="AB2" s="3111"/>
      <c r="AC2" s="3109">
        <f>INDEX(PT_DIFFERENTIATION_NTAR,MATCH(A2,PT_DIFFERENTIATION_NTAR_ID,0))</f>
      </c>
      <c r="AD2" s="3110"/>
      <c r="AE2" s="3110"/>
      <c r="AF2" s="3110"/>
      <c r="AG2" s="3110"/>
      <c r="AH2" s="3110"/>
      <c r="AI2" s="3110"/>
      <c r="AJ2" s="3111"/>
      <c r="AK2"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7"/>
      <c r="AN2" s="607" t="str">
        <f>IF(T2="","",T2)</f>
        <v>Наименование тарифа</v>
      </c>
      <c r="AO2" s="607"/>
      <c r="AP2" s="607"/>
      <c r="AQ2" s="1251">
        <v>0</v>
      </c>
    </row>
    <row customHeight="1" ht="23.25" hidden="1">
      <c r="A3" s="1459"/>
      <c r="B3" s="1459"/>
      <c r="C3" s="1459"/>
      <c r="D3" s="1459"/>
      <c r="E3" s="3116"/>
      <c r="F3" s="3115">
        <v>1</v>
      </c>
      <c r="G3" s="1459"/>
      <c r="H3" s="1459"/>
      <c r="I3" s="1459"/>
      <c r="J3" s="1459"/>
      <c r="K3" s="1459"/>
      <c r="L3" s="1460"/>
      <c r="M3" s="1461"/>
      <c r="N3" s="1461"/>
      <c r="O3" s="1461"/>
      <c r="P3" s="1549"/>
      <c r="Q3" s="459"/>
      <c r="R3" s="460"/>
      <c r="S3" s="1553">
        <f>INDEX(PT_DIFFERENTIATION_NUM_TER,MATCH(B3,PT_DIFFERENTIATION_TER_ID,0))</f>
      </c>
      <c r="T3" s="416" t="s">
        <v>482</v>
      </c>
      <c r="U3" s="408"/>
      <c r="V3" s="3109"/>
      <c r="W3" s="3110"/>
      <c r="X3" s="3110"/>
      <c r="Y3" s="3110"/>
      <c r="Z3" s="3110"/>
      <c r="AA3" s="3110"/>
      <c r="AB3" s="3111"/>
      <c r="AC3" s="3109">
        <f>INDEX(PT_DIFFERENTIATION_TER,MATCH(B3,PT_DIFFERENTIATION_TER_ID,0))</f>
      </c>
      <c r="AD3" s="3110"/>
      <c r="AE3" s="3110"/>
      <c r="AF3" s="3110"/>
      <c r="AG3" s="3110"/>
      <c r="AH3" s="3110"/>
      <c r="AI3" s="3110"/>
      <c r="AJ3" s="3111"/>
      <c r="AK3" s="1354" t="s">
        <v>483</v>
      </c>
      <c r="AM3" s="607"/>
      <c r="AN3" s="607" t="str">
        <f>IF(T3="","",T3)</f>
        <v>Территория действия тарифа</v>
      </c>
      <c r="AO3" s="607"/>
      <c r="AP3" s="607"/>
      <c r="AQ3" s="1251">
        <v>0</v>
      </c>
    </row>
    <row customHeight="1" ht="23.25" hidden="1">
      <c r="A4" s="1459"/>
      <c r="B4" s="1459"/>
      <c r="C4" s="1459"/>
      <c r="D4" s="1459"/>
      <c r="E4" s="3116"/>
      <c r="F4" s="3116"/>
      <c r="G4" s="3115">
        <v>1</v>
      </c>
      <c r="H4" s="1459"/>
      <c r="I4" s="1459"/>
      <c r="J4" s="1459"/>
      <c r="K4" s="1459"/>
      <c r="L4" s="1460"/>
      <c r="M4" s="1461"/>
      <c r="N4" s="1461"/>
      <c r="O4" s="1461"/>
      <c r="P4" s="461"/>
      <c r="Q4" s="459"/>
      <c r="R4" s="460"/>
      <c r="S4" s="1553">
        <f>INDEX(PT_DIFFERENTIATION_NUM_CS,MATCH(C4,PT_DIFFERENTIATION_CS_ID,0))</f>
      </c>
      <c r="T4" s="417" t="s">
        <v>566</v>
      </c>
      <c r="U4" s="408"/>
      <c r="V4" s="3109"/>
      <c r="W4" s="3110"/>
      <c r="X4" s="3110"/>
      <c r="Y4" s="3110"/>
      <c r="Z4" s="3110"/>
      <c r="AA4" s="3110"/>
      <c r="AB4" s="3111"/>
      <c r="AC4" s="3109">
        <f>INDEX(PT_DIFFERENTIATION_CS,MATCH(C4,PT_DIFFERENTIATION_CS_ID,0))</f>
      </c>
      <c r="AD4" s="3110"/>
      <c r="AE4" s="3110"/>
      <c r="AF4" s="3110"/>
      <c r="AG4" s="3110"/>
      <c r="AH4" s="3110"/>
      <c r="AI4" s="3110"/>
      <c r="AJ4" s="3111"/>
      <c r="AK4" s="1354" t="s">
        <v>567</v>
      </c>
      <c r="AM4" s="607"/>
      <c r="AN4" s="607" t="str">
        <f>IF(T4="","",T4)</f>
        <v>Наименование централизованной системы холодного водоснабжения</v>
      </c>
      <c r="AO4" s="607"/>
      <c r="AP4" s="607"/>
      <c r="AQ4" s="1251">
        <v>0</v>
      </c>
    </row>
    <row customHeight="1" ht="23.25" hidden="1">
      <c r="A5" s="1459"/>
      <c r="B5" s="1459"/>
      <c r="C5" s="1459"/>
      <c r="D5" s="1459"/>
      <c r="E5" s="3116"/>
      <c r="F5" s="3116"/>
      <c r="G5" s="3116"/>
      <c r="H5" s="3116"/>
      <c r="I5" s="3117">
        <f>S4&amp;".1"</f>
      </c>
      <c r="J5" s="1459"/>
      <c r="K5" s="1459"/>
      <c r="L5" s="1460"/>
      <c r="P5" s="3119">
        <v>1</v>
      </c>
      <c r="Q5" s="1546"/>
      <c r="R5" s="463"/>
      <c r="S5" s="1553">
        <f>$I5</f>
      </c>
      <c r="T5" s="393" t="s">
        <v>568</v>
      </c>
      <c r="U5" s="408"/>
      <c r="V5" s="3183"/>
      <c r="W5" s="3184"/>
      <c r="X5" s="3184"/>
      <c r="Y5" s="3184"/>
      <c r="Z5" s="3184"/>
      <c r="AA5" s="3184"/>
      <c r="AB5" s="3185"/>
      <c r="AC5" s="3186"/>
      <c r="AD5" s="3187"/>
      <c r="AE5" s="3187"/>
      <c r="AF5" s="3187"/>
      <c r="AG5" s="3187"/>
      <c r="AH5" s="3187"/>
      <c r="AI5" s="3187"/>
      <c r="AJ5" s="3188"/>
      <c r="AK5" s="1354" t="s">
        <v>569</v>
      </c>
      <c r="AM5" s="607"/>
      <c r="AN5" s="607" t="str">
        <f>IF(T5="","",T5)</f>
        <v>Наименование признака дифференциации</v>
      </c>
      <c r="AO5" s="607"/>
      <c r="AP5" s="607"/>
      <c r="AQ5" s="1251">
        <v>0</v>
      </c>
    </row>
    <row customHeight="1" ht="23.25" hidden="1">
      <c r="A6" s="1459"/>
      <c r="B6" s="1459"/>
      <c r="C6" s="1459"/>
      <c r="D6" s="1459"/>
      <c r="E6" s="3116"/>
      <c r="F6" s="3116"/>
      <c r="G6" s="3116"/>
      <c r="H6" s="3116"/>
      <c r="I6" s="3118"/>
      <c r="J6" s="3117">
        <f>I5&amp;".1"</f>
      </c>
      <c r="K6" s="1459"/>
      <c r="L6" s="1460" t="s">
        <v>491</v>
      </c>
      <c r="P6" s="3119"/>
      <c r="Q6" s="3119">
        <v>1</v>
      </c>
      <c r="R6" s="464"/>
      <c r="S6" s="1553">
        <f>$J6</f>
      </c>
      <c r="T6" s="394" t="s">
        <v>492</v>
      </c>
      <c r="U6" s="408"/>
      <c r="V6" s="3103"/>
      <c r="W6" s="3104"/>
      <c r="X6" s="3104"/>
      <c r="Y6" s="3104"/>
      <c r="Z6" s="3104"/>
      <c r="AA6" s="3104"/>
      <c r="AB6" s="3105"/>
      <c r="AC6" s="3103"/>
      <c r="AD6" s="3104"/>
      <c r="AE6" s="3104"/>
      <c r="AF6" s="3104"/>
      <c r="AG6" s="3104"/>
      <c r="AH6" s="3104"/>
      <c r="AI6" s="3104"/>
      <c r="AJ6" s="3105"/>
      <c r="AK6" s="1403" t="s">
        <v>570</v>
      </c>
      <c r="AM6" s="607"/>
      <c r="AN6" s="607" t="str">
        <f>IF(T6="","",T6)</f>
        <v>Группа потребителей</v>
      </c>
      <c r="AO6" s="607"/>
      <c r="AP6" s="607"/>
      <c r="AQ6" s="1251">
        <v>0</v>
      </c>
    </row>
    <row customHeight="1" ht="23.25" hidden="1">
      <c r="A7" s="1459"/>
      <c r="B7" s="1459"/>
      <c r="C7" s="1459"/>
      <c r="D7" s="1459"/>
      <c r="E7" s="3116"/>
      <c r="F7" s="3116"/>
      <c r="G7" s="3116"/>
      <c r="H7" s="3116"/>
      <c r="I7" s="3118"/>
      <c r="J7" s="3118"/>
      <c r="K7" s="3117">
        <f>J6&amp;".1"</f>
      </c>
      <c r="L7" s="1460"/>
      <c r="P7" s="3119"/>
      <c r="Q7" s="3119"/>
      <c r="R7" s="464">
        <v>1</v>
      </c>
      <c r="S7" s="1553">
        <f>$K7</f>
      </c>
      <c r="T7" s="1533"/>
      <c r="U7" s="408"/>
      <c r="V7" s="858"/>
      <c r="W7" s="858"/>
      <c r="X7" s="1353"/>
      <c r="Y7" s="3120"/>
      <c r="Z7" s="2989" t="s">
        <v>62</v>
      </c>
      <c r="AA7" s="3120"/>
      <c r="AB7" s="2989" t="s">
        <v>62</v>
      </c>
      <c r="AC7" s="858"/>
      <c r="AD7" s="858"/>
      <c r="AE7" s="1353"/>
      <c r="AF7" s="3120"/>
      <c r="AG7" s="2989" t="s">
        <v>62</v>
      </c>
      <c r="AH7" s="3122"/>
      <c r="AI7" s="2989" t="s">
        <v>62</v>
      </c>
      <c r="AJ7" s="1534"/>
      <c r="AK7"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8">
        <f>STRCHECKDATE(V8:AJ8)</f>
      </c>
      <c r="AM7" s="607"/>
      <c r="AN7" s="607" t="str">
        <f>IF(T7="","",T7)</f>
        <v/>
      </c>
      <c r="AO7" s="607"/>
      <c r="AP7" s="607"/>
      <c r="AQ7" s="1251">
        <v>0</v>
      </c>
    </row>
    <row customHeight="1" ht="14.25" hidden="1">
      <c r="A8" s="1459"/>
      <c r="B8" s="1459"/>
      <c r="C8" s="1459"/>
      <c r="D8" s="1459"/>
      <c r="E8" s="3116"/>
      <c r="F8" s="3116"/>
      <c r="G8" s="3116"/>
      <c r="H8" s="3116"/>
      <c r="I8" s="3118"/>
      <c r="J8" s="3118"/>
      <c r="K8" s="3117"/>
      <c r="L8" s="1460"/>
      <c r="P8" s="3119"/>
      <c r="Q8" s="3119"/>
      <c r="R8" s="464"/>
      <c r="S8" s="1552"/>
      <c r="T8" s="408"/>
      <c r="U8" s="408"/>
      <c r="V8" s="433"/>
      <c r="W8" s="433"/>
      <c r="X8" s="436" t="str">
        <f>Y7&amp;"-"&amp;AA7</f>
        <v>-</v>
      </c>
      <c r="Y8" s="3121"/>
      <c r="Z8" s="2989"/>
      <c r="AA8" s="3121"/>
      <c r="AB8" s="2989"/>
      <c r="AC8" s="433"/>
      <c r="AD8" s="433"/>
      <c r="AE8" s="436" t="str">
        <f>AF7&amp;"-"&amp;AH7</f>
        <v>-</v>
      </c>
      <c r="AF8" s="3121"/>
      <c r="AG8" s="2989"/>
      <c r="AH8" s="3123"/>
      <c r="AI8" s="2989"/>
      <c r="AJ8" s="1535"/>
      <c r="AK8" s="3189"/>
      <c r="AM8" s="607"/>
      <c r="AN8" s="607" t="str">
        <f>IF(T8="","",T8)</f>
        <v/>
      </c>
      <c r="AO8" s="607"/>
      <c r="AP8" s="607"/>
      <c r="AQ8" s="1251">
        <v>0</v>
      </c>
    </row>
    <row customHeight="1" ht="21" hidden="1">
      <c r="A9" s="1459"/>
      <c r="B9" s="1459"/>
      <c r="C9" s="1459"/>
      <c r="D9" s="1459"/>
      <c r="E9" s="3116"/>
      <c r="F9" s="3116"/>
      <c r="G9" s="3116"/>
      <c r="H9" s="3116"/>
      <c r="I9" s="3118"/>
      <c r="J9" s="3117"/>
      <c r="K9" s="1459"/>
      <c r="L9" s="1460"/>
      <c r="P9" s="3119"/>
      <c r="Q9" s="3119"/>
      <c r="R9" s="463"/>
      <c r="S9" s="1374"/>
      <c r="T9" s="395" t="s">
        <v>571</v>
      </c>
      <c r="U9" s="474"/>
      <c r="V9" s="474"/>
      <c r="W9" s="474"/>
      <c r="X9" s="474"/>
      <c r="Y9" s="474"/>
      <c r="Z9" s="474"/>
      <c r="AA9" s="474"/>
      <c r="AB9" s="474"/>
      <c r="AC9" s="474"/>
      <c r="AD9" s="474"/>
      <c r="AE9" s="474"/>
      <c r="AF9" s="474"/>
      <c r="AG9" s="474"/>
      <c r="AH9" s="474"/>
      <c r="AI9" s="474"/>
      <c r="AJ9" s="474"/>
      <c r="AK9" s="1354" t="s">
        <v>572</v>
      </c>
      <c r="AM9" s="607"/>
      <c r="AN9" s="607" t="str">
        <f>IF(T9="","",T9)</f>
        <v>Добавить значение признака дифференциации</v>
      </c>
      <c r="AO9" s="607"/>
      <c r="AP9" s="607"/>
      <c r="AQ9" s="1251">
        <v>0</v>
      </c>
    </row>
    <row customHeight="1" ht="21" hidden="1">
      <c r="A10" s="1459"/>
      <c r="B10" s="1459"/>
      <c r="C10" s="1459"/>
      <c r="D10" s="1459"/>
      <c r="E10" s="3116"/>
      <c r="F10" s="3116"/>
      <c r="G10" s="3116"/>
      <c r="H10" s="3116"/>
      <c r="I10" s="3117"/>
      <c r="J10" s="1459"/>
      <c r="K10" s="1459"/>
      <c r="L10" s="1460"/>
      <c r="P10" s="3119"/>
      <c r="Q10" s="1546"/>
      <c r="R10" s="463"/>
      <c r="S10" s="1374"/>
      <c r="T10" s="472" t="s">
        <v>497</v>
      </c>
      <c r="U10" s="474"/>
      <c r="V10" s="474"/>
      <c r="W10" s="474"/>
      <c r="X10" s="474"/>
      <c r="Y10" s="474"/>
      <c r="Z10" s="474"/>
      <c r="AA10" s="474"/>
      <c r="AB10" s="473"/>
      <c r="AC10" s="474"/>
      <c r="AD10" s="474"/>
      <c r="AE10" s="474"/>
      <c r="AF10" s="474"/>
      <c r="AG10" s="474"/>
      <c r="AH10" s="474"/>
      <c r="AI10" s="473"/>
      <c r="AJ10" s="474"/>
      <c r="AK10" s="1536"/>
      <c r="AM10" s="607"/>
      <c r="AN10" s="607" t="str">
        <f>IF(T10="","",T10)</f>
        <v>Добавить группу потребителей</v>
      </c>
      <c r="AO10" s="607"/>
      <c r="AP10" s="607"/>
      <c r="AQ10" s="1251">
        <v>0</v>
      </c>
    </row>
    <row customHeight="1" ht="21" hidden="1">
      <c r="A11" s="1459"/>
      <c r="B11" s="1459"/>
      <c r="C11" s="1459"/>
      <c r="D11" s="1459"/>
      <c r="E11" s="3116"/>
      <c r="F11" s="3116"/>
      <c r="G11" s="3116"/>
      <c r="H11" s="3115"/>
      <c r="I11" s="1459"/>
      <c r="J11" s="1459"/>
      <c r="K11" s="1459"/>
      <c r="L11" s="1460"/>
      <c r="M11" s="1461"/>
      <c r="N11" s="1461"/>
      <c r="O11" s="644"/>
      <c r="P11" s="467"/>
      <c r="Q11" s="482"/>
      <c r="R11" s="462"/>
      <c r="S11" s="1374"/>
      <c r="T11" s="479" t="s">
        <v>573</v>
      </c>
      <c r="U11" s="474"/>
      <c r="V11" s="474"/>
      <c r="W11" s="474"/>
      <c r="X11" s="474"/>
      <c r="Y11" s="474"/>
      <c r="Z11" s="474"/>
      <c r="AA11" s="474"/>
      <c r="AB11" s="473"/>
      <c r="AC11" s="474"/>
      <c r="AD11" s="474"/>
      <c r="AE11" s="474"/>
      <c r="AF11" s="474"/>
      <c r="AG11" s="474"/>
      <c r="AH11" s="474"/>
      <c r="AI11" s="473"/>
      <c r="AJ11" s="474"/>
      <c r="AK11" s="411"/>
      <c r="AM11" s="607"/>
      <c r="AN11" s="607" t="str">
        <f>IF(T11="","",T11)</f>
        <v>Добавить наименование признака дифференциации</v>
      </c>
      <c r="AO11" s="607"/>
      <c r="AP11" s="607"/>
      <c r="AQ11" s="1251">
        <v>0</v>
      </c>
    </row>
    <row s="10307" customFormat="1" customHeight="1" ht="14.25" hidden="1">
      <c r="A12" s="1439"/>
      <c r="B12" s="1439"/>
      <c r="C12" s="1410"/>
      <c r="D12" s="1410"/>
      <c r="E12" s="3116"/>
      <c r="F12" s="3115"/>
      <c r="G12" s="1410"/>
      <c r="H12" s="1410"/>
      <c r="I12" s="1410"/>
      <c r="J12" s="1410"/>
      <c r="K12" s="1410"/>
      <c r="L12" s="1554"/>
      <c r="M12" s="1417"/>
      <c r="N12" s="1417"/>
      <c r="P12" s="1412"/>
      <c r="Q12" s="1413"/>
      <c r="R12" s="1412"/>
      <c r="S12" s="1418"/>
      <c r="T12" s="1421" t="s">
        <v>500</v>
      </c>
      <c r="U12" s="1420"/>
      <c r="V12" s="1420"/>
      <c r="W12" s="1420"/>
      <c r="X12" s="1420"/>
      <c r="Y12" s="1420"/>
      <c r="Z12" s="1420"/>
      <c r="AA12" s="1420"/>
      <c r="AB12" s="1420"/>
      <c r="AC12" s="1420"/>
      <c r="AD12" s="1420"/>
      <c r="AE12" s="1420"/>
      <c r="AF12" s="1420"/>
      <c r="AG12" s="1420"/>
      <c r="AH12" s="1420"/>
      <c r="AI12" s="1420"/>
      <c r="AJ12" s="1420"/>
      <c r="AK12" s="1420"/>
      <c r="AM12" s="890"/>
      <c r="AN12" s="890" t="str">
        <f>IF(T12="","",T12)</f>
        <v>Добавить централизованную систему для дифференциации</v>
      </c>
      <c r="AO12" s="890"/>
      <c r="AP12" s="890"/>
      <c r="AQ12" s="625">
        <v>0</v>
      </c>
    </row>
    <row s="10307" customFormat="1" customHeight="1" ht="14.25" hidden="1">
      <c r="A13" s="1439"/>
      <c r="B13" s="1439"/>
      <c r="C13" s="1439"/>
      <c r="D13" s="1439"/>
      <c r="E13" s="3115"/>
      <c r="F13" s="1439"/>
      <c r="G13" s="1439"/>
      <c r="H13" s="1439"/>
      <c r="I13" s="1439"/>
      <c r="J13" s="1439"/>
      <c r="K13" s="1439"/>
      <c r="L13" s="1442"/>
      <c r="M13" s="1417"/>
      <c r="N13" s="1417"/>
      <c r="O13" s="625"/>
      <c r="P13" s="487"/>
      <c r="Q13" s="1440"/>
      <c r="R13" s="487"/>
      <c r="S13" s="1418"/>
      <c r="T13" s="1421" t="s">
        <v>501</v>
      </c>
      <c r="U13" s="1420"/>
      <c r="V13" s="1420"/>
      <c r="W13" s="1420"/>
      <c r="X13" s="1420"/>
      <c r="Y13" s="1420"/>
      <c r="Z13" s="1420"/>
      <c r="AA13" s="1420"/>
      <c r="AB13" s="1420"/>
      <c r="AC13" s="1420"/>
      <c r="AD13" s="1420"/>
      <c r="AE13" s="1420"/>
      <c r="AF13" s="1420"/>
      <c r="AG13" s="1420"/>
      <c r="AH13" s="1420"/>
      <c r="AI13" s="1420"/>
      <c r="AJ13" s="1420"/>
      <c r="AK13" s="1420"/>
      <c r="AM13" s="607"/>
      <c r="AN13" s="607" t="str">
        <f>IF(T13="","",T13)</f>
        <v>Добавить территорию для дифференциации</v>
      </c>
      <c r="AO13" s="607"/>
      <c r="AP13" s="607"/>
      <c r="AQ13" s="618">
        <v>0</v>
      </c>
    </row>
    <row customHeight="1" ht="14.25" hidden="1">
      <c r="AB14" s="435"/>
      <c r="AI14" s="435"/>
      <c r="AQ14" s="1251">
        <v>0</v>
      </c>
    </row>
    <row customHeight="1" ht="14.25" hidden="1">
      <c r="AC15" s="1456"/>
      <c r="AD15" s="1456"/>
      <c r="AE15" s="1457"/>
      <c r="AF15" s="3113"/>
      <c r="AG15" s="3112" t="s">
        <v>62</v>
      </c>
      <c r="AH15" s="3113"/>
      <c r="AI15" s="3112" t="s">
        <v>62</v>
      </c>
      <c r="AQ15" s="1251">
        <v>0</v>
      </c>
    </row>
    <row customHeight="1" ht="14.25" hidden="1">
      <c r="AC16" s="1456"/>
      <c r="AD16" s="1456"/>
      <c r="AE16" s="436" t="str">
        <f>AF15&amp;"-"&amp;AH15</f>
        <v>-</v>
      </c>
      <c r="AF16" s="3112"/>
      <c r="AG16" s="3112"/>
      <c r="AH16" s="3112"/>
      <c r="AI16" s="3112"/>
      <c r="AQ16" s="1251">
        <v>0</v>
      </c>
    </row>
    <row customHeight="1" ht="14.25" hidden="1">
      <c r="AI17" s="435"/>
      <c r="AQ17" s="1251">
        <v>0</v>
      </c>
    </row>
    <row s="10306" customFormat="1" customHeight="1" ht="22.5" hidden="1">
      <c r="L18" s="1543"/>
      <c r="M18" s="1458"/>
      <c r="N18" s="1458"/>
      <c r="O18" s="1463" t="s">
        <v>502</v>
      </c>
      <c r="P18" s="1458"/>
      <c r="Q18" s="1467"/>
      <c r="R18" s="1467"/>
      <c r="S18" s="836"/>
      <c r="Y18" s="1463"/>
      <c r="AA18" s="1463"/>
      <c r="AF18" s="1463"/>
      <c r="AH18" s="1463"/>
      <c r="AL18" s="618"/>
      <c r="AM18" s="618"/>
      <c r="AN18" s="618"/>
      <c r="AO18" s="618"/>
      <c r="AP18" s="618"/>
      <c r="AQ18" s="1256">
        <v>0</v>
      </c>
    </row>
    <row s="10306" customFormat="1" customHeight="1" ht="14.25" hidden="1">
      <c r="L19" s="1543"/>
      <c r="M19" s="1458"/>
      <c r="N19" s="1458"/>
      <c r="O19" s="1458"/>
      <c r="P19" s="1458"/>
      <c r="Q19" s="1467"/>
      <c r="R19" s="1467"/>
      <c r="S19" s="836"/>
      <c r="AL19" s="618"/>
      <c r="AM19" s="618"/>
      <c r="AN19" s="618"/>
      <c r="AO19" s="618"/>
      <c r="AP19" s="618"/>
      <c r="AQ19" s="1256">
        <v>0</v>
      </c>
    </row>
    <row s="10306" customFormat="1" customHeight="1" ht="12" hidden="1">
      <c r="L20" s="1543"/>
      <c r="M20" s="1458"/>
      <c r="N20" s="1458"/>
      <c r="O20" s="1460" t="s">
        <v>503</v>
      </c>
      <c r="P20" s="1458"/>
      <c r="Q20" s="1538"/>
      <c r="R20" s="1538"/>
      <c r="S20" s="836"/>
      <c r="T20" s="1256" t="s">
        <v>504</v>
      </c>
      <c r="Z20" s="294" t="s">
        <v>505</v>
      </c>
      <c r="AB20" s="294" t="s">
        <v>506</v>
      </c>
      <c r="AC20" s="1256" t="s">
        <v>504</v>
      </c>
      <c r="AG20" s="294" t="s">
        <v>507</v>
      </c>
      <c r="AI20" s="294" t="s">
        <v>506</v>
      </c>
      <c r="AQ20" s="1256">
        <v>0</v>
      </c>
    </row>
    <row customHeight="1" ht="14.25" hidden="1">
      <c r="O21" s="1460"/>
      <c r="AQ21" s="1251">
        <v>0</v>
      </c>
    </row>
    <row customHeight="1" ht="14.25" hidden="1">
      <c r="O22" s="1460"/>
      <c r="AQ22" s="1251">
        <v>0</v>
      </c>
    </row>
    <row customHeight="1" ht="14.699999999999998">
      <c r="Q23" s="483"/>
      <c r="R23" s="483"/>
      <c r="S23" s="1371"/>
      <c r="T23" s="470"/>
      <c r="U23" s="470"/>
      <c r="V23" s="616"/>
      <c r="W23" s="616"/>
      <c r="X23" s="616"/>
      <c r="Y23" s="616"/>
      <c r="Z23" s="616"/>
      <c r="AA23" s="616"/>
      <c r="AB23" s="616"/>
      <c r="AC23" s="616"/>
      <c r="AD23" s="616"/>
      <c r="AE23" s="616"/>
      <c r="AF23" s="616"/>
      <c r="AG23" s="616"/>
      <c r="AH23" s="616"/>
      <c r="AI23" s="616"/>
      <c r="AQ23" s="1251">
        <v>14</v>
      </c>
    </row>
    <row customHeight="1" ht="14.699999999999998">
      <c r="Q24" s="483"/>
      <c r="R24" s="483"/>
      <c r="S24" s="30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96"/>
      <c r="U24" s="3096"/>
      <c r="V24" s="3096"/>
      <c r="W24" s="3096"/>
      <c r="X24" s="3096"/>
      <c r="Y24" s="3096"/>
      <c r="Z24" s="3096"/>
      <c r="AA24" s="3096"/>
      <c r="AB24" s="3096"/>
      <c r="AC24" s="3096"/>
      <c r="AD24" s="3096"/>
      <c r="AE24" s="3096"/>
      <c r="AF24" s="3096"/>
      <c r="AG24" s="3096"/>
      <c r="AH24" s="3096"/>
      <c r="AI24" s="1339"/>
      <c r="AQ24" s="1251">
        <v>14</v>
      </c>
    </row>
    <row customHeight="1" ht="14.699999999999998">
      <c r="Q25" s="483"/>
      <c r="R25" s="483"/>
      <c r="S25" s="3069" t="str">
        <f>IF(org=0,"Не определено",org)</f>
        <v>АО "ДГК"</v>
      </c>
      <c r="T25" s="3069"/>
      <c r="U25" s="3069"/>
      <c r="V25" s="3069"/>
      <c r="W25" s="3069"/>
      <c r="X25" s="3069"/>
      <c r="Y25" s="3069"/>
      <c r="Z25" s="3069"/>
      <c r="AA25" s="3069"/>
      <c r="AB25" s="3069"/>
      <c r="AC25" s="3069"/>
      <c r="AD25" s="3069"/>
      <c r="AE25" s="3069"/>
      <c r="AF25" s="3069"/>
      <c r="AG25" s="3069"/>
      <c r="AH25" s="3069"/>
      <c r="AI25" s="1339"/>
      <c r="AQ25" s="1251">
        <v>14</v>
      </c>
    </row>
    <row customHeight="1" ht="14.25" hidden="1">
      <c r="Q26" s="483"/>
      <c r="R26" s="483"/>
      <c r="S26" s="1371"/>
      <c r="T26" s="470"/>
      <c r="U26" s="470"/>
      <c r="V26" s="430"/>
      <c r="W26" s="430"/>
      <c r="X26" s="430"/>
      <c r="Y26" s="430"/>
      <c r="Z26" s="430"/>
      <c r="AA26" s="430"/>
      <c r="AB26" s="430"/>
      <c r="AC26" s="430"/>
      <c r="AD26" s="430"/>
      <c r="AE26" s="430"/>
      <c r="AF26" s="430"/>
      <c r="AG26" s="430"/>
      <c r="AH26" s="430"/>
      <c r="AI26" s="430"/>
      <c r="AJ26" s="616"/>
      <c r="AQ26" s="1251">
        <v>0</v>
      </c>
    </row>
    <row s="10446" customFormat="1" customHeight="1" ht="25.5" hidden="1">
      <c r="A27" s="1464"/>
      <c r="B27" s="1464"/>
      <c r="C27" s="1464"/>
      <c r="D27" s="1464"/>
      <c r="E27" s="1464"/>
      <c r="F27" s="1464"/>
      <c r="G27" s="1464"/>
      <c r="H27" s="1464"/>
      <c r="I27" s="1464"/>
      <c r="J27" s="1464"/>
      <c r="K27" s="1464"/>
      <c r="L27" s="1465"/>
      <c r="M27" s="1464"/>
      <c r="N27" s="1464"/>
      <c r="O27" s="1464"/>
      <c r="S27" s="3106" t="s">
        <v>41</v>
      </c>
      <c r="T27" s="3106"/>
      <c r="U27" s="1468"/>
      <c r="V27" s="3108" t="str">
        <f>IF(TITLE_NAME_OR_PR_CHANGE="",IF(TITLE_NAME_OR_PR="","",TITLE_NAME_OR_PR),TITLE_NAME_OR_PR_CHANGE)</f>
        <v/>
      </c>
      <c r="W27" s="3108"/>
      <c r="X27" s="3108"/>
      <c r="Y27" s="3108"/>
      <c r="Z27" s="3108"/>
      <c r="AA27" s="3108"/>
      <c r="AB27" s="434"/>
      <c r="AC27" s="3108" t="str">
        <f>IF(TITLE_NAME_OR_PR_CHANGE="",IF(TITLE_NAME_OR_PR="","",TITLE_NAME_OR_PR),TITLE_NAME_OR_PR_CHANGE)</f>
        <v/>
      </c>
      <c r="AD27" s="3108"/>
      <c r="AE27" s="3108"/>
      <c r="AF27" s="3108"/>
      <c r="AG27" s="3108"/>
      <c r="AH27" s="3108"/>
      <c r="AI27" s="434"/>
      <c r="AJ27" s="434"/>
      <c r="AK27" s="388"/>
      <c r="AL27" s="475"/>
      <c r="AM27" s="475"/>
      <c r="AN27" s="475"/>
      <c r="AO27" s="475"/>
      <c r="AP27" s="475"/>
      <c r="AQ27" s="525">
        <v>0</v>
      </c>
    </row>
    <row s="10446" customFormat="1" customHeight="1" ht="18.75" hidden="1">
      <c r="A28" s="1464"/>
      <c r="B28" s="1464"/>
      <c r="C28" s="1464"/>
      <c r="D28" s="1464"/>
      <c r="E28" s="1464"/>
      <c r="F28" s="1464"/>
      <c r="G28" s="1464"/>
      <c r="H28" s="1464"/>
      <c r="I28" s="1464"/>
      <c r="J28" s="1464"/>
      <c r="K28" s="1464"/>
      <c r="L28" s="1465"/>
      <c r="M28" s="1464"/>
      <c r="N28" s="1464"/>
      <c r="O28" s="1464"/>
      <c r="S28" s="3106" t="s">
        <v>508</v>
      </c>
      <c r="T28" s="3106"/>
      <c r="U28" s="1468"/>
      <c r="V28" s="3107" t="str">
        <f>IF(TITLE_DATE_PR_CHANGE="",IF(TITLE_DATE_PR="","",TITLE_DATE_PR),TITLE_DATE_PR_CHANGE)</f>
        <v/>
      </c>
      <c r="W28" s="3107"/>
      <c r="X28" s="3107"/>
      <c r="Y28" s="3107"/>
      <c r="Z28" s="3107"/>
      <c r="AA28" s="3107"/>
      <c r="AB28" s="434"/>
      <c r="AC28" s="3107" t="str">
        <f>IF(TITLE_DATE_PR_CHANGE="",IF(TITLE_DATE_PR="","",TITLE_DATE_PR),TITLE_DATE_PR_CHANGE)</f>
        <v/>
      </c>
      <c r="AD28" s="3107"/>
      <c r="AE28" s="3107"/>
      <c r="AF28" s="3107"/>
      <c r="AG28" s="3107"/>
      <c r="AH28" s="3107"/>
      <c r="AI28" s="434"/>
      <c r="AJ28" s="434"/>
      <c r="AK28" s="388"/>
      <c r="AL28" s="475"/>
      <c r="AM28" s="475"/>
      <c r="AN28" s="475"/>
      <c r="AO28" s="475"/>
      <c r="AP28" s="475"/>
      <c r="AQ28" s="525">
        <v>0</v>
      </c>
    </row>
    <row s="10446" customFormat="1" customHeight="1" ht="18.75" hidden="1">
      <c r="A29" s="1464"/>
      <c r="B29" s="1464"/>
      <c r="C29" s="1464"/>
      <c r="D29" s="1464"/>
      <c r="E29" s="1464"/>
      <c r="F29" s="1464"/>
      <c r="G29" s="1464"/>
      <c r="H29" s="1464"/>
      <c r="I29" s="1464"/>
      <c r="J29" s="1464"/>
      <c r="K29" s="1464"/>
      <c r="L29" s="1465"/>
      <c r="M29" s="1464"/>
      <c r="N29" s="1464"/>
      <c r="O29" s="1464"/>
      <c r="S29" s="3106" t="s">
        <v>509</v>
      </c>
      <c r="T29" s="3106"/>
      <c r="U29" s="1468"/>
      <c r="V29" s="3108" t="str">
        <f>IF(TITLE_NUMBER_PR_CHANGE="",IF(TITLE_NUMBER_PR="","",TITLE_NUMBER_PR),TITLE_NUMBER_PR_CHANGE)</f>
        <v/>
      </c>
      <c r="W29" s="3108"/>
      <c r="X29" s="3108"/>
      <c r="Y29" s="3108"/>
      <c r="Z29" s="3108"/>
      <c r="AA29" s="3108"/>
      <c r="AB29" s="434"/>
      <c r="AC29" s="3108" t="str">
        <f>IF(TITLE_NUMBER_PR_CHANGE="",IF(TITLE_NUMBER_PR="","",TITLE_NUMBER_PR),TITLE_NUMBER_PR_CHANGE)</f>
        <v/>
      </c>
      <c r="AD29" s="3108"/>
      <c r="AE29" s="3108"/>
      <c r="AF29" s="3108"/>
      <c r="AG29" s="3108"/>
      <c r="AH29" s="3108"/>
      <c r="AI29" s="434"/>
      <c r="AJ29" s="434"/>
      <c r="AK29" s="388"/>
      <c r="AL29" s="475"/>
      <c r="AM29" s="475"/>
      <c r="AN29" s="475"/>
      <c r="AO29" s="475"/>
      <c r="AP29" s="475"/>
      <c r="AQ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42</v>
      </c>
      <c r="T30" s="3106"/>
      <c r="U30" s="1468"/>
      <c r="V30" s="3108" t="str">
        <f>IF(TITLE_IST_PUB_CHANGE="",IF(TITLE_IST_PUB="","",TITLE_IST_PUB),TITLE_IST_PUB_CHANGE)</f>
        <v/>
      </c>
      <c r="W30" s="3108"/>
      <c r="X30" s="3108"/>
      <c r="Y30" s="3108"/>
      <c r="Z30" s="3108"/>
      <c r="AA30" s="3108"/>
      <c r="AB30" s="434"/>
      <c r="AC30" s="3108" t="str">
        <f>IF(TITLE_IST_PUB_CHANGE="",IF(TITLE_IST_PUB="","",TITLE_IST_PUB),TITLE_IST_PUB_CHANGE)</f>
        <v/>
      </c>
      <c r="AD30" s="3108"/>
      <c r="AE30" s="3108"/>
      <c r="AF30" s="3108"/>
      <c r="AG30" s="3108"/>
      <c r="AH30" s="3108"/>
      <c r="AI30" s="434"/>
      <c r="AJ30" s="434"/>
      <c r="AK30" s="388"/>
      <c r="AL30" s="475"/>
      <c r="AM30" s="475"/>
      <c r="AN30" s="475"/>
      <c r="AO30" s="475"/>
      <c r="AP30" s="475"/>
      <c r="AQ30" s="525">
        <v>0</v>
      </c>
    </row>
    <row customHeight="1" ht="14.25" hidden="1">
      <c r="Q31" s="483"/>
      <c r="R31" s="483"/>
      <c r="S31" s="1371"/>
      <c r="T31" s="470"/>
      <c r="U31" s="470"/>
      <c r="V31" s="430"/>
      <c r="W31" s="430"/>
      <c r="X31" s="430"/>
      <c r="Y31" s="430"/>
      <c r="Z31" s="430"/>
      <c r="AA31" s="430"/>
      <c r="AB31" s="430"/>
      <c r="AC31" s="430"/>
      <c r="AD31" s="430"/>
      <c r="AE31" s="430"/>
      <c r="AF31" s="430"/>
      <c r="AG31" s="430"/>
      <c r="AH31" s="430"/>
      <c r="AI31" s="430"/>
      <c r="AJ31" s="616"/>
      <c r="AQ31" s="1251">
        <v>0</v>
      </c>
    </row>
    <row s="10446" customFormat="1" customHeight="1" ht="18.75" hidden="1">
      <c r="A32" s="1464"/>
      <c r="B32" s="1464"/>
      <c r="C32" s="1464"/>
      <c r="D32" s="1464"/>
      <c r="E32" s="1464"/>
      <c r="F32" s="1464"/>
      <c r="G32" s="1464"/>
      <c r="H32" s="1464"/>
      <c r="I32" s="1464"/>
      <c r="J32" s="1464"/>
      <c r="K32" s="1464"/>
      <c r="L32" s="1465"/>
      <c r="M32" s="1464"/>
      <c r="N32" s="1464"/>
      <c r="O32" s="1464"/>
      <c r="S32" s="3106" t="s">
        <v>510</v>
      </c>
      <c r="T32" s="3106"/>
      <c r="U32" s="1468"/>
      <c r="V32" s="3107" t="str">
        <f>IF(TITLE_DATE_PR_CHANGE="",IF(TITLE_DATE_PR="","",TITLE_DATE_PR),TITLE_DATE_PR_CHANGE)</f>
        <v/>
      </c>
      <c r="W32" s="3107"/>
      <c r="X32" s="3107"/>
      <c r="Y32" s="3107"/>
      <c r="Z32" s="3107"/>
      <c r="AA32" s="3107"/>
      <c r="AB32" s="434"/>
      <c r="AC32" s="3107" t="str">
        <f>IF(TITLE_DATE_PR_CHANGE="",IF(TITLE_DATE_PR="","",TITLE_DATE_PR),TITLE_DATE_PR_CHANGE)</f>
        <v/>
      </c>
      <c r="AD32" s="3107"/>
      <c r="AE32" s="3107"/>
      <c r="AF32" s="3107"/>
      <c r="AG32" s="3107"/>
      <c r="AH32" s="3107"/>
      <c r="AI32" s="434"/>
      <c r="AJ32" s="434"/>
      <c r="AK32" s="388"/>
      <c r="AL32" s="475"/>
      <c r="AM32" s="475"/>
      <c r="AN32" s="475"/>
      <c r="AO32" s="475"/>
      <c r="AP32" s="475"/>
      <c r="AQ32" s="525">
        <v>0</v>
      </c>
    </row>
    <row s="10446" customFormat="1" customHeight="1" ht="18.75" hidden="1">
      <c r="A33" s="1464"/>
      <c r="B33" s="1464"/>
      <c r="C33" s="1464"/>
      <c r="D33" s="1464"/>
      <c r="E33" s="1464"/>
      <c r="F33" s="1464"/>
      <c r="G33" s="1464"/>
      <c r="H33" s="1464"/>
      <c r="I33" s="1464"/>
      <c r="J33" s="1464"/>
      <c r="K33" s="1464"/>
      <c r="L33" s="1465"/>
      <c r="M33" s="1464"/>
      <c r="N33" s="1464"/>
      <c r="O33" s="1464"/>
      <c r="S33" s="3106" t="s">
        <v>511</v>
      </c>
      <c r="T33" s="3106"/>
      <c r="U33" s="1468"/>
      <c r="V33" s="3108" t="str">
        <f>IF(TITLE_NUMBER_PR_CHANGE="",IF(TITLE_NUMBER_PR="","",TITLE_NUMBER_PR),TITLE_NUMBER_PR_CHANGE)</f>
        <v/>
      </c>
      <c r="W33" s="3108"/>
      <c r="X33" s="3108"/>
      <c r="Y33" s="3108"/>
      <c r="Z33" s="3108"/>
      <c r="AA33" s="3108"/>
      <c r="AB33" s="434"/>
      <c r="AC33" s="3108" t="str">
        <f>IF(TITLE_NUMBER_PR_CHANGE="",IF(TITLE_NUMBER_PR="","",TITLE_NUMBER_PR),TITLE_NUMBER_PR_CHANGE)</f>
        <v/>
      </c>
      <c r="AD33" s="3108"/>
      <c r="AE33" s="3108"/>
      <c r="AF33" s="3108"/>
      <c r="AG33" s="3108"/>
      <c r="AH33" s="3108"/>
      <c r="AI33" s="434"/>
      <c r="AJ33" s="434"/>
      <c r="AK33" s="388"/>
      <c r="AL33" s="475"/>
      <c r="AM33" s="475"/>
      <c r="AN33" s="475"/>
      <c r="AO33" s="475"/>
      <c r="AP33" s="475"/>
      <c r="AQ33" s="525">
        <v>0</v>
      </c>
    </row>
    <row s="10446" customFormat="1" customHeight="1" ht="1.05">
      <c r="A34" s="1464"/>
      <c r="B34" s="1464"/>
      <c r="C34" s="1464"/>
      <c r="D34" s="1464"/>
      <c r="E34" s="1464"/>
      <c r="F34" s="1464"/>
      <c r="G34" s="1464"/>
      <c r="H34" s="1464"/>
      <c r="I34" s="1464"/>
      <c r="J34" s="1464"/>
      <c r="K34" s="1464"/>
      <c r="L34" s="1465"/>
      <c r="M34" s="1464"/>
      <c r="N34" s="1464"/>
      <c r="O34" s="1464"/>
      <c r="S34" s="431"/>
      <c r="T34" s="431"/>
      <c r="U34" s="1550"/>
      <c r="V34" s="434"/>
      <c r="W34" s="434"/>
      <c r="X34" s="434"/>
      <c r="Y34" s="434"/>
      <c r="Z34" s="434"/>
      <c r="AA34" s="434"/>
      <c r="AB34" s="386" t="s">
        <v>512</v>
      </c>
      <c r="AC34" s="434"/>
      <c r="AD34" s="434"/>
      <c r="AE34" s="434"/>
      <c r="AF34" s="434"/>
      <c r="AG34" s="434"/>
      <c r="AH34" s="434"/>
      <c r="AI34" s="386" t="s">
        <v>512</v>
      </c>
      <c r="AL34" s="475"/>
      <c r="AM34" s="475"/>
      <c r="AN34" s="475"/>
      <c r="AO34" s="475"/>
      <c r="AP34" s="475"/>
      <c r="AQ34" s="525">
        <v>1</v>
      </c>
    </row>
    <row customHeight="1" ht="14.699999999999998">
      <c r="Q35" s="483"/>
      <c r="R35" s="483"/>
      <c r="S35" s="1371"/>
      <c r="T35" s="470"/>
      <c r="U35" s="1340"/>
      <c r="V35" s="3127"/>
      <c r="W35" s="3127"/>
      <c r="X35" s="3127"/>
      <c r="Y35" s="3127"/>
      <c r="Z35" s="3127"/>
      <c r="AA35" s="3127"/>
      <c r="AB35" s="3127"/>
      <c r="AC35" s="3127"/>
      <c r="AD35" s="3127"/>
      <c r="AE35" s="3127"/>
      <c r="AF35" s="3127"/>
      <c r="AG35" s="3127"/>
      <c r="AH35" s="3127"/>
      <c r="AI35" s="3127"/>
      <c r="AQ35" s="1251">
        <v>14</v>
      </c>
    </row>
    <row customHeight="1" ht="14.699999999999998">
      <c r="Q36" s="483"/>
      <c r="R36" s="483"/>
      <c r="S36" s="2978" t="s">
        <v>385</v>
      </c>
      <c r="T36" s="2978"/>
      <c r="U36" s="2978"/>
      <c r="V36" s="2978"/>
      <c r="W36" s="2978"/>
      <c r="X36" s="2978"/>
      <c r="Y36" s="2978"/>
      <c r="Z36" s="2978"/>
      <c r="AA36" s="2978"/>
      <c r="AB36" s="2978"/>
      <c r="AC36" s="2978"/>
      <c r="AD36" s="2978"/>
      <c r="AE36" s="2978"/>
      <c r="AF36" s="2978"/>
      <c r="AG36" s="2978"/>
      <c r="AH36" s="2978"/>
      <c r="AI36" s="2978"/>
      <c r="AJ36" s="2978"/>
      <c r="AK36" s="2978" t="s">
        <v>386</v>
      </c>
      <c r="AQ36" s="1251">
        <v>14</v>
      </c>
    </row>
    <row customHeight="1" ht="14.699999999999998">
      <c r="Q37" s="483"/>
      <c r="R37" s="483"/>
      <c r="S37" s="3128" t="s">
        <v>88</v>
      </c>
      <c r="T37" s="3077" t="s">
        <v>513</v>
      </c>
      <c r="U37" s="409"/>
      <c r="V37" s="3129" t="s">
        <v>514</v>
      </c>
      <c r="W37" s="3130"/>
      <c r="X37" s="3130"/>
      <c r="Y37" s="3130"/>
      <c r="Z37" s="3130"/>
      <c r="AA37" s="3131"/>
      <c r="AB37" s="3132" t="s">
        <v>515</v>
      </c>
      <c r="AC37" s="3129" t="s">
        <v>514</v>
      </c>
      <c r="AD37" s="3130"/>
      <c r="AE37" s="3130"/>
      <c r="AF37" s="3130"/>
      <c r="AG37" s="3130"/>
      <c r="AH37" s="3131"/>
      <c r="AI37" s="3132" t="s">
        <v>516</v>
      </c>
      <c r="AJ37" s="3135" t="s">
        <v>517</v>
      </c>
      <c r="AK37" s="2978"/>
      <c r="AQ37" s="1251">
        <v>14</v>
      </c>
    </row>
    <row customHeight="1" ht="35.699999999999996">
      <c r="Q38" s="483"/>
      <c r="R38" s="483"/>
      <c r="S38" s="3128"/>
      <c r="T38" s="3077"/>
      <c r="U38" s="1131"/>
      <c r="V38" s="1548" t="s">
        <v>574</v>
      </c>
      <c r="W38" s="2959" t="s">
        <v>520</v>
      </c>
      <c r="X38" s="2958"/>
      <c r="Y38" s="2959" t="s">
        <v>521</v>
      </c>
      <c r="Z38" s="2965"/>
      <c r="AA38" s="2958"/>
      <c r="AB38" s="3133"/>
      <c r="AC38" s="1548" t="s">
        <v>574</v>
      </c>
      <c r="AD38" s="2959" t="s">
        <v>520</v>
      </c>
      <c r="AE38" s="2958"/>
      <c r="AF38" s="2959" t="s">
        <v>521</v>
      </c>
      <c r="AG38" s="2965"/>
      <c r="AH38" s="2958"/>
      <c r="AI38" s="3133"/>
      <c r="AJ38" s="3136"/>
      <c r="AK38" s="2978"/>
      <c r="AQ38" s="1251">
        <v>34</v>
      </c>
    </row>
    <row customHeight="1" ht="35.699999999999996">
      <c r="A39" s="1466"/>
      <c r="B39" s="1466" t="s">
        <v>222</v>
      </c>
      <c r="C39" s="1466" t="s">
        <v>223</v>
      </c>
      <c r="D39" s="1466" t="s">
        <v>224</v>
      </c>
      <c r="E39" s="1460" t="s">
        <v>522</v>
      </c>
      <c r="F39" s="1460" t="s">
        <v>523</v>
      </c>
      <c r="G39" s="1460" t="s">
        <v>524</v>
      </c>
      <c r="H39" s="1460"/>
      <c r="I39" s="1460" t="s">
        <v>575</v>
      </c>
      <c r="J39" s="1460" t="s">
        <v>527</v>
      </c>
      <c r="K39" s="1460" t="s">
        <v>576</v>
      </c>
      <c r="L39" s="1460" t="s">
        <v>503</v>
      </c>
      <c r="Q39" s="483"/>
      <c r="R39" s="483"/>
      <c r="S39" s="3128"/>
      <c r="T39" s="3077"/>
      <c r="U39" s="410"/>
      <c r="V39" s="1548" t="s">
        <v>577</v>
      </c>
      <c r="W39" s="1318" t="s">
        <v>578</v>
      </c>
      <c r="X39" s="1318" t="s">
        <v>579</v>
      </c>
      <c r="Y39" s="1551" t="s">
        <v>531</v>
      </c>
      <c r="Z39" s="3082" t="s">
        <v>532</v>
      </c>
      <c r="AA39" s="3095"/>
      <c r="AB39" s="3134"/>
      <c r="AC39" s="1548" t="s">
        <v>577</v>
      </c>
      <c r="AD39" s="1318" t="s">
        <v>578</v>
      </c>
      <c r="AE39" s="1318" t="s">
        <v>579</v>
      </c>
      <c r="AF39" s="1551" t="s">
        <v>531</v>
      </c>
      <c r="AG39" s="3082" t="s">
        <v>532</v>
      </c>
      <c r="AH39" s="3095"/>
      <c r="AI39" s="3134"/>
      <c r="AJ39" s="3137"/>
      <c r="AK39" s="2978"/>
      <c r="AQ39" s="1251">
        <v>34</v>
      </c>
    </row>
    <row s="10851" customFormat="1" customHeight="1" ht="14.25" hidden="1">
      <c r="A40" s="1466"/>
      <c r="B40" s="1466"/>
      <c r="C40" s="1466"/>
      <c r="D40" s="1466"/>
      <c r="E40" s="1466"/>
      <c r="F40" s="1466"/>
      <c r="G40" s="1466"/>
      <c r="H40" s="1466"/>
      <c r="I40" s="1466"/>
      <c r="J40" s="1466"/>
      <c r="K40" s="1466"/>
      <c r="L40" s="1460"/>
      <c r="M40" s="1458"/>
      <c r="N40" s="1458"/>
      <c r="O40" s="1458"/>
      <c r="P40" s="1342"/>
      <c r="Q40" s="1343"/>
      <c r="R40" s="1350">
        <v>1</v>
      </c>
      <c r="S40" s="1373" t="s">
        <v>144</v>
      </c>
      <c r="T40" s="1351" t="s">
        <v>102</v>
      </c>
      <c r="U40" s="1341" t="str">
        <f>OFFSET(U40,0,-1)</f>
        <v>2</v>
      </c>
      <c r="V40" s="1547">
        <f>OFFSET(V40,0,-1)+1</f>
        <v>3</v>
      </c>
      <c r="W40" s="1547">
        <f>OFFSET(W40,0,-1)+1</f>
        <v>4</v>
      </c>
      <c r="X40" s="1547">
        <f>OFFSET(X40,0,-1)+1</f>
        <v>5</v>
      </c>
      <c r="Y40" s="1547">
        <f>OFFSET(Y40,0,-1)+1</f>
        <v>6</v>
      </c>
      <c r="Z40" s="3126">
        <f>OFFSET(Z40,0,-1)+1</f>
        <v>7</v>
      </c>
      <c r="AA40" s="3126"/>
      <c r="AB40" s="1547">
        <f>OFFSET(AB40,0,-2)+1</f>
        <v>8</v>
      </c>
      <c r="AC40" s="1547">
        <f>OFFSET(AC40,0,-1)+1</f>
        <v>9</v>
      </c>
      <c r="AD40" s="1547">
        <f>OFFSET(AD40,0,-1)+1</f>
        <v>10</v>
      </c>
      <c r="AE40" s="1547">
        <f>OFFSET(AE40,0,-1)+1</f>
        <v>11</v>
      </c>
      <c r="AF40" s="1547">
        <f>OFFSET(AF40,0,-1)+1</f>
        <v>12</v>
      </c>
      <c r="AG40" s="3126">
        <f>OFFSET(AG40,0,-1)+1</f>
        <v>13</v>
      </c>
      <c r="AH40" s="3126"/>
      <c r="AI40" s="1547">
        <f>OFFSET(AI40,0,-2)+1</f>
        <v>14</v>
      </c>
      <c r="AJ40" s="1341">
        <f>OFFSET(AJ40,0,-1)</f>
        <v>14</v>
      </c>
      <c r="AK40" s="1547">
        <f>OFFSET(AK40,0,-1)+1</f>
        <v>15</v>
      </c>
      <c r="AL40" s="618"/>
      <c r="AM40" s="618"/>
      <c r="AN40" s="618"/>
      <c r="AO40" s="618"/>
      <c r="AP40" s="618"/>
      <c r="AQ40" s="603">
        <v>0</v>
      </c>
    </row>
    <row customHeight="1" ht="24">
      <c r="A41" s="1459" t="s">
        <v>321</v>
      </c>
      <c r="B41" s="1459"/>
      <c r="C41" s="1459"/>
      <c r="D41" s="1459"/>
      <c r="E41" s="3115">
        <v>1</v>
      </c>
      <c r="F41" s="1459"/>
      <c r="G41" s="1459"/>
      <c r="H41" s="1459"/>
      <c r="I41" s="1459"/>
      <c r="J41" s="1459"/>
      <c r="K41" s="1459"/>
      <c r="L41" s="1460"/>
      <c r="M41" s="1461"/>
      <c r="N41" s="1461"/>
      <c r="O41" s="1461"/>
      <c r="P41" s="468"/>
      <c r="Q41" s="467"/>
      <c r="R41" s="462"/>
      <c r="S41" s="1553">
        <f>INDEX(PT_DIFFERENTIATION_NUM_NTAR,MATCH(A41,PT_DIFFERENTIATION_NTAR_ID,0))</f>
        <v>0</v>
      </c>
      <c r="T41" s="406" t="s">
        <v>210</v>
      </c>
      <c r="U41" s="408"/>
      <c r="V41" s="3109"/>
      <c r="W41" s="3110"/>
      <c r="X41" s="3110"/>
      <c r="Y41" s="3110"/>
      <c r="Z41" s="3110"/>
      <c r="AA41" s="3110"/>
      <c r="AB41" s="3111"/>
      <c r="AC41" s="3109" t="str">
        <f>INDEX(PT_DIFFERENTIATION_NTAR,MATCH(A41,PT_DIFFERENTIATION_NTAR_ID,0))</f>
        <v/>
      </c>
      <c r="AD41" s="3110"/>
      <c r="AE41" s="3110"/>
      <c r="AF41" s="3110"/>
      <c r="AG41" s="3110"/>
      <c r="AH41" s="3110"/>
      <c r="AI41" s="3110"/>
      <c r="AJ41" s="3111"/>
      <c r="AK41"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7"/>
      <c r="AN41" s="607" t="str">
        <f>IF(T41="","",T41)</f>
        <v>Наименование тарифа</v>
      </c>
      <c r="AO41" s="607"/>
      <c r="AP41" s="607"/>
      <c r="AQ41" s="1251">
        <v>23</v>
      </c>
    </row>
    <row customHeight="1" ht="24">
      <c r="A42" s="1459" t="s">
        <v>321</v>
      </c>
      <c r="B42" s="1459" t="s">
        <v>322</v>
      </c>
      <c r="C42" s="1459"/>
      <c r="D42" s="1459"/>
      <c r="E42" s="3116"/>
      <c r="F42" s="3115">
        <v>1</v>
      </c>
      <c r="G42" s="1459"/>
      <c r="H42" s="1459"/>
      <c r="I42" s="1459"/>
      <c r="J42" s="1459"/>
      <c r="K42" s="1459"/>
      <c r="L42" s="1460"/>
      <c r="M42" s="1461"/>
      <c r="N42" s="1461"/>
      <c r="O42" s="1461"/>
      <c r="P42" s="1549"/>
      <c r="Q42" s="459"/>
      <c r="R42" s="460"/>
      <c r="S42" s="1553" t="str">
        <f>INDEX(PT_DIFFERENTIATION_NUM_TER,MATCH(B42,PT_DIFFERENTIATION_TER_ID,0))</f>
        <v>.</v>
      </c>
      <c r="T42" s="416" t="s">
        <v>482</v>
      </c>
      <c r="U42" s="408"/>
      <c r="V42" s="3109"/>
      <c r="W42" s="3110"/>
      <c r="X42" s="3110"/>
      <c r="Y42" s="3110"/>
      <c r="Z42" s="3110"/>
      <c r="AA42" s="3110"/>
      <c r="AB42" s="3111"/>
      <c r="AC42" s="3109" t="str">
        <f>INDEX(PT_DIFFERENTIATION_TER,MATCH(B42,PT_DIFFERENTIATION_TER_ID,0))</f>
        <v/>
      </c>
      <c r="AD42" s="3110"/>
      <c r="AE42" s="3110"/>
      <c r="AF42" s="3110"/>
      <c r="AG42" s="3110"/>
      <c r="AH42" s="3110"/>
      <c r="AI42" s="3110"/>
      <c r="AJ42" s="3111"/>
      <c r="AK42" s="1354" t="s">
        <v>483</v>
      </c>
      <c r="AM42" s="607"/>
      <c r="AN42" s="607" t="str">
        <f>IF(T42="","",T42)</f>
        <v>Территория действия тарифа</v>
      </c>
      <c r="AO42" s="607"/>
      <c r="AP42" s="607"/>
      <c r="AQ42" s="1251">
        <v>23</v>
      </c>
    </row>
    <row customHeight="1" ht="24">
      <c r="A43" s="1459" t="s">
        <v>321</v>
      </c>
      <c r="B43" s="1459" t="s">
        <v>322</v>
      </c>
      <c r="C43" s="1459" t="s">
        <v>323</v>
      </c>
      <c r="D43" s="1459"/>
      <c r="E43" s="3116"/>
      <c r="F43" s="3116"/>
      <c r="G43" s="3115">
        <v>1</v>
      </c>
      <c r="H43" s="1459"/>
      <c r="I43" s="1459"/>
      <c r="J43" s="1459"/>
      <c r="K43" s="1459"/>
      <c r="L43" s="1460"/>
      <c r="M43" s="1461"/>
      <c r="N43" s="1461"/>
      <c r="O43" s="1461"/>
      <c r="P43" s="461"/>
      <c r="Q43" s="459"/>
      <c r="R43" s="460"/>
      <c r="S43" s="1553" t="str">
        <f>INDEX(PT_DIFFERENTIATION_NUM_CS,MATCH(C43,PT_DIFFERENTIATION_CS_ID,0))</f>
        <v>..</v>
      </c>
      <c r="T43" s="417" t="s">
        <v>566</v>
      </c>
      <c r="U43" s="408"/>
      <c r="V43" s="3109"/>
      <c r="W43" s="3110"/>
      <c r="X43" s="3110"/>
      <c r="Y43" s="3110"/>
      <c r="Z43" s="3110"/>
      <c r="AA43" s="3110"/>
      <c r="AB43" s="3111"/>
      <c r="AC43" s="3109" t="str">
        <f>INDEX(PT_DIFFERENTIATION_CS,MATCH(C43,PT_DIFFERENTIATION_CS_ID,0))</f>
        <v/>
      </c>
      <c r="AD43" s="3110"/>
      <c r="AE43" s="3110"/>
      <c r="AF43" s="3110"/>
      <c r="AG43" s="3110"/>
      <c r="AH43" s="3110"/>
      <c r="AI43" s="3110"/>
      <c r="AJ43" s="3111"/>
      <c r="AK43" s="1354" t="s">
        <v>567</v>
      </c>
      <c r="AM43" s="607"/>
      <c r="AN43" s="607" t="str">
        <f>IF(T43="","",T43)</f>
        <v>Наименование централизованной системы холодного водоснабжения</v>
      </c>
      <c r="AO43" s="607"/>
      <c r="AP43" s="607"/>
      <c r="AQ43" s="1251">
        <v>23</v>
      </c>
    </row>
    <row customHeight="1" ht="24">
      <c r="A44" s="1459" t="s">
        <v>321</v>
      </c>
      <c r="B44" s="1459" t="s">
        <v>322</v>
      </c>
      <c r="C44" s="1459" t="s">
        <v>323</v>
      </c>
      <c r="D44" s="1459" t="s">
        <v>582</v>
      </c>
      <c r="E44" s="3116"/>
      <c r="F44" s="3116"/>
      <c r="G44" s="3116"/>
      <c r="H44" s="3116"/>
      <c r="I44" s="3117" t="str">
        <f>S43&amp;".1"</f>
        <v>...1</v>
      </c>
      <c r="J44" s="1459"/>
      <c r="K44" s="1459"/>
      <c r="L44" s="1460"/>
      <c r="P44" s="3119">
        <v>1</v>
      </c>
      <c r="Q44" s="1546"/>
      <c r="R44" s="463"/>
      <c r="S44" s="1553" t="str">
        <f>$I44</f>
        <v>...1</v>
      </c>
      <c r="T44" s="393" t="s">
        <v>568</v>
      </c>
      <c r="U44" s="408"/>
      <c r="V44" s="3183"/>
      <c r="W44" s="3184"/>
      <c r="X44" s="3184"/>
      <c r="Y44" s="3184"/>
      <c r="Z44" s="3184"/>
      <c r="AA44" s="3184"/>
      <c r="AB44" s="3185"/>
      <c r="AC44" s="3186"/>
      <c r="AD44" s="3187"/>
      <c r="AE44" s="3187"/>
      <c r="AF44" s="3187"/>
      <c r="AG44" s="3187"/>
      <c r="AH44" s="3187"/>
      <c r="AI44" s="3187"/>
      <c r="AJ44" s="3188"/>
      <c r="AK44" s="1354" t="s">
        <v>569</v>
      </c>
      <c r="AM44" s="607"/>
      <c r="AN44" s="607" t="str">
        <f>IF(T44="","",T44)</f>
        <v>Наименование признака дифференциации</v>
      </c>
      <c r="AO44" s="607"/>
      <c r="AP44" s="607"/>
      <c r="AQ44" s="1251">
        <v>23</v>
      </c>
    </row>
    <row customHeight="1" ht="24">
      <c r="A45" s="1459" t="s">
        <v>321</v>
      </c>
      <c r="B45" s="1459" t="s">
        <v>322</v>
      </c>
      <c r="C45" s="1459" t="s">
        <v>323</v>
      </c>
      <c r="D45" s="1459" t="s">
        <v>582</v>
      </c>
      <c r="E45" s="3116"/>
      <c r="F45" s="3116"/>
      <c r="G45" s="3116"/>
      <c r="H45" s="3116"/>
      <c r="I45" s="3118"/>
      <c r="J45" s="3117" t="str">
        <f>I44&amp;".1"</f>
        <v>...1.1</v>
      </c>
      <c r="K45" s="1459"/>
      <c r="L45" s="1460" t="s">
        <v>491</v>
      </c>
      <c r="P45" s="3119"/>
      <c r="Q45" s="3119">
        <v>1</v>
      </c>
      <c r="R45" s="464"/>
      <c r="S45" s="1553" t="str">
        <f>$J45</f>
        <v>...1.1</v>
      </c>
      <c r="T45" s="394" t="s">
        <v>492</v>
      </c>
      <c r="U45" s="408"/>
      <c r="V45" s="3103"/>
      <c r="W45" s="3104"/>
      <c r="X45" s="3104"/>
      <c r="Y45" s="3104"/>
      <c r="Z45" s="3104"/>
      <c r="AA45" s="3104"/>
      <c r="AB45" s="3105"/>
      <c r="AC45" s="3103"/>
      <c r="AD45" s="3104"/>
      <c r="AE45" s="3104"/>
      <c r="AF45" s="3104"/>
      <c r="AG45" s="3104"/>
      <c r="AH45" s="3104"/>
      <c r="AI45" s="3104"/>
      <c r="AJ45" s="3105"/>
      <c r="AK45" s="1403" t="s">
        <v>570</v>
      </c>
      <c r="AM45" s="607"/>
      <c r="AN45" s="607" t="str">
        <f>IF(T45="","",T45)</f>
        <v>Группа потребителей</v>
      </c>
      <c r="AO45" s="607"/>
      <c r="AP45" s="607"/>
      <c r="AQ45" s="1251">
        <v>23</v>
      </c>
    </row>
    <row customHeight="1" ht="24">
      <c r="A46" s="1459" t="s">
        <v>321</v>
      </c>
      <c r="B46" s="1459" t="s">
        <v>322</v>
      </c>
      <c r="C46" s="1459" t="s">
        <v>323</v>
      </c>
      <c r="D46" s="1459" t="s">
        <v>582</v>
      </c>
      <c r="E46" s="3116"/>
      <c r="F46" s="3116"/>
      <c r="G46" s="3116"/>
      <c r="H46" s="3116"/>
      <c r="I46" s="3118"/>
      <c r="J46" s="3118"/>
      <c r="K46" s="3117" t="str">
        <f>J45&amp;".1"</f>
        <v>...1.1.1</v>
      </c>
      <c r="L46" s="1460"/>
      <c r="P46" s="3119"/>
      <c r="Q46" s="3119"/>
      <c r="R46" s="464">
        <v>1</v>
      </c>
      <c r="S46" s="1553" t="str">
        <f>$K46</f>
        <v>...1.1.1</v>
      </c>
      <c r="T46" s="1533"/>
      <c r="U46" s="408"/>
      <c r="V46" s="858"/>
      <c r="W46" s="858"/>
      <c r="X46" s="1353"/>
      <c r="Y46" s="3120"/>
      <c r="Z46" s="2989" t="s">
        <v>62</v>
      </c>
      <c r="AA46" s="3120"/>
      <c r="AB46" s="2989" t="s">
        <v>62</v>
      </c>
      <c r="AC46" s="858"/>
      <c r="AD46" s="858"/>
      <c r="AE46" s="1353"/>
      <c r="AF46" s="3120"/>
      <c r="AG46" s="2989" t="s">
        <v>62</v>
      </c>
      <c r="AH46" s="3122"/>
      <c r="AI46" s="2989" t="s">
        <v>62</v>
      </c>
      <c r="AJ46" s="1534"/>
      <c r="AK46"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8">
        <f>STRCHECKDATE(V47:AJ47)</f>
      </c>
      <c r="AM46" s="607"/>
      <c r="AN46" s="607" t="str">
        <f>IF(T46="","",T46)</f>
        <v/>
      </c>
      <c r="AO46" s="607"/>
      <c r="AP46" s="607"/>
      <c r="AQ46" s="1251">
        <v>23</v>
      </c>
    </row>
    <row customHeight="1" ht="14.25" hidden="1">
      <c r="A47" s="1459" t="s">
        <v>321</v>
      </c>
      <c r="B47" s="1459" t="s">
        <v>322</v>
      </c>
      <c r="C47" s="1459" t="s">
        <v>323</v>
      </c>
      <c r="D47" s="1459" t="s">
        <v>582</v>
      </c>
      <c r="E47" s="3116"/>
      <c r="F47" s="3116"/>
      <c r="G47" s="3116"/>
      <c r="H47" s="3116"/>
      <c r="I47" s="3118"/>
      <c r="J47" s="3118"/>
      <c r="K47" s="3117"/>
      <c r="L47" s="1460"/>
      <c r="P47" s="3119"/>
      <c r="Q47" s="3119"/>
      <c r="R47" s="464"/>
      <c r="S47" s="1552"/>
      <c r="T47" s="408"/>
      <c r="U47" s="408"/>
      <c r="V47" s="433"/>
      <c r="W47" s="433"/>
      <c r="X47" s="436" t="str">
        <f>Y46&amp;"-"&amp;AA46</f>
        <v>-</v>
      </c>
      <c r="Y47" s="3121"/>
      <c r="Z47" s="2989"/>
      <c r="AA47" s="3121"/>
      <c r="AB47" s="2989"/>
      <c r="AC47" s="433"/>
      <c r="AD47" s="433"/>
      <c r="AE47" s="436" t="str">
        <f>AF46&amp;"-"&amp;AH46</f>
        <v>-</v>
      </c>
      <c r="AF47" s="3121"/>
      <c r="AG47" s="2989"/>
      <c r="AH47" s="3123"/>
      <c r="AI47" s="2989"/>
      <c r="AJ47" s="1535"/>
      <c r="AK47" s="3189"/>
      <c r="AM47" s="607"/>
      <c r="AN47" s="607" t="str">
        <f>IF(T47="","",T47)</f>
        <v/>
      </c>
      <c r="AO47" s="607"/>
      <c r="AP47" s="607"/>
      <c r="AQ47" s="1251">
        <v>0</v>
      </c>
    </row>
    <row customHeight="1" ht="21">
      <c r="A48" s="1459" t="s">
        <v>321</v>
      </c>
      <c r="B48" s="1459" t="s">
        <v>322</v>
      </c>
      <c r="C48" s="1459" t="s">
        <v>323</v>
      </c>
      <c r="D48" s="1459" t="s">
        <v>582</v>
      </c>
      <c r="E48" s="3116"/>
      <c r="F48" s="3116"/>
      <c r="G48" s="3116"/>
      <c r="H48" s="3116"/>
      <c r="I48" s="3118"/>
      <c r="J48" s="3117"/>
      <c r="K48" s="1459"/>
      <c r="L48" s="1460"/>
      <c r="P48" s="3119"/>
      <c r="Q48" s="3119"/>
      <c r="R48" s="463"/>
      <c r="S48" s="1374"/>
      <c r="T48" s="395" t="s">
        <v>571</v>
      </c>
      <c r="U48" s="474"/>
      <c r="V48" s="474"/>
      <c r="W48" s="474"/>
      <c r="X48" s="474"/>
      <c r="Y48" s="474"/>
      <c r="Z48" s="474"/>
      <c r="AA48" s="474"/>
      <c r="AB48" s="474"/>
      <c r="AC48" s="474"/>
      <c r="AD48" s="474"/>
      <c r="AE48" s="474"/>
      <c r="AF48" s="474"/>
      <c r="AG48" s="474"/>
      <c r="AH48" s="474"/>
      <c r="AI48" s="474"/>
      <c r="AJ48" s="474"/>
      <c r="AK48" s="1354" t="s">
        <v>572</v>
      </c>
      <c r="AM48" s="607"/>
      <c r="AN48" s="607" t="str">
        <f>IF(T48="","",T48)</f>
        <v>Добавить значение признака дифференциации</v>
      </c>
      <c r="AO48" s="607"/>
      <c r="AP48" s="607"/>
      <c r="AQ48" s="1251">
        <v>20</v>
      </c>
    </row>
    <row customHeight="1" ht="22.049999999999997">
      <c r="A49" s="1459" t="s">
        <v>321</v>
      </c>
      <c r="B49" s="1459" t="s">
        <v>322</v>
      </c>
      <c r="C49" s="1459" t="s">
        <v>323</v>
      </c>
      <c r="D49" s="1459" t="s">
        <v>582</v>
      </c>
      <c r="E49" s="3116"/>
      <c r="F49" s="3116"/>
      <c r="G49" s="3116"/>
      <c r="H49" s="3116"/>
      <c r="I49" s="3117"/>
      <c r="J49" s="1459"/>
      <c r="K49" s="1459"/>
      <c r="L49" s="1460"/>
      <c r="P49" s="3119"/>
      <c r="Q49" s="1546"/>
      <c r="R49" s="463"/>
      <c r="S49" s="1374"/>
      <c r="T49" s="472" t="s">
        <v>497</v>
      </c>
      <c r="U49" s="474"/>
      <c r="V49" s="474"/>
      <c r="W49" s="474"/>
      <c r="X49" s="474"/>
      <c r="Y49" s="474"/>
      <c r="Z49" s="474"/>
      <c r="AA49" s="474"/>
      <c r="AB49" s="473"/>
      <c r="AC49" s="474"/>
      <c r="AD49" s="474"/>
      <c r="AE49" s="474"/>
      <c r="AF49" s="474"/>
      <c r="AG49" s="474"/>
      <c r="AH49" s="474"/>
      <c r="AI49" s="473"/>
      <c r="AJ49" s="474"/>
      <c r="AK49" s="1536"/>
      <c r="AM49" s="607"/>
      <c r="AN49" s="607" t="str">
        <f>IF(T49="","",T49)</f>
        <v>Добавить группу потребителей</v>
      </c>
      <c r="AO49" s="607"/>
      <c r="AP49" s="607"/>
      <c r="AQ49" s="1251">
        <v>21</v>
      </c>
    </row>
    <row customHeight="1" ht="22.049999999999997">
      <c r="A50" s="1459" t="s">
        <v>321</v>
      </c>
      <c r="B50" s="1459" t="s">
        <v>322</v>
      </c>
      <c r="C50" s="1459" t="s">
        <v>323</v>
      </c>
      <c r="D50" s="1459" t="s">
        <v>582</v>
      </c>
      <c r="E50" s="3116"/>
      <c r="F50" s="3116"/>
      <c r="G50" s="3116"/>
      <c r="H50" s="3115"/>
      <c r="I50" s="1459"/>
      <c r="J50" s="1459"/>
      <c r="K50" s="1459"/>
      <c r="L50" s="1460"/>
      <c r="M50" s="1461"/>
      <c r="N50" s="1461"/>
      <c r="O50" s="644"/>
      <c r="P50" s="467"/>
      <c r="Q50" s="482"/>
      <c r="R50" s="462"/>
      <c r="S50" s="1374"/>
      <c r="T50" s="479" t="s">
        <v>573</v>
      </c>
      <c r="U50" s="474"/>
      <c r="V50" s="474"/>
      <c r="W50" s="474"/>
      <c r="X50" s="474"/>
      <c r="Y50" s="474"/>
      <c r="Z50" s="474"/>
      <c r="AA50" s="474"/>
      <c r="AB50" s="473"/>
      <c r="AC50" s="474"/>
      <c r="AD50" s="474"/>
      <c r="AE50" s="474"/>
      <c r="AF50" s="474"/>
      <c r="AG50" s="474"/>
      <c r="AH50" s="474"/>
      <c r="AI50" s="473"/>
      <c r="AJ50" s="474"/>
      <c r="AK50" s="411"/>
      <c r="AM50" s="607"/>
      <c r="AN50" s="607" t="str">
        <f>IF(T50="","",T50)</f>
        <v>Добавить наименование признака дифференциации</v>
      </c>
      <c r="AO50" s="607"/>
      <c r="AP50" s="607"/>
      <c r="AQ50" s="1251">
        <v>21</v>
      </c>
    </row>
    <row s="10307" customFormat="1" customHeight="1" ht="14.25" hidden="1">
      <c r="A51" s="1439" t="s">
        <v>321</v>
      </c>
      <c r="B51" s="1439" t="s">
        <v>322</v>
      </c>
      <c r="C51" s="1410"/>
      <c r="D51" s="1410"/>
      <c r="E51" s="3116"/>
      <c r="F51" s="3115"/>
      <c r="G51" s="1410"/>
      <c r="H51" s="1410"/>
      <c r="I51" s="1410"/>
      <c r="J51" s="1410"/>
      <c r="K51" s="1410"/>
      <c r="L51" s="1554"/>
      <c r="M51" s="1417"/>
      <c r="N51" s="1417"/>
      <c r="P51" s="1412"/>
      <c r="Q51" s="1413"/>
      <c r="R51" s="1412"/>
      <c r="S51" s="1418"/>
      <c r="T51" s="1421" t="s">
        <v>500</v>
      </c>
      <c r="U51" s="1420"/>
      <c r="V51" s="1420"/>
      <c r="W51" s="1420"/>
      <c r="X51" s="1420"/>
      <c r="Y51" s="1420"/>
      <c r="Z51" s="1420"/>
      <c r="AA51" s="1420"/>
      <c r="AB51" s="1420"/>
      <c r="AC51" s="1420"/>
      <c r="AD51" s="1420"/>
      <c r="AE51" s="1420"/>
      <c r="AF51" s="1420"/>
      <c r="AG51" s="1420"/>
      <c r="AH51" s="1420"/>
      <c r="AI51" s="1420"/>
      <c r="AJ51" s="1420"/>
      <c r="AK51" s="1420"/>
      <c r="AM51" s="890"/>
      <c r="AN51" s="890" t="str">
        <f>IF(T51="","",T51)</f>
        <v>Добавить централизованную систему для дифференциации</v>
      </c>
      <c r="AO51" s="890"/>
      <c r="AP51" s="890"/>
      <c r="AQ51" s="625">
        <v>0</v>
      </c>
    </row>
    <row s="10307" customFormat="1" customHeight="1" ht="14.25" hidden="1">
      <c r="A52" s="1439" t="s">
        <v>321</v>
      </c>
      <c r="B52" s="1439"/>
      <c r="C52" s="1439"/>
      <c r="D52" s="1439"/>
      <c r="E52" s="3115"/>
      <c r="F52" s="1439"/>
      <c r="G52" s="1439"/>
      <c r="H52" s="1439"/>
      <c r="I52" s="1439"/>
      <c r="J52" s="1439"/>
      <c r="K52" s="1439"/>
      <c r="L52" s="1442"/>
      <c r="M52" s="1417"/>
      <c r="N52" s="1417"/>
      <c r="O52" s="625"/>
      <c r="P52" s="487"/>
      <c r="Q52" s="1440"/>
      <c r="R52" s="487"/>
      <c r="S52" s="1418"/>
      <c r="T52" s="1421" t="s">
        <v>501</v>
      </c>
      <c r="U52" s="1420"/>
      <c r="V52" s="1420"/>
      <c r="W52" s="1420"/>
      <c r="X52" s="1420"/>
      <c r="Y52" s="1420"/>
      <c r="Z52" s="1420"/>
      <c r="AA52" s="1420"/>
      <c r="AB52" s="1420"/>
      <c r="AC52" s="1420"/>
      <c r="AD52" s="1420"/>
      <c r="AE52" s="1420"/>
      <c r="AF52" s="1420"/>
      <c r="AG52" s="1420"/>
      <c r="AH52" s="1420"/>
      <c r="AI52" s="1420"/>
      <c r="AJ52" s="1420"/>
      <c r="AK52" s="1420"/>
      <c r="AM52" s="607"/>
      <c r="AN52" s="607" t="str">
        <f>IF(T52="","",T52)</f>
        <v>Добавить территорию для дифференциации</v>
      </c>
      <c r="AO52" s="607"/>
      <c r="AP52" s="607"/>
      <c r="AQ52" s="618">
        <v>0</v>
      </c>
    </row>
    <row s="10307" customFormat="1" customHeight="1" ht="14.25" hidden="1">
      <c r="A53" s="1410"/>
      <c r="B53" s="1410"/>
      <c r="C53" s="1410"/>
      <c r="D53" s="1410"/>
      <c r="E53" s="1439"/>
      <c r="F53" s="1410"/>
      <c r="G53" s="1410"/>
      <c r="H53" s="1410"/>
      <c r="I53" s="1410"/>
      <c r="J53" s="1410"/>
      <c r="K53" s="1410"/>
      <c r="L53" s="1554"/>
      <c r="M53" s="1417"/>
      <c r="N53" s="1417"/>
      <c r="P53" s="1412"/>
      <c r="Q53" s="1413"/>
      <c r="R53" s="1412"/>
      <c r="S53" s="1418"/>
      <c r="T53" s="1421" t="s">
        <v>533</v>
      </c>
      <c r="U53" s="1420"/>
      <c r="V53" s="1420"/>
      <c r="W53" s="1420"/>
      <c r="X53" s="1420"/>
      <c r="Y53" s="1420"/>
      <c r="Z53" s="1420"/>
      <c r="AA53" s="1420"/>
      <c r="AB53" s="1420"/>
      <c r="AC53" s="1420"/>
      <c r="AD53" s="1420"/>
      <c r="AE53" s="1420"/>
      <c r="AF53" s="1420"/>
      <c r="AG53" s="1420"/>
      <c r="AH53" s="1420"/>
      <c r="AI53" s="1420"/>
      <c r="AJ53" s="1420"/>
      <c r="AK53" s="1420"/>
      <c r="AM53" s="890"/>
      <c r="AN53" s="890" t="str">
        <f>IF(T53="","",T53)</f>
        <v>Добавить наименование тарифа</v>
      </c>
      <c r="AO53" s="890"/>
      <c r="AP53" s="890"/>
      <c r="AQ53" s="625">
        <v>0</v>
      </c>
    </row>
    <row customHeight="1" ht="11.549999999999999">
      <c r="M54" s="1256"/>
      <c r="N54" s="1256"/>
      <c r="O54" s="644"/>
      <c r="P54" s="1251"/>
      <c r="Q54" s="1251"/>
      <c r="R54" s="1251"/>
      <c r="S54" s="1251"/>
      <c r="AL54" s="1251"/>
      <c r="AM54" s="1251"/>
      <c r="AN54" s="1251"/>
      <c r="AO54" s="1251"/>
      <c r="AP54" s="1251"/>
      <c r="AQ54" s="1251">
        <v>11</v>
      </c>
    </row>
    <row customHeight="1" ht="14.699999999999998">
      <c r="O55" s="644"/>
      <c r="S55" s="1349"/>
      <c r="T55" s="3114"/>
      <c r="U55" s="3114"/>
      <c r="V55" s="3114"/>
      <c r="W55" s="3114"/>
      <c r="X55" s="3114"/>
      <c r="Y55" s="3114"/>
      <c r="Z55" s="3114"/>
      <c r="AA55" s="3114"/>
      <c r="AB55" s="3114"/>
      <c r="AC55" s="3114"/>
      <c r="AD55" s="3114"/>
      <c r="AE55" s="3114"/>
      <c r="AF55" s="3114"/>
      <c r="AG55" s="3114"/>
      <c r="AH55" s="3114"/>
      <c r="AI55" s="3114"/>
      <c r="AJ55" s="3114"/>
      <c r="AK55" s="3114"/>
      <c r="AQ55" s="1251">
        <v>14</v>
      </c>
    </row>
    <row customHeight="1" ht="14.699999999999998">
      <c r="O56" s="644"/>
      <c r="AQ56" s="1251">
        <v>14</v>
      </c>
    </row>
    <row customHeight="1" ht="14.699999999999998">
      <c r="O57" s="644"/>
      <c r="S57" s="1349"/>
      <c r="T57" s="3114"/>
      <c r="U57" s="3114"/>
      <c r="V57" s="3114"/>
      <c r="W57" s="3114"/>
      <c r="X57" s="3114"/>
      <c r="Y57" s="3114"/>
      <c r="Z57" s="3114"/>
      <c r="AA57" s="3114"/>
      <c r="AB57" s="3114"/>
      <c r="AC57" s="3114"/>
      <c r="AD57" s="3114"/>
      <c r="AE57" s="3114"/>
      <c r="AF57" s="3114"/>
      <c r="AG57" s="3114"/>
      <c r="AH57" s="3114"/>
      <c r="AI57" s="3114"/>
      <c r="AJ57" s="3114"/>
      <c r="AK57" s="3114"/>
      <c r="AQ57" s="1251">
        <v>14</v>
      </c>
    </row>
    <row customHeight="1" ht="22.5" hidden="1">
      <c r="A58" s="1256" t="s">
        <v>82</v>
      </c>
      <c r="B58" s="1256">
        <v>0</v>
      </c>
      <c r="C58" s="1256">
        <v>0</v>
      </c>
      <c r="D58" s="1256">
        <v>0</v>
      </c>
      <c r="E58" s="1256">
        <v>0</v>
      </c>
      <c r="F58" s="1256">
        <v>0</v>
      </c>
      <c r="G58" s="1256">
        <v>0</v>
      </c>
      <c r="H58" s="1256">
        <v>0</v>
      </c>
      <c r="I58" s="1256">
        <v>0</v>
      </c>
      <c r="J58" s="1256">
        <v>0</v>
      </c>
      <c r="K58" s="1256">
        <v>0</v>
      </c>
      <c r="L58" s="1543">
        <v>0</v>
      </c>
      <c r="M58" s="1458">
        <v>0</v>
      </c>
      <c r="N58" s="1458">
        <v>0</v>
      </c>
      <c r="O58" s="1458">
        <v>0</v>
      </c>
      <c r="P58" s="1542">
        <v>3</v>
      </c>
      <c r="Q58" s="452">
        <v>3</v>
      </c>
      <c r="R58" s="452">
        <v>3</v>
      </c>
      <c r="S58" s="688">
        <v>12</v>
      </c>
      <c r="T58" s="1251">
        <v>35</v>
      </c>
      <c r="U58" s="1251">
        <v>0</v>
      </c>
      <c r="V58" s="1251">
        <v>0</v>
      </c>
      <c r="W58" s="1251">
        <v>0</v>
      </c>
      <c r="X58" s="1251">
        <v>0</v>
      </c>
      <c r="Y58" s="1251">
        <v>0</v>
      </c>
      <c r="Z58" s="1251">
        <v>0</v>
      </c>
      <c r="AA58" s="1251">
        <v>0</v>
      </c>
      <c r="AB58" s="1251">
        <v>0</v>
      </c>
      <c r="AC58" s="1251">
        <v>24</v>
      </c>
      <c r="AD58" s="1251">
        <v>24</v>
      </c>
      <c r="AE58" s="1251">
        <v>24</v>
      </c>
      <c r="AF58" s="1251">
        <v>11</v>
      </c>
      <c r="AG58" s="1251">
        <v>3</v>
      </c>
      <c r="AH58" s="1251">
        <v>11</v>
      </c>
      <c r="AI58" s="1251">
        <v>0</v>
      </c>
      <c r="AJ58" s="1251">
        <v>4</v>
      </c>
      <c r="AK58" s="1251">
        <v>115</v>
      </c>
      <c r="AL58" s="618">
        <v>10</v>
      </c>
      <c r="AM58" s="618">
        <v>10</v>
      </c>
      <c r="AN58" s="618">
        <v>10</v>
      </c>
      <c r="AO58" s="618">
        <v>10</v>
      </c>
      <c r="AP58" s="618">
        <v>10</v>
      </c>
      <c r="AQ58" s="125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974DC-F983-8655-62CC-03BDE1D9CB8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4.140625" hidden="1" customWidth="1"/>
    <col min="10" max="10" style="10306" width="9.8515625" hidden="1" customWidth="1"/>
    <col min="11" max="11" style="10306" width="14.7109375" hidden="1" customWidth="1"/>
    <col min="12" max="12" style="11079" width="19.140625" hidden="1" customWidth="1"/>
    <col min="13" max="14" style="11080" width="12.28125" hidden="1" customWidth="1"/>
    <col min="15" max="15" style="11080" width="23.421875" hidden="1" customWidth="1"/>
    <col min="16" max="16" style="11081" width="3.00390625" customWidth="1"/>
    <col min="17" max="18" style="11082" width="3.00390625" customWidth="1"/>
    <col min="19" max="19" style="11083" width="12.00390625" customWidth="1"/>
    <col min="20" max="20" style="10232" width="35.00390625" customWidth="1"/>
    <col min="21" max="21" style="10232" width="0.140625" customWidth="1"/>
    <col min="22" max="24" style="10232" width="24.7109375" hidden="1" customWidth="1"/>
    <col min="25" max="25" style="10232" width="11.7109375" hidden="1" customWidth="1"/>
    <col min="26" max="26" style="10232" width="3.7109375" hidden="1" customWidth="1"/>
    <col min="27" max="27" style="10232" width="11.7109375" hidden="1" customWidth="1"/>
    <col min="28" max="28" style="10232" width="8.57421875" hidden="1" customWidth="1"/>
    <col min="29" max="29" style="10232" width="24.7109375" customWidth="1"/>
    <col min="30" max="31" style="10232" width="24.00390625" customWidth="1"/>
    <col min="32" max="32" style="10232" width="11.00390625" customWidth="1"/>
    <col min="33" max="33" style="10232" width="3.7109375" customWidth="1"/>
    <col min="34" max="34" style="10232" width="11.00390625" customWidth="1"/>
    <col min="35" max="35" style="10232" width="8.57421875" hidden="1" customWidth="1"/>
    <col min="36" max="36" style="10232" width="4.00390625" customWidth="1"/>
    <col min="37" max="37" style="10232" width="115.00390625" customWidth="1"/>
    <col min="38" max="42" style="10307" width="10.00390625" customWidth="1"/>
    <col min="43" max="43" style="10232" width="10.57421875" hidden="1"/>
  </cols>
  <sheetData>
    <row customHeight="1" ht="22.5" hidden="1">
      <c r="X1" s="435"/>
      <c r="Y1" s="435"/>
      <c r="AE1" s="435"/>
      <c r="AF1" s="435"/>
      <c r="AQ1" s="1251" t="s">
        <v>14</v>
      </c>
    </row>
    <row customHeight="1" ht="23.25" hidden="1">
      <c r="A2" s="1459"/>
      <c r="B2" s="1459"/>
      <c r="C2" s="1459"/>
      <c r="D2" s="1459"/>
      <c r="E2" s="3115">
        <v>1</v>
      </c>
      <c r="F2" s="1459"/>
      <c r="G2" s="1459"/>
      <c r="H2" s="1459"/>
      <c r="I2" s="1459"/>
      <c r="J2" s="1459"/>
      <c r="K2" s="1459"/>
      <c r="L2" s="1460"/>
      <c r="M2" s="1461"/>
      <c r="N2" s="1461"/>
      <c r="O2" s="1461"/>
      <c r="P2" s="468"/>
      <c r="Q2" s="467"/>
      <c r="R2" s="462"/>
      <c r="S2" s="1553">
        <f>INDEX(PT_DIFFERENTIATION_NUM_NTAR,MATCH(A2,PT_DIFFERENTIATION_NTAR_ID,0))</f>
      </c>
      <c r="T2" s="406" t="s">
        <v>210</v>
      </c>
      <c r="U2" s="408"/>
      <c r="V2" s="3109"/>
      <c r="W2" s="3110"/>
      <c r="X2" s="3110"/>
      <c r="Y2" s="3110"/>
      <c r="Z2" s="3110"/>
      <c r="AA2" s="3110"/>
      <c r="AB2" s="3111"/>
      <c r="AC2" s="3109">
        <f>INDEX(PT_DIFFERENTIATION_NTAR,MATCH(A2,PT_DIFFERENTIATION_NTAR_ID,0))</f>
      </c>
      <c r="AD2" s="3110"/>
      <c r="AE2" s="3110"/>
      <c r="AF2" s="3110"/>
      <c r="AG2" s="3110"/>
      <c r="AH2" s="3110"/>
      <c r="AI2" s="3110"/>
      <c r="AJ2" s="3111"/>
      <c r="AK2"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7"/>
      <c r="AN2" s="607" t="str">
        <f>IF(T2="","",T2)</f>
        <v>Наименование тарифа</v>
      </c>
      <c r="AO2" s="607"/>
      <c r="AP2" s="607"/>
      <c r="AQ2" s="1251">
        <v>0</v>
      </c>
    </row>
    <row customHeight="1" ht="23.25" hidden="1">
      <c r="A3" s="1459"/>
      <c r="B3" s="1459"/>
      <c r="C3" s="1459"/>
      <c r="D3" s="1459"/>
      <c r="E3" s="3116"/>
      <c r="F3" s="3115">
        <v>1</v>
      </c>
      <c r="G3" s="1459"/>
      <c r="H3" s="1459"/>
      <c r="I3" s="1459"/>
      <c r="J3" s="1459"/>
      <c r="K3" s="1459"/>
      <c r="L3" s="1460"/>
      <c r="M3" s="1461"/>
      <c r="N3" s="1461"/>
      <c r="O3" s="1461"/>
      <c r="P3" s="1549"/>
      <c r="Q3" s="459"/>
      <c r="R3" s="460"/>
      <c r="S3" s="1553">
        <f>INDEX(PT_DIFFERENTIATION_NUM_TER,MATCH(B3,PT_DIFFERENTIATION_TER_ID,0))</f>
      </c>
      <c r="T3" s="416" t="s">
        <v>482</v>
      </c>
      <c r="U3" s="408"/>
      <c r="V3" s="3109"/>
      <c r="W3" s="3110"/>
      <c r="X3" s="3110"/>
      <c r="Y3" s="3110"/>
      <c r="Z3" s="3110"/>
      <c r="AA3" s="3110"/>
      <c r="AB3" s="3111"/>
      <c r="AC3" s="3109">
        <f>INDEX(PT_DIFFERENTIATION_TER,MATCH(B3,PT_DIFFERENTIATION_TER_ID,0))</f>
      </c>
      <c r="AD3" s="3110"/>
      <c r="AE3" s="3110"/>
      <c r="AF3" s="3110"/>
      <c r="AG3" s="3110"/>
      <c r="AH3" s="3110"/>
      <c r="AI3" s="3110"/>
      <c r="AJ3" s="3111"/>
      <c r="AK3" s="1354" t="s">
        <v>483</v>
      </c>
      <c r="AM3" s="607"/>
      <c r="AN3" s="607" t="str">
        <f>IF(T3="","",T3)</f>
        <v>Территория действия тарифа</v>
      </c>
      <c r="AO3" s="607"/>
      <c r="AP3" s="607"/>
      <c r="AQ3" s="1251">
        <v>0</v>
      </c>
    </row>
    <row customHeight="1" ht="23.25" hidden="1">
      <c r="A4" s="1459"/>
      <c r="B4" s="1459"/>
      <c r="C4" s="1459"/>
      <c r="D4" s="1459"/>
      <c r="E4" s="3116"/>
      <c r="F4" s="3116"/>
      <c r="G4" s="3115">
        <v>1</v>
      </c>
      <c r="H4" s="1459"/>
      <c r="I4" s="1459"/>
      <c r="J4" s="1459"/>
      <c r="K4" s="1459"/>
      <c r="L4" s="1460"/>
      <c r="M4" s="1461"/>
      <c r="N4" s="1461"/>
      <c r="O4" s="1461"/>
      <c r="P4" s="461"/>
      <c r="Q4" s="459"/>
      <c r="R4" s="460"/>
      <c r="S4" s="1553">
        <f>INDEX(PT_DIFFERENTIATION_NUM_CS,MATCH(C4,PT_DIFFERENTIATION_CS_ID,0))</f>
      </c>
      <c r="T4" s="417" t="s">
        <v>566</v>
      </c>
      <c r="U4" s="408"/>
      <c r="V4" s="3109"/>
      <c r="W4" s="3110"/>
      <c r="X4" s="3110"/>
      <c r="Y4" s="3110"/>
      <c r="Z4" s="3110"/>
      <c r="AA4" s="3110"/>
      <c r="AB4" s="3111"/>
      <c r="AC4" s="3109">
        <f>INDEX(PT_DIFFERENTIATION_CS,MATCH(C4,PT_DIFFERENTIATION_CS_ID,0))</f>
      </c>
      <c r="AD4" s="3110"/>
      <c r="AE4" s="3110"/>
      <c r="AF4" s="3110"/>
      <c r="AG4" s="3110"/>
      <c r="AH4" s="3110"/>
      <c r="AI4" s="3110"/>
      <c r="AJ4" s="3111"/>
      <c r="AK4" s="1354" t="s">
        <v>567</v>
      </c>
      <c r="AM4" s="607"/>
      <c r="AN4" s="607" t="str">
        <f>IF(T4="","",T4)</f>
        <v>Наименование централизованной системы холодного водоснабжения</v>
      </c>
      <c r="AO4" s="607"/>
      <c r="AP4" s="607"/>
      <c r="AQ4" s="1251">
        <v>0</v>
      </c>
    </row>
    <row customHeight="1" ht="23.25" hidden="1">
      <c r="A5" s="1459"/>
      <c r="B5" s="1459"/>
      <c r="C5" s="1459"/>
      <c r="D5" s="1459"/>
      <c r="E5" s="3116"/>
      <c r="F5" s="3116"/>
      <c r="G5" s="3116"/>
      <c r="H5" s="3116"/>
      <c r="I5" s="3117">
        <f>S4&amp;".1"</f>
      </c>
      <c r="J5" s="1459"/>
      <c r="K5" s="1459"/>
      <c r="L5" s="1460"/>
      <c r="P5" s="3119">
        <v>1</v>
      </c>
      <c r="Q5" s="1546"/>
      <c r="R5" s="463"/>
      <c r="S5" s="1553">
        <f>$I5</f>
      </c>
      <c r="T5" s="393" t="s">
        <v>568</v>
      </c>
      <c r="U5" s="408"/>
      <c r="V5" s="3183"/>
      <c r="W5" s="3184"/>
      <c r="X5" s="3184"/>
      <c r="Y5" s="3184"/>
      <c r="Z5" s="3184"/>
      <c r="AA5" s="3184"/>
      <c r="AB5" s="3185"/>
      <c r="AC5" s="3186"/>
      <c r="AD5" s="3187"/>
      <c r="AE5" s="3187"/>
      <c r="AF5" s="3187"/>
      <c r="AG5" s="3187"/>
      <c r="AH5" s="3187"/>
      <c r="AI5" s="3187"/>
      <c r="AJ5" s="3188"/>
      <c r="AK5" s="1354" t="s">
        <v>569</v>
      </c>
      <c r="AM5" s="607"/>
      <c r="AN5" s="607" t="str">
        <f>IF(T5="","",T5)</f>
        <v>Наименование признака дифференциации</v>
      </c>
      <c r="AO5" s="607"/>
      <c r="AP5" s="607"/>
      <c r="AQ5" s="1251">
        <v>0</v>
      </c>
    </row>
    <row customHeight="1" ht="23.25" hidden="1">
      <c r="A6" s="1459"/>
      <c r="B6" s="1459"/>
      <c r="C6" s="1459"/>
      <c r="D6" s="1459"/>
      <c r="E6" s="3116"/>
      <c r="F6" s="3116"/>
      <c r="G6" s="3116"/>
      <c r="H6" s="3116"/>
      <c r="I6" s="3118"/>
      <c r="J6" s="3117">
        <f>I5&amp;".1"</f>
      </c>
      <c r="K6" s="1459"/>
      <c r="L6" s="1460" t="s">
        <v>491</v>
      </c>
      <c r="P6" s="3119"/>
      <c r="Q6" s="3119">
        <v>1</v>
      </c>
      <c r="R6" s="464"/>
      <c r="S6" s="1553">
        <f>$J6</f>
      </c>
      <c r="T6" s="394" t="s">
        <v>492</v>
      </c>
      <c r="U6" s="408"/>
      <c r="V6" s="3103"/>
      <c r="W6" s="3104"/>
      <c r="X6" s="3104"/>
      <c r="Y6" s="3104"/>
      <c r="Z6" s="3104"/>
      <c r="AA6" s="3104"/>
      <c r="AB6" s="3105"/>
      <c r="AC6" s="3103"/>
      <c r="AD6" s="3104"/>
      <c r="AE6" s="3104"/>
      <c r="AF6" s="3104"/>
      <c r="AG6" s="3104"/>
      <c r="AH6" s="3104"/>
      <c r="AI6" s="3104"/>
      <c r="AJ6" s="3105"/>
      <c r="AK6" s="1403" t="s">
        <v>570</v>
      </c>
      <c r="AM6" s="607"/>
      <c r="AN6" s="607" t="str">
        <f>IF(T6="","",T6)</f>
        <v>Группа потребителей</v>
      </c>
      <c r="AO6" s="607"/>
      <c r="AP6" s="607"/>
      <c r="AQ6" s="1251">
        <v>0</v>
      </c>
    </row>
    <row customHeight="1" ht="23.25" hidden="1">
      <c r="A7" s="1459"/>
      <c r="B7" s="1459"/>
      <c r="C7" s="1459"/>
      <c r="D7" s="1459"/>
      <c r="E7" s="3116"/>
      <c r="F7" s="3116"/>
      <c r="G7" s="3116"/>
      <c r="H7" s="3116"/>
      <c r="I7" s="3118"/>
      <c r="J7" s="3118"/>
      <c r="K7" s="3117">
        <f>J6&amp;".1"</f>
      </c>
      <c r="L7" s="1460"/>
      <c r="P7" s="3119"/>
      <c r="Q7" s="3119"/>
      <c r="R7" s="464">
        <v>1</v>
      </c>
      <c r="S7" s="1553">
        <f>$K7</f>
      </c>
      <c r="T7" s="1533"/>
      <c r="U7" s="408"/>
      <c r="V7" s="858"/>
      <c r="W7" s="858"/>
      <c r="X7" s="1353"/>
      <c r="Y7" s="3120"/>
      <c r="Z7" s="2989" t="s">
        <v>62</v>
      </c>
      <c r="AA7" s="3120"/>
      <c r="AB7" s="2989" t="s">
        <v>62</v>
      </c>
      <c r="AC7" s="858"/>
      <c r="AD7" s="858"/>
      <c r="AE7" s="1353"/>
      <c r="AF7" s="3120"/>
      <c r="AG7" s="2989" t="s">
        <v>62</v>
      </c>
      <c r="AH7" s="3122"/>
      <c r="AI7" s="2989" t="s">
        <v>62</v>
      </c>
      <c r="AJ7" s="1534"/>
      <c r="AK7"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8">
        <f>STRCHECKDATE(V8:AJ8)</f>
      </c>
      <c r="AM7" s="607"/>
      <c r="AN7" s="607" t="str">
        <f>IF(T7="","",T7)</f>
        <v/>
      </c>
      <c r="AO7" s="607"/>
      <c r="AP7" s="607"/>
      <c r="AQ7" s="1251">
        <v>0</v>
      </c>
    </row>
    <row customHeight="1" ht="14.25" hidden="1">
      <c r="A8" s="1459"/>
      <c r="B8" s="1459"/>
      <c r="C8" s="1459"/>
      <c r="D8" s="1459"/>
      <c r="E8" s="3116"/>
      <c r="F8" s="3116"/>
      <c r="G8" s="3116"/>
      <c r="H8" s="3116"/>
      <c r="I8" s="3118"/>
      <c r="J8" s="3118"/>
      <c r="K8" s="3117"/>
      <c r="L8" s="1460"/>
      <c r="P8" s="3119"/>
      <c r="Q8" s="3119"/>
      <c r="R8" s="464"/>
      <c r="S8" s="1552"/>
      <c r="T8" s="408"/>
      <c r="U8" s="408"/>
      <c r="V8" s="433"/>
      <c r="W8" s="433"/>
      <c r="X8" s="436" t="str">
        <f>Y7&amp;"-"&amp;AA7</f>
        <v>-</v>
      </c>
      <c r="Y8" s="3121"/>
      <c r="Z8" s="2989"/>
      <c r="AA8" s="3121"/>
      <c r="AB8" s="2989"/>
      <c r="AC8" s="433"/>
      <c r="AD8" s="433"/>
      <c r="AE8" s="436" t="str">
        <f>AF7&amp;"-"&amp;AH7</f>
        <v>-</v>
      </c>
      <c r="AF8" s="3121"/>
      <c r="AG8" s="2989"/>
      <c r="AH8" s="3123"/>
      <c r="AI8" s="2989"/>
      <c r="AJ8" s="1535"/>
      <c r="AK8" s="3189"/>
      <c r="AM8" s="607"/>
      <c r="AN8" s="607" t="str">
        <f>IF(T8="","",T8)</f>
        <v/>
      </c>
      <c r="AO8" s="607"/>
      <c r="AP8" s="607"/>
      <c r="AQ8" s="1251">
        <v>0</v>
      </c>
    </row>
    <row customHeight="1" ht="21" hidden="1">
      <c r="A9" s="1459"/>
      <c r="B9" s="1459"/>
      <c r="C9" s="1459"/>
      <c r="D9" s="1459"/>
      <c r="E9" s="3116"/>
      <c r="F9" s="3116"/>
      <c r="G9" s="3116"/>
      <c r="H9" s="3116"/>
      <c r="I9" s="3118"/>
      <c r="J9" s="3117"/>
      <c r="K9" s="1459"/>
      <c r="L9" s="1460"/>
      <c r="P9" s="3119"/>
      <c r="Q9" s="3119"/>
      <c r="R9" s="463"/>
      <c r="S9" s="1374"/>
      <c r="T9" s="395" t="s">
        <v>571</v>
      </c>
      <c r="U9" s="474"/>
      <c r="V9" s="474"/>
      <c r="W9" s="474"/>
      <c r="X9" s="474"/>
      <c r="Y9" s="474"/>
      <c r="Z9" s="474"/>
      <c r="AA9" s="474"/>
      <c r="AB9" s="474"/>
      <c r="AC9" s="474"/>
      <c r="AD9" s="474"/>
      <c r="AE9" s="474"/>
      <c r="AF9" s="474"/>
      <c r="AG9" s="474"/>
      <c r="AH9" s="474"/>
      <c r="AI9" s="474"/>
      <c r="AJ9" s="474"/>
      <c r="AK9" s="1354" t="s">
        <v>572</v>
      </c>
      <c r="AM9" s="607"/>
      <c r="AN9" s="607" t="str">
        <f>IF(T9="","",T9)</f>
        <v>Добавить значение признака дифференциации</v>
      </c>
      <c r="AO9" s="607"/>
      <c r="AP9" s="607"/>
      <c r="AQ9" s="1251">
        <v>0</v>
      </c>
    </row>
    <row customHeight="1" ht="21" hidden="1">
      <c r="A10" s="1459"/>
      <c r="B10" s="1459"/>
      <c r="C10" s="1459"/>
      <c r="D10" s="1459"/>
      <c r="E10" s="3116"/>
      <c r="F10" s="3116"/>
      <c r="G10" s="3116"/>
      <c r="H10" s="3116"/>
      <c r="I10" s="3117"/>
      <c r="J10" s="1459"/>
      <c r="K10" s="1459"/>
      <c r="L10" s="1460"/>
      <c r="P10" s="3119"/>
      <c r="Q10" s="1546"/>
      <c r="R10" s="463"/>
      <c r="S10" s="1374"/>
      <c r="T10" s="472" t="s">
        <v>497</v>
      </c>
      <c r="U10" s="474"/>
      <c r="V10" s="474"/>
      <c r="W10" s="474"/>
      <c r="X10" s="474"/>
      <c r="Y10" s="474"/>
      <c r="Z10" s="474"/>
      <c r="AA10" s="474"/>
      <c r="AB10" s="473"/>
      <c r="AC10" s="474"/>
      <c r="AD10" s="474"/>
      <c r="AE10" s="474"/>
      <c r="AF10" s="474"/>
      <c r="AG10" s="474"/>
      <c r="AH10" s="474"/>
      <c r="AI10" s="473"/>
      <c r="AJ10" s="474"/>
      <c r="AK10" s="1536"/>
      <c r="AM10" s="607"/>
      <c r="AN10" s="607" t="str">
        <f>IF(T10="","",T10)</f>
        <v>Добавить группу потребителей</v>
      </c>
      <c r="AO10" s="607"/>
      <c r="AP10" s="607"/>
      <c r="AQ10" s="1251">
        <v>0</v>
      </c>
    </row>
    <row customHeight="1" ht="21" hidden="1">
      <c r="A11" s="1459"/>
      <c r="B11" s="1459"/>
      <c r="C11" s="1459"/>
      <c r="D11" s="1459"/>
      <c r="E11" s="3116"/>
      <c r="F11" s="3116"/>
      <c r="G11" s="3116"/>
      <c r="H11" s="3115"/>
      <c r="I11" s="1459"/>
      <c r="J11" s="1459"/>
      <c r="K11" s="1459"/>
      <c r="L11" s="1460"/>
      <c r="M11" s="1461"/>
      <c r="N11" s="1461"/>
      <c r="O11" s="644"/>
      <c r="P11" s="467"/>
      <c r="Q11" s="482"/>
      <c r="R11" s="462"/>
      <c r="S11" s="1374"/>
      <c r="T11" s="479" t="s">
        <v>573</v>
      </c>
      <c r="U11" s="474"/>
      <c r="V11" s="474"/>
      <c r="W11" s="474"/>
      <c r="X11" s="474"/>
      <c r="Y11" s="474"/>
      <c r="Z11" s="474"/>
      <c r="AA11" s="474"/>
      <c r="AB11" s="473"/>
      <c r="AC11" s="474"/>
      <c r="AD11" s="474"/>
      <c r="AE11" s="474"/>
      <c r="AF11" s="474"/>
      <c r="AG11" s="474"/>
      <c r="AH11" s="474"/>
      <c r="AI11" s="473"/>
      <c r="AJ11" s="474"/>
      <c r="AK11" s="411"/>
      <c r="AM11" s="607"/>
      <c r="AN11" s="607" t="str">
        <f>IF(T11="","",T11)</f>
        <v>Добавить наименование признака дифференциации</v>
      </c>
      <c r="AO11" s="607"/>
      <c r="AP11" s="607"/>
      <c r="AQ11" s="1251">
        <v>0</v>
      </c>
    </row>
    <row s="10307" customFormat="1" customHeight="1" ht="14.25" hidden="1">
      <c r="A12" s="1439"/>
      <c r="B12" s="1439"/>
      <c r="C12" s="1410"/>
      <c r="D12" s="1410"/>
      <c r="E12" s="3116"/>
      <c r="F12" s="3115"/>
      <c r="G12" s="1410"/>
      <c r="H12" s="1410"/>
      <c r="I12" s="1410"/>
      <c r="J12" s="1410"/>
      <c r="K12" s="1410"/>
      <c r="L12" s="1554"/>
      <c r="M12" s="1417"/>
      <c r="N12" s="1417"/>
      <c r="P12" s="1412"/>
      <c r="Q12" s="1413"/>
      <c r="R12" s="1412"/>
      <c r="S12" s="1418"/>
      <c r="T12" s="1421" t="s">
        <v>500</v>
      </c>
      <c r="U12" s="1420"/>
      <c r="V12" s="1420"/>
      <c r="W12" s="1420"/>
      <c r="X12" s="1420"/>
      <c r="Y12" s="1420"/>
      <c r="Z12" s="1420"/>
      <c r="AA12" s="1420"/>
      <c r="AB12" s="1420"/>
      <c r="AC12" s="1420"/>
      <c r="AD12" s="1420"/>
      <c r="AE12" s="1420"/>
      <c r="AF12" s="1420"/>
      <c r="AG12" s="1420"/>
      <c r="AH12" s="1420"/>
      <c r="AI12" s="1420"/>
      <c r="AJ12" s="1420"/>
      <c r="AK12" s="1420"/>
      <c r="AM12" s="890"/>
      <c r="AN12" s="890" t="str">
        <f>IF(T12="","",T12)</f>
        <v>Добавить централизованную систему для дифференциации</v>
      </c>
      <c r="AO12" s="890"/>
      <c r="AP12" s="890"/>
      <c r="AQ12" s="625">
        <v>0</v>
      </c>
    </row>
    <row s="10307" customFormat="1" customHeight="1" ht="14.25" hidden="1">
      <c r="A13" s="1439"/>
      <c r="B13" s="1439"/>
      <c r="C13" s="1439"/>
      <c r="D13" s="1439"/>
      <c r="E13" s="3115"/>
      <c r="F13" s="1439"/>
      <c r="G13" s="1439"/>
      <c r="H13" s="1439"/>
      <c r="I13" s="1439"/>
      <c r="J13" s="1439"/>
      <c r="K13" s="1439"/>
      <c r="L13" s="1442"/>
      <c r="M13" s="1417"/>
      <c r="N13" s="1417"/>
      <c r="O13" s="625"/>
      <c r="P13" s="487"/>
      <c r="Q13" s="1440"/>
      <c r="R13" s="487"/>
      <c r="S13" s="1418"/>
      <c r="T13" s="1421" t="s">
        <v>501</v>
      </c>
      <c r="U13" s="1420"/>
      <c r="V13" s="1420"/>
      <c r="W13" s="1420"/>
      <c r="X13" s="1420"/>
      <c r="Y13" s="1420"/>
      <c r="Z13" s="1420"/>
      <c r="AA13" s="1420"/>
      <c r="AB13" s="1420"/>
      <c r="AC13" s="1420"/>
      <c r="AD13" s="1420"/>
      <c r="AE13" s="1420"/>
      <c r="AF13" s="1420"/>
      <c r="AG13" s="1420"/>
      <c r="AH13" s="1420"/>
      <c r="AI13" s="1420"/>
      <c r="AJ13" s="1420"/>
      <c r="AK13" s="1420"/>
      <c r="AM13" s="607"/>
      <c r="AN13" s="607" t="str">
        <f>IF(T13="","",T13)</f>
        <v>Добавить территорию для дифференциации</v>
      </c>
      <c r="AO13" s="607"/>
      <c r="AP13" s="607"/>
      <c r="AQ13" s="618">
        <v>0</v>
      </c>
    </row>
    <row customHeight="1" ht="14.25" hidden="1">
      <c r="AB14" s="435"/>
      <c r="AI14" s="435"/>
      <c r="AQ14" s="1251">
        <v>0</v>
      </c>
    </row>
    <row customHeight="1" ht="14.25" hidden="1">
      <c r="AC15" s="1456"/>
      <c r="AD15" s="1456"/>
      <c r="AE15" s="1457"/>
      <c r="AF15" s="3113"/>
      <c r="AG15" s="3112" t="s">
        <v>62</v>
      </c>
      <c r="AH15" s="3113"/>
      <c r="AI15" s="3112" t="s">
        <v>62</v>
      </c>
      <c r="AQ15" s="1251">
        <v>0</v>
      </c>
    </row>
    <row customHeight="1" ht="14.25" hidden="1">
      <c r="AC16" s="1456"/>
      <c r="AD16" s="1456"/>
      <c r="AE16" s="436" t="str">
        <f>AF15&amp;"-"&amp;AH15</f>
        <v>-</v>
      </c>
      <c r="AF16" s="3112"/>
      <c r="AG16" s="3112"/>
      <c r="AH16" s="3112"/>
      <c r="AI16" s="3112"/>
      <c r="AQ16" s="1251">
        <v>0</v>
      </c>
    </row>
    <row customHeight="1" ht="14.25" hidden="1">
      <c r="AI17" s="435"/>
      <c r="AQ17" s="1251">
        <v>0</v>
      </c>
    </row>
    <row s="10306" customFormat="1" customHeight="1" ht="22.5" hidden="1">
      <c r="L18" s="1543"/>
      <c r="M18" s="1458"/>
      <c r="N18" s="1458"/>
      <c r="O18" s="1463" t="s">
        <v>502</v>
      </c>
      <c r="P18" s="1458"/>
      <c r="Q18" s="1467"/>
      <c r="R18" s="1467"/>
      <c r="S18" s="836"/>
      <c r="Y18" s="1463"/>
      <c r="AA18" s="1463"/>
      <c r="AF18" s="1463"/>
      <c r="AH18" s="1463"/>
      <c r="AL18" s="618"/>
      <c r="AM18" s="618"/>
      <c r="AN18" s="618"/>
      <c r="AO18" s="618"/>
      <c r="AP18" s="618"/>
      <c r="AQ18" s="1256">
        <v>0</v>
      </c>
    </row>
    <row s="10306" customFormat="1" customHeight="1" ht="14.25" hidden="1">
      <c r="L19" s="1543"/>
      <c r="M19" s="1458"/>
      <c r="N19" s="1458"/>
      <c r="O19" s="1458"/>
      <c r="P19" s="1458"/>
      <c r="Q19" s="1467"/>
      <c r="R19" s="1467"/>
      <c r="S19" s="836"/>
      <c r="AL19" s="618"/>
      <c r="AM19" s="618"/>
      <c r="AN19" s="618"/>
      <c r="AO19" s="618"/>
      <c r="AP19" s="618"/>
      <c r="AQ19" s="1256">
        <v>0</v>
      </c>
    </row>
    <row s="10306" customFormat="1" customHeight="1" ht="12" hidden="1">
      <c r="L20" s="1543"/>
      <c r="M20" s="1458"/>
      <c r="N20" s="1458"/>
      <c r="O20" s="1460" t="s">
        <v>503</v>
      </c>
      <c r="P20" s="1458"/>
      <c r="Q20" s="1538"/>
      <c r="R20" s="1538"/>
      <c r="S20" s="836"/>
      <c r="T20" s="1256" t="s">
        <v>504</v>
      </c>
      <c r="Z20" s="294" t="s">
        <v>505</v>
      </c>
      <c r="AB20" s="294" t="s">
        <v>506</v>
      </c>
      <c r="AC20" s="1256" t="s">
        <v>504</v>
      </c>
      <c r="AG20" s="294" t="s">
        <v>507</v>
      </c>
      <c r="AI20" s="294" t="s">
        <v>506</v>
      </c>
      <c r="AQ20" s="1256">
        <v>0</v>
      </c>
    </row>
    <row customHeight="1" ht="14.25" hidden="1">
      <c r="O21" s="1460"/>
      <c r="AQ21" s="1251">
        <v>0</v>
      </c>
    </row>
    <row customHeight="1" ht="14.25" hidden="1">
      <c r="O22" s="1460"/>
      <c r="AQ22" s="1251">
        <v>0</v>
      </c>
    </row>
    <row customHeight="1" ht="14.699999999999998">
      <c r="Q23" s="483"/>
      <c r="R23" s="483"/>
      <c r="S23" s="1371"/>
      <c r="T23" s="470"/>
      <c r="U23" s="470"/>
      <c r="V23" s="616"/>
      <c r="W23" s="616"/>
      <c r="X23" s="616"/>
      <c r="Y23" s="616"/>
      <c r="Z23" s="616"/>
      <c r="AA23" s="616"/>
      <c r="AB23" s="616"/>
      <c r="AC23" s="616"/>
      <c r="AD23" s="616"/>
      <c r="AE23" s="616"/>
      <c r="AF23" s="616"/>
      <c r="AG23" s="616"/>
      <c r="AH23" s="616"/>
      <c r="AI23" s="616"/>
      <c r="AQ23" s="1251">
        <v>14</v>
      </c>
    </row>
    <row customHeight="1" ht="14.699999999999998">
      <c r="Q24" s="483"/>
      <c r="R24" s="483"/>
      <c r="S24" s="309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96"/>
      <c r="U24" s="3096"/>
      <c r="V24" s="3096"/>
      <c r="W24" s="3096"/>
      <c r="X24" s="3096"/>
      <c r="Y24" s="3096"/>
      <c r="Z24" s="3096"/>
      <c r="AA24" s="3096"/>
      <c r="AB24" s="3096"/>
      <c r="AC24" s="3096"/>
      <c r="AD24" s="3096"/>
      <c r="AE24" s="3096"/>
      <c r="AF24" s="3096"/>
      <c r="AG24" s="3096"/>
      <c r="AH24" s="3096"/>
      <c r="AI24" s="1339"/>
      <c r="AQ24" s="1251">
        <v>14</v>
      </c>
    </row>
    <row customHeight="1" ht="14.699999999999998">
      <c r="Q25" s="483"/>
      <c r="R25" s="483"/>
      <c r="S25" s="3069" t="str">
        <f>IF(org=0,"Не определено",org)</f>
        <v>АО "ДГК"</v>
      </c>
      <c r="T25" s="3069"/>
      <c r="U25" s="3069"/>
      <c r="V25" s="3069"/>
      <c r="W25" s="3069"/>
      <c r="X25" s="3069"/>
      <c r="Y25" s="3069"/>
      <c r="Z25" s="3069"/>
      <c r="AA25" s="3069"/>
      <c r="AB25" s="3069"/>
      <c r="AC25" s="3069"/>
      <c r="AD25" s="3069"/>
      <c r="AE25" s="3069"/>
      <c r="AF25" s="3069"/>
      <c r="AG25" s="3069"/>
      <c r="AH25" s="3069"/>
      <c r="AI25" s="1339"/>
      <c r="AQ25" s="1251">
        <v>14</v>
      </c>
    </row>
    <row customHeight="1" ht="14.25" hidden="1">
      <c r="Q26" s="483"/>
      <c r="R26" s="483"/>
      <c r="S26" s="1371"/>
      <c r="T26" s="470"/>
      <c r="U26" s="470"/>
      <c r="V26" s="430"/>
      <c r="W26" s="430"/>
      <c r="X26" s="430"/>
      <c r="Y26" s="430"/>
      <c r="Z26" s="430"/>
      <c r="AA26" s="430"/>
      <c r="AB26" s="430"/>
      <c r="AC26" s="430"/>
      <c r="AD26" s="430"/>
      <c r="AE26" s="430"/>
      <c r="AF26" s="430"/>
      <c r="AG26" s="430"/>
      <c r="AH26" s="430"/>
      <c r="AI26" s="430"/>
      <c r="AJ26" s="616"/>
      <c r="AQ26" s="1251">
        <v>0</v>
      </c>
    </row>
    <row s="10446" customFormat="1" customHeight="1" ht="25.5" hidden="1">
      <c r="A27" s="1464"/>
      <c r="B27" s="1464"/>
      <c r="C27" s="1464"/>
      <c r="D27" s="1464"/>
      <c r="E27" s="1464"/>
      <c r="F27" s="1464"/>
      <c r="G27" s="1464"/>
      <c r="H27" s="1464"/>
      <c r="I27" s="1464"/>
      <c r="J27" s="1464"/>
      <c r="K27" s="1464"/>
      <c r="L27" s="1465"/>
      <c r="M27" s="1464"/>
      <c r="N27" s="1464"/>
      <c r="O27" s="1464"/>
      <c r="S27" s="3106" t="s">
        <v>41</v>
      </c>
      <c r="T27" s="3106"/>
      <c r="U27" s="1468"/>
      <c r="V27" s="3108" t="str">
        <f>IF(TITLE_NAME_OR_PR_CHANGE="",IF(TITLE_NAME_OR_PR="","",TITLE_NAME_OR_PR),TITLE_NAME_OR_PR_CHANGE)</f>
        <v/>
      </c>
      <c r="W27" s="3108"/>
      <c r="X27" s="3108"/>
      <c r="Y27" s="3108"/>
      <c r="Z27" s="3108"/>
      <c r="AA27" s="3108"/>
      <c r="AB27" s="434"/>
      <c r="AC27" s="3108" t="str">
        <f>IF(TITLE_NAME_OR_PR_CHANGE="",IF(TITLE_NAME_OR_PR="","",TITLE_NAME_OR_PR),TITLE_NAME_OR_PR_CHANGE)</f>
        <v/>
      </c>
      <c r="AD27" s="3108"/>
      <c r="AE27" s="3108"/>
      <c r="AF27" s="3108"/>
      <c r="AG27" s="3108"/>
      <c r="AH27" s="3108"/>
      <c r="AI27" s="434"/>
      <c r="AJ27" s="434"/>
      <c r="AK27" s="388"/>
      <c r="AL27" s="475"/>
      <c r="AM27" s="475"/>
      <c r="AN27" s="475"/>
      <c r="AO27" s="475"/>
      <c r="AP27" s="475"/>
      <c r="AQ27" s="525">
        <v>0</v>
      </c>
    </row>
    <row s="10446" customFormat="1" customHeight="1" ht="18.75" hidden="1">
      <c r="A28" s="1464"/>
      <c r="B28" s="1464"/>
      <c r="C28" s="1464"/>
      <c r="D28" s="1464"/>
      <c r="E28" s="1464"/>
      <c r="F28" s="1464"/>
      <c r="G28" s="1464"/>
      <c r="H28" s="1464"/>
      <c r="I28" s="1464"/>
      <c r="J28" s="1464"/>
      <c r="K28" s="1464"/>
      <c r="L28" s="1465"/>
      <c r="M28" s="1464"/>
      <c r="N28" s="1464"/>
      <c r="O28" s="1464"/>
      <c r="S28" s="3106" t="s">
        <v>508</v>
      </c>
      <c r="T28" s="3106"/>
      <c r="U28" s="1468"/>
      <c r="V28" s="3107" t="str">
        <f>IF(TITLE_DATE_PR_CHANGE="",IF(TITLE_DATE_PR="","",TITLE_DATE_PR),TITLE_DATE_PR_CHANGE)</f>
        <v/>
      </c>
      <c r="W28" s="3107"/>
      <c r="X28" s="3107"/>
      <c r="Y28" s="3107"/>
      <c r="Z28" s="3107"/>
      <c r="AA28" s="3107"/>
      <c r="AB28" s="434"/>
      <c r="AC28" s="3107" t="str">
        <f>IF(TITLE_DATE_PR_CHANGE="",IF(TITLE_DATE_PR="","",TITLE_DATE_PR),TITLE_DATE_PR_CHANGE)</f>
        <v/>
      </c>
      <c r="AD28" s="3107"/>
      <c r="AE28" s="3107"/>
      <c r="AF28" s="3107"/>
      <c r="AG28" s="3107"/>
      <c r="AH28" s="3107"/>
      <c r="AI28" s="434"/>
      <c r="AJ28" s="434"/>
      <c r="AK28" s="388"/>
      <c r="AL28" s="475"/>
      <c r="AM28" s="475"/>
      <c r="AN28" s="475"/>
      <c r="AO28" s="475"/>
      <c r="AP28" s="475"/>
      <c r="AQ28" s="525">
        <v>0</v>
      </c>
    </row>
    <row s="10446" customFormat="1" customHeight="1" ht="18.75" hidden="1">
      <c r="A29" s="1464"/>
      <c r="B29" s="1464"/>
      <c r="C29" s="1464"/>
      <c r="D29" s="1464"/>
      <c r="E29" s="1464"/>
      <c r="F29" s="1464"/>
      <c r="G29" s="1464"/>
      <c r="H29" s="1464"/>
      <c r="I29" s="1464"/>
      <c r="J29" s="1464"/>
      <c r="K29" s="1464"/>
      <c r="L29" s="1465"/>
      <c r="M29" s="1464"/>
      <c r="N29" s="1464"/>
      <c r="O29" s="1464"/>
      <c r="S29" s="3106" t="s">
        <v>509</v>
      </c>
      <c r="T29" s="3106"/>
      <c r="U29" s="1468"/>
      <c r="V29" s="3108" t="str">
        <f>IF(TITLE_NUMBER_PR_CHANGE="",IF(TITLE_NUMBER_PR="","",TITLE_NUMBER_PR),TITLE_NUMBER_PR_CHANGE)</f>
        <v/>
      </c>
      <c r="W29" s="3108"/>
      <c r="X29" s="3108"/>
      <c r="Y29" s="3108"/>
      <c r="Z29" s="3108"/>
      <c r="AA29" s="3108"/>
      <c r="AB29" s="434"/>
      <c r="AC29" s="3108" t="str">
        <f>IF(TITLE_NUMBER_PR_CHANGE="",IF(TITLE_NUMBER_PR="","",TITLE_NUMBER_PR),TITLE_NUMBER_PR_CHANGE)</f>
        <v/>
      </c>
      <c r="AD29" s="3108"/>
      <c r="AE29" s="3108"/>
      <c r="AF29" s="3108"/>
      <c r="AG29" s="3108"/>
      <c r="AH29" s="3108"/>
      <c r="AI29" s="434"/>
      <c r="AJ29" s="434"/>
      <c r="AK29" s="388"/>
      <c r="AL29" s="475"/>
      <c r="AM29" s="475"/>
      <c r="AN29" s="475"/>
      <c r="AO29" s="475"/>
      <c r="AP29" s="475"/>
      <c r="AQ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42</v>
      </c>
      <c r="T30" s="3106"/>
      <c r="U30" s="1468"/>
      <c r="V30" s="3108" t="str">
        <f>IF(TITLE_IST_PUB_CHANGE="",IF(TITLE_IST_PUB="","",TITLE_IST_PUB),TITLE_IST_PUB_CHANGE)</f>
        <v/>
      </c>
      <c r="W30" s="3108"/>
      <c r="X30" s="3108"/>
      <c r="Y30" s="3108"/>
      <c r="Z30" s="3108"/>
      <c r="AA30" s="3108"/>
      <c r="AB30" s="434"/>
      <c r="AC30" s="3108" t="str">
        <f>IF(TITLE_IST_PUB_CHANGE="",IF(TITLE_IST_PUB="","",TITLE_IST_PUB),TITLE_IST_PUB_CHANGE)</f>
        <v/>
      </c>
      <c r="AD30" s="3108"/>
      <c r="AE30" s="3108"/>
      <c r="AF30" s="3108"/>
      <c r="AG30" s="3108"/>
      <c r="AH30" s="3108"/>
      <c r="AI30" s="434"/>
      <c r="AJ30" s="434"/>
      <c r="AK30" s="388"/>
      <c r="AL30" s="475"/>
      <c r="AM30" s="475"/>
      <c r="AN30" s="475"/>
      <c r="AO30" s="475"/>
      <c r="AP30" s="475"/>
      <c r="AQ30" s="525">
        <v>0</v>
      </c>
    </row>
    <row customHeight="1" ht="14.25" hidden="1">
      <c r="Q31" s="483"/>
      <c r="R31" s="483"/>
      <c r="S31" s="1371"/>
      <c r="T31" s="470"/>
      <c r="U31" s="470"/>
      <c r="V31" s="430"/>
      <c r="W31" s="430"/>
      <c r="X31" s="430"/>
      <c r="Y31" s="430"/>
      <c r="Z31" s="430"/>
      <c r="AA31" s="430"/>
      <c r="AB31" s="430"/>
      <c r="AC31" s="430"/>
      <c r="AD31" s="430"/>
      <c r="AE31" s="430"/>
      <c r="AF31" s="430"/>
      <c r="AG31" s="430"/>
      <c r="AH31" s="430"/>
      <c r="AI31" s="430"/>
      <c r="AJ31" s="616"/>
      <c r="AQ31" s="1251">
        <v>0</v>
      </c>
    </row>
    <row s="10446" customFormat="1" customHeight="1" ht="18.75" hidden="1">
      <c r="A32" s="1464"/>
      <c r="B32" s="1464"/>
      <c r="C32" s="1464"/>
      <c r="D32" s="1464"/>
      <c r="E32" s="1464"/>
      <c r="F32" s="1464"/>
      <c r="G32" s="1464"/>
      <c r="H32" s="1464"/>
      <c r="I32" s="1464"/>
      <c r="J32" s="1464"/>
      <c r="K32" s="1464"/>
      <c r="L32" s="1465"/>
      <c r="M32" s="1464"/>
      <c r="N32" s="1464"/>
      <c r="O32" s="1464"/>
      <c r="S32" s="3106" t="s">
        <v>510</v>
      </c>
      <c r="T32" s="3106"/>
      <c r="U32" s="1468"/>
      <c r="V32" s="3107" t="str">
        <f>IF(TITLE_DATE_PR_CHANGE="",IF(TITLE_DATE_PR="","",TITLE_DATE_PR),TITLE_DATE_PR_CHANGE)</f>
        <v/>
      </c>
      <c r="W32" s="3107"/>
      <c r="X32" s="3107"/>
      <c r="Y32" s="3107"/>
      <c r="Z32" s="3107"/>
      <c r="AA32" s="3107"/>
      <c r="AB32" s="434"/>
      <c r="AC32" s="3107" t="str">
        <f>IF(TITLE_DATE_PR_CHANGE="",IF(TITLE_DATE_PR="","",TITLE_DATE_PR),TITLE_DATE_PR_CHANGE)</f>
        <v/>
      </c>
      <c r="AD32" s="3107"/>
      <c r="AE32" s="3107"/>
      <c r="AF32" s="3107"/>
      <c r="AG32" s="3107"/>
      <c r="AH32" s="3107"/>
      <c r="AI32" s="434"/>
      <c r="AJ32" s="434"/>
      <c r="AK32" s="388"/>
      <c r="AL32" s="475"/>
      <c r="AM32" s="475"/>
      <c r="AN32" s="475"/>
      <c r="AO32" s="475"/>
      <c r="AP32" s="475"/>
      <c r="AQ32" s="525">
        <v>0</v>
      </c>
    </row>
    <row s="10446" customFormat="1" customHeight="1" ht="18.75" hidden="1">
      <c r="A33" s="1464"/>
      <c r="B33" s="1464"/>
      <c r="C33" s="1464"/>
      <c r="D33" s="1464"/>
      <c r="E33" s="1464"/>
      <c r="F33" s="1464"/>
      <c r="G33" s="1464"/>
      <c r="H33" s="1464"/>
      <c r="I33" s="1464"/>
      <c r="J33" s="1464"/>
      <c r="K33" s="1464"/>
      <c r="L33" s="1465"/>
      <c r="M33" s="1464"/>
      <c r="N33" s="1464"/>
      <c r="O33" s="1464"/>
      <c r="S33" s="3106" t="s">
        <v>511</v>
      </c>
      <c r="T33" s="3106"/>
      <c r="U33" s="1468"/>
      <c r="V33" s="3108" t="str">
        <f>IF(TITLE_NUMBER_PR_CHANGE="",IF(TITLE_NUMBER_PR="","",TITLE_NUMBER_PR),TITLE_NUMBER_PR_CHANGE)</f>
        <v/>
      </c>
      <c r="W33" s="3108"/>
      <c r="X33" s="3108"/>
      <c r="Y33" s="3108"/>
      <c r="Z33" s="3108"/>
      <c r="AA33" s="3108"/>
      <c r="AB33" s="434"/>
      <c r="AC33" s="3108" t="str">
        <f>IF(TITLE_NUMBER_PR_CHANGE="",IF(TITLE_NUMBER_PR="","",TITLE_NUMBER_PR),TITLE_NUMBER_PR_CHANGE)</f>
        <v/>
      </c>
      <c r="AD33" s="3108"/>
      <c r="AE33" s="3108"/>
      <c r="AF33" s="3108"/>
      <c r="AG33" s="3108"/>
      <c r="AH33" s="3108"/>
      <c r="AI33" s="434"/>
      <c r="AJ33" s="434"/>
      <c r="AK33" s="388"/>
      <c r="AL33" s="475"/>
      <c r="AM33" s="475"/>
      <c r="AN33" s="475"/>
      <c r="AO33" s="475"/>
      <c r="AP33" s="475"/>
      <c r="AQ33" s="525">
        <v>0</v>
      </c>
    </row>
    <row s="10446" customFormat="1" customHeight="1" ht="1.05">
      <c r="A34" s="1464"/>
      <c r="B34" s="1464"/>
      <c r="C34" s="1464"/>
      <c r="D34" s="1464"/>
      <c r="E34" s="1464"/>
      <c r="F34" s="1464"/>
      <c r="G34" s="1464"/>
      <c r="H34" s="1464"/>
      <c r="I34" s="1464"/>
      <c r="J34" s="1464"/>
      <c r="K34" s="1464"/>
      <c r="L34" s="1465"/>
      <c r="M34" s="1464"/>
      <c r="N34" s="1464"/>
      <c r="O34" s="1464"/>
      <c r="S34" s="431"/>
      <c r="T34" s="431"/>
      <c r="U34" s="1550"/>
      <c r="V34" s="434"/>
      <c r="W34" s="434"/>
      <c r="X34" s="434"/>
      <c r="Y34" s="434"/>
      <c r="Z34" s="434"/>
      <c r="AA34" s="434"/>
      <c r="AB34" s="386" t="s">
        <v>512</v>
      </c>
      <c r="AC34" s="434"/>
      <c r="AD34" s="434"/>
      <c r="AE34" s="434"/>
      <c r="AF34" s="434"/>
      <c r="AG34" s="434"/>
      <c r="AH34" s="434"/>
      <c r="AI34" s="386" t="s">
        <v>512</v>
      </c>
      <c r="AL34" s="475"/>
      <c r="AM34" s="475"/>
      <c r="AN34" s="475"/>
      <c r="AO34" s="475"/>
      <c r="AP34" s="475"/>
      <c r="AQ34" s="525">
        <v>1</v>
      </c>
    </row>
    <row customHeight="1" ht="14.699999999999998">
      <c r="Q35" s="483"/>
      <c r="R35" s="483"/>
      <c r="S35" s="1371"/>
      <c r="T35" s="470"/>
      <c r="U35" s="1340"/>
      <c r="V35" s="3127"/>
      <c r="W35" s="3127"/>
      <c r="X35" s="3127"/>
      <c r="Y35" s="3127"/>
      <c r="Z35" s="3127"/>
      <c r="AA35" s="3127"/>
      <c r="AB35" s="3127"/>
      <c r="AC35" s="3127"/>
      <c r="AD35" s="3127"/>
      <c r="AE35" s="3127"/>
      <c r="AF35" s="3127"/>
      <c r="AG35" s="3127"/>
      <c r="AH35" s="3127"/>
      <c r="AI35" s="3127"/>
      <c r="AQ35" s="1251">
        <v>14</v>
      </c>
    </row>
    <row customHeight="1" ht="14.699999999999998">
      <c r="Q36" s="483"/>
      <c r="R36" s="483"/>
      <c r="S36" s="2978" t="s">
        <v>385</v>
      </c>
      <c r="T36" s="2978"/>
      <c r="U36" s="2978"/>
      <c r="V36" s="2978"/>
      <c r="W36" s="2978"/>
      <c r="X36" s="2978"/>
      <c r="Y36" s="2978"/>
      <c r="Z36" s="2978"/>
      <c r="AA36" s="2978"/>
      <c r="AB36" s="2978"/>
      <c r="AC36" s="2978"/>
      <c r="AD36" s="2978"/>
      <c r="AE36" s="2978"/>
      <c r="AF36" s="2978"/>
      <c r="AG36" s="2978"/>
      <c r="AH36" s="2978"/>
      <c r="AI36" s="2978"/>
      <c r="AJ36" s="2978"/>
      <c r="AK36" s="2978" t="s">
        <v>386</v>
      </c>
      <c r="AQ36" s="1251">
        <v>14</v>
      </c>
    </row>
    <row customHeight="1" ht="14.699999999999998">
      <c r="Q37" s="483"/>
      <c r="R37" s="483"/>
      <c r="S37" s="3128" t="s">
        <v>88</v>
      </c>
      <c r="T37" s="3077" t="s">
        <v>513</v>
      </c>
      <c r="U37" s="409"/>
      <c r="V37" s="3129" t="s">
        <v>514</v>
      </c>
      <c r="W37" s="3130"/>
      <c r="X37" s="3130"/>
      <c r="Y37" s="3130"/>
      <c r="Z37" s="3130"/>
      <c r="AA37" s="3131"/>
      <c r="AB37" s="3132" t="s">
        <v>515</v>
      </c>
      <c r="AC37" s="3129" t="s">
        <v>514</v>
      </c>
      <c r="AD37" s="3130"/>
      <c r="AE37" s="3130"/>
      <c r="AF37" s="3130"/>
      <c r="AG37" s="3130"/>
      <c r="AH37" s="3131"/>
      <c r="AI37" s="3132" t="s">
        <v>516</v>
      </c>
      <c r="AJ37" s="3135" t="s">
        <v>517</v>
      </c>
      <c r="AK37" s="2978"/>
      <c r="AQ37" s="1251">
        <v>14</v>
      </c>
    </row>
    <row customHeight="1" ht="35.699999999999996">
      <c r="Q38" s="483"/>
      <c r="R38" s="483"/>
      <c r="S38" s="3128"/>
      <c r="T38" s="3077"/>
      <c r="U38" s="1131"/>
      <c r="V38" s="1548" t="s">
        <v>574</v>
      </c>
      <c r="W38" s="2959" t="s">
        <v>520</v>
      </c>
      <c r="X38" s="2958"/>
      <c r="Y38" s="2959" t="s">
        <v>521</v>
      </c>
      <c r="Z38" s="2965"/>
      <c r="AA38" s="2958"/>
      <c r="AB38" s="3133"/>
      <c r="AC38" s="1548" t="s">
        <v>574</v>
      </c>
      <c r="AD38" s="2959" t="s">
        <v>520</v>
      </c>
      <c r="AE38" s="2958"/>
      <c r="AF38" s="2959" t="s">
        <v>521</v>
      </c>
      <c r="AG38" s="2965"/>
      <c r="AH38" s="2958"/>
      <c r="AI38" s="3133"/>
      <c r="AJ38" s="3136"/>
      <c r="AK38" s="2978"/>
      <c r="AQ38" s="1251">
        <v>34</v>
      </c>
    </row>
    <row customHeight="1" ht="35.699999999999996">
      <c r="A39" s="1466"/>
      <c r="B39" s="1466" t="s">
        <v>222</v>
      </c>
      <c r="C39" s="1466" t="s">
        <v>223</v>
      </c>
      <c r="D39" s="1466" t="s">
        <v>224</v>
      </c>
      <c r="E39" s="1460" t="s">
        <v>522</v>
      </c>
      <c r="F39" s="1460" t="s">
        <v>523</v>
      </c>
      <c r="G39" s="1460" t="s">
        <v>524</v>
      </c>
      <c r="H39" s="1460"/>
      <c r="I39" s="1460" t="s">
        <v>575</v>
      </c>
      <c r="J39" s="1460" t="s">
        <v>527</v>
      </c>
      <c r="K39" s="1460" t="s">
        <v>576</v>
      </c>
      <c r="L39" s="1460" t="s">
        <v>503</v>
      </c>
      <c r="Q39" s="483"/>
      <c r="R39" s="483"/>
      <c r="S39" s="3128"/>
      <c r="T39" s="3077"/>
      <c r="U39" s="410"/>
      <c r="V39" s="1548" t="s">
        <v>577</v>
      </c>
      <c r="W39" s="1318" t="s">
        <v>578</v>
      </c>
      <c r="X39" s="1318" t="s">
        <v>579</v>
      </c>
      <c r="Y39" s="1551" t="s">
        <v>531</v>
      </c>
      <c r="Z39" s="3082" t="s">
        <v>532</v>
      </c>
      <c r="AA39" s="3095"/>
      <c r="AB39" s="3134"/>
      <c r="AC39" s="1548" t="s">
        <v>577</v>
      </c>
      <c r="AD39" s="1318" t="s">
        <v>578</v>
      </c>
      <c r="AE39" s="1318" t="s">
        <v>579</v>
      </c>
      <c r="AF39" s="1551" t="s">
        <v>531</v>
      </c>
      <c r="AG39" s="3082" t="s">
        <v>532</v>
      </c>
      <c r="AH39" s="3095"/>
      <c r="AI39" s="3134"/>
      <c r="AJ39" s="3137"/>
      <c r="AK39" s="2978"/>
      <c r="AQ39" s="1251">
        <v>34</v>
      </c>
    </row>
    <row s="10851" customFormat="1" customHeight="1" ht="14.25" hidden="1">
      <c r="A40" s="1466"/>
      <c r="B40" s="1466"/>
      <c r="C40" s="1466"/>
      <c r="D40" s="1466"/>
      <c r="E40" s="1466"/>
      <c r="F40" s="1466"/>
      <c r="G40" s="1466"/>
      <c r="H40" s="1466"/>
      <c r="I40" s="1466"/>
      <c r="J40" s="1466"/>
      <c r="K40" s="1466"/>
      <c r="L40" s="1460"/>
      <c r="M40" s="1458"/>
      <c r="N40" s="1458"/>
      <c r="O40" s="1458"/>
      <c r="P40" s="1342"/>
      <c r="Q40" s="1343"/>
      <c r="R40" s="1350">
        <v>1</v>
      </c>
      <c r="S40" s="1373" t="s">
        <v>144</v>
      </c>
      <c r="T40" s="1351" t="s">
        <v>102</v>
      </c>
      <c r="U40" s="1341" t="str">
        <f>OFFSET(U40,0,-1)</f>
        <v>2</v>
      </c>
      <c r="V40" s="1547">
        <f>OFFSET(V40,0,-1)+1</f>
        <v>3</v>
      </c>
      <c r="W40" s="1547">
        <f>OFFSET(W40,0,-1)+1</f>
        <v>4</v>
      </c>
      <c r="X40" s="1547">
        <f>OFFSET(X40,0,-1)+1</f>
        <v>5</v>
      </c>
      <c r="Y40" s="1547">
        <f>OFFSET(Y40,0,-1)+1</f>
        <v>6</v>
      </c>
      <c r="Z40" s="3126">
        <f>OFFSET(Z40,0,-1)+1</f>
        <v>7</v>
      </c>
      <c r="AA40" s="3126"/>
      <c r="AB40" s="1547">
        <f>OFFSET(AB40,0,-2)+1</f>
        <v>8</v>
      </c>
      <c r="AC40" s="1547">
        <f>OFFSET(AC40,0,-1)+1</f>
        <v>9</v>
      </c>
      <c r="AD40" s="1547">
        <f>OFFSET(AD40,0,-1)+1</f>
        <v>10</v>
      </c>
      <c r="AE40" s="1547">
        <f>OFFSET(AE40,0,-1)+1</f>
        <v>11</v>
      </c>
      <c r="AF40" s="1547">
        <f>OFFSET(AF40,0,-1)+1</f>
        <v>12</v>
      </c>
      <c r="AG40" s="3126">
        <f>OFFSET(AG40,0,-1)+1</f>
        <v>13</v>
      </c>
      <c r="AH40" s="3126"/>
      <c r="AI40" s="1547">
        <f>OFFSET(AI40,0,-2)+1</f>
        <v>14</v>
      </c>
      <c r="AJ40" s="1341">
        <f>OFFSET(AJ40,0,-1)</f>
        <v>14</v>
      </c>
      <c r="AK40" s="1547">
        <f>OFFSET(AK40,0,-1)+1</f>
        <v>15</v>
      </c>
      <c r="AL40" s="618"/>
      <c r="AM40" s="618"/>
      <c r="AN40" s="618"/>
      <c r="AO40" s="618"/>
      <c r="AP40" s="618"/>
      <c r="AQ40" s="603">
        <v>0</v>
      </c>
    </row>
    <row customHeight="1" ht="24">
      <c r="A41" s="1459" t="s">
        <v>326</v>
      </c>
      <c r="B41" s="1459"/>
      <c r="C41" s="1459"/>
      <c r="D41" s="1459"/>
      <c r="E41" s="3115">
        <v>1</v>
      </c>
      <c r="F41" s="1459"/>
      <c r="G41" s="1459"/>
      <c r="H41" s="1459"/>
      <c r="I41" s="1459"/>
      <c r="J41" s="1459"/>
      <c r="K41" s="1459"/>
      <c r="L41" s="1460"/>
      <c r="M41" s="1461"/>
      <c r="N41" s="1461"/>
      <c r="O41" s="1461"/>
      <c r="P41" s="468"/>
      <c r="Q41" s="467"/>
      <c r="R41" s="462"/>
      <c r="S41" s="1553">
        <f>INDEX(PT_DIFFERENTIATION_NUM_NTAR,MATCH(A41,PT_DIFFERENTIATION_NTAR_ID,0))</f>
        <v>0</v>
      </c>
      <c r="T41" s="406" t="s">
        <v>210</v>
      </c>
      <c r="U41" s="408"/>
      <c r="V41" s="3109"/>
      <c r="W41" s="3110"/>
      <c r="X41" s="3110"/>
      <c r="Y41" s="3110"/>
      <c r="Z41" s="3110"/>
      <c r="AA41" s="3110"/>
      <c r="AB41" s="3111"/>
      <c r="AC41" s="3109" t="str">
        <f>INDEX(PT_DIFFERENTIATION_NTAR,MATCH(A41,PT_DIFFERENTIATION_NTAR_ID,0))</f>
        <v/>
      </c>
      <c r="AD41" s="3110"/>
      <c r="AE41" s="3110"/>
      <c r="AF41" s="3110"/>
      <c r="AG41" s="3110"/>
      <c r="AH41" s="3110"/>
      <c r="AI41" s="3110"/>
      <c r="AJ41" s="3111"/>
      <c r="AK41"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7"/>
      <c r="AN41" s="607" t="str">
        <f>IF(T41="","",T41)</f>
        <v>Наименование тарифа</v>
      </c>
      <c r="AO41" s="607"/>
      <c r="AP41" s="607"/>
      <c r="AQ41" s="1251">
        <v>23</v>
      </c>
    </row>
    <row customHeight="1" ht="24">
      <c r="A42" s="1459" t="s">
        <v>326</v>
      </c>
      <c r="B42" s="1459" t="s">
        <v>327</v>
      </c>
      <c r="C42" s="1459"/>
      <c r="D42" s="1459"/>
      <c r="E42" s="3116"/>
      <c r="F42" s="3115">
        <v>1</v>
      </c>
      <c r="G42" s="1459"/>
      <c r="H42" s="1459"/>
      <c r="I42" s="1459"/>
      <c r="J42" s="1459"/>
      <c r="K42" s="1459"/>
      <c r="L42" s="1460"/>
      <c r="M42" s="1461"/>
      <c r="N42" s="1461"/>
      <c r="O42" s="1461"/>
      <c r="P42" s="1549"/>
      <c r="Q42" s="459"/>
      <c r="R42" s="460"/>
      <c r="S42" s="1553" t="str">
        <f>INDEX(PT_DIFFERENTIATION_NUM_TER,MATCH(B42,PT_DIFFERENTIATION_TER_ID,0))</f>
        <v>.</v>
      </c>
      <c r="T42" s="416" t="s">
        <v>482</v>
      </c>
      <c r="U42" s="408"/>
      <c r="V42" s="3109"/>
      <c r="W42" s="3110"/>
      <c r="X42" s="3110"/>
      <c r="Y42" s="3110"/>
      <c r="Z42" s="3110"/>
      <c r="AA42" s="3110"/>
      <c r="AB42" s="3111"/>
      <c r="AC42" s="3109" t="str">
        <f>INDEX(PT_DIFFERENTIATION_TER,MATCH(B42,PT_DIFFERENTIATION_TER_ID,0))</f>
        <v/>
      </c>
      <c r="AD42" s="3110"/>
      <c r="AE42" s="3110"/>
      <c r="AF42" s="3110"/>
      <c r="AG42" s="3110"/>
      <c r="AH42" s="3110"/>
      <c r="AI42" s="3110"/>
      <c r="AJ42" s="3111"/>
      <c r="AK42" s="1354" t="s">
        <v>483</v>
      </c>
      <c r="AM42" s="607"/>
      <c r="AN42" s="607" t="str">
        <f>IF(T42="","",T42)</f>
        <v>Территория действия тарифа</v>
      </c>
      <c r="AO42" s="607"/>
      <c r="AP42" s="607"/>
      <c r="AQ42" s="1251">
        <v>23</v>
      </c>
    </row>
    <row customHeight="1" ht="24">
      <c r="A43" s="1459" t="s">
        <v>326</v>
      </c>
      <c r="B43" s="1459" t="s">
        <v>327</v>
      </c>
      <c r="C43" s="1459" t="s">
        <v>328</v>
      </c>
      <c r="D43" s="1459"/>
      <c r="E43" s="3116"/>
      <c r="F43" s="3116"/>
      <c r="G43" s="3115">
        <v>1</v>
      </c>
      <c r="H43" s="1459"/>
      <c r="I43" s="1459"/>
      <c r="J43" s="1459"/>
      <c r="K43" s="1459"/>
      <c r="L43" s="1460"/>
      <c r="M43" s="1461"/>
      <c r="N43" s="1461"/>
      <c r="O43" s="1461"/>
      <c r="P43" s="461"/>
      <c r="Q43" s="459"/>
      <c r="R43" s="460"/>
      <c r="S43" s="1553" t="str">
        <f>INDEX(PT_DIFFERENTIATION_NUM_CS,MATCH(C43,PT_DIFFERENTIATION_CS_ID,0))</f>
        <v>..</v>
      </c>
      <c r="T43" s="417" t="s">
        <v>566</v>
      </c>
      <c r="U43" s="408"/>
      <c r="V43" s="3109"/>
      <c r="W43" s="3110"/>
      <c r="X43" s="3110"/>
      <c r="Y43" s="3110"/>
      <c r="Z43" s="3110"/>
      <c r="AA43" s="3110"/>
      <c r="AB43" s="3111"/>
      <c r="AC43" s="3109" t="str">
        <f>INDEX(PT_DIFFERENTIATION_CS,MATCH(C43,PT_DIFFERENTIATION_CS_ID,0))</f>
        <v/>
      </c>
      <c r="AD43" s="3110"/>
      <c r="AE43" s="3110"/>
      <c r="AF43" s="3110"/>
      <c r="AG43" s="3110"/>
      <c r="AH43" s="3110"/>
      <c r="AI43" s="3110"/>
      <c r="AJ43" s="3111"/>
      <c r="AK43" s="1354" t="s">
        <v>567</v>
      </c>
      <c r="AM43" s="607"/>
      <c r="AN43" s="607" t="str">
        <f>IF(T43="","",T43)</f>
        <v>Наименование централизованной системы холодного водоснабжения</v>
      </c>
      <c r="AO43" s="607"/>
      <c r="AP43" s="607"/>
      <c r="AQ43" s="1251">
        <v>23</v>
      </c>
    </row>
    <row customHeight="1" ht="24">
      <c r="A44" s="1459" t="s">
        <v>326</v>
      </c>
      <c r="B44" s="1459" t="s">
        <v>327</v>
      </c>
      <c r="C44" s="1459" t="s">
        <v>328</v>
      </c>
      <c r="D44" s="1459" t="s">
        <v>583</v>
      </c>
      <c r="E44" s="3116"/>
      <c r="F44" s="3116"/>
      <c r="G44" s="3116"/>
      <c r="H44" s="3116"/>
      <c r="I44" s="3117" t="str">
        <f>S43&amp;".1"</f>
        <v>...1</v>
      </c>
      <c r="J44" s="1459"/>
      <c r="K44" s="1459"/>
      <c r="L44" s="1460"/>
      <c r="P44" s="3119">
        <v>1</v>
      </c>
      <c r="Q44" s="1546"/>
      <c r="R44" s="463"/>
      <c r="S44" s="1553" t="str">
        <f>$I44</f>
        <v>...1</v>
      </c>
      <c r="T44" s="393" t="s">
        <v>568</v>
      </c>
      <c r="U44" s="408"/>
      <c r="V44" s="3183"/>
      <c r="W44" s="3184"/>
      <c r="X44" s="3184"/>
      <c r="Y44" s="3184"/>
      <c r="Z44" s="3184"/>
      <c r="AA44" s="3184"/>
      <c r="AB44" s="3185"/>
      <c r="AC44" s="3186"/>
      <c r="AD44" s="3187"/>
      <c r="AE44" s="3187"/>
      <c r="AF44" s="3187"/>
      <c r="AG44" s="3187"/>
      <c r="AH44" s="3187"/>
      <c r="AI44" s="3187"/>
      <c r="AJ44" s="3188"/>
      <c r="AK44" s="1354" t="s">
        <v>569</v>
      </c>
      <c r="AM44" s="607"/>
      <c r="AN44" s="607" t="str">
        <f>IF(T44="","",T44)</f>
        <v>Наименование признака дифференциации</v>
      </c>
      <c r="AO44" s="607"/>
      <c r="AP44" s="607"/>
      <c r="AQ44" s="1251">
        <v>23</v>
      </c>
    </row>
    <row customHeight="1" ht="24">
      <c r="A45" s="1459" t="s">
        <v>326</v>
      </c>
      <c r="B45" s="1459" t="s">
        <v>327</v>
      </c>
      <c r="C45" s="1459" t="s">
        <v>328</v>
      </c>
      <c r="D45" s="1459" t="s">
        <v>583</v>
      </c>
      <c r="E45" s="3116"/>
      <c r="F45" s="3116"/>
      <c r="G45" s="3116"/>
      <c r="H45" s="3116"/>
      <c r="I45" s="3118"/>
      <c r="J45" s="3117" t="str">
        <f>I44&amp;".1"</f>
        <v>...1.1</v>
      </c>
      <c r="K45" s="1459"/>
      <c r="L45" s="1460" t="s">
        <v>491</v>
      </c>
      <c r="P45" s="3119"/>
      <c r="Q45" s="3119">
        <v>1</v>
      </c>
      <c r="R45" s="464"/>
      <c r="S45" s="1553" t="str">
        <f>$J45</f>
        <v>...1.1</v>
      </c>
      <c r="T45" s="394" t="s">
        <v>492</v>
      </c>
      <c r="U45" s="408"/>
      <c r="V45" s="3103"/>
      <c r="W45" s="3104"/>
      <c r="X45" s="3104"/>
      <c r="Y45" s="3104"/>
      <c r="Z45" s="3104"/>
      <c r="AA45" s="3104"/>
      <c r="AB45" s="3105"/>
      <c r="AC45" s="3103"/>
      <c r="AD45" s="3104"/>
      <c r="AE45" s="3104"/>
      <c r="AF45" s="3104"/>
      <c r="AG45" s="3104"/>
      <c r="AH45" s="3104"/>
      <c r="AI45" s="3104"/>
      <c r="AJ45" s="3105"/>
      <c r="AK45" s="1403" t="s">
        <v>570</v>
      </c>
      <c r="AM45" s="607"/>
      <c r="AN45" s="607" t="str">
        <f>IF(T45="","",T45)</f>
        <v>Группа потребителей</v>
      </c>
      <c r="AO45" s="607"/>
      <c r="AP45" s="607"/>
      <c r="AQ45" s="1251">
        <v>23</v>
      </c>
    </row>
    <row customHeight="1" ht="24">
      <c r="A46" s="1459" t="s">
        <v>326</v>
      </c>
      <c r="B46" s="1459" t="s">
        <v>327</v>
      </c>
      <c r="C46" s="1459" t="s">
        <v>328</v>
      </c>
      <c r="D46" s="1459" t="s">
        <v>583</v>
      </c>
      <c r="E46" s="3116"/>
      <c r="F46" s="3116"/>
      <c r="G46" s="3116"/>
      <c r="H46" s="3116"/>
      <c r="I46" s="3118"/>
      <c r="J46" s="3118"/>
      <c r="K46" s="3117" t="str">
        <f>J45&amp;".1"</f>
        <v>...1.1.1</v>
      </c>
      <c r="L46" s="1460"/>
      <c r="P46" s="3119"/>
      <c r="Q46" s="3119"/>
      <c r="R46" s="464">
        <v>1</v>
      </c>
      <c r="S46" s="1553" t="str">
        <f>$K46</f>
        <v>...1.1.1</v>
      </c>
      <c r="T46" s="1533"/>
      <c r="U46" s="408"/>
      <c r="V46" s="858"/>
      <c r="W46" s="858"/>
      <c r="X46" s="1353"/>
      <c r="Y46" s="3120"/>
      <c r="Z46" s="2989" t="s">
        <v>62</v>
      </c>
      <c r="AA46" s="3120"/>
      <c r="AB46" s="2989" t="s">
        <v>62</v>
      </c>
      <c r="AC46" s="858"/>
      <c r="AD46" s="858"/>
      <c r="AE46" s="1353"/>
      <c r="AF46" s="3120"/>
      <c r="AG46" s="2989" t="s">
        <v>62</v>
      </c>
      <c r="AH46" s="3122"/>
      <c r="AI46" s="2989" t="s">
        <v>62</v>
      </c>
      <c r="AJ46" s="1534"/>
      <c r="AK46"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8">
        <f>STRCHECKDATE(V47:AJ47)</f>
      </c>
      <c r="AM46" s="607"/>
      <c r="AN46" s="607" t="str">
        <f>IF(T46="","",T46)</f>
        <v/>
      </c>
      <c r="AO46" s="607"/>
      <c r="AP46" s="607"/>
      <c r="AQ46" s="1251">
        <v>23</v>
      </c>
    </row>
    <row customHeight="1" ht="14.25" hidden="1">
      <c r="A47" s="1459" t="s">
        <v>326</v>
      </c>
      <c r="B47" s="1459" t="s">
        <v>327</v>
      </c>
      <c r="C47" s="1459" t="s">
        <v>328</v>
      </c>
      <c r="D47" s="1459" t="s">
        <v>583</v>
      </c>
      <c r="E47" s="3116"/>
      <c r="F47" s="3116"/>
      <c r="G47" s="3116"/>
      <c r="H47" s="3116"/>
      <c r="I47" s="3118"/>
      <c r="J47" s="3118"/>
      <c r="K47" s="3117"/>
      <c r="L47" s="1460"/>
      <c r="P47" s="3119"/>
      <c r="Q47" s="3119"/>
      <c r="R47" s="464"/>
      <c r="S47" s="1552"/>
      <c r="T47" s="408"/>
      <c r="U47" s="408"/>
      <c r="V47" s="433"/>
      <c r="W47" s="433"/>
      <c r="X47" s="436" t="str">
        <f>Y46&amp;"-"&amp;AA46</f>
        <v>-</v>
      </c>
      <c r="Y47" s="3121"/>
      <c r="Z47" s="2989"/>
      <c r="AA47" s="3121"/>
      <c r="AB47" s="2989"/>
      <c r="AC47" s="433"/>
      <c r="AD47" s="433"/>
      <c r="AE47" s="436" t="str">
        <f>AF46&amp;"-"&amp;AH46</f>
        <v>-</v>
      </c>
      <c r="AF47" s="3121"/>
      <c r="AG47" s="2989"/>
      <c r="AH47" s="3123"/>
      <c r="AI47" s="2989"/>
      <c r="AJ47" s="1535"/>
      <c r="AK47" s="3189"/>
      <c r="AM47" s="607"/>
      <c r="AN47" s="607" t="str">
        <f>IF(T47="","",T47)</f>
        <v/>
      </c>
      <c r="AO47" s="607"/>
      <c r="AP47" s="607"/>
      <c r="AQ47" s="1251">
        <v>0</v>
      </c>
    </row>
    <row customHeight="1" ht="21">
      <c r="A48" s="1459" t="s">
        <v>326</v>
      </c>
      <c r="B48" s="1459" t="s">
        <v>327</v>
      </c>
      <c r="C48" s="1459" t="s">
        <v>328</v>
      </c>
      <c r="D48" s="1459" t="s">
        <v>583</v>
      </c>
      <c r="E48" s="3116"/>
      <c r="F48" s="3116"/>
      <c r="G48" s="3116"/>
      <c r="H48" s="3116"/>
      <c r="I48" s="3118"/>
      <c r="J48" s="3117"/>
      <c r="K48" s="1459"/>
      <c r="L48" s="1460"/>
      <c r="P48" s="3119"/>
      <c r="Q48" s="3119"/>
      <c r="R48" s="463"/>
      <c r="S48" s="1374"/>
      <c r="T48" s="395" t="s">
        <v>571</v>
      </c>
      <c r="U48" s="474"/>
      <c r="V48" s="474"/>
      <c r="W48" s="474"/>
      <c r="X48" s="474"/>
      <c r="Y48" s="474"/>
      <c r="Z48" s="474"/>
      <c r="AA48" s="474"/>
      <c r="AB48" s="474"/>
      <c r="AC48" s="474"/>
      <c r="AD48" s="474"/>
      <c r="AE48" s="474"/>
      <c r="AF48" s="474"/>
      <c r="AG48" s="474"/>
      <c r="AH48" s="474"/>
      <c r="AI48" s="474"/>
      <c r="AJ48" s="474"/>
      <c r="AK48" s="1354" t="s">
        <v>572</v>
      </c>
      <c r="AM48" s="607"/>
      <c r="AN48" s="607" t="str">
        <f>IF(T48="","",T48)</f>
        <v>Добавить значение признака дифференциации</v>
      </c>
      <c r="AO48" s="607"/>
      <c r="AP48" s="607"/>
      <c r="AQ48" s="1251">
        <v>20</v>
      </c>
    </row>
    <row customHeight="1" ht="22.049999999999997">
      <c r="A49" s="1459" t="s">
        <v>326</v>
      </c>
      <c r="B49" s="1459" t="s">
        <v>327</v>
      </c>
      <c r="C49" s="1459" t="s">
        <v>328</v>
      </c>
      <c r="D49" s="1459" t="s">
        <v>583</v>
      </c>
      <c r="E49" s="3116"/>
      <c r="F49" s="3116"/>
      <c r="G49" s="3116"/>
      <c r="H49" s="3116"/>
      <c r="I49" s="3117"/>
      <c r="J49" s="1459"/>
      <c r="K49" s="1459"/>
      <c r="L49" s="1460"/>
      <c r="P49" s="3119"/>
      <c r="Q49" s="1546"/>
      <c r="R49" s="463"/>
      <c r="S49" s="1374"/>
      <c r="T49" s="472" t="s">
        <v>497</v>
      </c>
      <c r="U49" s="474"/>
      <c r="V49" s="474"/>
      <c r="W49" s="474"/>
      <c r="X49" s="474"/>
      <c r="Y49" s="474"/>
      <c r="Z49" s="474"/>
      <c r="AA49" s="474"/>
      <c r="AB49" s="473"/>
      <c r="AC49" s="474"/>
      <c r="AD49" s="474"/>
      <c r="AE49" s="474"/>
      <c r="AF49" s="474"/>
      <c r="AG49" s="474"/>
      <c r="AH49" s="474"/>
      <c r="AI49" s="473"/>
      <c r="AJ49" s="474"/>
      <c r="AK49" s="1536"/>
      <c r="AM49" s="607"/>
      <c r="AN49" s="607" t="str">
        <f>IF(T49="","",T49)</f>
        <v>Добавить группу потребителей</v>
      </c>
      <c r="AO49" s="607"/>
      <c r="AP49" s="607"/>
      <c r="AQ49" s="1251">
        <v>21</v>
      </c>
    </row>
    <row customHeight="1" ht="22.049999999999997">
      <c r="A50" s="1459" t="s">
        <v>326</v>
      </c>
      <c r="B50" s="1459" t="s">
        <v>327</v>
      </c>
      <c r="C50" s="1459" t="s">
        <v>328</v>
      </c>
      <c r="D50" s="1459" t="s">
        <v>583</v>
      </c>
      <c r="E50" s="3116"/>
      <c r="F50" s="3116"/>
      <c r="G50" s="3116"/>
      <c r="H50" s="3115"/>
      <c r="I50" s="1459"/>
      <c r="J50" s="1459"/>
      <c r="K50" s="1459"/>
      <c r="L50" s="1460"/>
      <c r="M50" s="1461"/>
      <c r="N50" s="1461"/>
      <c r="O50" s="644"/>
      <c r="P50" s="467"/>
      <c r="Q50" s="482"/>
      <c r="R50" s="462"/>
      <c r="S50" s="1374"/>
      <c r="T50" s="479" t="s">
        <v>573</v>
      </c>
      <c r="U50" s="474"/>
      <c r="V50" s="474"/>
      <c r="W50" s="474"/>
      <c r="X50" s="474"/>
      <c r="Y50" s="474"/>
      <c r="Z50" s="474"/>
      <c r="AA50" s="474"/>
      <c r="AB50" s="473"/>
      <c r="AC50" s="474"/>
      <c r="AD50" s="474"/>
      <c r="AE50" s="474"/>
      <c r="AF50" s="474"/>
      <c r="AG50" s="474"/>
      <c r="AH50" s="474"/>
      <c r="AI50" s="473"/>
      <c r="AJ50" s="474"/>
      <c r="AK50" s="411"/>
      <c r="AM50" s="607"/>
      <c r="AN50" s="607" t="str">
        <f>IF(T50="","",T50)</f>
        <v>Добавить наименование признака дифференциации</v>
      </c>
      <c r="AO50" s="607"/>
      <c r="AP50" s="607"/>
      <c r="AQ50" s="1251">
        <v>21</v>
      </c>
    </row>
    <row s="10307" customFormat="1" customHeight="1" ht="14.25" hidden="1">
      <c r="A51" s="1439" t="s">
        <v>326</v>
      </c>
      <c r="B51" s="1439" t="s">
        <v>327</v>
      </c>
      <c r="C51" s="1410"/>
      <c r="D51" s="1410"/>
      <c r="E51" s="3116"/>
      <c r="F51" s="3115"/>
      <c r="G51" s="1410"/>
      <c r="H51" s="1410"/>
      <c r="I51" s="1410"/>
      <c r="J51" s="1410"/>
      <c r="K51" s="1410"/>
      <c r="L51" s="1554"/>
      <c r="M51" s="1417"/>
      <c r="N51" s="1417"/>
      <c r="P51" s="1412"/>
      <c r="Q51" s="1413"/>
      <c r="R51" s="1412"/>
      <c r="S51" s="1418"/>
      <c r="T51" s="1421" t="s">
        <v>500</v>
      </c>
      <c r="U51" s="1420"/>
      <c r="V51" s="1420"/>
      <c r="W51" s="1420"/>
      <c r="X51" s="1420"/>
      <c r="Y51" s="1420"/>
      <c r="Z51" s="1420"/>
      <c r="AA51" s="1420"/>
      <c r="AB51" s="1420"/>
      <c r="AC51" s="1420"/>
      <c r="AD51" s="1420"/>
      <c r="AE51" s="1420"/>
      <c r="AF51" s="1420"/>
      <c r="AG51" s="1420"/>
      <c r="AH51" s="1420"/>
      <c r="AI51" s="1420"/>
      <c r="AJ51" s="1420"/>
      <c r="AK51" s="1420"/>
      <c r="AM51" s="890"/>
      <c r="AN51" s="890" t="str">
        <f>IF(T51="","",T51)</f>
        <v>Добавить централизованную систему для дифференциации</v>
      </c>
      <c r="AO51" s="890"/>
      <c r="AP51" s="890"/>
      <c r="AQ51" s="625">
        <v>0</v>
      </c>
    </row>
    <row s="10307" customFormat="1" customHeight="1" ht="14.25" hidden="1">
      <c r="A52" s="1439" t="s">
        <v>326</v>
      </c>
      <c r="B52" s="1439"/>
      <c r="C52" s="1439"/>
      <c r="D52" s="1439"/>
      <c r="E52" s="3115"/>
      <c r="F52" s="1439"/>
      <c r="G52" s="1439"/>
      <c r="H52" s="1439"/>
      <c r="I52" s="1439"/>
      <c r="J52" s="1439"/>
      <c r="K52" s="1439"/>
      <c r="L52" s="1442"/>
      <c r="M52" s="1417"/>
      <c r="N52" s="1417"/>
      <c r="O52" s="625"/>
      <c r="P52" s="487"/>
      <c r="Q52" s="1440"/>
      <c r="R52" s="487"/>
      <c r="S52" s="1418"/>
      <c r="T52" s="1421" t="s">
        <v>501</v>
      </c>
      <c r="U52" s="1420"/>
      <c r="V52" s="1420"/>
      <c r="W52" s="1420"/>
      <c r="X52" s="1420"/>
      <c r="Y52" s="1420"/>
      <c r="Z52" s="1420"/>
      <c r="AA52" s="1420"/>
      <c r="AB52" s="1420"/>
      <c r="AC52" s="1420"/>
      <c r="AD52" s="1420"/>
      <c r="AE52" s="1420"/>
      <c r="AF52" s="1420"/>
      <c r="AG52" s="1420"/>
      <c r="AH52" s="1420"/>
      <c r="AI52" s="1420"/>
      <c r="AJ52" s="1420"/>
      <c r="AK52" s="1420"/>
      <c r="AM52" s="607"/>
      <c r="AN52" s="607" t="str">
        <f>IF(T52="","",T52)</f>
        <v>Добавить территорию для дифференциации</v>
      </c>
      <c r="AO52" s="607"/>
      <c r="AP52" s="607"/>
      <c r="AQ52" s="618">
        <v>0</v>
      </c>
    </row>
    <row s="10307" customFormat="1" customHeight="1" ht="14.25" hidden="1">
      <c r="A53" s="1410"/>
      <c r="B53" s="1410"/>
      <c r="C53" s="1410"/>
      <c r="D53" s="1410"/>
      <c r="E53" s="1439"/>
      <c r="F53" s="1410"/>
      <c r="G53" s="1410"/>
      <c r="H53" s="1410"/>
      <c r="I53" s="1410"/>
      <c r="J53" s="1410"/>
      <c r="K53" s="1410"/>
      <c r="L53" s="1554"/>
      <c r="M53" s="1417"/>
      <c r="N53" s="1417"/>
      <c r="P53" s="1412"/>
      <c r="Q53" s="1413"/>
      <c r="R53" s="1412"/>
      <c r="S53" s="1418"/>
      <c r="T53" s="1421" t="s">
        <v>533</v>
      </c>
      <c r="U53" s="1420"/>
      <c r="V53" s="1420"/>
      <c r="W53" s="1420"/>
      <c r="X53" s="1420"/>
      <c r="Y53" s="1420"/>
      <c r="Z53" s="1420"/>
      <c r="AA53" s="1420"/>
      <c r="AB53" s="1420"/>
      <c r="AC53" s="1420"/>
      <c r="AD53" s="1420"/>
      <c r="AE53" s="1420"/>
      <c r="AF53" s="1420"/>
      <c r="AG53" s="1420"/>
      <c r="AH53" s="1420"/>
      <c r="AI53" s="1420"/>
      <c r="AJ53" s="1420"/>
      <c r="AK53" s="1420"/>
      <c r="AM53" s="890"/>
      <c r="AN53" s="890" t="str">
        <f>IF(T53="","",T53)</f>
        <v>Добавить наименование тарифа</v>
      </c>
      <c r="AO53" s="890"/>
      <c r="AP53" s="890"/>
      <c r="AQ53" s="625">
        <v>0</v>
      </c>
    </row>
    <row customHeight="1" ht="11.549999999999999">
      <c r="M54" s="1256"/>
      <c r="N54" s="1256"/>
      <c r="O54" s="644"/>
      <c r="P54" s="1251"/>
      <c r="Q54" s="1251"/>
      <c r="R54" s="1251"/>
      <c r="S54" s="1251"/>
      <c r="AL54" s="1251"/>
      <c r="AM54" s="1251"/>
      <c r="AN54" s="1251"/>
      <c r="AO54" s="1251"/>
      <c r="AP54" s="1251"/>
      <c r="AQ54" s="1251">
        <v>11</v>
      </c>
    </row>
    <row customHeight="1" ht="14.699999999999998">
      <c r="O55" s="644"/>
      <c r="S55" s="1349"/>
      <c r="T55" s="3114"/>
      <c r="U55" s="3114"/>
      <c r="V55" s="3114"/>
      <c r="W55" s="3114"/>
      <c r="X55" s="3114"/>
      <c r="Y55" s="3114"/>
      <c r="Z55" s="3114"/>
      <c r="AA55" s="3114"/>
      <c r="AB55" s="3114"/>
      <c r="AC55" s="3114"/>
      <c r="AD55" s="3114"/>
      <c r="AE55" s="3114"/>
      <c r="AF55" s="3114"/>
      <c r="AG55" s="3114"/>
      <c r="AH55" s="3114"/>
      <c r="AI55" s="3114"/>
      <c r="AJ55" s="3114"/>
      <c r="AK55" s="3114"/>
      <c r="AQ55" s="1251">
        <v>14</v>
      </c>
    </row>
    <row customHeight="1" ht="14.699999999999998">
      <c r="O56" s="644"/>
      <c r="AQ56" s="1251">
        <v>14</v>
      </c>
    </row>
    <row customHeight="1" ht="14.699999999999998">
      <c r="O57" s="644"/>
      <c r="S57" s="1349"/>
      <c r="T57" s="3114"/>
      <c r="U57" s="3114"/>
      <c r="V57" s="3114"/>
      <c r="W57" s="3114"/>
      <c r="X57" s="3114"/>
      <c r="Y57" s="3114"/>
      <c r="Z57" s="3114"/>
      <c r="AA57" s="3114"/>
      <c r="AB57" s="3114"/>
      <c r="AC57" s="3114"/>
      <c r="AD57" s="3114"/>
      <c r="AE57" s="3114"/>
      <c r="AF57" s="3114"/>
      <c r="AG57" s="3114"/>
      <c r="AH57" s="3114"/>
      <c r="AI57" s="3114"/>
      <c r="AJ57" s="3114"/>
      <c r="AK57" s="3114"/>
      <c r="AQ57" s="1251">
        <v>14</v>
      </c>
    </row>
    <row customHeight="1" ht="22.5" hidden="1">
      <c r="A58" s="1256" t="s">
        <v>82</v>
      </c>
      <c r="B58" s="1256">
        <v>0</v>
      </c>
      <c r="C58" s="1256">
        <v>0</v>
      </c>
      <c r="D58" s="1256">
        <v>0</v>
      </c>
      <c r="E58" s="1256">
        <v>0</v>
      </c>
      <c r="F58" s="1256">
        <v>0</v>
      </c>
      <c r="G58" s="1256">
        <v>0</v>
      </c>
      <c r="H58" s="1256">
        <v>0</v>
      </c>
      <c r="I58" s="1256">
        <v>0</v>
      </c>
      <c r="J58" s="1256">
        <v>0</v>
      </c>
      <c r="K58" s="1256">
        <v>0</v>
      </c>
      <c r="L58" s="1543">
        <v>0</v>
      </c>
      <c r="M58" s="1458">
        <v>0</v>
      </c>
      <c r="N58" s="1458">
        <v>0</v>
      </c>
      <c r="O58" s="1458">
        <v>0</v>
      </c>
      <c r="P58" s="1542">
        <v>3</v>
      </c>
      <c r="Q58" s="452">
        <v>3</v>
      </c>
      <c r="R58" s="452">
        <v>3</v>
      </c>
      <c r="S58" s="688">
        <v>12</v>
      </c>
      <c r="T58" s="1251">
        <v>35</v>
      </c>
      <c r="U58" s="1251">
        <v>0</v>
      </c>
      <c r="V58" s="1251">
        <v>0</v>
      </c>
      <c r="W58" s="1251">
        <v>0</v>
      </c>
      <c r="X58" s="1251">
        <v>0</v>
      </c>
      <c r="Y58" s="1251">
        <v>0</v>
      </c>
      <c r="Z58" s="1251">
        <v>0</v>
      </c>
      <c r="AA58" s="1251">
        <v>0</v>
      </c>
      <c r="AB58" s="1251">
        <v>0</v>
      </c>
      <c r="AC58" s="1251">
        <v>24</v>
      </c>
      <c r="AD58" s="1251">
        <v>24</v>
      </c>
      <c r="AE58" s="1251">
        <v>24</v>
      </c>
      <c r="AF58" s="1251">
        <v>11</v>
      </c>
      <c r="AG58" s="1251">
        <v>3</v>
      </c>
      <c r="AH58" s="1251">
        <v>11</v>
      </c>
      <c r="AI58" s="1251">
        <v>0</v>
      </c>
      <c r="AJ58" s="1251">
        <v>4</v>
      </c>
      <c r="AK58" s="1251">
        <v>115</v>
      </c>
      <c r="AL58" s="618">
        <v>10</v>
      </c>
      <c r="AM58" s="618">
        <v>10</v>
      </c>
      <c r="AN58" s="618">
        <v>10</v>
      </c>
      <c r="AO58" s="618">
        <v>10</v>
      </c>
      <c r="AP58" s="618">
        <v>10</v>
      </c>
      <c r="AQ58" s="125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573A9-1CF6-92E1-ABF4-9F60737FB94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0232" width="10.140625" hidden="1" customWidth="1"/>
    <col min="4" max="4" style="10232" width="11.8515625" hidden="1" customWidth="1"/>
    <col min="5" max="11" style="10232" width="10.140625" hidden="1" customWidth="1"/>
    <col min="12" max="12" style="10304" width="10.140625" hidden="1" customWidth="1"/>
    <col min="13" max="15" style="11081" width="10.140625" hidden="1" customWidth="1"/>
    <col min="16" max="16" style="11080" width="3.00390625" customWidth="1"/>
    <col min="17" max="17" style="11245" width="3.00390625" customWidth="1"/>
    <col min="18" max="18" style="11082" width="3.00390625" customWidth="1"/>
    <col min="19" max="19" style="11083" width="12.00390625" customWidth="1"/>
    <col min="20" max="20" style="10232" width="31.00390625" customWidth="1"/>
    <col min="21" max="21" style="10232" width="0.140625" customWidth="1"/>
    <col min="22" max="23" style="10232" width="21.7109375" hidden="1" customWidth="1"/>
    <col min="24" max="24" style="10232" width="11.7109375" hidden="1" customWidth="1"/>
    <col min="25" max="25" style="10232" width="3.7109375" hidden="1" customWidth="1"/>
    <col min="26" max="26" style="10232" width="11.7109375" hidden="1" customWidth="1"/>
    <col min="27" max="27" style="10232" width="8.57421875" hidden="1" customWidth="1"/>
    <col min="28" max="28" style="10232" width="27.00390625" customWidth="1"/>
    <col min="29" max="29" style="10232" width="24.57421875" customWidth="1"/>
    <col min="30" max="31" style="10232" width="21.00390625" customWidth="1"/>
    <col min="32" max="32" style="10232" width="11.00390625" customWidth="1"/>
    <col min="33" max="33" style="10232" width="3.7109375" customWidth="1"/>
    <col min="34" max="34" style="10232" width="11.00390625" customWidth="1"/>
    <col min="35" max="35" style="10232" width="8.57421875" hidden="1" customWidth="1"/>
    <col min="36" max="36" style="10232" width="4.00390625" customWidth="1"/>
    <col min="37" max="37" style="10232" width="115.00390625" customWidth="1"/>
    <col min="38" max="42" style="10307" width="10.00390625" customWidth="1"/>
    <col min="43" max="43" style="10232" width="10.57421875" hidden="1"/>
  </cols>
  <sheetData>
    <row customHeight="1" ht="0.75" hidden="1">
      <c r="AQ1" s="1727" t="s">
        <v>14</v>
      </c>
    </row>
    <row customHeight="1" ht="21" hidden="1">
      <c r="A2" s="1363"/>
      <c r="B2" s="1363"/>
      <c r="C2" s="1363"/>
      <c r="D2" s="1363"/>
      <c r="E2" s="3141">
        <v>1</v>
      </c>
      <c r="F2" s="1363"/>
      <c r="G2" s="1363"/>
      <c r="H2" s="1363"/>
      <c r="I2" s="1363"/>
      <c r="J2" s="1363"/>
      <c r="K2" s="1363"/>
      <c r="L2" s="1406"/>
      <c r="M2" s="1706"/>
      <c r="N2" s="1706"/>
      <c r="O2" s="1706"/>
      <c r="P2" s="1505"/>
      <c r="Q2" s="974"/>
      <c r="R2" s="462"/>
      <c r="S2" s="2049">
        <f>INDEX(PT_DIFFERENTIATION_NUM_NTAR,MATCH(A2,PT_DIFFERENTIATION_NTAR_ID,0))</f>
      </c>
      <c r="T2" s="1621" t="s">
        <v>210</v>
      </c>
      <c r="U2" s="408"/>
      <c r="V2" s="3110"/>
      <c r="W2" s="3110"/>
      <c r="X2" s="3110"/>
      <c r="Y2" s="3110"/>
      <c r="Z2" s="3110"/>
      <c r="AA2" s="3111"/>
      <c r="AB2" s="2043"/>
      <c r="AC2" s="3110">
        <f>INDEX(PT_DIFFERENTIATION_NTAR,MATCH(A2,PT_DIFFERENTIATION_NTAR_ID,0))</f>
      </c>
      <c r="AD2" s="3110"/>
      <c r="AE2" s="3110"/>
      <c r="AF2" s="3110"/>
      <c r="AG2" s="3110"/>
      <c r="AH2" s="3110"/>
      <c r="AI2" s="3110"/>
      <c r="AJ2" s="3111"/>
      <c r="AK2" s="1354" t="s">
        <v>481</v>
      </c>
      <c r="AM2" s="1720"/>
      <c r="AN2" s="1720" t="str">
        <f>IF(T2="","",T2)</f>
        <v>Наименование тарифа</v>
      </c>
      <c r="AO2" s="1720"/>
      <c r="AP2" s="1720"/>
      <c r="AQ2" s="1727">
        <v>0</v>
      </c>
    </row>
    <row customHeight="1" ht="21" hidden="1">
      <c r="A3" s="1363"/>
      <c r="B3" s="1363"/>
      <c r="C3" s="1363"/>
      <c r="D3" s="1363"/>
      <c r="E3" s="3142"/>
      <c r="F3" s="3141">
        <v>1</v>
      </c>
      <c r="G3" s="1363"/>
      <c r="H3" s="1363"/>
      <c r="I3" s="1363"/>
      <c r="J3" s="1363"/>
      <c r="K3" s="1363"/>
      <c r="L3" s="1406"/>
      <c r="M3" s="1706"/>
      <c r="N3" s="1706"/>
      <c r="O3" s="1706"/>
      <c r="P3" s="2060"/>
      <c r="Q3" s="1507"/>
      <c r="R3" s="460"/>
      <c r="S3" s="2049">
        <f>INDEX(PT_DIFFERENTIATION_NUM_TER,MATCH(B3,PT_DIFFERENTIATION_TER_ID,0))</f>
      </c>
      <c r="T3" s="1618" t="s">
        <v>482</v>
      </c>
      <c r="U3" s="408"/>
      <c r="V3" s="3110"/>
      <c r="W3" s="3110"/>
      <c r="X3" s="3110"/>
      <c r="Y3" s="3110"/>
      <c r="Z3" s="3110"/>
      <c r="AA3" s="3111"/>
      <c r="AB3" s="2043"/>
      <c r="AC3" s="3110">
        <f>INDEX(PT_DIFFERENTIATION_TER,MATCH(B3,PT_DIFFERENTIATION_TER_ID,0))</f>
      </c>
      <c r="AD3" s="3110"/>
      <c r="AE3" s="3110"/>
      <c r="AF3" s="3110"/>
      <c r="AG3" s="3110"/>
      <c r="AH3" s="3110"/>
      <c r="AI3" s="3110"/>
      <c r="AJ3" s="3111"/>
      <c r="AK3" s="1354" t="s">
        <v>483</v>
      </c>
      <c r="AM3" s="1720"/>
      <c r="AN3" s="1720" t="str">
        <f>IF(T3="","",T3)</f>
        <v>Территория действия тарифа</v>
      </c>
      <c r="AO3" s="1720"/>
      <c r="AP3" s="1720"/>
      <c r="AQ3" s="1727">
        <v>0</v>
      </c>
    </row>
    <row customHeight="1" ht="22.5" hidden="1">
      <c r="A4" s="1363"/>
      <c r="B4" s="1363"/>
      <c r="C4" s="1363"/>
      <c r="D4" s="1363"/>
      <c r="E4" s="3142"/>
      <c r="F4" s="3142"/>
      <c r="G4" s="3141">
        <v>1</v>
      </c>
      <c r="H4" s="1363"/>
      <c r="I4" s="1363"/>
      <c r="J4" s="1363"/>
      <c r="K4" s="1363"/>
      <c r="L4" s="1406"/>
      <c r="M4" s="1706"/>
      <c r="N4" s="1706"/>
      <c r="O4" s="1706"/>
      <c r="P4" s="1508"/>
      <c r="Q4" s="1507"/>
      <c r="R4" s="460"/>
      <c r="S4" s="2049">
        <f>INDEX(PT_DIFFERENTIATION_NUM_CS,MATCH(C4,PT_DIFFERENTIATION_CS_ID,0))</f>
      </c>
      <c r="T4" s="417" t="s">
        <v>484</v>
      </c>
      <c r="U4" s="408"/>
      <c r="V4" s="3110"/>
      <c r="W4" s="3110"/>
      <c r="X4" s="3110"/>
      <c r="Y4" s="3110"/>
      <c r="Z4" s="3110"/>
      <c r="AA4" s="3111"/>
      <c r="AB4" s="2043"/>
      <c r="AC4" s="3110">
        <f>INDEX(PT_DIFFERENTIATION_CS,MATCH(C4,PT_DIFFERENTIATION_CS_ID,0))</f>
      </c>
      <c r="AD4" s="3110"/>
      <c r="AE4" s="3110"/>
      <c r="AF4" s="3110"/>
      <c r="AG4" s="3110"/>
      <c r="AH4" s="3110"/>
      <c r="AI4" s="3110"/>
      <c r="AJ4" s="3111"/>
      <c r="AK4" s="1354" t="s">
        <v>485</v>
      </c>
      <c r="AM4" s="1720"/>
      <c r="AN4" s="1720" t="str">
        <f>IF(T4="","",T4)</f>
        <v>Наименование системы теплоснабжения </v>
      </c>
      <c r="AO4" s="1720"/>
      <c r="AP4" s="1720"/>
      <c r="AQ4" s="1727">
        <v>0</v>
      </c>
    </row>
    <row customHeight="1" ht="21" hidden="1">
      <c r="A5" s="1363"/>
      <c r="B5" s="1363"/>
      <c r="C5" s="1363"/>
      <c r="D5" s="1363"/>
      <c r="E5" s="3142"/>
      <c r="F5" s="3142"/>
      <c r="G5" s="3142"/>
      <c r="H5" s="3141">
        <v>1</v>
      </c>
      <c r="I5" s="1363"/>
      <c r="J5" s="1363"/>
      <c r="K5" s="1363"/>
      <c r="L5" s="1406"/>
      <c r="M5" s="1706"/>
      <c r="N5" s="1706"/>
      <c r="O5" s="1706"/>
      <c r="P5" s="1508"/>
      <c r="Q5" s="1507"/>
      <c r="R5" s="460"/>
      <c r="S5" s="2049">
        <f>INDEX(PT_DIFFERENTIATION_NUM_IST_TE,MATCH(D5,PT_DIFFERENTIATION_IST_TE_ID,0))</f>
      </c>
      <c r="T5" s="418" t="s">
        <v>486</v>
      </c>
      <c r="U5" s="408"/>
      <c r="V5" s="3110"/>
      <c r="W5" s="3110"/>
      <c r="X5" s="3110"/>
      <c r="Y5" s="3110"/>
      <c r="Z5" s="3110"/>
      <c r="AA5" s="3111"/>
      <c r="AB5" s="2043"/>
      <c r="AC5" s="3110">
        <f>INDEX(PT_DIFFERENTIATION_IST_TE,MATCH(D5,PT_DIFFERENTIATION_IST_TE_ID,0))</f>
      </c>
      <c r="AD5" s="3110"/>
      <c r="AE5" s="3110"/>
      <c r="AF5" s="3110"/>
      <c r="AG5" s="3110"/>
      <c r="AH5" s="3110"/>
      <c r="AI5" s="3110"/>
      <c r="AJ5" s="3111"/>
      <c r="AK5" s="1354" t="s">
        <v>487</v>
      </c>
      <c r="AM5" s="1720"/>
      <c r="AN5" s="1720" t="str">
        <f>IF(T5="","",T5)</f>
        <v>Источник тепловой энергии  </v>
      </c>
      <c r="AO5" s="1720"/>
      <c r="AP5" s="1720"/>
      <c r="AQ5" s="1727">
        <v>0</v>
      </c>
    </row>
    <row s="10307" customFormat="1" customHeight="1" ht="0.75" hidden="1">
      <c r="A6" s="1471"/>
      <c r="B6" s="1471"/>
      <c r="C6" s="1471"/>
      <c r="D6" s="1471"/>
      <c r="E6" s="3142"/>
      <c r="F6" s="3142"/>
      <c r="G6" s="3142"/>
      <c r="H6" s="3142"/>
      <c r="I6" s="2978">
        <f>S5&amp;".1"</f>
      </c>
      <c r="J6" s="1471"/>
      <c r="K6" s="1471"/>
      <c r="L6" s="1477" t="s">
        <v>488</v>
      </c>
      <c r="M6" s="1342"/>
      <c r="N6" s="1342"/>
      <c r="O6" s="1342"/>
      <c r="P6" s="3119">
        <v>1</v>
      </c>
      <c r="Q6" s="2045"/>
      <c r="R6" s="463"/>
      <c r="S6" s="1142"/>
      <c r="T6" s="1479"/>
      <c r="U6" s="1480"/>
      <c r="V6" s="3147"/>
      <c r="W6" s="3147"/>
      <c r="X6" s="3147"/>
      <c r="Y6" s="3147"/>
      <c r="Z6" s="3147"/>
      <c r="AA6" s="3148"/>
      <c r="AB6" s="2051"/>
      <c r="AC6" s="3147"/>
      <c r="AD6" s="3147"/>
      <c r="AE6" s="3147"/>
      <c r="AF6" s="3147"/>
      <c r="AG6" s="3147"/>
      <c r="AH6" s="3147"/>
      <c r="AI6" s="3147"/>
      <c r="AJ6" s="3148"/>
      <c r="AK6" s="1481"/>
      <c r="AM6" s="1720"/>
      <c r="AN6" s="1720" t="str">
        <f>IF(T6="","",T6)</f>
        <v/>
      </c>
      <c r="AO6" s="1720"/>
      <c r="AP6" s="1720"/>
      <c r="AQ6" s="1732">
        <v>0</v>
      </c>
    </row>
    <row s="10307" customFormat="1" customHeight="1" ht="0.75" hidden="1">
      <c r="A7" s="1471"/>
      <c r="B7" s="1471"/>
      <c r="C7" s="1471"/>
      <c r="D7" s="1471"/>
      <c r="E7" s="3142"/>
      <c r="F7" s="3142"/>
      <c r="G7" s="3142"/>
      <c r="H7" s="3142"/>
      <c r="I7" s="2959"/>
      <c r="J7" s="2978">
        <f>S5&amp;".1"</f>
      </c>
      <c r="K7" s="1471"/>
      <c r="L7" s="1477"/>
      <c r="M7" s="1342"/>
      <c r="N7" s="1342"/>
      <c r="O7" s="1342"/>
      <c r="P7" s="3119"/>
      <c r="Q7" s="3119">
        <v>1</v>
      </c>
      <c r="R7" s="464"/>
      <c r="S7" s="1142"/>
      <c r="T7" s="1495"/>
      <c r="U7" s="1480"/>
      <c r="V7" s="3147"/>
      <c r="W7" s="3147"/>
      <c r="X7" s="3147"/>
      <c r="Y7" s="3147"/>
      <c r="Z7" s="3147"/>
      <c r="AA7" s="3148"/>
      <c r="AB7" s="2051"/>
      <c r="AC7" s="3147"/>
      <c r="AD7" s="3147"/>
      <c r="AE7" s="3147"/>
      <c r="AF7" s="3147"/>
      <c r="AG7" s="3147"/>
      <c r="AH7" s="3147"/>
      <c r="AI7" s="3147"/>
      <c r="AJ7" s="3148"/>
      <c r="AK7" s="1481"/>
      <c r="AM7" s="1720"/>
      <c r="AN7" s="1720" t="str">
        <f>IF(T7="","",T7)</f>
        <v/>
      </c>
      <c r="AO7" s="1720"/>
      <c r="AP7" s="1720"/>
      <c r="AQ7" s="1732">
        <v>0</v>
      </c>
    </row>
    <row customHeight="1" ht="21" hidden="1">
      <c r="A8" s="1363"/>
      <c r="B8" s="1363"/>
      <c r="C8" s="1363"/>
      <c r="D8" s="1363"/>
      <c r="E8" s="3142"/>
      <c r="F8" s="3142"/>
      <c r="G8" s="3142"/>
      <c r="H8" s="3142"/>
      <c r="I8" s="2959"/>
      <c r="J8" s="2959"/>
      <c r="K8" s="2082">
        <f>S5&amp;".1"</f>
      </c>
      <c r="L8" s="1406"/>
      <c r="P8" s="3119"/>
      <c r="Q8" s="3119"/>
      <c r="R8" s="2086">
        <v>1</v>
      </c>
      <c r="S8" s="2084">
        <f>$K8</f>
      </c>
      <c r="T8" s="2085"/>
      <c r="U8" s="408"/>
      <c r="V8" s="858"/>
      <c r="W8" s="1353"/>
      <c r="X8" s="2083"/>
      <c r="Y8" s="2081" t="s">
        <v>62</v>
      </c>
      <c r="Z8" s="2083"/>
      <c r="AA8" s="2081" t="s">
        <v>62</v>
      </c>
      <c r="AB8" s="2087"/>
      <c r="AC8" s="2088" t="s">
        <v>22</v>
      </c>
      <c r="AD8" s="858"/>
      <c r="AE8" s="1353"/>
      <c r="AF8" s="2046"/>
      <c r="AG8" s="2033" t="s">
        <v>62</v>
      </c>
      <c r="AH8" s="2046"/>
      <c r="AI8" s="2033" t="s">
        <v>62</v>
      </c>
      <c r="AJ8" s="1444"/>
      <c r="AK8" s="3138" t="s">
        <v>549</v>
      </c>
      <c r="AL8" s="1732">
        <f>STRCHECKDATE(#REF!)</f>
      </c>
      <c r="AM8" s="1720"/>
      <c r="AN8" s="1720" t="str">
        <f>IF(T8="","",T8)</f>
        <v/>
      </c>
      <c r="AO8" s="1720"/>
      <c r="AP8" s="1720"/>
      <c r="AQ8" s="1727">
        <v>0</v>
      </c>
    </row>
    <row customHeight="1" ht="11.25" hidden="1">
      <c r="A9" s="1363"/>
      <c r="B9" s="1363"/>
      <c r="C9" s="1363"/>
      <c r="D9" s="1363"/>
      <c r="E9" s="3142"/>
      <c r="F9" s="3142"/>
      <c r="G9" s="3142"/>
      <c r="H9" s="3142"/>
      <c r="I9" s="2959"/>
      <c r="J9" s="2978"/>
      <c r="K9" s="1363"/>
      <c r="L9" s="1406"/>
      <c r="P9" s="3119"/>
      <c r="Q9" s="3119"/>
      <c r="R9" s="463"/>
      <c r="S9" s="1374"/>
      <c r="T9" s="395" t="s">
        <v>553</v>
      </c>
      <c r="U9" s="707"/>
      <c r="V9" s="707"/>
      <c r="W9" s="707"/>
      <c r="X9" s="707"/>
      <c r="Y9" s="707"/>
      <c r="Z9" s="707"/>
      <c r="AA9" s="707"/>
      <c r="AB9" s="707"/>
      <c r="AC9" s="707"/>
      <c r="AD9" s="707"/>
      <c r="AE9" s="707"/>
      <c r="AF9" s="707"/>
      <c r="AG9" s="707"/>
      <c r="AH9" s="707"/>
      <c r="AI9" s="707"/>
      <c r="AJ9" s="432"/>
      <c r="AK9" s="3140"/>
      <c r="AM9" s="1720"/>
      <c r="AN9" s="1720" t="str">
        <f>IF(T9="","",T9)</f>
        <v>Добавить строку</v>
      </c>
      <c r="AO9" s="1720"/>
      <c r="AP9" s="1720"/>
      <c r="AQ9" s="1727">
        <v>0</v>
      </c>
    </row>
    <row s="10307" customFormat="1" customHeight="1" ht="0.75" hidden="1">
      <c r="A10" s="1471"/>
      <c r="B10" s="1471"/>
      <c r="C10" s="1471"/>
      <c r="D10" s="1471"/>
      <c r="E10" s="3142"/>
      <c r="F10" s="3142"/>
      <c r="G10" s="3142"/>
      <c r="H10" s="3142"/>
      <c r="I10" s="2978"/>
      <c r="J10" s="1471"/>
      <c r="K10" s="1471"/>
      <c r="L10" s="1477"/>
      <c r="M10" s="1342"/>
      <c r="N10" s="1342"/>
      <c r="O10" s="1342"/>
      <c r="P10" s="3119"/>
      <c r="Q10" s="2045"/>
      <c r="R10" s="463"/>
      <c r="S10" s="1482"/>
      <c r="T10" s="1483"/>
      <c r="U10" s="1484"/>
      <c r="V10" s="1484"/>
      <c r="W10" s="1484"/>
      <c r="X10" s="1484"/>
      <c r="Y10" s="1484"/>
      <c r="Z10" s="1484"/>
      <c r="AA10" s="1484"/>
      <c r="AB10" s="1484"/>
      <c r="AC10" s="1484"/>
      <c r="AD10" s="1484"/>
      <c r="AE10" s="1484"/>
      <c r="AF10" s="1484"/>
      <c r="AG10" s="1484"/>
      <c r="AH10" s="1484"/>
      <c r="AI10" s="1484"/>
      <c r="AJ10" s="1484"/>
      <c r="AK10" s="1485"/>
      <c r="AM10" s="1720"/>
      <c r="AN10" s="1720" t="str">
        <f>IF(T10="","",T10)</f>
        <v/>
      </c>
      <c r="AO10" s="1720"/>
      <c r="AP10" s="1720"/>
      <c r="AQ10" s="1732">
        <v>0</v>
      </c>
    </row>
    <row s="10307" customFormat="1" customHeight="1" ht="0.75" hidden="1">
      <c r="A11" s="1471"/>
      <c r="B11" s="1471"/>
      <c r="C11" s="1471"/>
      <c r="D11" s="1471"/>
      <c r="E11" s="3142"/>
      <c r="F11" s="3142"/>
      <c r="G11" s="3142"/>
      <c r="H11" s="3141"/>
      <c r="I11" s="1471"/>
      <c r="J11" s="1471"/>
      <c r="K11" s="1471"/>
      <c r="L11" s="1477"/>
      <c r="M11" s="1474"/>
      <c r="N11" s="1474"/>
      <c r="O11" s="458"/>
      <c r="P11" s="487"/>
      <c r="Q11" s="1440"/>
      <c r="R11" s="1497"/>
      <c r="S11" s="1482"/>
      <c r="T11" s="1483"/>
      <c r="U11" s="1484"/>
      <c r="V11" s="1484"/>
      <c r="W11" s="1484"/>
      <c r="X11" s="1484"/>
      <c r="Y11" s="1484"/>
      <c r="Z11" s="1484"/>
      <c r="AA11" s="1484"/>
      <c r="AB11" s="1484"/>
      <c r="AC11" s="1484"/>
      <c r="AD11" s="1484"/>
      <c r="AE11" s="1484"/>
      <c r="AF11" s="1484"/>
      <c r="AG11" s="1484"/>
      <c r="AH11" s="1484"/>
      <c r="AI11" s="1484"/>
      <c r="AJ11" s="1484"/>
      <c r="AK11" s="1485"/>
      <c r="AM11" s="1720"/>
      <c r="AN11" s="1720" t="str">
        <f>IF(T11="","",T11)</f>
        <v/>
      </c>
      <c r="AO11" s="1720"/>
      <c r="AP11" s="1720"/>
      <c r="AQ11" s="1732">
        <v>0</v>
      </c>
    </row>
    <row s="10307" customFormat="1" customHeight="1" ht="0.75" hidden="1">
      <c r="A12" s="1471"/>
      <c r="B12" s="1471"/>
      <c r="C12" s="1471"/>
      <c r="D12" s="1470"/>
      <c r="E12" s="3142"/>
      <c r="F12" s="3142"/>
      <c r="G12" s="3141"/>
      <c r="H12" s="1470"/>
      <c r="I12" s="1470"/>
      <c r="J12" s="1470"/>
      <c r="K12" s="1470"/>
      <c r="L12" s="1473"/>
      <c r="M12" s="1474"/>
      <c r="N12" s="1474"/>
      <c r="O12" s="458"/>
      <c r="P12" s="1412"/>
      <c r="Q12" s="1413"/>
      <c r="R12" s="1412"/>
      <c r="S12" s="1418"/>
      <c r="T12" s="1421" t="s">
        <v>499</v>
      </c>
      <c r="U12" s="1420"/>
      <c r="V12" s="1420"/>
      <c r="W12" s="1420"/>
      <c r="X12" s="1420"/>
      <c r="Y12" s="1420"/>
      <c r="Z12" s="1420"/>
      <c r="AA12" s="1420"/>
      <c r="AB12" s="1420"/>
      <c r="AC12" s="1420"/>
      <c r="AD12" s="1420"/>
      <c r="AE12" s="1420"/>
      <c r="AF12" s="1420"/>
      <c r="AG12" s="1420"/>
      <c r="AH12" s="1420"/>
      <c r="AI12" s="1420"/>
      <c r="AJ12" s="1420"/>
      <c r="AK12" s="1420"/>
      <c r="AM12" s="1347"/>
      <c r="AN12" s="1347" t="str">
        <f>IF(T12="","",T12)</f>
        <v>Добавить источник для дифференциации</v>
      </c>
      <c r="AO12" s="1347"/>
      <c r="AP12" s="1347"/>
      <c r="AQ12" s="1738">
        <v>0</v>
      </c>
    </row>
    <row s="10307" customFormat="1" customHeight="1" ht="0.75" hidden="1">
      <c r="A13" s="1471"/>
      <c r="B13" s="1471"/>
      <c r="C13" s="1470"/>
      <c r="D13" s="1470"/>
      <c r="E13" s="3142"/>
      <c r="F13" s="3141"/>
      <c r="G13" s="1470"/>
      <c r="H13" s="1470"/>
      <c r="I13" s="1470"/>
      <c r="J13" s="1470"/>
      <c r="K13" s="1470"/>
      <c r="L13" s="1473"/>
      <c r="M13" s="1475"/>
      <c r="N13" s="1475"/>
      <c r="O13" s="458"/>
      <c r="P13" s="1412"/>
      <c r="Q13" s="1413"/>
      <c r="R13" s="1412"/>
      <c r="S13" s="1418"/>
      <c r="T13" s="1421" t="s">
        <v>500</v>
      </c>
      <c r="U13" s="1420"/>
      <c r="V13" s="1420"/>
      <c r="W13" s="1420"/>
      <c r="X13" s="1420"/>
      <c r="Y13" s="1420"/>
      <c r="Z13" s="1420"/>
      <c r="AA13" s="1420"/>
      <c r="AB13" s="1420"/>
      <c r="AC13" s="1420"/>
      <c r="AD13" s="1420"/>
      <c r="AE13" s="1420"/>
      <c r="AF13" s="1420"/>
      <c r="AG13" s="1420"/>
      <c r="AH13" s="1420"/>
      <c r="AI13" s="1420"/>
      <c r="AJ13" s="1420"/>
      <c r="AK13" s="1420"/>
      <c r="AM13" s="1347"/>
      <c r="AN13" s="1347" t="str">
        <f>IF(T13="","",T13)</f>
        <v>Добавить централизованную систему для дифференциации</v>
      </c>
      <c r="AO13" s="1347"/>
      <c r="AP13" s="1347"/>
      <c r="AQ13" s="1738">
        <v>0</v>
      </c>
    </row>
    <row s="10307" customFormat="1" customHeight="1" ht="0.75" hidden="1">
      <c r="A14" s="1471"/>
      <c r="B14" s="1471"/>
      <c r="C14" s="1471"/>
      <c r="D14" s="1471"/>
      <c r="E14" s="3141"/>
      <c r="F14" s="1471"/>
      <c r="G14" s="1471"/>
      <c r="H14" s="1471"/>
      <c r="I14" s="1471"/>
      <c r="J14" s="1471"/>
      <c r="K14" s="1471"/>
      <c r="L14" s="1477"/>
      <c r="M14" s="1475"/>
      <c r="N14" s="1475"/>
      <c r="O14" s="458"/>
      <c r="P14" s="487"/>
      <c r="Q14" s="1440"/>
      <c r="R14" s="487"/>
      <c r="S14" s="1418"/>
      <c r="T14" s="1421" t="s">
        <v>501</v>
      </c>
      <c r="U14" s="1420"/>
      <c r="V14" s="1420"/>
      <c r="W14" s="1420"/>
      <c r="X14" s="1420"/>
      <c r="Y14" s="1420"/>
      <c r="Z14" s="1420"/>
      <c r="AA14" s="1420"/>
      <c r="AB14" s="1420"/>
      <c r="AC14" s="1420"/>
      <c r="AD14" s="1420"/>
      <c r="AE14" s="1420"/>
      <c r="AF14" s="1420"/>
      <c r="AG14" s="1420"/>
      <c r="AH14" s="1420"/>
      <c r="AI14" s="1420"/>
      <c r="AJ14" s="1420"/>
      <c r="AK14" s="1420"/>
      <c r="AM14" s="1720"/>
      <c r="AN14" s="1720" t="str">
        <f>IF(T14="","",T14)</f>
        <v>Добавить территорию для дифференциации</v>
      </c>
      <c r="AO14" s="1720"/>
      <c r="AP14" s="1720"/>
      <c r="AQ14" s="1732">
        <v>0</v>
      </c>
    </row>
    <row customHeight="1" ht="14.25" hidden="1">
      <c r="AQ15" s="1727">
        <v>0</v>
      </c>
    </row>
    <row customHeight="1" ht="14.25" hidden="1">
      <c r="AC16" s="1598"/>
      <c r="AD16" s="1499"/>
      <c r="AE16" s="1500"/>
      <c r="AF16" s="1832"/>
      <c r="AG16" s="2057" t="s">
        <v>62</v>
      </c>
      <c r="AH16" s="1832"/>
      <c r="AI16" s="2057" t="s">
        <v>62</v>
      </c>
      <c r="AQ16" s="1727">
        <v>0</v>
      </c>
    </row>
    <row customHeight="1" ht="14.25" hidden="1">
      <c r="AL17" s="1737"/>
      <c r="AM17" s="1737"/>
      <c r="AN17" s="1737"/>
      <c r="AO17" s="1737"/>
      <c r="AP17" s="1737"/>
      <c r="AQ17" s="1727">
        <v>0</v>
      </c>
    </row>
    <row customHeight="1" ht="14.25" hidden="1">
      <c r="O18" s="1441" t="s">
        <v>502</v>
      </c>
      <c r="X18" s="1441"/>
      <c r="Z18" s="1441"/>
      <c r="AF18" s="1441"/>
      <c r="AH18" s="1441"/>
      <c r="AL18" s="1737"/>
      <c r="AM18" s="1737"/>
      <c r="AN18" s="1737"/>
      <c r="AO18" s="1737"/>
      <c r="AP18" s="1737"/>
      <c r="AQ18" s="1727">
        <v>0</v>
      </c>
    </row>
    <row customHeight="1" ht="14.25" hidden="1">
      <c r="AL19" s="1737"/>
      <c r="AM19" s="1737"/>
      <c r="AN19" s="1737"/>
      <c r="AO19" s="1737"/>
      <c r="AP19" s="1737"/>
      <c r="AQ19" s="1727">
        <v>0</v>
      </c>
    </row>
    <row s="11218" customFormat="1" customHeight="1" ht="14.25" hidden="1">
      <c r="A20" s="2062"/>
      <c r="B20" s="2062"/>
      <c r="C20" s="2062"/>
      <c r="D20" s="2062"/>
      <c r="E20" s="2062"/>
      <c r="F20" s="2062"/>
      <c r="G20" s="2062"/>
      <c r="H20" s="2062"/>
      <c r="I20" s="2062"/>
      <c r="J20" s="2062"/>
      <c r="K20" s="2062"/>
      <c r="L20" s="2062"/>
      <c r="M20" s="2063"/>
      <c r="N20" s="2063"/>
      <c r="O20" s="2064" t="s">
        <v>503</v>
      </c>
      <c r="P20" s="1604"/>
      <c r="Q20" s="1606"/>
      <c r="R20" s="1606"/>
      <c r="Y20" s="1603" t="s">
        <v>505</v>
      </c>
      <c r="AA20" s="1603" t="s">
        <v>506</v>
      </c>
      <c r="AC20" s="1603" t="s">
        <v>555</v>
      </c>
      <c r="AG20" s="1603" t="s">
        <v>505</v>
      </c>
      <c r="AI20" s="1603" t="s">
        <v>506</v>
      </c>
      <c r="AL20" s="1607"/>
      <c r="AM20" s="1607"/>
      <c r="AN20" s="1607"/>
      <c r="AO20" s="1607"/>
      <c r="AP20" s="1607"/>
      <c r="AQ20" s="1603">
        <v>0</v>
      </c>
    </row>
    <row customHeight="1" ht="14.25" hidden="1">
      <c r="O21" s="1406"/>
      <c r="AL21" s="1737"/>
      <c r="AM21" s="1737"/>
      <c r="AN21" s="1737"/>
      <c r="AO21" s="1737"/>
      <c r="AP21" s="1737"/>
      <c r="AQ21" s="1727">
        <v>0</v>
      </c>
    </row>
    <row customHeight="1" ht="14.25" hidden="1">
      <c r="O22" s="1406"/>
      <c r="AL22" s="1737"/>
      <c r="AM22" s="1737"/>
      <c r="AN22" s="1737"/>
      <c r="AO22" s="1737"/>
      <c r="AP22" s="1737"/>
      <c r="AQ22" s="1727">
        <v>0</v>
      </c>
    </row>
    <row customHeight="1" ht="14.699999999999998">
      <c r="Q23" s="399"/>
      <c r="R23" s="483"/>
      <c r="S23" s="1371"/>
      <c r="T23" s="564"/>
      <c r="U23" s="564"/>
      <c r="AQ23" s="1727">
        <v>14</v>
      </c>
    </row>
    <row customHeight="1" ht="39.75">
      <c r="Q24" s="399"/>
      <c r="R24" s="483"/>
      <c r="S24" s="309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096"/>
      <c r="U24" s="3096"/>
      <c r="V24" s="3096"/>
      <c r="W24" s="3096"/>
      <c r="X24" s="3096"/>
      <c r="Y24" s="3096"/>
      <c r="Z24" s="3096"/>
      <c r="AA24" s="3096"/>
      <c r="AB24" s="3096"/>
      <c r="AC24" s="3096"/>
      <c r="AD24" s="3096"/>
      <c r="AE24" s="3096"/>
      <c r="AF24" s="3096"/>
      <c r="AG24" s="3096"/>
      <c r="AH24" s="3096"/>
      <c r="AI24" s="1339"/>
      <c r="AQ24" s="1727">
        <v>38</v>
      </c>
    </row>
    <row customHeight="1" ht="14.699999999999998">
      <c r="Q25" s="399"/>
      <c r="R25" s="483"/>
      <c r="S25" s="3069" t="str">
        <f>IF(org=0,"Не определено",org)</f>
        <v>АО "ДГК"</v>
      </c>
      <c r="T25" s="3069"/>
      <c r="U25" s="3069"/>
      <c r="V25" s="3069"/>
      <c r="W25" s="3069"/>
      <c r="X25" s="3069"/>
      <c r="Y25" s="3069"/>
      <c r="Z25" s="3069"/>
      <c r="AA25" s="3069"/>
      <c r="AB25" s="3069"/>
      <c r="AC25" s="3069"/>
      <c r="AD25" s="3069"/>
      <c r="AE25" s="3069"/>
      <c r="AF25" s="3069"/>
      <c r="AG25" s="3069"/>
      <c r="AH25" s="3069"/>
      <c r="AI25" s="1339"/>
      <c r="AQ25" s="1727">
        <v>14</v>
      </c>
    </row>
    <row customHeight="1" ht="14.25" hidden="1">
      <c r="Q26" s="399"/>
      <c r="R26" s="483"/>
      <c r="S26" s="1371"/>
      <c r="T26" s="564"/>
      <c r="U26" s="564"/>
      <c r="V26" s="430"/>
      <c r="W26" s="430"/>
      <c r="X26" s="430"/>
      <c r="Y26" s="430"/>
      <c r="Z26" s="430"/>
      <c r="AA26" s="430"/>
      <c r="AB26" s="430"/>
      <c r="AC26" s="430"/>
      <c r="AD26" s="430"/>
      <c r="AE26" s="430"/>
      <c r="AF26" s="430"/>
      <c r="AG26" s="430"/>
      <c r="AH26" s="430"/>
      <c r="AI26" s="430"/>
      <c r="AQ26" s="1727">
        <v>0</v>
      </c>
    </row>
    <row s="10446" customFormat="1" customHeight="1" ht="25.5" hidden="1">
      <c r="A27" s="1344"/>
      <c r="B27" s="1344"/>
      <c r="C27" s="1344"/>
      <c r="D27" s="1344"/>
      <c r="E27" s="1344"/>
      <c r="F27" s="1344"/>
      <c r="G27" s="1344"/>
      <c r="H27" s="1344"/>
      <c r="I27" s="1344"/>
      <c r="J27" s="1344"/>
      <c r="K27" s="1344"/>
      <c r="L27" s="1476"/>
      <c r="M27" s="1344"/>
      <c r="N27" s="1344"/>
      <c r="O27" s="1344"/>
      <c r="P27" s="1464"/>
      <c r="Q27" s="1464"/>
      <c r="S27" s="3106" t="s">
        <v>41</v>
      </c>
      <c r="T27" s="3106"/>
      <c r="U27" s="1468"/>
      <c r="V27" s="3108" t="str">
        <f>IF(TITLE_NAME_OR_PR_CHANGE="",IF(TITLE_NAME_OR_PR="","",TITLE_NAME_OR_PR),TITLE_NAME_OR_PR_CHANGE)</f>
        <v/>
      </c>
      <c r="W27" s="3108"/>
      <c r="X27" s="3108"/>
      <c r="Y27" s="3108"/>
      <c r="Z27" s="3108"/>
      <c r="AA27" s="1731"/>
      <c r="AB27" s="1731"/>
      <c r="AC27" s="3108"/>
      <c r="AD27" s="3108"/>
      <c r="AE27" s="3108"/>
      <c r="AF27" s="3108"/>
      <c r="AG27" s="3108"/>
      <c r="AH27" s="3108"/>
      <c r="AI27" s="1731"/>
      <c r="AJ27" s="1731"/>
      <c r="AK27" s="388"/>
      <c r="AL27" s="475"/>
      <c r="AM27" s="475"/>
      <c r="AN27" s="475"/>
      <c r="AO27" s="475"/>
      <c r="AP27" s="475"/>
      <c r="AQ27" s="525">
        <v>0</v>
      </c>
    </row>
    <row s="10446" customFormat="1" customHeight="1" ht="18.75" hidden="1">
      <c r="A28" s="1344"/>
      <c r="B28" s="1344"/>
      <c r="C28" s="1344"/>
      <c r="D28" s="1344"/>
      <c r="E28" s="1344"/>
      <c r="F28" s="1344"/>
      <c r="G28" s="1344"/>
      <c r="H28" s="1344"/>
      <c r="I28" s="1344"/>
      <c r="J28" s="1344"/>
      <c r="K28" s="1344"/>
      <c r="L28" s="1476"/>
      <c r="M28" s="1344"/>
      <c r="N28" s="1344"/>
      <c r="O28" s="1344"/>
      <c r="P28" s="1464"/>
      <c r="Q28" s="1464"/>
      <c r="S28" s="3106" t="s">
        <v>508</v>
      </c>
      <c r="T28" s="3106"/>
      <c r="U28" s="1468"/>
      <c r="V28" s="3107" t="str">
        <f>IF(TITLE_DATE_PR_CHANGE="",IF(TITLE_DATE_PR="","",TITLE_DATE_PR),TITLE_DATE_PR_CHANGE)</f>
        <v/>
      </c>
      <c r="W28" s="3107"/>
      <c r="X28" s="3107"/>
      <c r="Y28" s="3107"/>
      <c r="Z28" s="3107"/>
      <c r="AA28" s="1731"/>
      <c r="AB28" s="1731"/>
      <c r="AC28" s="3107"/>
      <c r="AD28" s="3107"/>
      <c r="AE28" s="3107"/>
      <c r="AF28" s="3107"/>
      <c r="AG28" s="3107"/>
      <c r="AH28" s="3107"/>
      <c r="AI28" s="1731"/>
      <c r="AJ28" s="1731"/>
      <c r="AK28" s="388"/>
      <c r="AL28" s="475"/>
      <c r="AM28" s="475"/>
      <c r="AN28" s="475"/>
      <c r="AO28" s="475"/>
      <c r="AP28" s="475"/>
      <c r="AQ28" s="525">
        <v>0</v>
      </c>
    </row>
    <row s="10446" customFormat="1" customHeight="1" ht="18.75" hidden="1">
      <c r="A29" s="1344"/>
      <c r="B29" s="1344"/>
      <c r="C29" s="1344"/>
      <c r="D29" s="1344"/>
      <c r="E29" s="1344"/>
      <c r="F29" s="1344"/>
      <c r="G29" s="1344"/>
      <c r="H29" s="1344"/>
      <c r="I29" s="1344"/>
      <c r="J29" s="1344"/>
      <c r="K29" s="1344"/>
      <c r="L29" s="1476"/>
      <c r="M29" s="1344"/>
      <c r="N29" s="1344"/>
      <c r="O29" s="1344"/>
      <c r="P29" s="1464"/>
      <c r="Q29" s="1464"/>
      <c r="S29" s="3106" t="s">
        <v>509</v>
      </c>
      <c r="T29" s="3106"/>
      <c r="U29" s="1468"/>
      <c r="V29" s="3108" t="str">
        <f>IF(TITLE_NUMBER_PR_CHANGE="",IF(TITLE_NUMBER_PR="","",TITLE_NUMBER_PR),TITLE_NUMBER_PR_CHANGE)</f>
        <v/>
      </c>
      <c r="W29" s="3108"/>
      <c r="X29" s="3108"/>
      <c r="Y29" s="3108"/>
      <c r="Z29" s="3108"/>
      <c r="AA29" s="1731"/>
      <c r="AB29" s="1731"/>
      <c r="AC29" s="3108"/>
      <c r="AD29" s="3108"/>
      <c r="AE29" s="3108"/>
      <c r="AF29" s="3108"/>
      <c r="AG29" s="3108"/>
      <c r="AH29" s="3108"/>
      <c r="AI29" s="1731"/>
      <c r="AJ29" s="1731"/>
      <c r="AK29" s="388"/>
      <c r="AL29" s="475"/>
      <c r="AM29" s="475"/>
      <c r="AN29" s="475"/>
      <c r="AO29" s="475"/>
      <c r="AP29" s="475"/>
      <c r="AQ29" s="525">
        <v>0</v>
      </c>
    </row>
    <row s="10446" customFormat="1" customHeight="1" ht="18.75" hidden="1">
      <c r="A30" s="1344"/>
      <c r="B30" s="1344"/>
      <c r="C30" s="1344"/>
      <c r="D30" s="1344"/>
      <c r="E30" s="1344"/>
      <c r="F30" s="1344"/>
      <c r="G30" s="1344"/>
      <c r="H30" s="1344"/>
      <c r="I30" s="1344"/>
      <c r="J30" s="1344"/>
      <c r="K30" s="1344"/>
      <c r="L30" s="1476"/>
      <c r="M30" s="1344"/>
      <c r="N30" s="1344"/>
      <c r="O30" s="1344"/>
      <c r="P30" s="1464"/>
      <c r="Q30" s="1464"/>
      <c r="S30" s="3106" t="s">
        <v>42</v>
      </c>
      <c r="T30" s="3106"/>
      <c r="U30" s="1468"/>
      <c r="V30" s="3108" t="str">
        <f>IF(TITLE_IST_PUB_CHANGE="",IF(TITLE_IST_PUB="","",TITLE_IST_PUB),TITLE_IST_PUB_CHANGE)</f>
        <v/>
      </c>
      <c r="W30" s="3108"/>
      <c r="X30" s="3108"/>
      <c r="Y30" s="3108"/>
      <c r="Z30" s="3108"/>
      <c r="AA30" s="1731"/>
      <c r="AB30" s="1731"/>
      <c r="AC30" s="3108"/>
      <c r="AD30" s="3108"/>
      <c r="AE30" s="3108"/>
      <c r="AF30" s="3108"/>
      <c r="AG30" s="3108"/>
      <c r="AH30" s="3108"/>
      <c r="AI30" s="1731"/>
      <c r="AJ30" s="1731"/>
      <c r="AK30" s="388"/>
      <c r="AL30" s="475"/>
      <c r="AM30" s="475"/>
      <c r="AN30" s="475"/>
      <c r="AO30" s="475"/>
      <c r="AP30" s="475"/>
      <c r="AQ30" s="525">
        <v>0</v>
      </c>
    </row>
    <row customHeight="1" ht="14.25" hidden="1">
      <c r="Q31" s="399"/>
      <c r="R31" s="483"/>
      <c r="S31" s="1371"/>
      <c r="T31" s="564"/>
      <c r="U31" s="564"/>
      <c r="V31" s="430"/>
      <c r="W31" s="430"/>
      <c r="X31" s="430"/>
      <c r="Y31" s="430"/>
      <c r="Z31" s="430"/>
      <c r="AA31" s="430"/>
      <c r="AB31" s="430"/>
      <c r="AC31" s="430"/>
      <c r="AD31" s="430"/>
      <c r="AE31" s="430"/>
      <c r="AF31" s="430"/>
      <c r="AG31" s="430"/>
      <c r="AH31" s="430"/>
      <c r="AI31" s="430"/>
      <c r="AQ31" s="1727">
        <v>0</v>
      </c>
    </row>
    <row s="10446" customFormat="1" customHeight="1" ht="18.75" hidden="1">
      <c r="A32" s="1344"/>
      <c r="B32" s="1344"/>
      <c r="C32" s="1344"/>
      <c r="D32" s="1344"/>
      <c r="E32" s="1344"/>
      <c r="F32" s="1344"/>
      <c r="G32" s="1344"/>
      <c r="H32" s="1344"/>
      <c r="I32" s="1344"/>
      <c r="J32" s="1344"/>
      <c r="K32" s="1344"/>
      <c r="L32" s="1476"/>
      <c r="M32" s="1344"/>
      <c r="N32" s="1344"/>
      <c r="O32" s="1344"/>
      <c r="P32" s="1464"/>
      <c r="Q32" s="1464"/>
      <c r="S32" s="3106" t="s">
        <v>508</v>
      </c>
      <c r="T32" s="3106"/>
      <c r="U32" s="1468"/>
      <c r="V32" s="3107" t="str">
        <f>IF(TITLE_DATE_PR_CHANGE="",IF(TITLE_DATE_PR="","",TITLE_DATE_PR),TITLE_DATE_PR_CHANGE)</f>
        <v/>
      </c>
      <c r="W32" s="3107"/>
      <c r="X32" s="3107"/>
      <c r="Y32" s="3107"/>
      <c r="Z32" s="3107"/>
      <c r="AA32" s="1731"/>
      <c r="AB32" s="1731"/>
      <c r="AC32" s="3107"/>
      <c r="AD32" s="3107"/>
      <c r="AE32" s="3107"/>
      <c r="AF32" s="3107"/>
      <c r="AG32" s="3107"/>
      <c r="AH32" s="3107"/>
      <c r="AI32" s="1731"/>
      <c r="AJ32" s="1731"/>
      <c r="AK32" s="388"/>
      <c r="AL32" s="475"/>
      <c r="AM32" s="475"/>
      <c r="AN32" s="475"/>
      <c r="AO32" s="475"/>
      <c r="AP32" s="475"/>
      <c r="AQ32" s="525">
        <v>0</v>
      </c>
    </row>
    <row s="10446" customFormat="1" customHeight="1" ht="18" hidden="1">
      <c r="A33" s="1344"/>
      <c r="B33" s="1344"/>
      <c r="C33" s="1344"/>
      <c r="D33" s="1344"/>
      <c r="E33" s="1344"/>
      <c r="F33" s="1344"/>
      <c r="G33" s="1344"/>
      <c r="H33" s="1344"/>
      <c r="I33" s="1344"/>
      <c r="J33" s="1344"/>
      <c r="K33" s="1344"/>
      <c r="L33" s="1476"/>
      <c r="M33" s="1344"/>
      <c r="N33" s="1344"/>
      <c r="O33" s="1344"/>
      <c r="P33" s="1464"/>
      <c r="Q33" s="1464"/>
      <c r="S33" s="3106" t="s">
        <v>509</v>
      </c>
      <c r="T33" s="3106"/>
      <c r="U33" s="1468"/>
      <c r="V33" s="3108" t="str">
        <f>IF(TITLE_NUMBER_PR_CHANGE="",IF(TITLE_NUMBER_PR="","",TITLE_NUMBER_PR),TITLE_NUMBER_PR_CHANGE)</f>
        <v/>
      </c>
      <c r="W33" s="3108"/>
      <c r="X33" s="3108"/>
      <c r="Y33" s="3108"/>
      <c r="Z33" s="3108"/>
      <c r="AA33" s="1731"/>
      <c r="AB33" s="1731"/>
      <c r="AC33" s="3108"/>
      <c r="AD33" s="3108"/>
      <c r="AE33" s="3108"/>
      <c r="AF33" s="3108"/>
      <c r="AG33" s="3108"/>
      <c r="AH33" s="3108"/>
      <c r="AI33" s="1731"/>
      <c r="AJ33" s="1731"/>
      <c r="AK33" s="388"/>
      <c r="AL33" s="475"/>
      <c r="AM33" s="475"/>
      <c r="AN33" s="475"/>
      <c r="AO33" s="475"/>
      <c r="AP33" s="475"/>
      <c r="AQ33" s="525">
        <v>0</v>
      </c>
    </row>
    <row s="10446" customFormat="1" customHeight="1" ht="1.05">
      <c r="A34" s="1344"/>
      <c r="B34" s="1344"/>
      <c r="C34" s="1344"/>
      <c r="D34" s="1344"/>
      <c r="E34" s="1344"/>
      <c r="F34" s="1344"/>
      <c r="G34" s="1344"/>
      <c r="H34" s="1344"/>
      <c r="I34" s="1344"/>
      <c r="J34" s="1344"/>
      <c r="K34" s="1344"/>
      <c r="L34" s="1476"/>
      <c r="M34" s="1344"/>
      <c r="N34" s="1344"/>
      <c r="O34" s="1344"/>
      <c r="P34" s="1464"/>
      <c r="Q34" s="1464"/>
      <c r="S34" s="1731"/>
      <c r="T34" s="1731"/>
      <c r="U34" s="2061"/>
      <c r="V34" s="1731"/>
      <c r="W34" s="1731"/>
      <c r="X34" s="1731"/>
      <c r="Y34" s="1731"/>
      <c r="Z34" s="1731"/>
      <c r="AA34" s="1738" t="s">
        <v>512</v>
      </c>
      <c r="AB34" s="1738"/>
      <c r="AC34" s="1731"/>
      <c r="AD34" s="1731"/>
      <c r="AE34" s="1731"/>
      <c r="AF34" s="1731"/>
      <c r="AG34" s="1731"/>
      <c r="AH34" s="1731"/>
      <c r="AI34" s="1738" t="s">
        <v>512</v>
      </c>
      <c r="AL34" s="475"/>
      <c r="AM34" s="475"/>
      <c r="AN34" s="475"/>
      <c r="AO34" s="475"/>
      <c r="AP34" s="475"/>
      <c r="AQ34" s="525">
        <v>1</v>
      </c>
    </row>
    <row customHeight="1" ht="14.699999999999998">
      <c r="Q35" s="399"/>
      <c r="R35" s="483"/>
      <c r="S35" s="1371"/>
      <c r="T35" s="564"/>
      <c r="U35" s="1340"/>
      <c r="V35" s="3127"/>
      <c r="W35" s="3127"/>
      <c r="X35" s="3127"/>
      <c r="Y35" s="3127"/>
      <c r="Z35" s="3127"/>
      <c r="AA35" s="3127"/>
      <c r="AB35" s="2048"/>
      <c r="AC35" s="3127"/>
      <c r="AD35" s="3127"/>
      <c r="AE35" s="3127"/>
      <c r="AF35" s="3127"/>
      <c r="AG35" s="3127"/>
      <c r="AH35" s="3127"/>
      <c r="AI35" s="3127"/>
      <c r="AQ35" s="1727">
        <v>14</v>
      </c>
    </row>
    <row customHeight="1" ht="14.699999999999998">
      <c r="Q36" s="399"/>
      <c r="R36" s="483"/>
      <c r="S36" s="2978" t="s">
        <v>385</v>
      </c>
      <c r="T36" s="2978"/>
      <c r="U36" s="2978"/>
      <c r="V36" s="2978"/>
      <c r="W36" s="2978"/>
      <c r="X36" s="2978"/>
      <c r="Y36" s="2978"/>
      <c r="Z36" s="2978"/>
      <c r="AA36" s="3047"/>
      <c r="AB36" s="3047"/>
      <c r="AC36" s="3047"/>
      <c r="AD36" s="2978"/>
      <c r="AE36" s="2978"/>
      <c r="AF36" s="2978"/>
      <c r="AG36" s="2978"/>
      <c r="AH36" s="2978"/>
      <c r="AI36" s="2978"/>
      <c r="AJ36" s="2978"/>
      <c r="AK36" s="2978" t="s">
        <v>386</v>
      </c>
      <c r="AQ36" s="1727">
        <v>14</v>
      </c>
    </row>
    <row customHeight="1" ht="14.699999999999998">
      <c r="Q37" s="399"/>
      <c r="R37" s="483"/>
      <c r="S37" s="3128" t="s">
        <v>88</v>
      </c>
      <c r="T37" s="3077" t="s">
        <v>584</v>
      </c>
      <c r="U37" s="445"/>
      <c r="V37" s="3130"/>
      <c r="W37" s="3130"/>
      <c r="X37" s="3130"/>
      <c r="Y37" s="3130"/>
      <c r="Z37" s="3130"/>
      <c r="AA37" s="3077" t="s">
        <v>515</v>
      </c>
      <c r="AB37" s="3076" t="s">
        <v>585</v>
      </c>
      <c r="AC37" s="3076" t="s">
        <v>559</v>
      </c>
      <c r="AD37" s="3145" t="s">
        <v>514</v>
      </c>
      <c r="AE37" s="3145"/>
      <c r="AF37" s="3130"/>
      <c r="AG37" s="3130"/>
      <c r="AH37" s="3131"/>
      <c r="AI37" s="3132" t="s">
        <v>515</v>
      </c>
      <c r="AJ37" s="3135" t="s">
        <v>517</v>
      </c>
      <c r="AK37" s="2978"/>
      <c r="AQ37" s="1727">
        <v>14</v>
      </c>
    </row>
    <row customHeight="1" ht="35.699999999999996">
      <c r="Q38" s="399"/>
      <c r="R38" s="483"/>
      <c r="S38" s="3128"/>
      <c r="T38" s="3077"/>
      <c r="U38" s="1131"/>
      <c r="V38" s="2958" t="s">
        <v>562</v>
      </c>
      <c r="W38" s="2978"/>
      <c r="X38" s="3048" t="s">
        <v>521</v>
      </c>
      <c r="Y38" s="3157"/>
      <c r="Z38" s="3157"/>
      <c r="AA38" s="3077"/>
      <c r="AB38" s="3076"/>
      <c r="AC38" s="3076"/>
      <c r="AD38" s="2958" t="s">
        <v>562</v>
      </c>
      <c r="AE38" s="2978"/>
      <c r="AF38" s="3157" t="s">
        <v>521</v>
      </c>
      <c r="AG38" s="3157"/>
      <c r="AH38" s="3049"/>
      <c r="AI38" s="3133"/>
      <c r="AJ38" s="3136"/>
      <c r="AK38" s="2978"/>
      <c r="AQ38" s="1727">
        <v>34</v>
      </c>
    </row>
    <row customHeight="1" ht="14.699999999999998">
      <c r="Q39" s="399"/>
      <c r="R39" s="483"/>
      <c r="S39" s="3128"/>
      <c r="T39" s="3077"/>
      <c r="U39" s="1131"/>
      <c r="V39" s="3181" t="str">
        <f>IF($AD$39&lt;&gt;"",$AD$39,"")</f>
        <v/>
      </c>
      <c r="W39" s="3181"/>
      <c r="X39" s="3053"/>
      <c r="Y39" s="3158"/>
      <c r="Z39" s="3158"/>
      <c r="AA39" s="3077"/>
      <c r="AB39" s="3076"/>
      <c r="AC39" s="3076"/>
      <c r="AD39" s="3190"/>
      <c r="AE39" s="3180"/>
      <c r="AF39" s="3158"/>
      <c r="AG39" s="3158"/>
      <c r="AH39" s="3054"/>
      <c r="AI39" s="3133"/>
      <c r="AJ39" s="3136"/>
      <c r="AK39" s="2978"/>
      <c r="AQ39" s="1727">
        <v>14</v>
      </c>
    </row>
    <row customHeight="1" ht="14.699999999999998">
      <c r="A40" s="1362"/>
      <c r="B40" s="1362" t="s">
        <v>222</v>
      </c>
      <c r="C40" s="1362" t="s">
        <v>223</v>
      </c>
      <c r="D40" s="1362" t="s">
        <v>224</v>
      </c>
      <c r="E40" s="1406" t="s">
        <v>522</v>
      </c>
      <c r="F40" s="1406" t="s">
        <v>523</v>
      </c>
      <c r="G40" s="1406" t="s">
        <v>524</v>
      </c>
      <c r="H40" s="1406" t="s">
        <v>525</v>
      </c>
      <c r="I40" s="1406" t="s">
        <v>526</v>
      </c>
      <c r="J40" s="1406" t="s">
        <v>527</v>
      </c>
      <c r="K40" s="1406" t="s">
        <v>528</v>
      </c>
      <c r="L40" s="1406" t="s">
        <v>503</v>
      </c>
      <c r="Q40" s="399"/>
      <c r="R40" s="483"/>
      <c r="S40" s="3128"/>
      <c r="T40" s="3077"/>
      <c r="U40" s="410"/>
      <c r="V40" s="2041" t="s">
        <v>563</v>
      </c>
      <c r="W40" s="2041" t="s">
        <v>564</v>
      </c>
      <c r="X40" s="2029" t="s">
        <v>531</v>
      </c>
      <c r="Y40" s="3082" t="s">
        <v>532</v>
      </c>
      <c r="Z40" s="3094"/>
      <c r="AA40" s="3077"/>
      <c r="AB40" s="3076"/>
      <c r="AC40" s="3076"/>
      <c r="AD40" s="2059" t="s">
        <v>563</v>
      </c>
      <c r="AE40" s="2050" t="s">
        <v>564</v>
      </c>
      <c r="AF40" s="2029" t="s">
        <v>531</v>
      </c>
      <c r="AG40" s="3082" t="s">
        <v>532</v>
      </c>
      <c r="AH40" s="3095"/>
      <c r="AI40" s="3134"/>
      <c r="AJ40" s="3137"/>
      <c r="AK40" s="2978"/>
      <c r="AQ40" s="1727">
        <v>14</v>
      </c>
    </row>
    <row s="10851" customFormat="1" customHeight="1" ht="11.25" hidden="1">
      <c r="A41" s="1362"/>
      <c r="B41" s="1362"/>
      <c r="C41" s="1362"/>
      <c r="D41" s="1362"/>
      <c r="E41" s="1362"/>
      <c r="F41" s="1362"/>
      <c r="G41" s="1362"/>
      <c r="H41" s="1362"/>
      <c r="I41" s="1362"/>
      <c r="J41" s="1362"/>
      <c r="K41" s="1362"/>
      <c r="L41" s="1406"/>
      <c r="M41" s="2056"/>
      <c r="N41" s="2056"/>
      <c r="O41" s="2056"/>
      <c r="P41" s="617"/>
      <c r="Q41" s="1350"/>
      <c r="R41" s="1350">
        <v>1</v>
      </c>
      <c r="S41" s="1373" t="s">
        <v>144</v>
      </c>
      <c r="T41" s="1351" t="s">
        <v>102</v>
      </c>
      <c r="U41" s="1341" t="str">
        <f>OFFSET(U41,0,-1)</f>
        <v>2</v>
      </c>
      <c r="V41" s="2047">
        <f>OFFSET(V41,0,-1)+1</f>
        <v>3</v>
      </c>
      <c r="W41" s="2047">
        <f>OFFSET(W41,0,-1)+1</f>
        <v>4</v>
      </c>
      <c r="X41" s="2047">
        <f>OFFSET(X41,0,-1)+1</f>
        <v>5</v>
      </c>
      <c r="Y41" s="3126">
        <f>OFFSET(Y41,0,-1)+1</f>
        <v>6</v>
      </c>
      <c r="Z41" s="3126"/>
      <c r="AA41" s="1437">
        <f>OFFSET(AA41,0,-2)+1</f>
        <v>7</v>
      </c>
      <c r="AB41" s="1437"/>
      <c r="AC41" s="1437"/>
      <c r="AD41" s="2047">
        <f>OFFSET(AD41,0,-1)+1</f>
        <v>1</v>
      </c>
      <c r="AE41" s="2047">
        <f>OFFSET(AE41,0,-1)+1</f>
        <v>2</v>
      </c>
      <c r="AF41" s="2047">
        <f>OFFSET(AF41,0,-1)+1</f>
        <v>3</v>
      </c>
      <c r="AG41" s="3126">
        <f>OFFSET(AG41,0,-1)+1</f>
        <v>4</v>
      </c>
      <c r="AH41" s="3126"/>
      <c r="AI41" s="2047">
        <f>OFFSET(AI41,0,-2)+1</f>
        <v>5</v>
      </c>
      <c r="AJ41" s="1341">
        <f>OFFSET(AJ41,0,-1)</f>
        <v>5</v>
      </c>
      <c r="AK41" s="2047">
        <f>OFFSET(AK41,0,-1)+1</f>
        <v>6</v>
      </c>
      <c r="AL41" s="1732"/>
      <c r="AM41" s="1732"/>
      <c r="AN41" s="1732"/>
      <c r="AO41" s="1732"/>
      <c r="AP41" s="1732"/>
      <c r="AQ41" s="1737">
        <v>0</v>
      </c>
    </row>
    <row customHeight="1" ht="107.25">
      <c r="A42" s="1363" t="s">
        <v>291</v>
      </c>
      <c r="B42" s="1363"/>
      <c r="C42" s="1363"/>
      <c r="D42" s="1363"/>
      <c r="E42" s="3141">
        <v>1</v>
      </c>
      <c r="F42" s="1363"/>
      <c r="G42" s="1363"/>
      <c r="H42" s="1363"/>
      <c r="I42" s="1363"/>
      <c r="J42" s="1363"/>
      <c r="K42" s="1363"/>
      <c r="L42" s="1406"/>
      <c r="M42" s="1706"/>
      <c r="N42" s="1706"/>
      <c r="O42" s="1706"/>
      <c r="P42" s="1505"/>
      <c r="Q42" s="974"/>
      <c r="R42" s="462"/>
      <c r="S42" s="2049">
        <f>INDEX(PT_DIFFERENTIATION_NUM_NTAR,MATCH(A42,PT_DIFFERENTIATION_NTAR_ID,0))</f>
        <v>0</v>
      </c>
      <c r="T42" s="1621" t="s">
        <v>210</v>
      </c>
      <c r="U42" s="408"/>
      <c r="V42" s="3110"/>
      <c r="W42" s="3110"/>
      <c r="X42" s="3110"/>
      <c r="Y42" s="3110"/>
      <c r="Z42" s="3110"/>
      <c r="AA42" s="3111"/>
      <c r="AB42" s="2043"/>
      <c r="AC42" s="3110" t="str">
        <f>INDEX(PT_DIFFERENTIATION_NTAR,MATCH(A42,PT_DIFFERENTIATION_NTAR_ID,0))</f>
        <v/>
      </c>
      <c r="AD42" s="3110"/>
      <c r="AE42" s="3110"/>
      <c r="AF42" s="3110"/>
      <c r="AG42" s="3110"/>
      <c r="AH42" s="3110"/>
      <c r="AI42" s="3110"/>
      <c r="AJ42" s="3111"/>
      <c r="AK42" s="135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20"/>
      <c r="AN42" s="1720" t="str">
        <f>IF(T42="","",T42)</f>
        <v>Наименование тарифа</v>
      </c>
      <c r="AO42" s="1720"/>
      <c r="AP42" s="1720"/>
      <c r="AQ42" s="1727">
        <v>102</v>
      </c>
    </row>
    <row customHeight="1" ht="22.049999999999997">
      <c r="A43" s="1363" t="s">
        <v>291</v>
      </c>
      <c r="B43" s="1363" t="s">
        <v>292</v>
      </c>
      <c r="C43" s="1363"/>
      <c r="D43" s="1363"/>
      <c r="E43" s="3142"/>
      <c r="F43" s="3141">
        <v>1</v>
      </c>
      <c r="G43" s="1363"/>
      <c r="H43" s="1363"/>
      <c r="I43" s="1363"/>
      <c r="J43" s="1363"/>
      <c r="K43" s="1363"/>
      <c r="L43" s="1406"/>
      <c r="M43" s="1706"/>
      <c r="N43" s="1706"/>
      <c r="O43" s="1706"/>
      <c r="P43" s="2060"/>
      <c r="Q43" s="1507"/>
      <c r="R43" s="460"/>
      <c r="S43" s="2049" t="str">
        <f>INDEX(PT_DIFFERENTIATION_NUM_TER,MATCH(B43,PT_DIFFERENTIATION_TER_ID,0))</f>
        <v>.</v>
      </c>
      <c r="T43" s="1618" t="s">
        <v>482</v>
      </c>
      <c r="U43" s="408"/>
      <c r="V43" s="3110"/>
      <c r="W43" s="3110"/>
      <c r="X43" s="3110"/>
      <c r="Y43" s="3110"/>
      <c r="Z43" s="3110"/>
      <c r="AA43" s="3111"/>
      <c r="AB43" s="2043"/>
      <c r="AC43" s="3110" t="str">
        <f>INDEX(PT_DIFFERENTIATION_TER,MATCH(B43,PT_DIFFERENTIATION_TER_ID,0))</f>
        <v/>
      </c>
      <c r="AD43" s="3110"/>
      <c r="AE43" s="3110"/>
      <c r="AF43" s="3110"/>
      <c r="AG43" s="3110"/>
      <c r="AH43" s="3110"/>
      <c r="AI43" s="3110"/>
      <c r="AJ43" s="3111"/>
      <c r="AK43" s="1354" t="s">
        <v>483</v>
      </c>
      <c r="AM43" s="1720"/>
      <c r="AN43" s="1720" t="str">
        <f>IF(T43="","",T43)</f>
        <v>Территория действия тарифа</v>
      </c>
      <c r="AO43" s="1720"/>
      <c r="AP43" s="1720"/>
      <c r="AQ43" s="1727">
        <v>21</v>
      </c>
    </row>
    <row customHeight="1" ht="24">
      <c r="A44" s="1363" t="s">
        <v>291</v>
      </c>
      <c r="B44" s="1363" t="s">
        <v>292</v>
      </c>
      <c r="C44" s="1363" t="s">
        <v>293</v>
      </c>
      <c r="D44" s="1363"/>
      <c r="E44" s="3142"/>
      <c r="F44" s="3142"/>
      <c r="G44" s="3141">
        <v>1</v>
      </c>
      <c r="H44" s="1363"/>
      <c r="I44" s="1363"/>
      <c r="J44" s="1363"/>
      <c r="K44" s="1363"/>
      <c r="L44" s="1406"/>
      <c r="M44" s="1706"/>
      <c r="N44" s="1706"/>
      <c r="O44" s="1706"/>
      <c r="P44" s="1508"/>
      <c r="Q44" s="1507"/>
      <c r="R44" s="460"/>
      <c r="S44" s="2049" t="str">
        <f>INDEX(PT_DIFFERENTIATION_NUM_CS,MATCH(C44,PT_DIFFERENTIATION_CS_ID,0))</f>
        <v>..</v>
      </c>
      <c r="T44" s="417" t="s">
        <v>484</v>
      </c>
      <c r="U44" s="408"/>
      <c r="V44" s="3110"/>
      <c r="W44" s="3110"/>
      <c r="X44" s="3110"/>
      <c r="Y44" s="3110"/>
      <c r="Z44" s="3110"/>
      <c r="AA44" s="3111"/>
      <c r="AB44" s="2043"/>
      <c r="AC44" s="3110" t="str">
        <f>INDEX(PT_DIFFERENTIATION_CS,MATCH(C44,PT_DIFFERENTIATION_CS_ID,0))</f>
        <v/>
      </c>
      <c r="AD44" s="3110"/>
      <c r="AE44" s="3110"/>
      <c r="AF44" s="3110"/>
      <c r="AG44" s="3110"/>
      <c r="AH44" s="3110"/>
      <c r="AI44" s="3110"/>
      <c r="AJ44" s="3111"/>
      <c r="AK44" s="1354" t="s">
        <v>485</v>
      </c>
      <c r="AM44" s="1720"/>
      <c r="AN44" s="1720" t="str">
        <f>IF(T44="","",T44)</f>
        <v>Наименование системы теплоснабжения </v>
      </c>
      <c r="AO44" s="1720"/>
      <c r="AP44" s="1720"/>
      <c r="AQ44" s="1727">
        <v>23</v>
      </c>
    </row>
    <row customHeight="1" ht="22.049999999999997">
      <c r="A45" s="1363" t="s">
        <v>291</v>
      </c>
      <c r="B45" s="1363" t="s">
        <v>292</v>
      </c>
      <c r="C45" s="1363" t="s">
        <v>293</v>
      </c>
      <c r="D45" s="1363" t="s">
        <v>294</v>
      </c>
      <c r="E45" s="3142"/>
      <c r="F45" s="3142"/>
      <c r="G45" s="3142"/>
      <c r="H45" s="3141">
        <v>1</v>
      </c>
      <c r="I45" s="1363"/>
      <c r="J45" s="1363"/>
      <c r="K45" s="1363"/>
      <c r="L45" s="1406"/>
      <c r="M45" s="1706"/>
      <c r="N45" s="1706"/>
      <c r="O45" s="1706"/>
      <c r="P45" s="1508"/>
      <c r="Q45" s="1507"/>
      <c r="R45" s="460"/>
      <c r="S45" s="2049" t="str">
        <f>INDEX(PT_DIFFERENTIATION_NUM_IST_TE,MATCH(D45,PT_DIFFERENTIATION_IST_TE_ID,0))</f>
        <v>...</v>
      </c>
      <c r="T45" s="418" t="s">
        <v>486</v>
      </c>
      <c r="U45" s="408"/>
      <c r="V45" s="3110"/>
      <c r="W45" s="3110"/>
      <c r="X45" s="3110"/>
      <c r="Y45" s="3110"/>
      <c r="Z45" s="3110"/>
      <c r="AA45" s="3111"/>
      <c r="AB45" s="2043"/>
      <c r="AC45" s="3110" t="str">
        <f>INDEX(PT_DIFFERENTIATION_IST_TE,MATCH(D45,PT_DIFFERENTIATION_IST_TE_ID,0))</f>
        <v/>
      </c>
      <c r="AD45" s="3110"/>
      <c r="AE45" s="3110"/>
      <c r="AF45" s="3110"/>
      <c r="AG45" s="3110"/>
      <c r="AH45" s="3110"/>
      <c r="AI45" s="3110"/>
      <c r="AJ45" s="3111"/>
      <c r="AK45" s="1354" t="s">
        <v>487</v>
      </c>
      <c r="AM45" s="1720"/>
      <c r="AN45" s="1720" t="str">
        <f>IF(T45="","",T45)</f>
        <v>Источник тепловой энергии  </v>
      </c>
      <c r="AO45" s="1720"/>
      <c r="AP45" s="1720"/>
      <c r="AQ45" s="1727">
        <v>21</v>
      </c>
    </row>
    <row s="10307" customFormat="1" customHeight="1" ht="14.25" hidden="1">
      <c r="A46" s="1471" t="s">
        <v>291</v>
      </c>
      <c r="B46" s="1471" t="s">
        <v>292</v>
      </c>
      <c r="C46" s="1471" t="s">
        <v>293</v>
      </c>
      <c r="D46" s="1471" t="s">
        <v>294</v>
      </c>
      <c r="E46" s="3142"/>
      <c r="F46" s="3142"/>
      <c r="G46" s="3142"/>
      <c r="H46" s="3142"/>
      <c r="I46" s="2978" t="str">
        <f>S45&amp;".1"</f>
        <v>....1</v>
      </c>
      <c r="J46" s="1471"/>
      <c r="K46" s="1471"/>
      <c r="L46" s="1477" t="s">
        <v>488</v>
      </c>
      <c r="M46" s="1342"/>
      <c r="N46" s="1342"/>
      <c r="O46" s="1342"/>
      <c r="P46" s="3119">
        <v>1</v>
      </c>
      <c r="Q46" s="2045"/>
      <c r="R46" s="463"/>
      <c r="S46" s="1142"/>
      <c r="T46" s="1479"/>
      <c r="U46" s="1480"/>
      <c r="V46" s="3147"/>
      <c r="W46" s="3147"/>
      <c r="X46" s="3147"/>
      <c r="Y46" s="3147"/>
      <c r="Z46" s="3147"/>
      <c r="AA46" s="3148"/>
      <c r="AB46" s="2051"/>
      <c r="AC46" s="3147"/>
      <c r="AD46" s="3147"/>
      <c r="AE46" s="3147"/>
      <c r="AF46" s="3147"/>
      <c r="AG46" s="3147"/>
      <c r="AH46" s="3147"/>
      <c r="AI46" s="3147"/>
      <c r="AJ46" s="3148"/>
      <c r="AK46" s="1481"/>
      <c r="AM46" s="1720"/>
      <c r="AN46" s="1720" t="str">
        <f>IF(T46="","",T46)</f>
        <v/>
      </c>
      <c r="AO46" s="1720"/>
      <c r="AP46" s="1720"/>
      <c r="AQ46" s="1732">
        <v>0</v>
      </c>
    </row>
    <row s="10307" customFormat="1" customHeight="1" ht="14.25" hidden="1">
      <c r="A47" s="1471" t="s">
        <v>291</v>
      </c>
      <c r="B47" s="1471" t="s">
        <v>292</v>
      </c>
      <c r="C47" s="1471" t="s">
        <v>293</v>
      </c>
      <c r="D47" s="1471" t="s">
        <v>294</v>
      </c>
      <c r="E47" s="3142"/>
      <c r="F47" s="3142"/>
      <c r="G47" s="3142"/>
      <c r="H47" s="3142"/>
      <c r="I47" s="2959"/>
      <c r="J47" s="2978" t="str">
        <f>S45&amp;".1"</f>
        <v>....1</v>
      </c>
      <c r="K47" s="1471"/>
      <c r="L47" s="1477"/>
      <c r="M47" s="1342"/>
      <c r="N47" s="1342"/>
      <c r="O47" s="1342"/>
      <c r="P47" s="3119"/>
      <c r="Q47" s="3119">
        <v>1</v>
      </c>
      <c r="R47" s="464"/>
      <c r="S47" s="1142"/>
      <c r="T47" s="1495"/>
      <c r="U47" s="1480"/>
      <c r="V47" s="3147"/>
      <c r="W47" s="3147"/>
      <c r="X47" s="3147"/>
      <c r="Y47" s="3147"/>
      <c r="Z47" s="3147"/>
      <c r="AA47" s="3148"/>
      <c r="AB47" s="2051"/>
      <c r="AC47" s="3147"/>
      <c r="AD47" s="3147"/>
      <c r="AE47" s="3147"/>
      <c r="AF47" s="3147"/>
      <c r="AG47" s="3147"/>
      <c r="AH47" s="3147"/>
      <c r="AI47" s="3147"/>
      <c r="AJ47" s="3148"/>
      <c r="AK47" s="1481"/>
      <c r="AM47" s="1720"/>
      <c r="AN47" s="1720" t="str">
        <f>IF(T47="","",T47)</f>
        <v/>
      </c>
      <c r="AO47" s="1720"/>
      <c r="AP47" s="1720"/>
      <c r="AQ47" s="1732">
        <v>0</v>
      </c>
    </row>
    <row customHeight="1" ht="22.049999999999997">
      <c r="A48" s="1363" t="s">
        <v>291</v>
      </c>
      <c r="B48" s="1363" t="s">
        <v>292</v>
      </c>
      <c r="C48" s="1363" t="s">
        <v>293</v>
      </c>
      <c r="D48" s="1363" t="s">
        <v>294</v>
      </c>
      <c r="E48" s="3142"/>
      <c r="F48" s="3142"/>
      <c r="G48" s="3142"/>
      <c r="H48" s="3142"/>
      <c r="I48" s="2959"/>
      <c r="J48" s="2959"/>
      <c r="K48" s="2032" t="str">
        <f>S45&amp;".1"</f>
        <v>....1</v>
      </c>
      <c r="L48" s="1406"/>
      <c r="P48" s="3119"/>
      <c r="Q48" s="3119"/>
      <c r="R48" s="464">
        <v>1</v>
      </c>
      <c r="S48" s="2053" t="str">
        <f>$K48</f>
        <v>....1</v>
      </c>
      <c r="T48" s="2052"/>
      <c r="U48" s="408"/>
      <c r="V48" s="858"/>
      <c r="W48" s="1353"/>
      <c r="X48" s="2046"/>
      <c r="Y48" s="2033" t="s">
        <v>62</v>
      </c>
      <c r="Z48" s="2046"/>
      <c r="AA48" s="2033" t="s">
        <v>62</v>
      </c>
      <c r="AB48" s="2055"/>
      <c r="AC48" s="2054" t="s">
        <v>22</v>
      </c>
      <c r="AD48" s="858"/>
      <c r="AE48" s="1353"/>
      <c r="AF48" s="2046"/>
      <c r="AG48" s="2033" t="s">
        <v>62</v>
      </c>
      <c r="AH48" s="2046"/>
      <c r="AI48" s="2033" t="s">
        <v>62</v>
      </c>
      <c r="AJ48" s="1444"/>
      <c r="AK48" s="3138" t="s">
        <v>565</v>
      </c>
      <c r="AL48" s="1732">
        <f>STRCHECKDATE(#REF!)</f>
      </c>
      <c r="AM48" s="1720"/>
      <c r="AN48" s="1720" t="str">
        <f>IF(T48="","",T48)</f>
        <v/>
      </c>
      <c r="AO48" s="1720"/>
      <c r="AP48" s="1720"/>
      <c r="AQ48" s="1727">
        <v>21</v>
      </c>
    </row>
    <row customHeight="1" ht="11.549999999999999">
      <c r="A49" s="1363" t="s">
        <v>291</v>
      </c>
      <c r="B49" s="1363" t="s">
        <v>292</v>
      </c>
      <c r="C49" s="1363" t="s">
        <v>293</v>
      </c>
      <c r="D49" s="1363" t="s">
        <v>294</v>
      </c>
      <c r="E49" s="3142"/>
      <c r="F49" s="3142"/>
      <c r="G49" s="3142"/>
      <c r="H49" s="3142"/>
      <c r="I49" s="2959"/>
      <c r="J49" s="2978"/>
      <c r="K49" s="1363"/>
      <c r="L49" s="1406"/>
      <c r="P49" s="3119"/>
      <c r="Q49" s="3119"/>
      <c r="R49" s="463"/>
      <c r="S49" s="1374"/>
      <c r="T49" s="395" t="s">
        <v>553</v>
      </c>
      <c r="U49" s="707"/>
      <c r="V49" s="707"/>
      <c r="W49" s="707"/>
      <c r="X49" s="707"/>
      <c r="Y49" s="707"/>
      <c r="Z49" s="707"/>
      <c r="AA49" s="432"/>
      <c r="AB49" s="707"/>
      <c r="AC49" s="707"/>
      <c r="AD49" s="707"/>
      <c r="AE49" s="707"/>
      <c r="AF49" s="707"/>
      <c r="AG49" s="707"/>
      <c r="AH49" s="707"/>
      <c r="AI49" s="707"/>
      <c r="AJ49" s="432"/>
      <c r="AK49" s="3140"/>
      <c r="AM49" s="1720"/>
      <c r="AN49" s="1720" t="str">
        <f>IF(T49="","",T49)</f>
        <v>Добавить строку</v>
      </c>
      <c r="AO49" s="1720"/>
      <c r="AP49" s="1720"/>
      <c r="AQ49" s="1727">
        <v>11</v>
      </c>
    </row>
    <row s="10307" customFormat="1" customHeight="1" ht="1.05">
      <c r="A50" s="1471" t="s">
        <v>291</v>
      </c>
      <c r="B50" s="1471" t="s">
        <v>292</v>
      </c>
      <c r="C50" s="1471" t="s">
        <v>293</v>
      </c>
      <c r="D50" s="1471" t="s">
        <v>294</v>
      </c>
      <c r="E50" s="3142"/>
      <c r="F50" s="3142"/>
      <c r="G50" s="3142"/>
      <c r="H50" s="3142"/>
      <c r="I50" s="2978"/>
      <c r="J50" s="1471"/>
      <c r="K50" s="1471"/>
      <c r="L50" s="1477"/>
      <c r="M50" s="1342"/>
      <c r="N50" s="1342"/>
      <c r="O50" s="1342"/>
      <c r="P50" s="3119"/>
      <c r="Q50" s="2045"/>
      <c r="R50" s="463"/>
      <c r="S50" s="1482"/>
      <c r="T50" s="1483" t="s">
        <v>497</v>
      </c>
      <c r="U50" s="1484"/>
      <c r="V50" s="1484"/>
      <c r="W50" s="1484"/>
      <c r="X50" s="1484"/>
      <c r="Y50" s="1484"/>
      <c r="Z50" s="1484"/>
      <c r="AA50" s="1484"/>
      <c r="AB50" s="1484"/>
      <c r="AC50" s="1484"/>
      <c r="AD50" s="1484"/>
      <c r="AE50" s="1484"/>
      <c r="AF50" s="1484"/>
      <c r="AG50" s="1484"/>
      <c r="AH50" s="1484"/>
      <c r="AI50" s="1484"/>
      <c r="AJ50" s="1484"/>
      <c r="AK50" s="1485"/>
      <c r="AM50" s="1720"/>
      <c r="AN50" s="1720" t="str">
        <f>IF(T50="","",T50)</f>
        <v>Добавить группу потребителей</v>
      </c>
      <c r="AO50" s="1720"/>
      <c r="AP50" s="1720"/>
      <c r="AQ50" s="1732">
        <v>1</v>
      </c>
    </row>
    <row s="10851" customFormat="1" customHeight="1" ht="1.05">
      <c r="A51" s="1471" t="s">
        <v>291</v>
      </c>
      <c r="B51" s="1471" t="s">
        <v>292</v>
      </c>
      <c r="C51" s="1471" t="s">
        <v>293</v>
      </c>
      <c r="D51" s="1471" t="s">
        <v>294</v>
      </c>
      <c r="E51" s="3142"/>
      <c r="F51" s="3142"/>
      <c r="G51" s="3142"/>
      <c r="H51" s="3141"/>
      <c r="I51" s="1471"/>
      <c r="J51" s="1471"/>
      <c r="K51" s="1471"/>
      <c r="L51" s="1477"/>
      <c r="M51" s="1474"/>
      <c r="N51" s="1474"/>
      <c r="O51" s="458"/>
      <c r="P51" s="487"/>
      <c r="Q51" s="1440"/>
      <c r="R51" s="1496"/>
      <c r="S51" s="1482"/>
      <c r="T51" s="1483"/>
      <c r="U51" s="1484"/>
      <c r="V51" s="1484"/>
      <c r="W51" s="1484"/>
      <c r="X51" s="1484"/>
      <c r="Y51" s="1484"/>
      <c r="Z51" s="1484"/>
      <c r="AA51" s="1484"/>
      <c r="AB51" s="1484"/>
      <c r="AC51" s="1484"/>
      <c r="AD51" s="1484"/>
      <c r="AE51" s="1484"/>
      <c r="AF51" s="1484"/>
      <c r="AG51" s="1484"/>
      <c r="AH51" s="1484"/>
      <c r="AI51" s="1484"/>
      <c r="AJ51" s="1484"/>
      <c r="AK51" s="1485"/>
      <c r="AL51" s="1732"/>
      <c r="AM51" s="1720"/>
      <c r="AN51" s="1720" t="str">
        <f>IF(T51="","",T51)</f>
        <v/>
      </c>
      <c r="AO51" s="1720"/>
      <c r="AP51" s="1720"/>
      <c r="AQ51" s="1737">
        <v>1</v>
      </c>
    </row>
    <row s="10307" customFormat="1" customHeight="1" ht="1.05">
      <c r="A52" s="1471" t="s">
        <v>291</v>
      </c>
      <c r="B52" s="1471" t="s">
        <v>292</v>
      </c>
      <c r="C52" s="1471" t="s">
        <v>293</v>
      </c>
      <c r="D52" s="1470"/>
      <c r="E52" s="3142"/>
      <c r="F52" s="3142"/>
      <c r="G52" s="3141"/>
      <c r="H52" s="1470"/>
      <c r="I52" s="1470"/>
      <c r="J52" s="1470"/>
      <c r="K52" s="1470"/>
      <c r="L52" s="1473"/>
      <c r="M52" s="1474"/>
      <c r="N52" s="1474"/>
      <c r="O52" s="458"/>
      <c r="P52" s="1412"/>
      <c r="Q52" s="1413"/>
      <c r="R52" s="1412"/>
      <c r="S52" s="1418"/>
      <c r="T52" s="1421" t="s">
        <v>499</v>
      </c>
      <c r="U52" s="1420"/>
      <c r="V52" s="1420"/>
      <c r="W52" s="1420"/>
      <c r="X52" s="1420"/>
      <c r="Y52" s="1420"/>
      <c r="Z52" s="1420"/>
      <c r="AA52" s="1420"/>
      <c r="AB52" s="1420"/>
      <c r="AC52" s="1420"/>
      <c r="AD52" s="1420"/>
      <c r="AE52" s="1420"/>
      <c r="AF52" s="1420"/>
      <c r="AG52" s="1420"/>
      <c r="AH52" s="1420"/>
      <c r="AI52" s="1420"/>
      <c r="AJ52" s="1420"/>
      <c r="AK52" s="1420"/>
      <c r="AM52" s="1347"/>
      <c r="AN52" s="1347" t="str">
        <f>IF(T52="","",T52)</f>
        <v>Добавить источник для дифференциации</v>
      </c>
      <c r="AO52" s="1347"/>
      <c r="AP52" s="1347"/>
      <c r="AQ52" s="1738">
        <v>1</v>
      </c>
    </row>
    <row s="10307" customFormat="1" customHeight="1" ht="1.05">
      <c r="A53" s="1471" t="s">
        <v>291</v>
      </c>
      <c r="B53" s="1471" t="s">
        <v>292</v>
      </c>
      <c r="C53" s="1470"/>
      <c r="D53" s="1470"/>
      <c r="E53" s="3142"/>
      <c r="F53" s="3141"/>
      <c r="G53" s="1470"/>
      <c r="H53" s="1470"/>
      <c r="I53" s="1470"/>
      <c r="J53" s="1470"/>
      <c r="K53" s="1470"/>
      <c r="L53" s="1473"/>
      <c r="M53" s="1475"/>
      <c r="N53" s="1475"/>
      <c r="O53" s="458"/>
      <c r="P53" s="1412"/>
      <c r="Q53" s="1413"/>
      <c r="R53" s="1412"/>
      <c r="S53" s="1418"/>
      <c r="T53" s="1421" t="s">
        <v>500</v>
      </c>
      <c r="U53" s="1420"/>
      <c r="V53" s="1420"/>
      <c r="W53" s="1420"/>
      <c r="X53" s="1420"/>
      <c r="Y53" s="1420"/>
      <c r="Z53" s="1420"/>
      <c r="AA53" s="1420"/>
      <c r="AB53" s="1420"/>
      <c r="AC53" s="1420"/>
      <c r="AD53" s="1420"/>
      <c r="AE53" s="1420"/>
      <c r="AF53" s="1420"/>
      <c r="AG53" s="1420"/>
      <c r="AH53" s="1420"/>
      <c r="AI53" s="1420"/>
      <c r="AJ53" s="1420"/>
      <c r="AK53" s="1420"/>
      <c r="AM53" s="1347"/>
      <c r="AN53" s="1347" t="str">
        <f>IF(T53="","",T53)</f>
        <v>Добавить централизованную систему для дифференциации</v>
      </c>
      <c r="AO53" s="1347"/>
      <c r="AP53" s="1347"/>
      <c r="AQ53" s="1738">
        <v>1</v>
      </c>
    </row>
    <row s="10307" customFormat="1" customHeight="1" ht="1.05">
      <c r="A54" s="1471" t="s">
        <v>291</v>
      </c>
      <c r="B54" s="1471"/>
      <c r="C54" s="1471"/>
      <c r="D54" s="1471"/>
      <c r="E54" s="3142"/>
      <c r="F54" s="1471"/>
      <c r="G54" s="1471"/>
      <c r="H54" s="1471"/>
      <c r="I54" s="1471"/>
      <c r="J54" s="1471"/>
      <c r="K54" s="1471"/>
      <c r="L54" s="1477"/>
      <c r="M54" s="1475"/>
      <c r="N54" s="1475"/>
      <c r="O54" s="458"/>
      <c r="P54" s="487"/>
      <c r="Q54" s="1440"/>
      <c r="R54" s="487"/>
      <c r="S54" s="1418"/>
      <c r="T54" s="1421" t="s">
        <v>501</v>
      </c>
      <c r="U54" s="1420"/>
      <c r="V54" s="1420"/>
      <c r="W54" s="1420"/>
      <c r="X54" s="1420"/>
      <c r="Y54" s="1420"/>
      <c r="Z54" s="1420"/>
      <c r="AA54" s="1420"/>
      <c r="AB54" s="1420"/>
      <c r="AC54" s="1420"/>
      <c r="AD54" s="1420"/>
      <c r="AE54" s="1420"/>
      <c r="AF54" s="1420"/>
      <c r="AG54" s="1420"/>
      <c r="AH54" s="1420"/>
      <c r="AI54" s="1420"/>
      <c r="AJ54" s="1420"/>
      <c r="AK54" s="1420"/>
      <c r="AM54" s="1720"/>
      <c r="AN54" s="1720" t="str">
        <f>IF(T54="","",T54)</f>
        <v>Добавить территорию для дифференциации</v>
      </c>
      <c r="AO54" s="1720"/>
      <c r="AP54" s="1720"/>
      <c r="AQ54" s="1732">
        <v>1</v>
      </c>
    </row>
    <row s="10307" customFormat="1" customHeight="1" ht="1.05">
      <c r="A55" s="1471" t="s">
        <v>291</v>
      </c>
      <c r="B55" s="1471"/>
      <c r="C55" s="1471"/>
      <c r="D55" s="1471"/>
      <c r="E55" s="3141"/>
      <c r="F55" s="1471"/>
      <c r="G55" s="1471"/>
      <c r="H55" s="1471"/>
      <c r="I55" s="1471"/>
      <c r="J55" s="1471"/>
      <c r="K55" s="1471"/>
      <c r="L55" s="1477"/>
      <c r="M55" s="1475"/>
      <c r="N55" s="1475"/>
      <c r="O55" s="458"/>
      <c r="P55" s="487"/>
      <c r="Q55" s="1440"/>
      <c r="R55" s="487"/>
      <c r="S55" s="1418"/>
      <c r="T55" s="1421" t="s">
        <v>501</v>
      </c>
      <c r="U55" s="1420"/>
      <c r="V55" s="1420"/>
      <c r="W55" s="1420"/>
      <c r="X55" s="1420"/>
      <c r="Y55" s="1420"/>
      <c r="Z55" s="1420"/>
      <c r="AA55" s="1420"/>
      <c r="AB55" s="1420"/>
      <c r="AC55" s="1420"/>
      <c r="AD55" s="1420"/>
      <c r="AE55" s="1420"/>
      <c r="AF55" s="1420"/>
      <c r="AG55" s="1420"/>
      <c r="AH55" s="1420"/>
      <c r="AI55" s="1420"/>
      <c r="AJ55" s="1420"/>
      <c r="AK55" s="1420"/>
      <c r="AM55" s="1720"/>
      <c r="AN55" s="1720" t="str">
        <f>IF(T55="","",T55)</f>
        <v>Добавить территорию для дифференциации</v>
      </c>
      <c r="AO55" s="1720"/>
      <c r="AP55" s="1720"/>
      <c r="AQ55" s="1732">
        <v>1</v>
      </c>
    </row>
    <row s="10307" customFormat="1" customHeight="1" ht="1.05">
      <c r="A56" s="1470"/>
      <c r="B56" s="1470"/>
      <c r="C56" s="1470"/>
      <c r="D56" s="1470"/>
      <c r="E56" s="1471"/>
      <c r="F56" s="1470"/>
      <c r="G56" s="1470"/>
      <c r="H56" s="1470"/>
      <c r="I56" s="1470"/>
      <c r="J56" s="1470"/>
      <c r="K56" s="1470"/>
      <c r="L56" s="1473"/>
      <c r="M56" s="1475"/>
      <c r="N56" s="1475"/>
      <c r="O56" s="458"/>
      <c r="P56" s="1412"/>
      <c r="Q56" s="1413"/>
      <c r="R56" s="1412"/>
      <c r="S56" s="1418"/>
      <c r="T56" s="1421" t="s">
        <v>533</v>
      </c>
      <c r="U56" s="1420"/>
      <c r="V56" s="1420"/>
      <c r="W56" s="1420"/>
      <c r="X56" s="1420"/>
      <c r="Y56" s="1420"/>
      <c r="Z56" s="1420"/>
      <c r="AA56" s="1420"/>
      <c r="AB56" s="1420"/>
      <c r="AC56" s="1420"/>
      <c r="AD56" s="1420"/>
      <c r="AE56" s="1420"/>
      <c r="AF56" s="1420"/>
      <c r="AG56" s="1420"/>
      <c r="AH56" s="1420"/>
      <c r="AI56" s="1420"/>
      <c r="AJ56" s="1420"/>
      <c r="AK56" s="1420"/>
      <c r="AM56" s="1347"/>
      <c r="AN56" s="1347" t="str">
        <f>IF(T56="","",T56)</f>
        <v>Добавить наименование тарифа</v>
      </c>
      <c r="AO56" s="1347"/>
      <c r="AP56" s="1347"/>
      <c r="AQ56" s="1738">
        <v>1</v>
      </c>
    </row>
    <row customHeight="1" ht="11.549999999999999">
      <c r="M57" s="1727"/>
      <c r="N57" s="1727"/>
      <c r="O57" s="1731"/>
      <c r="P57" s="1462"/>
      <c r="Q57" s="1462"/>
      <c r="R57" s="1727"/>
      <c r="S57" s="1727"/>
      <c r="AL57" s="1727"/>
      <c r="AM57" s="1727"/>
      <c r="AN57" s="1727"/>
      <c r="AO57" s="1727"/>
      <c r="AP57" s="1727"/>
      <c r="AQ57" s="1727">
        <v>11</v>
      </c>
    </row>
    <row customHeight="1" ht="19.95">
      <c r="O58" s="1731"/>
      <c r="S58" s="1349"/>
      <c r="T58" s="3114"/>
      <c r="U58" s="3114"/>
      <c r="V58" s="3114"/>
      <c r="W58" s="3114"/>
      <c r="X58" s="3114"/>
      <c r="Y58" s="3114"/>
      <c r="Z58" s="3114"/>
      <c r="AA58" s="3114"/>
      <c r="AB58" s="3114"/>
      <c r="AC58" s="3114"/>
      <c r="AD58" s="3114"/>
      <c r="AE58" s="3114"/>
      <c r="AF58" s="3114"/>
      <c r="AG58" s="3114"/>
      <c r="AH58" s="3114"/>
      <c r="AI58" s="3114"/>
      <c r="AJ58" s="3114"/>
      <c r="AK58" s="3114"/>
      <c r="AQ58" s="1727">
        <v>19</v>
      </c>
    </row>
    <row customHeight="1" ht="21">
      <c r="O59" s="1731"/>
      <c r="T59" s="3114"/>
      <c r="U59" s="3114"/>
      <c r="V59" s="3114"/>
      <c r="W59" s="3114"/>
      <c r="X59" s="3114"/>
      <c r="Y59" s="3114"/>
      <c r="Z59" s="3114"/>
      <c r="AA59" s="3114"/>
      <c r="AB59" s="3114"/>
      <c r="AC59" s="3114"/>
      <c r="AD59" s="3114"/>
      <c r="AE59" s="3114"/>
      <c r="AF59" s="3114"/>
      <c r="AG59" s="3114"/>
      <c r="AH59" s="3114"/>
      <c r="AI59" s="3114"/>
      <c r="AJ59" s="3114"/>
      <c r="AK59" s="3114"/>
      <c r="AQ59" s="1727">
        <v>20</v>
      </c>
    </row>
    <row customHeight="1" ht="14.699999999999998">
      <c r="O60" s="1731"/>
      <c r="T60" s="2044"/>
      <c r="U60" s="2044"/>
      <c r="V60" s="2044"/>
      <c r="W60" s="2044"/>
      <c r="X60" s="2044"/>
      <c r="Y60" s="2044"/>
      <c r="Z60" s="2044"/>
      <c r="AA60" s="2044"/>
      <c r="AB60" s="2044"/>
      <c r="AC60" s="2044"/>
      <c r="AD60" s="2044"/>
      <c r="AE60" s="2044"/>
      <c r="AF60" s="2044"/>
      <c r="AG60" s="2044"/>
      <c r="AH60" s="2044"/>
      <c r="AI60" s="2044"/>
      <c r="AJ60" s="2044"/>
      <c r="AK60" s="2044"/>
      <c r="AQ60" s="1727">
        <v>14</v>
      </c>
    </row>
    <row customHeight="1" ht="19.95">
      <c r="O61" s="1731"/>
      <c r="T61" s="3114"/>
      <c r="U61" s="3114"/>
      <c r="V61" s="3114"/>
      <c r="W61" s="3114"/>
      <c r="X61" s="3114"/>
      <c r="Y61" s="3114"/>
      <c r="Z61" s="3114"/>
      <c r="AA61" s="3114"/>
      <c r="AB61" s="3114"/>
      <c r="AC61" s="3114"/>
      <c r="AD61" s="3114"/>
      <c r="AE61" s="3114"/>
      <c r="AF61" s="3114"/>
      <c r="AG61" s="3114"/>
      <c r="AH61" s="3114"/>
      <c r="AI61" s="3114"/>
      <c r="AJ61" s="3114"/>
      <c r="AK61" s="3114"/>
      <c r="AQ61" s="1727">
        <v>19</v>
      </c>
    </row>
    <row customHeight="1" ht="16.8">
      <c r="O62" s="1731"/>
      <c r="T62" s="3114"/>
      <c r="U62" s="3114"/>
      <c r="V62" s="3114"/>
      <c r="W62" s="3114"/>
      <c r="X62" s="3114"/>
      <c r="Y62" s="3114"/>
      <c r="Z62" s="3114"/>
      <c r="AA62" s="3114"/>
      <c r="AB62" s="3114"/>
      <c r="AC62" s="3114"/>
      <c r="AD62" s="3114"/>
      <c r="AE62" s="3114"/>
      <c r="AF62" s="3114"/>
      <c r="AG62" s="3114"/>
      <c r="AH62" s="3114"/>
      <c r="AI62" s="3114"/>
      <c r="AJ62" s="3114"/>
      <c r="AK62" s="3114"/>
      <c r="AQ62" s="1727">
        <v>16</v>
      </c>
    </row>
    <row customHeight="1" ht="14.699999999999998">
      <c r="O63" s="1731"/>
      <c r="AQ63" s="1727">
        <v>14</v>
      </c>
    </row>
    <row customHeight="1" ht="22.5" hidden="1">
      <c r="A64" s="1727" t="s">
        <v>82</v>
      </c>
      <c r="B64" s="1727">
        <v>0</v>
      </c>
      <c r="C64" s="1727">
        <v>0</v>
      </c>
      <c r="D64" s="1727">
        <v>0</v>
      </c>
      <c r="E64" s="1727">
        <v>0</v>
      </c>
      <c r="F64" s="1727">
        <v>0</v>
      </c>
      <c r="G64" s="1727">
        <v>0</v>
      </c>
      <c r="H64" s="1727">
        <v>0</v>
      </c>
      <c r="I64" s="1727">
        <v>0</v>
      </c>
      <c r="J64" s="1727">
        <v>0</v>
      </c>
      <c r="K64" s="1727">
        <v>0</v>
      </c>
      <c r="L64" s="2030">
        <v>0</v>
      </c>
      <c r="M64" s="2056">
        <v>0</v>
      </c>
      <c r="N64" s="2056">
        <v>0</v>
      </c>
      <c r="O64" s="2056">
        <v>0</v>
      </c>
      <c r="P64" s="1458">
        <v>3</v>
      </c>
      <c r="Q64" s="1467">
        <v>3</v>
      </c>
      <c r="R64" s="452">
        <v>3</v>
      </c>
      <c r="S64" s="688">
        <v>12</v>
      </c>
      <c r="T64" s="1727">
        <v>31</v>
      </c>
      <c r="U64" s="1727">
        <v>0</v>
      </c>
      <c r="V64" s="1727">
        <v>0</v>
      </c>
      <c r="W64" s="1727">
        <v>0</v>
      </c>
      <c r="X64" s="1727">
        <v>0</v>
      </c>
      <c r="Y64" s="1727">
        <v>0</v>
      </c>
      <c r="Z64" s="1727">
        <v>0</v>
      </c>
      <c r="AA64" s="1727">
        <v>0</v>
      </c>
      <c r="AB64" s="1727">
        <v>27</v>
      </c>
      <c r="AC64" s="1727">
        <v>24</v>
      </c>
      <c r="AD64" s="1727">
        <v>21</v>
      </c>
      <c r="AE64" s="1727">
        <v>21</v>
      </c>
      <c r="AF64" s="1727">
        <v>11</v>
      </c>
      <c r="AG64" s="1727">
        <v>3</v>
      </c>
      <c r="AH64" s="1727">
        <v>11</v>
      </c>
      <c r="AI64" s="1727">
        <v>8</v>
      </c>
      <c r="AJ64" s="1727">
        <v>4</v>
      </c>
      <c r="AK64" s="1727">
        <v>115</v>
      </c>
      <c r="AL64" s="1732">
        <v>10</v>
      </c>
      <c r="AM64" s="1732">
        <v>10</v>
      </c>
      <c r="AN64" s="1732">
        <v>10</v>
      </c>
      <c r="AO64" s="1732">
        <v>10</v>
      </c>
      <c r="AP64" s="1732">
        <v>10</v>
      </c>
      <c r="AQ64" s="1727">
        <v>23</v>
      </c>
    </row>
  </sheetData>
  <sheetProtection autoFilter="0" sort="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95F69-F6A8-75A5-6446-90E4B63EA44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306" width="11.57421875" hidden="1" customWidth="1"/>
    <col min="2" max="2" style="10306" width="11.00390625" hidden="1" customWidth="1"/>
    <col min="3" max="3" style="10306" width="10.57421875" hidden="1"/>
    <col min="4" max="4" style="10306" width="12.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2.00390625" hidden="1" customWidth="1"/>
    <col min="10" max="10" style="10306" width="9.8515625" hidden="1" customWidth="1"/>
    <col min="11" max="11" style="10306" width="11.421875" hidden="1" customWidth="1"/>
    <col min="12" max="12" style="11079" width="19.140625" hidden="1" customWidth="1"/>
    <col min="13" max="14" style="11080" width="12.28125" hidden="1" customWidth="1"/>
    <col min="15" max="15" style="11080" width="23.421875" hidden="1" customWidth="1"/>
    <col min="16" max="16" style="11080" width="3.7109375" hidden="1" customWidth="1"/>
    <col min="17" max="17" style="11245" width="3.7109375" hidden="1" customWidth="1"/>
    <col min="18" max="18" style="11082" width="3.00390625" customWidth="1"/>
    <col min="19" max="19" style="11083" width="12.00390625" customWidth="1"/>
    <col min="20" max="20" style="10232" width="31.00390625" customWidth="1"/>
    <col min="21" max="21" style="10232" width="0.140625" customWidth="1"/>
    <col min="22" max="25" style="10232" width="21.7109375" hidden="1" customWidth="1"/>
    <col min="26" max="26" style="10232" width="11.7109375" hidden="1" customWidth="1"/>
    <col min="27" max="27" style="10232" width="3.7109375" hidden="1" customWidth="1"/>
    <col min="28" max="28" style="10232" width="11.7109375" hidden="1" customWidth="1"/>
    <col min="29" max="29" style="10232" width="8.57421875" hidden="1" customWidth="1"/>
    <col min="30" max="30" style="10232" width="3.7109375" customWidth="1"/>
    <col min="31" max="32" style="10232" width="3.00390625" customWidth="1"/>
    <col min="33" max="33" style="10232" width="24.00390625" customWidth="1"/>
    <col min="34" max="34" style="10232" width="3.7109375" customWidth="1"/>
    <col min="35" max="36" style="10232" width="3.00390625" customWidth="1"/>
    <col min="37" max="37" style="10232" width="24.00390625" customWidth="1"/>
    <col min="38" max="38" style="10232" width="3.7109375" customWidth="1"/>
    <col min="39" max="40" style="10232" width="3.00390625" customWidth="1"/>
    <col min="41" max="41" style="10232" width="18.00390625" customWidth="1"/>
    <col min="42" max="42" style="10232" width="3.7109375" customWidth="1"/>
    <col min="43" max="44" style="10232" width="3.00390625" customWidth="1"/>
    <col min="45" max="45" style="10232" width="18.00390625" customWidth="1"/>
    <col min="46" max="49" style="10232" width="21.00390625" customWidth="1"/>
    <col min="50" max="50" style="10232" width="11.00390625" customWidth="1"/>
    <col min="51" max="51" style="10232" width="3.7109375" customWidth="1"/>
    <col min="52" max="52" style="10232" width="11.00390625" customWidth="1"/>
    <col min="53" max="53" style="10232" width="8.57421875" hidden="1" customWidth="1"/>
    <col min="54" max="54" style="10232" width="4.00390625" customWidth="1"/>
    <col min="55" max="55" style="10232" width="115.00390625" customWidth="1"/>
    <col min="56" max="60" style="10307" width="10.00390625" customWidth="1"/>
    <col min="61" max="61" style="10232" width="10.57421875" hidden="1"/>
  </cols>
  <sheetData>
    <row customHeight="1" ht="22.5" hidden="1">
      <c r="W1" s="435"/>
      <c r="Y1" s="435"/>
      <c r="Z1" s="435"/>
      <c r="AW1" s="435"/>
      <c r="AX1" s="435"/>
      <c r="BI1" s="1251" t="s">
        <v>14</v>
      </c>
    </row>
    <row customHeight="1" ht="21" hidden="1">
      <c r="A2" s="1459"/>
      <c r="B2" s="1459"/>
      <c r="C2" s="1459"/>
      <c r="D2" s="1459"/>
      <c r="E2" s="3115">
        <v>1</v>
      </c>
      <c r="F2" s="1459"/>
      <c r="G2" s="1459"/>
      <c r="H2" s="1459"/>
      <c r="I2" s="1459"/>
      <c r="J2" s="1459"/>
      <c r="K2" s="1459"/>
      <c r="L2" s="1460"/>
      <c r="M2" s="1461"/>
      <c r="N2" s="1461"/>
      <c r="O2" s="1461"/>
      <c r="P2" s="1505"/>
      <c r="Q2" s="974"/>
      <c r="R2" s="462"/>
      <c r="S2" s="1561">
        <f>INDEX(PT_DIFFERENTIATION_NUM_NTAR,MATCH(A2,PT_DIFFERENTIATION_NTAR_ID,0))</f>
      </c>
      <c r="T2" s="406" t="s">
        <v>210</v>
      </c>
      <c r="U2" s="408"/>
      <c r="V2" s="3110"/>
      <c r="W2" s="3110"/>
      <c r="X2" s="3110"/>
      <c r="Y2" s="3110"/>
      <c r="Z2" s="3110"/>
      <c r="AA2" s="3110"/>
      <c r="AB2" s="3110"/>
      <c r="AC2" s="3111"/>
      <c r="AD2" s="3109">
        <f>INDEX(PT_DIFFERENTIATION_NTAR,MATCH(A2,PT_DIFFERENTIATION_NTAR_ID,0))</f>
      </c>
      <c r="AE2" s="3110"/>
      <c r="AF2" s="3110"/>
      <c r="AG2" s="3110"/>
      <c r="AH2" s="3110"/>
      <c r="AI2" s="3110"/>
      <c r="AJ2" s="3110"/>
      <c r="AK2" s="3110"/>
      <c r="AL2" s="3110"/>
      <c r="AM2" s="3110"/>
      <c r="AN2" s="3110"/>
      <c r="AO2" s="3110"/>
      <c r="AP2" s="3110"/>
      <c r="AQ2" s="3110"/>
      <c r="AR2" s="3110"/>
      <c r="AS2" s="3110"/>
      <c r="AT2" s="3110"/>
      <c r="AU2" s="3110"/>
      <c r="AV2" s="3110"/>
      <c r="AW2" s="3110"/>
      <c r="AX2" s="3110"/>
      <c r="AY2" s="3110"/>
      <c r="AZ2" s="3110"/>
      <c r="BA2" s="3110"/>
      <c r="BB2" s="3111"/>
      <c r="BC2"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7"/>
      <c r="BF2" s="607" t="str">
        <f>IF(T2="","",T2)</f>
        <v>Наименование тарифа</v>
      </c>
      <c r="BG2" s="607"/>
      <c r="BH2" s="607"/>
      <c r="BI2" s="1251">
        <v>0</v>
      </c>
    </row>
    <row customHeight="1" ht="21" hidden="1">
      <c r="A3" s="1459"/>
      <c r="B3" s="1459"/>
      <c r="C3" s="1459"/>
      <c r="D3" s="1459"/>
      <c r="E3" s="3116"/>
      <c r="F3" s="3115">
        <v>1</v>
      </c>
      <c r="G3" s="1459"/>
      <c r="H3" s="1459"/>
      <c r="I3" s="1459"/>
      <c r="J3" s="1459"/>
      <c r="K3" s="1459"/>
      <c r="L3" s="1460"/>
      <c r="M3" s="1461"/>
      <c r="N3" s="1461"/>
      <c r="O3" s="1461"/>
      <c r="P3" s="1506"/>
      <c r="Q3" s="1507"/>
      <c r="R3" s="460"/>
      <c r="S3" s="1561">
        <f>INDEX(PT_DIFFERENTIATION_NUM_TER,MATCH(B3,PT_DIFFERENTIATION_TER_ID,0))</f>
      </c>
      <c r="T3" s="416" t="s">
        <v>482</v>
      </c>
      <c r="U3" s="408"/>
      <c r="V3" s="3110"/>
      <c r="W3" s="3110"/>
      <c r="X3" s="3110"/>
      <c r="Y3" s="3110"/>
      <c r="Z3" s="3110"/>
      <c r="AA3" s="3110"/>
      <c r="AB3" s="3110"/>
      <c r="AC3" s="3111"/>
      <c r="AD3" s="3109">
        <f>INDEX(PT_DIFFERENTIATION_TER,MATCH(B3,PT_DIFFERENTIATION_TER_ID,0))</f>
      </c>
      <c r="AE3" s="3110"/>
      <c r="AF3" s="3110"/>
      <c r="AG3" s="3110"/>
      <c r="AH3" s="3110"/>
      <c r="AI3" s="3110"/>
      <c r="AJ3" s="3110"/>
      <c r="AK3" s="3110"/>
      <c r="AL3" s="3110"/>
      <c r="AM3" s="3110"/>
      <c r="AN3" s="3110"/>
      <c r="AO3" s="3110"/>
      <c r="AP3" s="3110"/>
      <c r="AQ3" s="3110"/>
      <c r="AR3" s="3110"/>
      <c r="AS3" s="3110"/>
      <c r="AT3" s="3110"/>
      <c r="AU3" s="3110"/>
      <c r="AV3" s="3110"/>
      <c r="AW3" s="3110"/>
      <c r="AX3" s="3110"/>
      <c r="AY3" s="3110"/>
      <c r="AZ3" s="3110"/>
      <c r="BA3" s="3110"/>
      <c r="BB3" s="3111"/>
      <c r="BC3" s="1354" t="s">
        <v>483</v>
      </c>
      <c r="BE3" s="607"/>
      <c r="BF3" s="607" t="str">
        <f>IF(T3="","",T3)</f>
        <v>Территория действия тарифа</v>
      </c>
      <c r="BG3" s="607"/>
      <c r="BH3" s="607"/>
      <c r="BI3" s="1251">
        <v>0</v>
      </c>
    </row>
    <row customHeight="1" ht="42" hidden="1">
      <c r="A4" s="1459"/>
      <c r="B4" s="1459"/>
      <c r="C4" s="1459"/>
      <c r="D4" s="1459"/>
      <c r="E4" s="3116"/>
      <c r="F4" s="3116"/>
      <c r="G4" s="3115">
        <v>1</v>
      </c>
      <c r="H4" s="1459"/>
      <c r="I4" s="1459"/>
      <c r="J4" s="1459"/>
      <c r="K4" s="1459"/>
      <c r="L4" s="1460"/>
      <c r="M4" s="1461"/>
      <c r="N4" s="1461"/>
      <c r="O4" s="1461"/>
      <c r="P4" s="1508"/>
      <c r="Q4" s="1507"/>
      <c r="R4" s="460"/>
      <c r="S4" s="1561">
        <f>INDEX(PT_DIFFERENTIATION_NUM_CS,MATCH(C4,PT_DIFFERENTIATION_CS_ID,0))</f>
      </c>
      <c r="T4" s="417" t="s">
        <v>566</v>
      </c>
      <c r="U4" s="408"/>
      <c r="V4" s="3110"/>
      <c r="W4" s="3110"/>
      <c r="X4" s="3110"/>
      <c r="Y4" s="3110"/>
      <c r="Z4" s="3110"/>
      <c r="AA4" s="3110"/>
      <c r="AB4" s="3110"/>
      <c r="AC4" s="3111"/>
      <c r="AD4" s="3109">
        <f>INDEX(PT_DIFFERENTIATION_CS,MATCH(C4,PT_DIFFERENTIATION_CS_ID,0))</f>
      </c>
      <c r="AE4" s="3110"/>
      <c r="AF4" s="3110"/>
      <c r="AG4" s="3110"/>
      <c r="AH4" s="3110"/>
      <c r="AI4" s="3110"/>
      <c r="AJ4" s="3110"/>
      <c r="AK4" s="3110"/>
      <c r="AL4" s="3110"/>
      <c r="AM4" s="3110"/>
      <c r="AN4" s="3110"/>
      <c r="AO4" s="3110"/>
      <c r="AP4" s="3110"/>
      <c r="AQ4" s="3110"/>
      <c r="AR4" s="3110"/>
      <c r="AS4" s="3110"/>
      <c r="AT4" s="3110"/>
      <c r="AU4" s="3110"/>
      <c r="AV4" s="3110"/>
      <c r="AW4" s="3110"/>
      <c r="AX4" s="3110"/>
      <c r="AY4" s="3110"/>
      <c r="AZ4" s="3110"/>
      <c r="BA4" s="3110"/>
      <c r="BB4" s="3111"/>
      <c r="BC4" s="1354" t="s">
        <v>567</v>
      </c>
      <c r="BE4" s="607"/>
      <c r="BF4" s="607" t="str">
        <f>IF(T4="","",T4)</f>
        <v>Наименование централизованной системы холодного водоснабжения</v>
      </c>
      <c r="BG4" s="607"/>
      <c r="BH4" s="607"/>
      <c r="BI4" s="1251">
        <v>0</v>
      </c>
    </row>
    <row s="10307" customFormat="1" customHeight="1" ht="14.25" hidden="1">
      <c r="A5" s="1439"/>
      <c r="B5" s="1439"/>
      <c r="C5" s="1439"/>
      <c r="D5" s="1439"/>
      <c r="E5" s="3116"/>
      <c r="F5" s="3116"/>
      <c r="G5" s="3116"/>
      <c r="H5" s="3115">
        <v>1</v>
      </c>
      <c r="I5" s="1439"/>
      <c r="J5" s="1439"/>
      <c r="K5" s="1439"/>
      <c r="L5" s="1442"/>
      <c r="M5" s="1411"/>
      <c r="N5" s="1411"/>
      <c r="O5" s="1411"/>
      <c r="P5" s="1593"/>
      <c r="Q5" s="1594"/>
      <c r="R5" s="464"/>
      <c r="S5" s="1142"/>
      <c r="T5" s="1595"/>
      <c r="U5" s="1480"/>
      <c r="V5" s="3147"/>
      <c r="W5" s="3147"/>
      <c r="X5" s="3147"/>
      <c r="Y5" s="3147"/>
      <c r="Z5" s="3147"/>
      <c r="AA5" s="3147"/>
      <c r="AB5" s="3147"/>
      <c r="AC5" s="3148"/>
      <c r="AD5" s="3146"/>
      <c r="AE5" s="3147"/>
      <c r="AF5" s="3147"/>
      <c r="AG5" s="3147"/>
      <c r="AH5" s="3147"/>
      <c r="AI5" s="3147"/>
      <c r="AJ5" s="3147"/>
      <c r="AK5" s="3147"/>
      <c r="AL5" s="3147"/>
      <c r="AM5" s="3147"/>
      <c r="AN5" s="3147"/>
      <c r="AO5" s="3147"/>
      <c r="AP5" s="3147"/>
      <c r="AQ5" s="3147"/>
      <c r="AR5" s="3147"/>
      <c r="AS5" s="3147"/>
      <c r="AT5" s="3147"/>
      <c r="AU5" s="3147"/>
      <c r="AV5" s="3147"/>
      <c r="AW5" s="3147"/>
      <c r="AX5" s="3147"/>
      <c r="AY5" s="3147"/>
      <c r="AZ5" s="3147"/>
      <c r="BA5" s="3147"/>
      <c r="BB5" s="3148"/>
      <c r="BC5" s="1481" t="s">
        <v>487</v>
      </c>
      <c r="BE5" s="607"/>
      <c r="BF5" s="607" t="str">
        <f>IF(T5="","",T5)</f>
        <v/>
      </c>
      <c r="BG5" s="607"/>
      <c r="BH5" s="607"/>
      <c r="BI5" s="618">
        <v>0</v>
      </c>
    </row>
    <row s="10307" customFormat="1" customHeight="1" ht="14.25" hidden="1">
      <c r="A6" s="1439"/>
      <c r="B6" s="1439"/>
      <c r="C6" s="1439"/>
      <c r="D6" s="1439"/>
      <c r="E6" s="3116"/>
      <c r="F6" s="3116"/>
      <c r="G6" s="3116"/>
      <c r="H6" s="3116"/>
      <c r="I6" s="3117" t="str">
        <f>S5&amp;".1"</f>
        <v>.1</v>
      </c>
      <c r="J6" s="1439"/>
      <c r="K6" s="1439"/>
      <c r="L6" s="1442" t="s">
        <v>488</v>
      </c>
      <c r="M6" s="617"/>
      <c r="N6" s="617"/>
      <c r="O6" s="617"/>
      <c r="P6" s="3119">
        <v>1</v>
      </c>
      <c r="Q6" s="1558"/>
      <c r="R6" s="463"/>
      <c r="S6" s="1142"/>
      <c r="T6" s="1479"/>
      <c r="U6" s="1480"/>
      <c r="V6" s="3147"/>
      <c r="W6" s="3147"/>
      <c r="X6" s="3147"/>
      <c r="Y6" s="3147"/>
      <c r="Z6" s="3147"/>
      <c r="AA6" s="3147"/>
      <c r="AB6" s="3147"/>
      <c r="AC6" s="3148"/>
      <c r="AD6" s="3146"/>
      <c r="AE6" s="3147"/>
      <c r="AF6" s="3147"/>
      <c r="AG6" s="3147"/>
      <c r="AH6" s="3147"/>
      <c r="AI6" s="3147"/>
      <c r="AJ6" s="3147"/>
      <c r="AK6" s="3147"/>
      <c r="AL6" s="3147"/>
      <c r="AM6" s="3147"/>
      <c r="AN6" s="3147"/>
      <c r="AO6" s="3147"/>
      <c r="AP6" s="3147"/>
      <c r="AQ6" s="3147"/>
      <c r="AR6" s="3147"/>
      <c r="AS6" s="3147"/>
      <c r="AT6" s="3147"/>
      <c r="AU6" s="3147"/>
      <c r="AV6" s="3147"/>
      <c r="AW6" s="3147"/>
      <c r="AX6" s="3147"/>
      <c r="AY6" s="3147"/>
      <c r="AZ6" s="3147"/>
      <c r="BA6" s="3147"/>
      <c r="BB6" s="3148"/>
      <c r="BC6" s="1481"/>
      <c r="BE6" s="607"/>
      <c r="BF6" s="607" t="str">
        <f>IF(T6="","",T6)</f>
        <v/>
      </c>
      <c r="BG6" s="607"/>
      <c r="BH6" s="607"/>
      <c r="BI6" s="618">
        <v>0</v>
      </c>
    </row>
    <row s="10307" customFormat="1" customHeight="1" ht="14.25" hidden="1">
      <c r="A7" s="1439"/>
      <c r="B7" s="1439"/>
      <c r="C7" s="1439"/>
      <c r="D7" s="1439"/>
      <c r="E7" s="3116"/>
      <c r="F7" s="3116"/>
      <c r="G7" s="3116"/>
      <c r="H7" s="3116"/>
      <c r="I7" s="3118"/>
      <c r="J7" s="3117" t="str">
        <f>S5&amp;".1"</f>
        <v>.1</v>
      </c>
      <c r="K7" s="1439"/>
      <c r="L7" s="1442"/>
      <c r="M7" s="617"/>
      <c r="N7" s="617"/>
      <c r="O7" s="617"/>
      <c r="P7" s="3119"/>
      <c r="Q7" s="3119">
        <v>1</v>
      </c>
      <c r="R7" s="464"/>
      <c r="S7" s="1142"/>
      <c r="T7" s="1495"/>
      <c r="U7" s="1480"/>
      <c r="V7" s="3147"/>
      <c r="W7" s="3147"/>
      <c r="X7" s="3147"/>
      <c r="Y7" s="3147"/>
      <c r="Z7" s="3147"/>
      <c r="AA7" s="3147"/>
      <c r="AB7" s="3147"/>
      <c r="AC7" s="3148"/>
      <c r="AD7" s="3146"/>
      <c r="AE7" s="3147"/>
      <c r="AF7" s="3147"/>
      <c r="AG7" s="3147"/>
      <c r="AH7" s="3147"/>
      <c r="AI7" s="3147"/>
      <c r="AJ7" s="3147"/>
      <c r="AK7" s="3147"/>
      <c r="AL7" s="3147"/>
      <c r="AM7" s="3147"/>
      <c r="AN7" s="3147"/>
      <c r="AO7" s="3147"/>
      <c r="AP7" s="3147"/>
      <c r="AQ7" s="3147"/>
      <c r="AR7" s="3147"/>
      <c r="AS7" s="3147"/>
      <c r="AT7" s="3147"/>
      <c r="AU7" s="3147"/>
      <c r="AV7" s="3147"/>
      <c r="AW7" s="3147"/>
      <c r="AX7" s="3147"/>
      <c r="AY7" s="3147"/>
      <c r="AZ7" s="3147"/>
      <c r="BA7" s="3147"/>
      <c r="BB7" s="3148"/>
      <c r="BC7" s="1481"/>
      <c r="BE7" s="607"/>
      <c r="BF7" s="607" t="str">
        <f>IF(T7="","",T7)</f>
        <v/>
      </c>
      <c r="BG7" s="607"/>
      <c r="BH7" s="607"/>
      <c r="BI7" s="618">
        <v>0</v>
      </c>
    </row>
    <row customHeight="1" ht="11.25" hidden="1">
      <c r="A8" s="1459"/>
      <c r="B8" s="1459"/>
      <c r="C8" s="1459"/>
      <c r="D8" s="1459"/>
      <c r="E8" s="3116"/>
      <c r="F8" s="3116"/>
      <c r="G8" s="3116"/>
      <c r="H8" s="3116"/>
      <c r="I8" s="3118"/>
      <c r="J8" s="3118"/>
      <c r="K8" s="3117">
        <f>S4&amp;".1"</f>
      </c>
      <c r="L8" s="1460"/>
      <c r="P8" s="3119"/>
      <c r="Q8" s="3119"/>
      <c r="R8" s="3175">
        <v>1</v>
      </c>
      <c r="S8" s="3172">
        <f>$K8</f>
      </c>
      <c r="T8" s="3192"/>
      <c r="U8" s="408"/>
      <c r="V8" s="858"/>
      <c r="W8" s="1353"/>
      <c r="X8" s="858"/>
      <c r="Y8" s="1353"/>
      <c r="Z8" s="1830"/>
      <c r="AA8" s="1555" t="s">
        <v>62</v>
      </c>
      <c r="AB8" s="1830"/>
      <c r="AC8" s="1555" t="s">
        <v>62</v>
      </c>
      <c r="AD8" s="3060" t="s">
        <v>62</v>
      </c>
      <c r="AE8" s="3168"/>
      <c r="AF8" s="3073">
        <v>1</v>
      </c>
      <c r="AG8" s="3191"/>
      <c r="AH8" s="2989" t="s">
        <v>62</v>
      </c>
      <c r="AI8" s="3168"/>
      <c r="AJ8" s="3073">
        <v>1</v>
      </c>
      <c r="AK8" s="3182" t="s">
        <v>22</v>
      </c>
      <c r="AL8" s="2989" t="s">
        <v>62</v>
      </c>
      <c r="AM8" s="3048"/>
      <c r="AN8" s="3073">
        <v>1</v>
      </c>
      <c r="AO8" s="3195"/>
      <c r="AP8" s="3196" t="s">
        <v>62</v>
      </c>
      <c r="AQ8" s="419"/>
      <c r="AR8" s="1559">
        <v>1</v>
      </c>
      <c r="AS8" s="1562" t="s">
        <v>22</v>
      </c>
      <c r="AT8" s="858"/>
      <c r="AU8" s="1353"/>
      <c r="AV8" s="858"/>
      <c r="AW8" s="1353"/>
      <c r="AX8" s="1830"/>
      <c r="AY8" s="1555" t="s">
        <v>62</v>
      </c>
      <c r="AZ8" s="1830"/>
      <c r="BA8" s="1555" t="s">
        <v>62</v>
      </c>
      <c r="BB8" s="1444"/>
      <c r="BC8" s="3138" t="s">
        <v>586</v>
      </c>
      <c r="BE8" s="607"/>
      <c r="BF8" s="607" t="str">
        <f>IF(T8="","",T8)</f>
        <v/>
      </c>
      <c r="BG8" s="607"/>
      <c r="BH8" s="607"/>
      <c r="BI8" s="1251">
        <v>0</v>
      </c>
    </row>
    <row customHeight="1" ht="11.25" hidden="1">
      <c r="A9" s="1459"/>
      <c r="B9" s="1459"/>
      <c r="C9" s="1459"/>
      <c r="D9" s="1459"/>
      <c r="E9" s="3116"/>
      <c r="F9" s="3116"/>
      <c r="G9" s="3116"/>
      <c r="H9" s="3116"/>
      <c r="I9" s="3118"/>
      <c r="J9" s="3118"/>
      <c r="K9" s="3117"/>
      <c r="L9" s="1460"/>
      <c r="P9" s="3119"/>
      <c r="Q9" s="3119"/>
      <c r="R9" s="3175"/>
      <c r="S9" s="3173"/>
      <c r="T9" s="3193"/>
      <c r="U9" s="408"/>
      <c r="V9" s="1489"/>
      <c r="W9" s="1592"/>
      <c r="X9" s="1489"/>
      <c r="Y9" s="1592"/>
      <c r="Z9" s="1489"/>
      <c r="AA9" s="1489"/>
      <c r="AB9" s="1489"/>
      <c r="AC9" s="1489"/>
      <c r="AD9" s="3061"/>
      <c r="AE9" s="3168"/>
      <c r="AF9" s="3073"/>
      <c r="AG9" s="3191"/>
      <c r="AH9" s="2989"/>
      <c r="AI9" s="3168"/>
      <c r="AJ9" s="3073"/>
      <c r="AK9" s="3182"/>
      <c r="AL9" s="2989"/>
      <c r="AM9" s="3053"/>
      <c r="AN9" s="3073"/>
      <c r="AO9" s="3195"/>
      <c r="AP9" s="3197"/>
      <c r="AQ9" s="424"/>
      <c r="AR9" s="523"/>
      <c r="AS9" s="523" t="s">
        <v>587</v>
      </c>
      <c r="AT9" s="1489"/>
      <c r="AU9" s="1592"/>
      <c r="AV9" s="1489"/>
      <c r="AW9" s="1592"/>
      <c r="AX9" s="1489"/>
      <c r="AY9" s="1489"/>
      <c r="AZ9" s="1489"/>
      <c r="BA9" s="1489"/>
      <c r="BB9" s="1493"/>
      <c r="BC9" s="3139"/>
      <c r="BE9" s="607"/>
      <c r="BF9" s="607"/>
      <c r="BG9" s="607"/>
      <c r="BH9" s="607"/>
      <c r="BI9" s="1251">
        <v>0</v>
      </c>
    </row>
    <row customHeight="1" ht="11.25" hidden="1">
      <c r="A10" s="1459"/>
      <c r="B10" s="1459"/>
      <c r="C10" s="1459"/>
      <c r="D10" s="1459"/>
      <c r="E10" s="3116"/>
      <c r="F10" s="3116"/>
      <c r="G10" s="3116"/>
      <c r="H10" s="3116"/>
      <c r="I10" s="3118"/>
      <c r="J10" s="3118"/>
      <c r="K10" s="3117"/>
      <c r="L10" s="1460"/>
      <c r="P10" s="3119"/>
      <c r="Q10" s="3119"/>
      <c r="R10" s="3175"/>
      <c r="S10" s="3173"/>
      <c r="T10" s="3193"/>
      <c r="U10" s="408"/>
      <c r="V10" s="1489"/>
      <c r="W10" s="1592"/>
      <c r="X10" s="1489"/>
      <c r="Y10" s="1592"/>
      <c r="Z10" s="1489"/>
      <c r="AA10" s="1489"/>
      <c r="AB10" s="1489"/>
      <c r="AC10" s="1489"/>
      <c r="AD10" s="3061"/>
      <c r="AE10" s="3168"/>
      <c r="AF10" s="3073"/>
      <c r="AG10" s="3191"/>
      <c r="AH10" s="2989"/>
      <c r="AI10" s="3168"/>
      <c r="AJ10" s="3073"/>
      <c r="AK10" s="3182"/>
      <c r="AL10" s="2989"/>
      <c r="AM10" s="424"/>
      <c r="AN10" s="1596"/>
      <c r="AO10" s="1596" t="s">
        <v>588</v>
      </c>
      <c r="AP10" s="523"/>
      <c r="AQ10" s="523"/>
      <c r="AR10" s="523"/>
      <c r="AS10" s="1489"/>
      <c r="AT10" s="1489"/>
      <c r="AU10" s="1592"/>
      <c r="AV10" s="1489"/>
      <c r="AW10" s="1592"/>
      <c r="AX10" s="1489"/>
      <c r="AY10" s="1489"/>
      <c r="AZ10" s="1489"/>
      <c r="BA10" s="1489"/>
      <c r="BB10" s="1493"/>
      <c r="BC10" s="3139"/>
      <c r="BE10" s="607"/>
      <c r="BF10" s="607"/>
      <c r="BG10" s="607"/>
      <c r="BH10" s="607"/>
      <c r="BI10" s="1251">
        <v>0</v>
      </c>
    </row>
    <row customHeight="1" ht="11.25" hidden="1">
      <c r="A11" s="1459"/>
      <c r="B11" s="1459"/>
      <c r="C11" s="1459"/>
      <c r="D11" s="1459"/>
      <c r="E11" s="3116"/>
      <c r="F11" s="3116"/>
      <c r="G11" s="3116"/>
      <c r="H11" s="3116"/>
      <c r="I11" s="3118"/>
      <c r="J11" s="3118"/>
      <c r="K11" s="3117"/>
      <c r="L11" s="1460"/>
      <c r="P11" s="3119"/>
      <c r="Q11" s="3119"/>
      <c r="R11" s="3175"/>
      <c r="S11" s="3173"/>
      <c r="T11" s="3193"/>
      <c r="U11" s="408"/>
      <c r="V11" s="1489"/>
      <c r="W11" s="1592"/>
      <c r="X11" s="1489"/>
      <c r="Y11" s="1592"/>
      <c r="Z11" s="1489"/>
      <c r="AA11" s="1489"/>
      <c r="AB11" s="1489"/>
      <c r="AC11" s="1489"/>
      <c r="AD11" s="3061"/>
      <c r="AE11" s="3168"/>
      <c r="AF11" s="3073"/>
      <c r="AG11" s="3191"/>
      <c r="AH11" s="2989"/>
      <c r="AI11" s="402"/>
      <c r="AJ11" s="522"/>
      <c r="AK11" s="421" t="s">
        <v>589</v>
      </c>
      <c r="AL11" s="1489"/>
      <c r="AM11" s="1489"/>
      <c r="AN11" s="1489"/>
      <c r="AO11" s="1489"/>
      <c r="AP11" s="1489"/>
      <c r="AQ11" s="1489"/>
      <c r="AR11" s="1489"/>
      <c r="AS11" s="1489"/>
      <c r="AT11" s="1489"/>
      <c r="AU11" s="1592"/>
      <c r="AV11" s="1489"/>
      <c r="AW11" s="1592"/>
      <c r="AX11" s="1489"/>
      <c r="AY11" s="1489"/>
      <c r="AZ11" s="1489"/>
      <c r="BA11" s="1489"/>
      <c r="BB11" s="1493"/>
      <c r="BC11" s="3139"/>
      <c r="BE11" s="607"/>
      <c r="BF11" s="607"/>
      <c r="BG11" s="607"/>
      <c r="BH11" s="607"/>
      <c r="BI11" s="1251">
        <v>0</v>
      </c>
    </row>
    <row customHeight="1" ht="11.25" hidden="1">
      <c r="A12" s="1459"/>
      <c r="B12" s="1459"/>
      <c r="C12" s="1459"/>
      <c r="D12" s="1459"/>
      <c r="E12" s="3116"/>
      <c r="F12" s="3116"/>
      <c r="G12" s="3116"/>
      <c r="H12" s="3116"/>
      <c r="I12" s="3118"/>
      <c r="J12" s="3118"/>
      <c r="K12" s="3117"/>
      <c r="L12" s="1460"/>
      <c r="P12" s="3119"/>
      <c r="Q12" s="3119"/>
      <c r="R12" s="3175"/>
      <c r="S12" s="3174"/>
      <c r="T12" s="3194"/>
      <c r="U12" s="408"/>
      <c r="V12" s="1489"/>
      <c r="W12" s="1490" t="str">
        <f>Z8&amp;"-"&amp;AB8</f>
        <v>-</v>
      </c>
      <c r="X12" s="1489"/>
      <c r="Y12" s="1490" t="str">
        <f>AB8&amp;"-"&amp;AD8</f>
        <v>-да</v>
      </c>
      <c r="Z12" s="1489"/>
      <c r="AA12" s="1489"/>
      <c r="AB12" s="1489"/>
      <c r="AC12" s="1489"/>
      <c r="AD12" s="2994"/>
      <c r="AE12" s="420"/>
      <c r="AF12" s="422"/>
      <c r="AG12" s="523" t="s">
        <v>590</v>
      </c>
      <c r="AH12" s="1489"/>
      <c r="AI12" s="1489"/>
      <c r="AJ12" s="1489"/>
      <c r="AK12" s="1489"/>
      <c r="AL12" s="1489"/>
      <c r="AM12" s="1489"/>
      <c r="AN12" s="1489"/>
      <c r="AO12" s="1489"/>
      <c r="AP12" s="1489"/>
      <c r="AQ12" s="1489"/>
      <c r="AR12" s="1489"/>
      <c r="AS12" s="1489"/>
      <c r="AT12" s="1489"/>
      <c r="AU12" s="1490" t="str">
        <f>AX8&amp;"-"&amp;AZ8</f>
        <v>-</v>
      </c>
      <c r="AV12" s="1489"/>
      <c r="AW12" s="1490" t="str">
        <f>AZ8&amp;"-"&amp;BB8</f>
        <v>-</v>
      </c>
      <c r="AX12" s="1489"/>
      <c r="AY12" s="1489"/>
      <c r="AZ12" s="1489"/>
      <c r="BA12" s="1489"/>
      <c r="BB12" s="1492" t="str">
        <f>BE8&amp;"-"&amp;BG8</f>
        <v>-</v>
      </c>
      <c r="BC12" s="3139"/>
      <c r="BE12" s="607"/>
      <c r="BF12" s="607" t="str">
        <f>IF(T12="","",T12)</f>
        <v/>
      </c>
      <c r="BG12" s="607"/>
      <c r="BH12" s="607"/>
      <c r="BI12" s="1251">
        <v>0</v>
      </c>
    </row>
    <row customHeight="1" ht="11.25" hidden="1">
      <c r="A13" s="1459"/>
      <c r="B13" s="1459"/>
      <c r="C13" s="1459"/>
      <c r="D13" s="1459"/>
      <c r="E13" s="3116"/>
      <c r="F13" s="3116"/>
      <c r="G13" s="3116"/>
      <c r="H13" s="3116"/>
      <c r="I13" s="3118"/>
      <c r="J13" s="3117"/>
      <c r="K13" s="1459"/>
      <c r="L13" s="1460"/>
      <c r="P13" s="3119"/>
      <c r="Q13" s="3119"/>
      <c r="R13" s="463"/>
      <c r="S13" s="1374"/>
      <c r="T13" s="395" t="s">
        <v>553</v>
      </c>
      <c r="U13" s="474"/>
      <c r="V13" s="474"/>
      <c r="W13" s="474"/>
      <c r="X13" s="474"/>
      <c r="Y13" s="474"/>
      <c r="Z13" s="474"/>
      <c r="AA13" s="474"/>
      <c r="AB13" s="474"/>
      <c r="AC13" s="474"/>
      <c r="AD13" s="1601"/>
      <c r="AE13" s="474"/>
      <c r="AF13" s="474"/>
      <c r="AG13" s="474"/>
      <c r="AH13" s="474"/>
      <c r="AI13" s="474"/>
      <c r="AJ13" s="474"/>
      <c r="AK13" s="474"/>
      <c r="AL13" s="474"/>
      <c r="AM13" s="474"/>
      <c r="AN13" s="474"/>
      <c r="AO13" s="474"/>
      <c r="AP13" s="474"/>
      <c r="AQ13" s="474"/>
      <c r="AR13" s="474"/>
      <c r="AS13" s="474"/>
      <c r="AT13" s="474"/>
      <c r="AU13" s="474"/>
      <c r="AV13" s="474"/>
      <c r="AW13" s="474"/>
      <c r="AX13" s="474"/>
      <c r="AY13" s="474"/>
      <c r="AZ13" s="474"/>
      <c r="BA13" s="474"/>
      <c r="BB13" s="432"/>
      <c r="BC13" s="3140"/>
      <c r="BE13" s="607"/>
      <c r="BF13" s="607" t="str">
        <f>IF(T13="","",T13)</f>
        <v>Добавить строку</v>
      </c>
      <c r="BG13" s="607"/>
      <c r="BH13" s="607"/>
      <c r="BI13" s="1251">
        <v>0</v>
      </c>
    </row>
    <row s="10307" customFormat="1" customHeight="1" ht="14.25" hidden="1">
      <c r="A14" s="1439"/>
      <c r="B14" s="1439"/>
      <c r="C14" s="1439"/>
      <c r="D14" s="1439"/>
      <c r="E14" s="3116"/>
      <c r="F14" s="3116"/>
      <c r="G14" s="3116"/>
      <c r="H14" s="3116"/>
      <c r="I14" s="3117"/>
      <c r="J14" s="1439"/>
      <c r="K14" s="1439"/>
      <c r="L14" s="1442"/>
      <c r="M14" s="617"/>
      <c r="N14" s="617"/>
      <c r="O14" s="617"/>
      <c r="P14" s="3119"/>
      <c r="Q14" s="1558"/>
      <c r="R14" s="463"/>
      <c r="S14" s="1482"/>
      <c r="T14" s="1483"/>
      <c r="U14" s="1484"/>
      <c r="V14" s="1484"/>
      <c r="W14" s="1484"/>
      <c r="X14" s="1484"/>
      <c r="Y14" s="1484"/>
      <c r="Z14" s="1484"/>
      <c r="AA14" s="1484"/>
      <c r="AB14" s="1484"/>
      <c r="AC14" s="1484"/>
      <c r="AD14" s="1484"/>
      <c r="AE14" s="1484"/>
      <c r="AF14" s="1484"/>
      <c r="AG14" s="1484"/>
      <c r="AH14" s="1484"/>
      <c r="AI14" s="1484"/>
      <c r="AJ14" s="1484"/>
      <c r="AK14" s="1484"/>
      <c r="AL14" s="1484"/>
      <c r="AM14" s="1484"/>
      <c r="AN14" s="1484"/>
      <c r="AO14" s="1484"/>
      <c r="AP14" s="1484"/>
      <c r="AQ14" s="1484"/>
      <c r="AR14" s="1484"/>
      <c r="AS14" s="1484"/>
      <c r="AT14" s="1484"/>
      <c r="AU14" s="1484"/>
      <c r="AV14" s="1484"/>
      <c r="AW14" s="1484"/>
      <c r="AX14" s="1484"/>
      <c r="AY14" s="1484"/>
      <c r="AZ14" s="1484"/>
      <c r="BA14" s="1484"/>
      <c r="BB14" s="1484"/>
      <c r="BC14" s="1485"/>
      <c r="BE14" s="607"/>
      <c r="BF14" s="607" t="str">
        <f>IF(T14="","",T14)</f>
        <v/>
      </c>
      <c r="BG14" s="607"/>
      <c r="BH14" s="607"/>
      <c r="BI14" s="618">
        <v>0</v>
      </c>
    </row>
    <row s="10307" customFormat="1" customHeight="1" ht="14.25" hidden="1">
      <c r="A15" s="1439"/>
      <c r="B15" s="1439"/>
      <c r="C15" s="1439"/>
      <c r="D15" s="1439"/>
      <c r="E15" s="3116"/>
      <c r="F15" s="3116"/>
      <c r="G15" s="3116"/>
      <c r="H15" s="3115"/>
      <c r="I15" s="1439"/>
      <c r="J15" s="1439"/>
      <c r="K15" s="1439"/>
      <c r="L15" s="1442"/>
      <c r="M15" s="1411"/>
      <c r="N15" s="1411"/>
      <c r="O15" s="625"/>
      <c r="P15" s="487"/>
      <c r="Q15" s="1440"/>
      <c r="R15" s="1497"/>
      <c r="S15" s="1482"/>
      <c r="T15" s="1483"/>
      <c r="U15" s="1484"/>
      <c r="V15" s="1484"/>
      <c r="W15" s="1484"/>
      <c r="X15" s="1484"/>
      <c r="Y15" s="1484"/>
      <c r="Z15" s="1484"/>
      <c r="AA15" s="1484"/>
      <c r="AB15" s="1484"/>
      <c r="AC15" s="1484"/>
      <c r="AD15" s="1484"/>
      <c r="AE15" s="1484"/>
      <c r="AF15" s="1484"/>
      <c r="AG15" s="1484"/>
      <c r="AH15" s="1484"/>
      <c r="AI15" s="1484"/>
      <c r="AJ15" s="1484"/>
      <c r="AK15" s="1484"/>
      <c r="AL15" s="1484"/>
      <c r="AM15" s="1484"/>
      <c r="AN15" s="1484"/>
      <c r="AO15" s="1484"/>
      <c r="AP15" s="1484"/>
      <c r="AQ15" s="1484"/>
      <c r="AR15" s="1484"/>
      <c r="AS15" s="1484"/>
      <c r="AT15" s="1484"/>
      <c r="AU15" s="1484"/>
      <c r="AV15" s="1484"/>
      <c r="AW15" s="1484"/>
      <c r="AX15" s="1484"/>
      <c r="AY15" s="1484"/>
      <c r="AZ15" s="1484"/>
      <c r="BA15" s="1484"/>
      <c r="BB15" s="1484"/>
      <c r="BC15" s="1485"/>
      <c r="BE15" s="607"/>
      <c r="BF15" s="607" t="str">
        <f>IF(T15="","",T15)</f>
        <v/>
      </c>
      <c r="BG15" s="607"/>
      <c r="BH15" s="607"/>
      <c r="BI15" s="618">
        <v>0</v>
      </c>
    </row>
    <row s="10307" customFormat="1" customHeight="1" ht="14.25" hidden="1">
      <c r="A16" s="1439"/>
      <c r="B16" s="1439"/>
      <c r="C16" s="1439"/>
      <c r="D16" s="1410"/>
      <c r="E16" s="3116"/>
      <c r="F16" s="3116"/>
      <c r="G16" s="3115"/>
      <c r="H16" s="1410"/>
      <c r="I16" s="1410"/>
      <c r="J16" s="1410"/>
      <c r="K16" s="1410"/>
      <c r="L16" s="1560"/>
      <c r="M16" s="1411"/>
      <c r="N16" s="1411"/>
      <c r="P16" s="1412"/>
      <c r="Q16" s="1413"/>
      <c r="R16" s="1412"/>
      <c r="S16" s="1418"/>
      <c r="T16" s="1421"/>
      <c r="U16" s="1420"/>
      <c r="V16" s="1420"/>
      <c r="W16" s="1420"/>
      <c r="X16" s="1420"/>
      <c r="Y16" s="1420"/>
      <c r="Z16" s="1420"/>
      <c r="AA16" s="1420"/>
      <c r="AB16" s="1420"/>
      <c r="AC16" s="1420"/>
      <c r="AD16" s="1420"/>
      <c r="AE16" s="1420"/>
      <c r="AF16" s="1420"/>
      <c r="AG16" s="1420"/>
      <c r="AH16" s="1420"/>
      <c r="AI16" s="1420"/>
      <c r="AJ16" s="1420"/>
      <c r="AK16" s="1420"/>
      <c r="AL16" s="1420"/>
      <c r="AM16" s="1420"/>
      <c r="AN16" s="1420"/>
      <c r="AO16" s="1420"/>
      <c r="AP16" s="1420"/>
      <c r="AQ16" s="1420"/>
      <c r="AR16" s="1420"/>
      <c r="AS16" s="1420"/>
      <c r="AT16" s="1420"/>
      <c r="AU16" s="1420"/>
      <c r="AV16" s="1420"/>
      <c r="AW16" s="1420"/>
      <c r="AX16" s="1420"/>
      <c r="AY16" s="1420"/>
      <c r="AZ16" s="1420"/>
      <c r="BA16" s="1420"/>
      <c r="BB16" s="1420"/>
      <c r="BC16" s="1420"/>
      <c r="BE16" s="890"/>
      <c r="BF16" s="890" t="str">
        <f>IF(T16="","",T16)</f>
        <v/>
      </c>
      <c r="BG16" s="890"/>
      <c r="BH16" s="890"/>
      <c r="BI16" s="625">
        <v>0</v>
      </c>
    </row>
    <row s="10307" customFormat="1" customHeight="1" ht="14.25" hidden="1">
      <c r="A17" s="1439"/>
      <c r="B17" s="1439"/>
      <c r="C17" s="1410"/>
      <c r="D17" s="1410"/>
      <c r="E17" s="3116"/>
      <c r="F17" s="3115"/>
      <c r="G17" s="1410"/>
      <c r="H17" s="1410"/>
      <c r="I17" s="1410"/>
      <c r="J17" s="1410"/>
      <c r="K17" s="1410"/>
      <c r="L17" s="1560"/>
      <c r="M17" s="1417"/>
      <c r="N17" s="1417"/>
      <c r="P17" s="1412"/>
      <c r="Q17" s="1413"/>
      <c r="R17" s="1412"/>
      <c r="S17" s="1418"/>
      <c r="T17" s="1421" t="s">
        <v>500</v>
      </c>
      <c r="U17" s="1420"/>
      <c r="V17" s="1420"/>
      <c r="W17" s="1420"/>
      <c r="X17" s="1420"/>
      <c r="Y17" s="1420"/>
      <c r="Z17" s="1420"/>
      <c r="AA17" s="1420"/>
      <c r="AB17" s="1420"/>
      <c r="AC17" s="1420"/>
      <c r="AD17" s="1420"/>
      <c r="AE17" s="1420"/>
      <c r="AF17" s="1420"/>
      <c r="AG17" s="1420"/>
      <c r="AH17" s="1420"/>
      <c r="AI17" s="1420"/>
      <c r="AJ17" s="1420"/>
      <c r="AK17" s="1420"/>
      <c r="AL17" s="1420"/>
      <c r="AM17" s="1420"/>
      <c r="AN17" s="1420"/>
      <c r="AO17" s="1420"/>
      <c r="AP17" s="1420"/>
      <c r="AQ17" s="1420"/>
      <c r="AR17" s="1420"/>
      <c r="AS17" s="1420"/>
      <c r="AT17" s="1420"/>
      <c r="AU17" s="1420"/>
      <c r="AV17" s="1420"/>
      <c r="AW17" s="1420"/>
      <c r="AX17" s="1420"/>
      <c r="AY17" s="1420"/>
      <c r="AZ17" s="1420"/>
      <c r="BA17" s="1420"/>
      <c r="BB17" s="1420"/>
      <c r="BC17" s="1420"/>
      <c r="BE17" s="890"/>
      <c r="BF17" s="890" t="str">
        <f>IF(T17="","",T17)</f>
        <v>Добавить централизованную систему для дифференциации</v>
      </c>
      <c r="BG17" s="890"/>
      <c r="BH17" s="890"/>
      <c r="BI17" s="625">
        <v>0</v>
      </c>
    </row>
    <row s="10307" customFormat="1" customHeight="1" ht="14.25" hidden="1">
      <c r="A18" s="1439"/>
      <c r="B18" s="1439"/>
      <c r="C18" s="1439"/>
      <c r="D18" s="1439"/>
      <c r="E18" s="3115"/>
      <c r="F18" s="1439"/>
      <c r="G18" s="1439"/>
      <c r="H18" s="1439"/>
      <c r="I18" s="1439"/>
      <c r="J18" s="1439"/>
      <c r="K18" s="1439"/>
      <c r="L18" s="1442"/>
      <c r="M18" s="1417"/>
      <c r="N18" s="1417"/>
      <c r="O18" s="625"/>
      <c r="P18" s="487"/>
      <c r="Q18" s="1440"/>
      <c r="R18" s="487"/>
      <c r="S18" s="1418"/>
      <c r="T18" s="1421" t="s">
        <v>501</v>
      </c>
      <c r="U18" s="1420"/>
      <c r="V18" s="1420"/>
      <c r="W18" s="1420"/>
      <c r="X18" s="1420"/>
      <c r="Y18" s="1420"/>
      <c r="Z18" s="1420"/>
      <c r="AA18" s="1420"/>
      <c r="AB18" s="1420"/>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E18" s="607"/>
      <c r="BF18" s="607" t="str">
        <f>IF(T18="","",T18)</f>
        <v>Добавить территорию для дифференциации</v>
      </c>
      <c r="BG18" s="607"/>
      <c r="BH18" s="607"/>
      <c r="BI18" s="618">
        <v>0</v>
      </c>
    </row>
    <row customHeight="1" ht="14.25" hidden="1">
      <c r="AC19" s="435"/>
      <c r="BA19" s="435"/>
      <c r="BI19" s="1251">
        <v>0</v>
      </c>
    </row>
    <row customHeight="1" ht="14.25" hidden="1">
      <c r="AD20" s="1420" t="s">
        <v>19</v>
      </c>
      <c r="AE20" s="1597"/>
      <c r="AF20" s="655">
        <v>1</v>
      </c>
      <c r="AG20" s="1598"/>
      <c r="AH20" s="1420" t="s">
        <v>19</v>
      </c>
      <c r="AI20" s="1597"/>
      <c r="AJ20" s="655">
        <v>1</v>
      </c>
      <c r="AK20" s="1598"/>
      <c r="AL20" s="1420" t="s">
        <v>19</v>
      </c>
      <c r="AM20" s="1599"/>
      <c r="AN20" s="655">
        <v>1</v>
      </c>
      <c r="AO20" s="1600"/>
      <c r="AP20" s="1420" t="s">
        <v>19</v>
      </c>
      <c r="AQ20" s="1599"/>
      <c r="AR20" s="655">
        <v>1</v>
      </c>
      <c r="AS20" s="1600"/>
      <c r="AT20" s="433"/>
      <c r="AU20" s="491"/>
      <c r="AV20" s="433"/>
      <c r="AW20" s="491"/>
      <c r="AX20" s="1832"/>
      <c r="AY20" s="1556" t="s">
        <v>62</v>
      </c>
      <c r="AZ20" s="1832"/>
      <c r="BA20" s="1556" t="s">
        <v>62</v>
      </c>
      <c r="BI20" s="1251">
        <v>0</v>
      </c>
    </row>
    <row customHeight="1" ht="14.25" hidden="1">
      <c r="BD21" s="603"/>
      <c r="BE21" s="603"/>
      <c r="BF21" s="603"/>
      <c r="BG21" s="603"/>
      <c r="BH21" s="603"/>
      <c r="BI21" s="1251">
        <v>0</v>
      </c>
    </row>
    <row customHeight="1" ht="14.25" hidden="1">
      <c r="O22" s="1463" t="s">
        <v>502</v>
      </c>
      <c r="Z22" s="1441"/>
      <c r="AB22" s="1441"/>
      <c r="AC22" s="435"/>
      <c r="AX22" s="1441"/>
      <c r="AZ22" s="1441"/>
      <c r="BA22" s="435"/>
      <c r="BD22" s="603"/>
      <c r="BE22" s="603"/>
      <c r="BF22" s="603"/>
      <c r="BG22" s="603"/>
      <c r="BH22" s="603"/>
      <c r="BI22" s="1251">
        <v>0</v>
      </c>
    </row>
    <row customHeight="1" ht="14.25" hidden="1">
      <c r="AC23" s="435"/>
      <c r="BA23" s="435"/>
      <c r="BD23" s="603"/>
      <c r="BE23" s="603"/>
      <c r="BF23" s="603"/>
      <c r="BG23" s="603"/>
      <c r="BH23" s="603"/>
      <c r="BI23" s="1251">
        <v>0</v>
      </c>
    </row>
    <row s="11218" customFormat="1" customHeight="1" ht="14.25" hidden="1">
      <c r="M24" s="1604"/>
      <c r="N24" s="1604"/>
      <c r="O24" s="1605" t="s">
        <v>503</v>
      </c>
      <c r="P24" s="1604"/>
      <c r="Q24" s="1606"/>
      <c r="R24" s="1606"/>
      <c r="AA24" s="1603" t="s">
        <v>505</v>
      </c>
      <c r="AC24" s="1603" t="s">
        <v>506</v>
      </c>
      <c r="AD24" s="1603" t="s">
        <v>554</v>
      </c>
      <c r="AH24" s="1603" t="s">
        <v>554</v>
      </c>
      <c r="AK24" s="1603" t="s">
        <v>591</v>
      </c>
      <c r="AL24" s="1603" t="s">
        <v>554</v>
      </c>
      <c r="AP24" s="1603" t="s">
        <v>554</v>
      </c>
      <c r="AY24" s="1603" t="s">
        <v>505</v>
      </c>
      <c r="BA24" s="1603" t="s">
        <v>506</v>
      </c>
      <c r="BD24" s="1607"/>
      <c r="BE24" s="1607"/>
      <c r="BF24" s="1607"/>
      <c r="BG24" s="1607"/>
      <c r="BH24" s="1607"/>
      <c r="BI24" s="1603">
        <v>0</v>
      </c>
    </row>
    <row customHeight="1" ht="14.25" hidden="1">
      <c r="O25" s="1460"/>
      <c r="BD25" s="603"/>
      <c r="BE25" s="603"/>
      <c r="BF25" s="603"/>
      <c r="BG25" s="603"/>
      <c r="BH25" s="603"/>
      <c r="BI25" s="1251">
        <v>0</v>
      </c>
    </row>
    <row customHeight="1" ht="14.25" hidden="1">
      <c r="O26" s="1460"/>
      <c r="BD26" s="603"/>
      <c r="BE26" s="603"/>
      <c r="BF26" s="603"/>
      <c r="BG26" s="603"/>
      <c r="BH26" s="603"/>
      <c r="BI26" s="1251">
        <v>0</v>
      </c>
    </row>
    <row customHeight="1" ht="14.699999999999998">
      <c r="Q27" s="399"/>
      <c r="R27" s="483"/>
      <c r="S27" s="1371"/>
      <c r="T27" s="470"/>
      <c r="U27" s="470"/>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6"/>
      <c r="AZ27" s="616"/>
      <c r="BA27" s="616"/>
      <c r="BI27" s="1251">
        <v>14</v>
      </c>
    </row>
    <row customHeight="1" ht="14.699999999999998">
      <c r="Q28" s="399"/>
      <c r="R28" s="483"/>
      <c r="S28" s="309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096"/>
      <c r="U28" s="3096"/>
      <c r="V28" s="3096"/>
      <c r="W28" s="3096"/>
      <c r="X28" s="3096"/>
      <c r="Y28" s="3096"/>
      <c r="Z28" s="3096"/>
      <c r="AA28" s="3096"/>
      <c r="AB28" s="3096"/>
      <c r="AC28" s="3096"/>
      <c r="AD28" s="3096"/>
      <c r="AE28" s="3096"/>
      <c r="AF28" s="3096"/>
      <c r="AG28" s="3096"/>
      <c r="AH28" s="3096"/>
      <c r="AI28" s="3096"/>
      <c r="AJ28" s="3096"/>
      <c r="AK28" s="3096"/>
      <c r="AL28" s="3096"/>
      <c r="AM28" s="3096"/>
      <c r="AN28" s="3096"/>
      <c r="AO28" s="3096"/>
      <c r="AP28" s="3096"/>
      <c r="AQ28" s="3096"/>
      <c r="AR28" s="3096"/>
      <c r="AS28" s="3096"/>
      <c r="AT28" s="3096"/>
      <c r="AU28" s="3096"/>
      <c r="AV28" s="3096"/>
      <c r="AW28" s="3096"/>
      <c r="AX28" s="3096"/>
      <c r="AY28" s="3096"/>
      <c r="AZ28" s="3096"/>
      <c r="BA28" s="1339"/>
      <c r="BI28" s="1251">
        <v>14</v>
      </c>
    </row>
    <row customHeight="1" ht="14.699999999999998">
      <c r="Q29" s="399"/>
      <c r="R29" s="483"/>
      <c r="S29" s="3069" t="str">
        <f>IF(org=0,"Не определено",org)</f>
        <v>АО "ДГК"</v>
      </c>
      <c r="T29" s="3069"/>
      <c r="U29" s="3069"/>
      <c r="V29" s="3069"/>
      <c r="W29" s="3069"/>
      <c r="X29" s="3069"/>
      <c r="Y29" s="3069"/>
      <c r="Z29" s="3069"/>
      <c r="AA29" s="3069"/>
      <c r="AB29" s="3069"/>
      <c r="AC29" s="3069"/>
      <c r="AD29" s="3069"/>
      <c r="AE29" s="3069"/>
      <c r="AF29" s="3069"/>
      <c r="AG29" s="3069"/>
      <c r="AH29" s="3069"/>
      <c r="AI29" s="3069"/>
      <c r="AJ29" s="3069"/>
      <c r="AK29" s="3069"/>
      <c r="AL29" s="3069"/>
      <c r="AM29" s="3069"/>
      <c r="AN29" s="3069"/>
      <c r="AO29" s="3069"/>
      <c r="AP29" s="3069"/>
      <c r="AQ29" s="3069"/>
      <c r="AR29" s="3069"/>
      <c r="AS29" s="3069"/>
      <c r="AT29" s="3069"/>
      <c r="AU29" s="3069"/>
      <c r="AV29" s="3069"/>
      <c r="AW29" s="3069"/>
      <c r="AX29" s="3069"/>
      <c r="AY29" s="3069"/>
      <c r="AZ29" s="3069"/>
      <c r="BA29" s="1339"/>
      <c r="BI29" s="1251">
        <v>14</v>
      </c>
    </row>
    <row customHeight="1" ht="14.25" hidden="1">
      <c r="Q30" s="399"/>
      <c r="R30" s="483"/>
      <c r="S30" s="1371"/>
      <c r="T30" s="470"/>
      <c r="U30" s="47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0"/>
      <c r="AZ30" s="430"/>
      <c r="BA30" s="430"/>
      <c r="BB30" s="616"/>
      <c r="BI30" s="1251">
        <v>0</v>
      </c>
    </row>
    <row s="10446" customFormat="1" customHeight="1" ht="25.5" hidden="1">
      <c r="A31" s="1464"/>
      <c r="B31" s="1464"/>
      <c r="C31" s="1464"/>
      <c r="D31" s="1464"/>
      <c r="E31" s="1464"/>
      <c r="F31" s="1464"/>
      <c r="G31" s="1464"/>
      <c r="H31" s="1464"/>
      <c r="I31" s="1464"/>
      <c r="J31" s="1464"/>
      <c r="K31" s="1464"/>
      <c r="L31" s="1465"/>
      <c r="M31" s="1464"/>
      <c r="N31" s="1464"/>
      <c r="O31" s="1464"/>
      <c r="P31" s="1464"/>
      <c r="Q31" s="1464"/>
      <c r="S31" s="3106" t="s">
        <v>41</v>
      </c>
      <c r="T31" s="3106"/>
      <c r="U31" s="1468"/>
      <c r="V31" s="3108" t="str">
        <f>IF(TITLE_NAME_OR_PR_CHANGE="",IF(TITLE_NAME_OR_PR="","",TITLE_NAME_OR_PR),TITLE_NAME_OR_PR_CHANGE)</f>
        <v/>
      </c>
      <c r="W31" s="3108"/>
      <c r="X31" s="3108"/>
      <c r="Y31" s="3108"/>
      <c r="Z31" s="3108"/>
      <c r="AA31" s="3108"/>
      <c r="AB31" s="3108"/>
      <c r="AC31" s="434"/>
      <c r="AD31" s="3108" t="str">
        <f>IF(TITLE_NAME_OR_PR_CHANGE="",IF(TITLE_NAME_OR_PR="","",TITLE_NAME_OR_PR),TITLE_NAME_OR_PR_CHANGE)</f>
        <v/>
      </c>
      <c r="AE31" s="3108"/>
      <c r="AF31" s="3108"/>
      <c r="AG31" s="3108"/>
      <c r="AH31" s="3108"/>
      <c r="AI31" s="3108"/>
      <c r="AJ31" s="3108"/>
      <c r="AK31" s="3108"/>
      <c r="AL31" s="3108"/>
      <c r="AM31" s="3108"/>
      <c r="AN31" s="3108"/>
      <c r="AO31" s="3108"/>
      <c r="AP31" s="3108"/>
      <c r="AQ31" s="3108"/>
      <c r="AR31" s="3108"/>
      <c r="AS31" s="3108"/>
      <c r="AT31" s="3108"/>
      <c r="AU31" s="3108"/>
      <c r="AV31" s="3108"/>
      <c r="AW31" s="3108"/>
      <c r="AX31" s="3108"/>
      <c r="AY31" s="3108"/>
      <c r="AZ31" s="3108"/>
      <c r="BA31" s="434"/>
      <c r="BB31" s="434"/>
      <c r="BC31" s="388"/>
      <c r="BD31" s="475"/>
      <c r="BE31" s="475"/>
      <c r="BF31" s="475"/>
      <c r="BG31" s="475"/>
      <c r="BH31" s="475"/>
      <c r="BI31" s="525">
        <v>0</v>
      </c>
    </row>
    <row s="10446" customFormat="1" customHeight="1" ht="18.75" hidden="1">
      <c r="A32" s="1464"/>
      <c r="B32" s="1464"/>
      <c r="C32" s="1464"/>
      <c r="D32" s="1464"/>
      <c r="E32" s="1464"/>
      <c r="F32" s="1464"/>
      <c r="G32" s="1464"/>
      <c r="H32" s="1464"/>
      <c r="I32" s="1464"/>
      <c r="J32" s="1464"/>
      <c r="K32" s="1464"/>
      <c r="L32" s="1465"/>
      <c r="M32" s="1464"/>
      <c r="N32" s="1464"/>
      <c r="O32" s="1464"/>
      <c r="P32" s="1464"/>
      <c r="Q32" s="1464"/>
      <c r="S32" s="3106" t="s">
        <v>508</v>
      </c>
      <c r="T32" s="3106"/>
      <c r="U32" s="1468"/>
      <c r="V32" s="3107" t="str">
        <f>IF(TITLE_DATE_PR_CHANGE="",IF(TITLE_DATE_PR="","",TITLE_DATE_PR),TITLE_DATE_PR_CHANGE)</f>
        <v/>
      </c>
      <c r="W32" s="3107"/>
      <c r="X32" s="3107"/>
      <c r="Y32" s="3107"/>
      <c r="Z32" s="3107"/>
      <c r="AA32" s="3107"/>
      <c r="AB32" s="3107"/>
      <c r="AC32" s="434"/>
      <c r="AD32" s="3107" t="str">
        <f>IF(TITLE_DATE_PR_CHANGE="",IF(TITLE_DATE_PR="","",TITLE_DATE_PR),TITLE_DATE_PR_CHANGE)</f>
        <v/>
      </c>
      <c r="AE32" s="3107"/>
      <c r="AF32" s="3107"/>
      <c r="AG32" s="3107"/>
      <c r="AH32" s="3107"/>
      <c r="AI32" s="3107"/>
      <c r="AJ32" s="3107"/>
      <c r="AK32" s="3107"/>
      <c r="AL32" s="3107"/>
      <c r="AM32" s="3107"/>
      <c r="AN32" s="3107"/>
      <c r="AO32" s="3107"/>
      <c r="AP32" s="3107"/>
      <c r="AQ32" s="3107"/>
      <c r="AR32" s="3107"/>
      <c r="AS32" s="3107"/>
      <c r="AT32" s="3107"/>
      <c r="AU32" s="3107"/>
      <c r="AV32" s="3107"/>
      <c r="AW32" s="3107"/>
      <c r="AX32" s="3107"/>
      <c r="AY32" s="3107"/>
      <c r="AZ32" s="3107"/>
      <c r="BA32" s="434"/>
      <c r="BB32" s="434"/>
      <c r="BC32" s="388"/>
      <c r="BD32" s="475"/>
      <c r="BE32" s="475"/>
      <c r="BF32" s="475"/>
      <c r="BG32" s="475"/>
      <c r="BH32" s="475"/>
      <c r="BI32" s="525">
        <v>0</v>
      </c>
    </row>
    <row s="10446" customFormat="1" customHeight="1" ht="18.75" hidden="1">
      <c r="A33" s="1464"/>
      <c r="B33" s="1464"/>
      <c r="C33" s="1464"/>
      <c r="D33" s="1464"/>
      <c r="E33" s="1464"/>
      <c r="F33" s="1464"/>
      <c r="G33" s="1464"/>
      <c r="H33" s="1464"/>
      <c r="I33" s="1464"/>
      <c r="J33" s="1464"/>
      <c r="K33" s="1464"/>
      <c r="L33" s="1465"/>
      <c r="M33" s="1464"/>
      <c r="N33" s="1464"/>
      <c r="O33" s="1464"/>
      <c r="P33" s="1464"/>
      <c r="Q33" s="1464"/>
      <c r="S33" s="3106" t="s">
        <v>509</v>
      </c>
      <c r="T33" s="3106"/>
      <c r="U33" s="1468"/>
      <c r="V33" s="3108" t="str">
        <f>IF(TITLE_NUMBER_PR_CHANGE="",IF(TITLE_NUMBER_PR="","",TITLE_NUMBER_PR),TITLE_NUMBER_PR_CHANGE)</f>
        <v/>
      </c>
      <c r="W33" s="3108"/>
      <c r="X33" s="3108"/>
      <c r="Y33" s="3108"/>
      <c r="Z33" s="3108"/>
      <c r="AA33" s="3108"/>
      <c r="AB33" s="3108"/>
      <c r="AC33" s="434"/>
      <c r="AD33" s="3108" t="str">
        <f>IF(TITLE_NUMBER_PR_CHANGE="",IF(TITLE_NUMBER_PR="","",TITLE_NUMBER_PR),TITLE_NUMBER_PR_CHANGE)</f>
        <v/>
      </c>
      <c r="AE33" s="3108"/>
      <c r="AF33" s="3108"/>
      <c r="AG33" s="3108"/>
      <c r="AH33" s="3108"/>
      <c r="AI33" s="3108"/>
      <c r="AJ33" s="3108"/>
      <c r="AK33" s="3108"/>
      <c r="AL33" s="3108"/>
      <c r="AM33" s="3108"/>
      <c r="AN33" s="3108"/>
      <c r="AO33" s="3108"/>
      <c r="AP33" s="3108"/>
      <c r="AQ33" s="3108"/>
      <c r="AR33" s="3108"/>
      <c r="AS33" s="3108"/>
      <c r="AT33" s="3108"/>
      <c r="AU33" s="3108"/>
      <c r="AV33" s="3108"/>
      <c r="AW33" s="3108"/>
      <c r="AX33" s="3108"/>
      <c r="AY33" s="3108"/>
      <c r="AZ33" s="3108"/>
      <c r="BA33" s="434"/>
      <c r="BB33" s="434"/>
      <c r="BC33" s="388"/>
      <c r="BD33" s="475"/>
      <c r="BE33" s="475"/>
      <c r="BF33" s="475"/>
      <c r="BG33" s="475"/>
      <c r="BH33" s="475"/>
      <c r="BI33" s="525">
        <v>0</v>
      </c>
    </row>
    <row s="10446" customFormat="1" customHeight="1" ht="18.75" hidden="1">
      <c r="A34" s="1464"/>
      <c r="B34" s="1464"/>
      <c r="C34" s="1464"/>
      <c r="D34" s="1464"/>
      <c r="E34" s="1464"/>
      <c r="F34" s="1464"/>
      <c r="G34" s="1464"/>
      <c r="H34" s="1464"/>
      <c r="I34" s="1464"/>
      <c r="J34" s="1464"/>
      <c r="K34" s="1464"/>
      <c r="L34" s="1465"/>
      <c r="M34" s="1464"/>
      <c r="N34" s="1464"/>
      <c r="O34" s="1464"/>
      <c r="P34" s="1464"/>
      <c r="Q34" s="1464"/>
      <c r="S34" s="3106" t="s">
        <v>42</v>
      </c>
      <c r="T34" s="3106"/>
      <c r="U34" s="1468"/>
      <c r="V34" s="3108" t="str">
        <f>IF(TITLE_IST_PUB_CHANGE="",IF(TITLE_IST_PUB="","",TITLE_IST_PUB),TITLE_IST_PUB_CHANGE)</f>
        <v/>
      </c>
      <c r="W34" s="3108"/>
      <c r="X34" s="3108"/>
      <c r="Y34" s="3108"/>
      <c r="Z34" s="3108"/>
      <c r="AA34" s="3108"/>
      <c r="AB34" s="3108"/>
      <c r="AC34" s="434"/>
      <c r="AD34" s="3108" t="str">
        <f>IF(TITLE_IST_PUB_CHANGE="",IF(TITLE_IST_PUB="","",TITLE_IST_PUB),TITLE_IST_PUB_CHANGE)</f>
        <v/>
      </c>
      <c r="AE34" s="3108"/>
      <c r="AF34" s="3108"/>
      <c r="AG34" s="3108"/>
      <c r="AH34" s="3108"/>
      <c r="AI34" s="3108"/>
      <c r="AJ34" s="3108"/>
      <c r="AK34" s="3108"/>
      <c r="AL34" s="3108"/>
      <c r="AM34" s="3108"/>
      <c r="AN34" s="3108"/>
      <c r="AO34" s="3108"/>
      <c r="AP34" s="3108"/>
      <c r="AQ34" s="3108"/>
      <c r="AR34" s="3108"/>
      <c r="AS34" s="3108"/>
      <c r="AT34" s="3108"/>
      <c r="AU34" s="3108"/>
      <c r="AV34" s="3108"/>
      <c r="AW34" s="3108"/>
      <c r="AX34" s="3108"/>
      <c r="AY34" s="3108"/>
      <c r="AZ34" s="3108"/>
      <c r="BA34" s="434"/>
      <c r="BB34" s="434"/>
      <c r="BC34" s="388"/>
      <c r="BD34" s="475"/>
      <c r="BE34" s="475"/>
      <c r="BF34" s="475"/>
      <c r="BG34" s="475"/>
      <c r="BH34" s="475"/>
      <c r="BI34" s="525">
        <v>0</v>
      </c>
    </row>
    <row customHeight="1" ht="14.25" hidden="1">
      <c r="Q35" s="399"/>
      <c r="R35" s="483"/>
      <c r="S35" s="1371"/>
      <c r="T35" s="470"/>
      <c r="U35" s="47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0"/>
      <c r="AT35" s="430"/>
      <c r="AU35" s="430"/>
      <c r="AV35" s="430"/>
      <c r="AW35" s="430"/>
      <c r="AX35" s="430"/>
      <c r="AY35" s="430"/>
      <c r="AZ35" s="430"/>
      <c r="BA35" s="430"/>
      <c r="BB35" s="616"/>
      <c r="BI35" s="1251">
        <v>0</v>
      </c>
    </row>
    <row s="10446" customFormat="1" customHeight="1" ht="18.75" hidden="1">
      <c r="A36" s="1464"/>
      <c r="B36" s="1464"/>
      <c r="C36" s="1464"/>
      <c r="D36" s="1464"/>
      <c r="E36" s="1464"/>
      <c r="F36" s="1464"/>
      <c r="G36" s="1464"/>
      <c r="H36" s="1464"/>
      <c r="I36" s="1464"/>
      <c r="J36" s="1464"/>
      <c r="K36" s="1464"/>
      <c r="L36" s="1465"/>
      <c r="M36" s="1464"/>
      <c r="N36" s="1464"/>
      <c r="O36" s="1464"/>
      <c r="P36" s="1464"/>
      <c r="Q36" s="1464"/>
      <c r="S36" s="3106" t="s">
        <v>508</v>
      </c>
      <c r="T36" s="3106"/>
      <c r="U36" s="1468"/>
      <c r="V36" s="3107" t="str">
        <f>IF(TITLE_DATE_PR_CHANGE="",IF(TITLE_DATE_PR="","",TITLE_DATE_PR),TITLE_DATE_PR_CHANGE)</f>
        <v/>
      </c>
      <c r="W36" s="3107"/>
      <c r="X36" s="3107"/>
      <c r="Y36" s="3107"/>
      <c r="Z36" s="3107"/>
      <c r="AA36" s="3107"/>
      <c r="AB36" s="3107"/>
      <c r="AC36" s="434"/>
      <c r="AD36" s="3107" t="str">
        <f>IF(TITLE_DATE_PR_CHANGE="",IF(TITLE_DATE_PR="","",TITLE_DATE_PR),TITLE_DATE_PR_CHANGE)</f>
        <v/>
      </c>
      <c r="AE36" s="3107"/>
      <c r="AF36" s="3107"/>
      <c r="AG36" s="3107"/>
      <c r="AH36" s="3107"/>
      <c r="AI36" s="3107"/>
      <c r="AJ36" s="3107"/>
      <c r="AK36" s="3107"/>
      <c r="AL36" s="3107"/>
      <c r="AM36" s="3107"/>
      <c r="AN36" s="3107"/>
      <c r="AO36" s="3107"/>
      <c r="AP36" s="3107"/>
      <c r="AQ36" s="3107"/>
      <c r="AR36" s="3107"/>
      <c r="AS36" s="3107"/>
      <c r="AT36" s="3107"/>
      <c r="AU36" s="3107"/>
      <c r="AV36" s="3107"/>
      <c r="AW36" s="3107"/>
      <c r="AX36" s="3107"/>
      <c r="AY36" s="3107"/>
      <c r="AZ36" s="3107"/>
      <c r="BA36" s="434"/>
      <c r="BB36" s="434"/>
      <c r="BC36" s="388"/>
      <c r="BD36" s="475"/>
      <c r="BE36" s="475"/>
      <c r="BF36" s="475"/>
      <c r="BG36" s="475"/>
      <c r="BH36" s="475"/>
      <c r="BI36" s="525">
        <v>0</v>
      </c>
    </row>
    <row s="10446" customFormat="1" customHeight="1" ht="18.75" hidden="1">
      <c r="A37" s="1464"/>
      <c r="B37" s="1464"/>
      <c r="C37" s="1464"/>
      <c r="D37" s="1464"/>
      <c r="E37" s="1464"/>
      <c r="F37" s="1464"/>
      <c r="G37" s="1464"/>
      <c r="H37" s="1464"/>
      <c r="I37" s="1464"/>
      <c r="J37" s="1464"/>
      <c r="K37" s="1464"/>
      <c r="L37" s="1465"/>
      <c r="M37" s="1464"/>
      <c r="N37" s="1464"/>
      <c r="O37" s="1464"/>
      <c r="P37" s="1464"/>
      <c r="Q37" s="1464"/>
      <c r="S37" s="3106" t="s">
        <v>509</v>
      </c>
      <c r="T37" s="3106"/>
      <c r="U37" s="1468"/>
      <c r="V37" s="3108" t="str">
        <f>IF(TITLE_NUMBER_PR_CHANGE="",IF(TITLE_NUMBER_PR="","",TITLE_NUMBER_PR),TITLE_NUMBER_PR_CHANGE)</f>
        <v/>
      </c>
      <c r="W37" s="3108"/>
      <c r="X37" s="3108"/>
      <c r="Y37" s="3108"/>
      <c r="Z37" s="3108"/>
      <c r="AA37" s="3108"/>
      <c r="AB37" s="3108"/>
      <c r="AC37" s="434"/>
      <c r="AD37" s="3108" t="str">
        <f>IF(TITLE_NUMBER_PR_CHANGE="",IF(TITLE_NUMBER_PR="","",TITLE_NUMBER_PR),TITLE_NUMBER_PR_CHANGE)</f>
        <v/>
      </c>
      <c r="AE37" s="3108"/>
      <c r="AF37" s="3108"/>
      <c r="AG37" s="3108"/>
      <c r="AH37" s="3108"/>
      <c r="AI37" s="3108"/>
      <c r="AJ37" s="3108"/>
      <c r="AK37" s="3108"/>
      <c r="AL37" s="3108"/>
      <c r="AM37" s="3108"/>
      <c r="AN37" s="3108"/>
      <c r="AO37" s="3108"/>
      <c r="AP37" s="3108"/>
      <c r="AQ37" s="3108"/>
      <c r="AR37" s="3108"/>
      <c r="AS37" s="3108"/>
      <c r="AT37" s="3108"/>
      <c r="AU37" s="3108"/>
      <c r="AV37" s="3108"/>
      <c r="AW37" s="3108"/>
      <c r="AX37" s="3108"/>
      <c r="AY37" s="3108"/>
      <c r="AZ37" s="3108"/>
      <c r="BA37" s="434"/>
      <c r="BB37" s="434"/>
      <c r="BC37" s="388"/>
      <c r="BD37" s="475"/>
      <c r="BE37" s="475"/>
      <c r="BF37" s="475"/>
      <c r="BG37" s="475"/>
      <c r="BH37" s="475"/>
      <c r="BI37" s="525">
        <v>0</v>
      </c>
    </row>
    <row s="10446" customFormat="1" customHeight="1" ht="14.25" hidden="1">
      <c r="A38" s="1464"/>
      <c r="B38" s="1464"/>
      <c r="C38" s="1464"/>
      <c r="D38" s="1464"/>
      <c r="E38" s="1464"/>
      <c r="F38" s="1464"/>
      <c r="G38" s="1464"/>
      <c r="H38" s="1464"/>
      <c r="I38" s="1464"/>
      <c r="J38" s="1464"/>
      <c r="K38" s="1464"/>
      <c r="L38" s="1465"/>
      <c r="M38" s="1464"/>
      <c r="N38" s="1464"/>
      <c r="O38" s="1464"/>
      <c r="P38" s="1464"/>
      <c r="Q38" s="1464"/>
      <c r="S38" s="431"/>
      <c r="T38" s="431"/>
      <c r="U38" s="1550"/>
      <c r="V38" s="434"/>
      <c r="W38" s="434"/>
      <c r="X38" s="434"/>
      <c r="Y38" s="434"/>
      <c r="Z38" s="434"/>
      <c r="AA38" s="434"/>
      <c r="AB38" s="434"/>
      <c r="AC38" s="386" t="s">
        <v>512</v>
      </c>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386" t="s">
        <v>512</v>
      </c>
      <c r="BD38" s="475"/>
      <c r="BE38" s="475"/>
      <c r="BF38" s="475"/>
      <c r="BG38" s="475"/>
      <c r="BH38" s="475"/>
      <c r="BI38" s="525">
        <v>0</v>
      </c>
    </row>
    <row customHeight="1" ht="14.699999999999998">
      <c r="Q39" s="399"/>
      <c r="R39" s="483"/>
      <c r="S39" s="1371"/>
      <c r="T39" s="470"/>
      <c r="U39" s="1340"/>
      <c r="V39" s="3127"/>
      <c r="W39" s="3127"/>
      <c r="X39" s="3127"/>
      <c r="Y39" s="3127"/>
      <c r="Z39" s="3127"/>
      <c r="AA39" s="3127"/>
      <c r="AB39" s="3127"/>
      <c r="AC39" s="3127"/>
      <c r="AD39" s="3127"/>
      <c r="AE39" s="3127"/>
      <c r="AF39" s="3127"/>
      <c r="AG39" s="3127"/>
      <c r="AH39" s="3127"/>
      <c r="AI39" s="3127"/>
      <c r="AJ39" s="3127"/>
      <c r="AK39" s="3127"/>
      <c r="AL39" s="3127"/>
      <c r="AM39" s="3127"/>
      <c r="AN39" s="3127"/>
      <c r="AO39" s="3127"/>
      <c r="AP39" s="3127"/>
      <c r="AQ39" s="3127"/>
      <c r="AR39" s="3127"/>
      <c r="AS39" s="3127"/>
      <c r="AT39" s="3127"/>
      <c r="AU39" s="3127"/>
      <c r="AV39" s="3127"/>
      <c r="AW39" s="3127"/>
      <c r="AX39" s="3127"/>
      <c r="AY39" s="3127"/>
      <c r="AZ39" s="3127"/>
      <c r="BA39" s="3127"/>
      <c r="BI39" s="1251">
        <v>14</v>
      </c>
    </row>
    <row customHeight="1" ht="14.699999999999998">
      <c r="Q40" s="399"/>
      <c r="R40" s="483"/>
      <c r="S40" s="2978" t="s">
        <v>385</v>
      </c>
      <c r="T40" s="2978"/>
      <c r="U40" s="2978"/>
      <c r="V40" s="2978"/>
      <c r="W40" s="2978"/>
      <c r="X40" s="2978"/>
      <c r="Y40" s="2978"/>
      <c r="Z40" s="2978"/>
      <c r="AA40" s="2978"/>
      <c r="AB40" s="2978"/>
      <c r="AC40" s="2978"/>
      <c r="AD40" s="2978"/>
      <c r="AE40" s="2978"/>
      <c r="AF40" s="2978"/>
      <c r="AG40" s="2978"/>
      <c r="AH40" s="2978"/>
      <c r="AI40" s="2978"/>
      <c r="AJ40" s="2978"/>
      <c r="AK40" s="2978"/>
      <c r="AL40" s="2978"/>
      <c r="AM40" s="2978"/>
      <c r="AN40" s="2978"/>
      <c r="AO40" s="2978"/>
      <c r="AP40" s="2978"/>
      <c r="AQ40" s="2978"/>
      <c r="AR40" s="2978"/>
      <c r="AS40" s="2978"/>
      <c r="AT40" s="2978"/>
      <c r="AU40" s="2978"/>
      <c r="AV40" s="2978"/>
      <c r="AW40" s="2978"/>
      <c r="AX40" s="2978"/>
      <c r="AY40" s="2978"/>
      <c r="AZ40" s="2978"/>
      <c r="BA40" s="2978"/>
      <c r="BB40" s="2978"/>
      <c r="BC40" s="2978" t="s">
        <v>386</v>
      </c>
      <c r="BI40" s="1251">
        <v>14</v>
      </c>
    </row>
    <row customHeight="1" ht="14.699999999999998">
      <c r="Q41" s="399"/>
      <c r="R41" s="483"/>
      <c r="S41" s="3128" t="s">
        <v>88</v>
      </c>
      <c r="T41" s="3077" t="s">
        <v>592</v>
      </c>
      <c r="U41" s="409"/>
      <c r="V41" s="3129" t="s">
        <v>514</v>
      </c>
      <c r="W41" s="3130"/>
      <c r="X41" s="3130"/>
      <c r="Y41" s="3130"/>
      <c r="Z41" s="3130"/>
      <c r="AA41" s="3130"/>
      <c r="AB41" s="3131"/>
      <c r="AC41" s="3132" t="s">
        <v>515</v>
      </c>
      <c r="AD41" s="3161" t="s">
        <v>593</v>
      </c>
      <c r="AE41" s="3145"/>
      <c r="AF41" s="3145"/>
      <c r="AG41" s="3162"/>
      <c r="AH41" s="3161" t="s">
        <v>594</v>
      </c>
      <c r="AI41" s="3145"/>
      <c r="AJ41" s="3145"/>
      <c r="AK41" s="3162"/>
      <c r="AL41" s="3161" t="s">
        <v>595</v>
      </c>
      <c r="AM41" s="3145"/>
      <c r="AN41" s="3145"/>
      <c r="AO41" s="3162"/>
      <c r="AP41" s="3161" t="s">
        <v>596</v>
      </c>
      <c r="AQ41" s="3145"/>
      <c r="AR41" s="3145"/>
      <c r="AS41" s="3162"/>
      <c r="AT41" s="3129" t="s">
        <v>514</v>
      </c>
      <c r="AU41" s="3130"/>
      <c r="AV41" s="3130"/>
      <c r="AW41" s="3130"/>
      <c r="AX41" s="3130"/>
      <c r="AY41" s="3130"/>
      <c r="AZ41" s="3131"/>
      <c r="BA41" s="3132" t="s">
        <v>515</v>
      </c>
      <c r="BB41" s="3135" t="s">
        <v>517</v>
      </c>
      <c r="BC41" s="2978"/>
      <c r="BI41" s="1251">
        <v>14</v>
      </c>
    </row>
    <row customHeight="1" ht="35.699999999999996">
      <c r="Q42" s="399"/>
      <c r="R42" s="483"/>
      <c r="S42" s="3128"/>
      <c r="T42" s="3077"/>
      <c r="U42" s="1131"/>
      <c r="V42" s="3048" t="s">
        <v>597</v>
      </c>
      <c r="W42" s="3049"/>
      <c r="X42" s="3048" t="s">
        <v>598</v>
      </c>
      <c r="Y42" s="3049"/>
      <c r="Z42" s="3048" t="s">
        <v>599</v>
      </c>
      <c r="AA42" s="3157"/>
      <c r="AB42" s="3049"/>
      <c r="AC42" s="3133"/>
      <c r="AD42" s="3163"/>
      <c r="AE42" s="3164"/>
      <c r="AF42" s="3164"/>
      <c r="AG42" s="3176"/>
      <c r="AH42" s="3163"/>
      <c r="AI42" s="3164"/>
      <c r="AJ42" s="3164"/>
      <c r="AK42" s="3176"/>
      <c r="AL42" s="3163"/>
      <c r="AM42" s="3164"/>
      <c r="AN42" s="3164"/>
      <c r="AO42" s="3176"/>
      <c r="AP42" s="3163"/>
      <c r="AQ42" s="3164"/>
      <c r="AR42" s="3164"/>
      <c r="AS42" s="3176"/>
      <c r="AT42" s="3048" t="s">
        <v>597</v>
      </c>
      <c r="AU42" s="3049"/>
      <c r="AV42" s="3048" t="s">
        <v>598</v>
      </c>
      <c r="AW42" s="3049"/>
      <c r="AX42" s="3048" t="s">
        <v>599</v>
      </c>
      <c r="AY42" s="3157"/>
      <c r="AZ42" s="3049"/>
      <c r="BA42" s="3133"/>
      <c r="BB42" s="3136"/>
      <c r="BC42" s="2978"/>
      <c r="BI42" s="1251">
        <v>34</v>
      </c>
    </row>
    <row customHeight="1" ht="14.699999999999998">
      <c r="Q43" s="399"/>
      <c r="R43" s="483"/>
      <c r="S43" s="3128"/>
      <c r="T43" s="3077"/>
      <c r="U43" s="1131"/>
      <c r="V43" s="3053"/>
      <c r="W43" s="3054"/>
      <c r="X43" s="3053"/>
      <c r="Y43" s="3054"/>
      <c r="Z43" s="3053"/>
      <c r="AA43" s="3158"/>
      <c r="AB43" s="3054"/>
      <c r="AC43" s="3133"/>
      <c r="AD43" s="3163"/>
      <c r="AE43" s="3164"/>
      <c r="AF43" s="3164"/>
      <c r="AG43" s="3176"/>
      <c r="AH43" s="3163"/>
      <c r="AI43" s="3164"/>
      <c r="AJ43" s="3164"/>
      <c r="AK43" s="3176"/>
      <c r="AL43" s="3163"/>
      <c r="AM43" s="3164"/>
      <c r="AN43" s="3164"/>
      <c r="AO43" s="3176"/>
      <c r="AP43" s="3163"/>
      <c r="AQ43" s="3164"/>
      <c r="AR43" s="3164"/>
      <c r="AS43" s="3176"/>
      <c r="AT43" s="3053"/>
      <c r="AU43" s="3054"/>
      <c r="AV43" s="3053"/>
      <c r="AW43" s="3054"/>
      <c r="AX43" s="3053"/>
      <c r="AY43" s="3158"/>
      <c r="AZ43" s="3054"/>
      <c r="BA43" s="3133"/>
      <c r="BB43" s="3136"/>
      <c r="BC43" s="2978"/>
      <c r="BI43" s="1251">
        <v>14</v>
      </c>
    </row>
    <row customHeight="1" ht="14.699999999999998">
      <c r="A44" s="1466"/>
      <c r="B44" s="1466" t="s">
        <v>222</v>
      </c>
      <c r="C44" s="1466" t="s">
        <v>223</v>
      </c>
      <c r="D44" s="1466" t="s">
        <v>224</v>
      </c>
      <c r="E44" s="1460" t="s">
        <v>522</v>
      </c>
      <c r="F44" s="1460" t="s">
        <v>523</v>
      </c>
      <c r="G44" s="1460" t="s">
        <v>524</v>
      </c>
      <c r="H44" s="1460" t="s">
        <v>525</v>
      </c>
      <c r="I44" s="1460" t="s">
        <v>526</v>
      </c>
      <c r="J44" s="1460" t="s">
        <v>527</v>
      </c>
      <c r="K44" s="1460" t="s">
        <v>528</v>
      </c>
      <c r="L44" s="1460" t="s">
        <v>503</v>
      </c>
      <c r="Q44" s="399"/>
      <c r="R44" s="483"/>
      <c r="S44" s="3128"/>
      <c r="T44" s="3077"/>
      <c r="U44" s="410"/>
      <c r="V44" s="1544" t="s">
        <v>563</v>
      </c>
      <c r="W44" s="1544" t="s">
        <v>564</v>
      </c>
      <c r="X44" s="1544" t="s">
        <v>563</v>
      </c>
      <c r="Y44" s="1544" t="s">
        <v>564</v>
      </c>
      <c r="Z44" s="1551" t="s">
        <v>531</v>
      </c>
      <c r="AA44" s="3082" t="s">
        <v>532</v>
      </c>
      <c r="AB44" s="3095"/>
      <c r="AC44" s="3134"/>
      <c r="AD44" s="3165"/>
      <c r="AE44" s="3166"/>
      <c r="AF44" s="3166"/>
      <c r="AG44" s="3167"/>
      <c r="AH44" s="3165"/>
      <c r="AI44" s="3166"/>
      <c r="AJ44" s="3166"/>
      <c r="AK44" s="3167"/>
      <c r="AL44" s="3165"/>
      <c r="AM44" s="3166"/>
      <c r="AN44" s="3166"/>
      <c r="AO44" s="3167"/>
      <c r="AP44" s="3165"/>
      <c r="AQ44" s="3166"/>
      <c r="AR44" s="3166"/>
      <c r="AS44" s="3167"/>
      <c r="AT44" s="1544" t="s">
        <v>563</v>
      </c>
      <c r="AU44" s="1544" t="s">
        <v>564</v>
      </c>
      <c r="AV44" s="1544" t="s">
        <v>563</v>
      </c>
      <c r="AW44" s="1544" t="s">
        <v>564</v>
      </c>
      <c r="AX44" s="1551" t="s">
        <v>531</v>
      </c>
      <c r="AY44" s="3082" t="s">
        <v>532</v>
      </c>
      <c r="AZ44" s="3095"/>
      <c r="BA44" s="3134"/>
      <c r="BB44" s="3137"/>
      <c r="BC44" s="2978"/>
      <c r="BI44" s="1251">
        <v>14</v>
      </c>
    </row>
    <row s="10851" customFormat="1" customHeight="1" ht="11.25" hidden="1">
      <c r="A45" s="1466"/>
      <c r="B45" s="1466"/>
      <c r="C45" s="1466"/>
      <c r="D45" s="1466"/>
      <c r="E45" s="1466"/>
      <c r="F45" s="1466"/>
      <c r="G45" s="1466"/>
      <c r="H45" s="1466"/>
      <c r="I45" s="1466"/>
      <c r="J45" s="1466"/>
      <c r="K45" s="1466"/>
      <c r="L45" s="1460"/>
      <c r="M45" s="1458"/>
      <c r="N45" s="1458"/>
      <c r="O45" s="1458"/>
      <c r="P45" s="617"/>
      <c r="Q45" s="1350"/>
      <c r="R45" s="1350">
        <v>1</v>
      </c>
      <c r="S45" s="1373" t="s">
        <v>144</v>
      </c>
      <c r="T45" s="1351" t="s">
        <v>102</v>
      </c>
      <c r="U45" s="1341" t="str">
        <f>OFFSET(U45,0,-1)</f>
        <v>2</v>
      </c>
      <c r="V45" s="1547">
        <f>OFFSET(V45,0,-1)+1</f>
        <v>3</v>
      </c>
      <c r="W45" s="1547">
        <f>OFFSET(W45,0,-1)+1</f>
        <v>4</v>
      </c>
      <c r="X45" s="1547">
        <f>OFFSET(X45,0,-1)+1</f>
        <v>5</v>
      </c>
      <c r="Y45" s="1547">
        <f>OFFSET(Y45,0,-1)+1</f>
        <v>6</v>
      </c>
      <c r="Z45" s="1547">
        <f>OFFSET(Z45,0,-1)+1</f>
        <v>7</v>
      </c>
      <c r="AA45" s="3126">
        <f>OFFSET(AA45,0,-1)+1</f>
        <v>8</v>
      </c>
      <c r="AB45" s="3126"/>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3126">
        <f>OFFSET(AY45,0,-1)+1</f>
        <v>3</v>
      </c>
      <c r="AZ45" s="3126"/>
      <c r="BA45" s="1547">
        <f>OFFSET(BA45,0,-2)+1</f>
        <v>4</v>
      </c>
      <c r="BB45" s="1341">
        <f>OFFSET(BB45,0,-1)</f>
        <v>4</v>
      </c>
      <c r="BC45" s="1547">
        <f>OFFSET(BC45,0,-1)+1</f>
        <v>5</v>
      </c>
      <c r="BD45" s="618"/>
      <c r="BE45" s="618"/>
      <c r="BF45" s="618"/>
      <c r="BG45" s="618"/>
      <c r="BH45" s="618"/>
      <c r="BI45" s="603">
        <v>0</v>
      </c>
    </row>
    <row customHeight="1" ht="22.049999999999997">
      <c r="A46" s="1459" t="s">
        <v>331</v>
      </c>
      <c r="B46" s="1459"/>
      <c r="C46" s="1459"/>
      <c r="D46" s="1459"/>
      <c r="E46" s="3115">
        <v>1</v>
      </c>
      <c r="F46" s="1459"/>
      <c r="G46" s="1459"/>
      <c r="H46" s="1459"/>
      <c r="I46" s="1459"/>
      <c r="J46" s="1459"/>
      <c r="K46" s="1459"/>
      <c r="L46" s="1460"/>
      <c r="M46" s="1461"/>
      <c r="N46" s="1461"/>
      <c r="O46" s="1461"/>
      <c r="P46" s="1505"/>
      <c r="Q46" s="974"/>
      <c r="R46" s="462"/>
      <c r="S46" s="1553">
        <f>INDEX(PT_DIFFERENTIATION_NUM_NTAR,MATCH(A46,PT_DIFFERENTIATION_NTAR_ID,0))</f>
        <v>0</v>
      </c>
      <c r="T46" s="406" t="s">
        <v>210</v>
      </c>
      <c r="U46" s="408"/>
      <c r="V46" s="3110"/>
      <c r="W46" s="3110"/>
      <c r="X46" s="3110"/>
      <c r="Y46" s="3110"/>
      <c r="Z46" s="3110"/>
      <c r="AA46" s="3110"/>
      <c r="AB46" s="3110"/>
      <c r="AC46" s="3111"/>
      <c r="AD46" s="3109" t="str">
        <f>INDEX(PT_DIFFERENTIATION_NTAR,MATCH(A46,PT_DIFFERENTIATION_NTAR_ID,0))</f>
        <v/>
      </c>
      <c r="AE46" s="3110"/>
      <c r="AF46" s="3110"/>
      <c r="AG46" s="3110"/>
      <c r="AH46" s="3110"/>
      <c r="AI46" s="3110"/>
      <c r="AJ46" s="3110"/>
      <c r="AK46" s="3110"/>
      <c r="AL46" s="3110"/>
      <c r="AM46" s="3110"/>
      <c r="AN46" s="3110"/>
      <c r="AO46" s="3110"/>
      <c r="AP46" s="3110"/>
      <c r="AQ46" s="3110"/>
      <c r="AR46" s="3110"/>
      <c r="AS46" s="3110"/>
      <c r="AT46" s="3110"/>
      <c r="AU46" s="3110"/>
      <c r="AV46" s="3110"/>
      <c r="AW46" s="3110"/>
      <c r="AX46" s="3110"/>
      <c r="AY46" s="3110"/>
      <c r="AZ46" s="3110"/>
      <c r="BA46" s="3110"/>
      <c r="BB46" s="3111"/>
      <c r="BC46"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7"/>
      <c r="BF46" s="607" t="str">
        <f>IF(T46="","",T46)</f>
        <v>Наименование тарифа</v>
      </c>
      <c r="BG46" s="607"/>
      <c r="BH46" s="607"/>
      <c r="BI46" s="1251">
        <v>21</v>
      </c>
    </row>
    <row customHeight="1" ht="22.049999999999997">
      <c r="A47" s="1459" t="s">
        <v>331</v>
      </c>
      <c r="B47" s="1459" t="s">
        <v>332</v>
      </c>
      <c r="C47" s="1459"/>
      <c r="D47" s="1459"/>
      <c r="E47" s="3116"/>
      <c r="F47" s="3115">
        <v>1</v>
      </c>
      <c r="G47" s="1459"/>
      <c r="H47" s="1459"/>
      <c r="I47" s="1459"/>
      <c r="J47" s="1459"/>
      <c r="K47" s="1459"/>
      <c r="L47" s="1460"/>
      <c r="M47" s="1461"/>
      <c r="N47" s="1461"/>
      <c r="O47" s="1461"/>
      <c r="P47" s="1506"/>
      <c r="Q47" s="1507"/>
      <c r="R47" s="460"/>
      <c r="S47" s="1553" t="str">
        <f>INDEX(PT_DIFFERENTIATION_NUM_TER,MATCH(B47,PT_DIFFERENTIATION_TER_ID,0))</f>
        <v>.</v>
      </c>
      <c r="T47" s="416" t="s">
        <v>482</v>
      </c>
      <c r="U47" s="408"/>
      <c r="V47" s="3110"/>
      <c r="W47" s="3110"/>
      <c r="X47" s="3110"/>
      <c r="Y47" s="3110"/>
      <c r="Z47" s="3110"/>
      <c r="AA47" s="3110"/>
      <c r="AB47" s="3110"/>
      <c r="AC47" s="3111"/>
      <c r="AD47" s="3109" t="str">
        <f>INDEX(PT_DIFFERENTIATION_TER,MATCH(B47,PT_DIFFERENTIATION_TER_ID,0))</f>
        <v/>
      </c>
      <c r="AE47" s="3110"/>
      <c r="AF47" s="3110"/>
      <c r="AG47" s="3110"/>
      <c r="AH47" s="3110"/>
      <c r="AI47" s="3110"/>
      <c r="AJ47" s="3110"/>
      <c r="AK47" s="3110"/>
      <c r="AL47" s="3110"/>
      <c r="AM47" s="3110"/>
      <c r="AN47" s="3110"/>
      <c r="AO47" s="3110"/>
      <c r="AP47" s="3110"/>
      <c r="AQ47" s="3110"/>
      <c r="AR47" s="3110"/>
      <c r="AS47" s="3110"/>
      <c r="AT47" s="3110"/>
      <c r="AU47" s="3110"/>
      <c r="AV47" s="3110"/>
      <c r="AW47" s="3110"/>
      <c r="AX47" s="3110"/>
      <c r="AY47" s="3110"/>
      <c r="AZ47" s="3110"/>
      <c r="BA47" s="3110"/>
      <c r="BB47" s="3111"/>
      <c r="BC47" s="1354" t="s">
        <v>483</v>
      </c>
      <c r="BE47" s="607"/>
      <c r="BF47" s="607" t="str">
        <f>IF(T47="","",T47)</f>
        <v>Территория действия тарифа</v>
      </c>
      <c r="BG47" s="607"/>
      <c r="BH47" s="607"/>
      <c r="BI47" s="1251">
        <v>21</v>
      </c>
    </row>
    <row customHeight="1" ht="43.050000000000004">
      <c r="A48" s="1459" t="s">
        <v>331</v>
      </c>
      <c r="B48" s="1459" t="s">
        <v>332</v>
      </c>
      <c r="C48" s="1459" t="s">
        <v>333</v>
      </c>
      <c r="D48" s="1459"/>
      <c r="E48" s="3116"/>
      <c r="F48" s="3116"/>
      <c r="G48" s="3115">
        <v>1</v>
      </c>
      <c r="H48" s="1459"/>
      <c r="I48" s="1459"/>
      <c r="J48" s="1459"/>
      <c r="K48" s="1459"/>
      <c r="L48" s="1460"/>
      <c r="M48" s="1461"/>
      <c r="N48" s="1461"/>
      <c r="O48" s="1461"/>
      <c r="P48" s="1508"/>
      <c r="Q48" s="1507"/>
      <c r="R48" s="460"/>
      <c r="S48" s="1553" t="str">
        <f>INDEX(PT_DIFFERENTIATION_NUM_CS,MATCH(C48,PT_DIFFERENTIATION_CS_ID,0))</f>
        <v>..</v>
      </c>
      <c r="T48" s="417" t="s">
        <v>566</v>
      </c>
      <c r="U48" s="408"/>
      <c r="V48" s="3110"/>
      <c r="W48" s="3110"/>
      <c r="X48" s="3110"/>
      <c r="Y48" s="3110"/>
      <c r="Z48" s="3110"/>
      <c r="AA48" s="3110"/>
      <c r="AB48" s="3110"/>
      <c r="AC48" s="3111"/>
      <c r="AD48" s="3109" t="str">
        <f>INDEX(PT_DIFFERENTIATION_CS,MATCH(C48,PT_DIFFERENTIATION_CS_ID,0))</f>
        <v/>
      </c>
      <c r="AE48" s="3110"/>
      <c r="AF48" s="3110"/>
      <c r="AG48" s="3110"/>
      <c r="AH48" s="3110"/>
      <c r="AI48" s="3110"/>
      <c r="AJ48" s="3110"/>
      <c r="AK48" s="3110"/>
      <c r="AL48" s="3110"/>
      <c r="AM48" s="3110"/>
      <c r="AN48" s="3110"/>
      <c r="AO48" s="3110"/>
      <c r="AP48" s="3110"/>
      <c r="AQ48" s="3110"/>
      <c r="AR48" s="3110"/>
      <c r="AS48" s="3110"/>
      <c r="AT48" s="3110"/>
      <c r="AU48" s="3110"/>
      <c r="AV48" s="3110"/>
      <c r="AW48" s="3110"/>
      <c r="AX48" s="3110"/>
      <c r="AY48" s="3110"/>
      <c r="AZ48" s="3110"/>
      <c r="BA48" s="3110"/>
      <c r="BB48" s="3111"/>
      <c r="BC48" s="1354" t="s">
        <v>567</v>
      </c>
      <c r="BE48" s="607"/>
      <c r="BF48" s="607" t="str">
        <f>IF(T48="","",T48)</f>
        <v>Наименование централизованной системы холодного водоснабжения</v>
      </c>
      <c r="BG48" s="607"/>
      <c r="BH48" s="607"/>
      <c r="BI48" s="1251">
        <v>41</v>
      </c>
    </row>
    <row s="10307" customFormat="1" customHeight="1" ht="14.25" hidden="1">
      <c r="A49" s="1439" t="s">
        <v>331</v>
      </c>
      <c r="B49" s="1439" t="s">
        <v>332</v>
      </c>
      <c r="C49" s="1439" t="s">
        <v>333</v>
      </c>
      <c r="D49" s="1439" t="s">
        <v>600</v>
      </c>
      <c r="E49" s="3116"/>
      <c r="F49" s="3116"/>
      <c r="G49" s="3116"/>
      <c r="H49" s="3115">
        <v>1</v>
      </c>
      <c r="I49" s="1439"/>
      <c r="J49" s="1439"/>
      <c r="K49" s="1439"/>
      <c r="L49" s="1442"/>
      <c r="M49" s="1411"/>
      <c r="N49" s="1411"/>
      <c r="O49" s="1411"/>
      <c r="P49" s="1593"/>
      <c r="Q49" s="1594"/>
      <c r="R49" s="464"/>
      <c r="S49" s="1142"/>
      <c r="T49" s="1595"/>
      <c r="U49" s="1480"/>
      <c r="V49" s="3147"/>
      <c r="W49" s="3147"/>
      <c r="X49" s="3147"/>
      <c r="Y49" s="3147"/>
      <c r="Z49" s="3147"/>
      <c r="AA49" s="3147"/>
      <c r="AB49" s="3147"/>
      <c r="AC49" s="3148"/>
      <c r="AD49" s="3146"/>
      <c r="AE49" s="3147"/>
      <c r="AF49" s="3147"/>
      <c r="AG49" s="3147"/>
      <c r="AH49" s="3147"/>
      <c r="AI49" s="3147"/>
      <c r="AJ49" s="3147"/>
      <c r="AK49" s="3147"/>
      <c r="AL49" s="3147"/>
      <c r="AM49" s="3147"/>
      <c r="AN49" s="3147"/>
      <c r="AO49" s="3147"/>
      <c r="AP49" s="3147"/>
      <c r="AQ49" s="3147"/>
      <c r="AR49" s="3147"/>
      <c r="AS49" s="3147"/>
      <c r="AT49" s="3147"/>
      <c r="AU49" s="3147"/>
      <c r="AV49" s="3147"/>
      <c r="AW49" s="3147"/>
      <c r="AX49" s="3147"/>
      <c r="AY49" s="3147"/>
      <c r="AZ49" s="3147"/>
      <c r="BA49" s="3147"/>
      <c r="BB49" s="3148"/>
      <c r="BC49" s="1481" t="s">
        <v>487</v>
      </c>
      <c r="BE49" s="607"/>
      <c r="BF49" s="607" t="str">
        <f>IF(T49="","",T49)</f>
        <v/>
      </c>
      <c r="BG49" s="607"/>
      <c r="BH49" s="607"/>
      <c r="BI49" s="618">
        <v>0</v>
      </c>
    </row>
    <row s="10307" customFormat="1" customHeight="1" ht="14.25" hidden="1">
      <c r="A50" s="1439" t="s">
        <v>331</v>
      </c>
      <c r="B50" s="1439" t="s">
        <v>332</v>
      </c>
      <c r="C50" s="1439" t="s">
        <v>333</v>
      </c>
      <c r="D50" s="1439" t="s">
        <v>600</v>
      </c>
      <c r="E50" s="3116"/>
      <c r="F50" s="3116"/>
      <c r="G50" s="3116"/>
      <c r="H50" s="3116"/>
      <c r="I50" s="3117" t="str">
        <f>S49&amp;".1"</f>
        <v>.1</v>
      </c>
      <c r="J50" s="1439"/>
      <c r="K50" s="1439"/>
      <c r="L50" s="1442" t="s">
        <v>488</v>
      </c>
      <c r="M50" s="617"/>
      <c r="N50" s="617"/>
      <c r="O50" s="617"/>
      <c r="P50" s="3119">
        <v>1</v>
      </c>
      <c r="Q50" s="1558"/>
      <c r="R50" s="463"/>
      <c r="S50" s="1142"/>
      <c r="T50" s="1479"/>
      <c r="U50" s="1480"/>
      <c r="V50" s="3147"/>
      <c r="W50" s="3147"/>
      <c r="X50" s="3147"/>
      <c r="Y50" s="3147"/>
      <c r="Z50" s="3147"/>
      <c r="AA50" s="3147"/>
      <c r="AB50" s="3147"/>
      <c r="AC50" s="3148"/>
      <c r="AD50" s="3146"/>
      <c r="AE50" s="3147"/>
      <c r="AF50" s="3147"/>
      <c r="AG50" s="3147"/>
      <c r="AH50" s="3147"/>
      <c r="AI50" s="3147"/>
      <c r="AJ50" s="3147"/>
      <c r="AK50" s="3147"/>
      <c r="AL50" s="3147"/>
      <c r="AM50" s="3147"/>
      <c r="AN50" s="3147"/>
      <c r="AO50" s="3147"/>
      <c r="AP50" s="3147"/>
      <c r="AQ50" s="3147"/>
      <c r="AR50" s="3147"/>
      <c r="AS50" s="3147"/>
      <c r="AT50" s="3147"/>
      <c r="AU50" s="3147"/>
      <c r="AV50" s="3147"/>
      <c r="AW50" s="3147"/>
      <c r="AX50" s="3147"/>
      <c r="AY50" s="3147"/>
      <c r="AZ50" s="3147"/>
      <c r="BA50" s="3147"/>
      <c r="BB50" s="3148"/>
      <c r="BC50" s="1481"/>
      <c r="BE50" s="607"/>
      <c r="BF50" s="607" t="str">
        <f>IF(T50="","",T50)</f>
        <v/>
      </c>
      <c r="BG50" s="607"/>
      <c r="BH50" s="607"/>
      <c r="BI50" s="618">
        <v>0</v>
      </c>
    </row>
    <row s="10307" customFormat="1" customHeight="1" ht="14.25" hidden="1">
      <c r="A51" s="1439" t="s">
        <v>331</v>
      </c>
      <c r="B51" s="1439" t="s">
        <v>332</v>
      </c>
      <c r="C51" s="1439" t="s">
        <v>333</v>
      </c>
      <c r="D51" s="1439" t="s">
        <v>600</v>
      </c>
      <c r="E51" s="3116"/>
      <c r="F51" s="3116"/>
      <c r="G51" s="3116"/>
      <c r="H51" s="3116"/>
      <c r="I51" s="3118"/>
      <c r="J51" s="3117" t="str">
        <f>S49&amp;".1"</f>
        <v>.1</v>
      </c>
      <c r="K51" s="1439"/>
      <c r="L51" s="1442"/>
      <c r="M51" s="617"/>
      <c r="N51" s="617"/>
      <c r="O51" s="617"/>
      <c r="P51" s="3119"/>
      <c r="Q51" s="3119">
        <v>1</v>
      </c>
      <c r="R51" s="464"/>
      <c r="S51" s="1142"/>
      <c r="T51" s="1495"/>
      <c r="U51" s="1480"/>
      <c r="V51" s="3147"/>
      <c r="W51" s="3147"/>
      <c r="X51" s="3147"/>
      <c r="Y51" s="3147"/>
      <c r="Z51" s="3147"/>
      <c r="AA51" s="3147"/>
      <c r="AB51" s="3147"/>
      <c r="AC51" s="3148"/>
      <c r="AD51" s="3146"/>
      <c r="AE51" s="3147"/>
      <c r="AF51" s="3147"/>
      <c r="AG51" s="3147"/>
      <c r="AH51" s="3147"/>
      <c r="AI51" s="3147"/>
      <c r="AJ51" s="3147"/>
      <c r="AK51" s="3147"/>
      <c r="AL51" s="3147"/>
      <c r="AM51" s="3147"/>
      <c r="AN51" s="3198"/>
      <c r="AO51" s="3198"/>
      <c r="AP51" s="3147"/>
      <c r="AQ51" s="3147"/>
      <c r="AR51" s="3147"/>
      <c r="AS51" s="3147"/>
      <c r="AT51" s="3147"/>
      <c r="AU51" s="3147"/>
      <c r="AV51" s="3147"/>
      <c r="AW51" s="3147"/>
      <c r="AX51" s="3147"/>
      <c r="AY51" s="3147"/>
      <c r="AZ51" s="3147"/>
      <c r="BA51" s="3147"/>
      <c r="BB51" s="3148"/>
      <c r="BC51" s="1481"/>
      <c r="BE51" s="607"/>
      <c r="BF51" s="607" t="str">
        <f>IF(T51="","",T51)</f>
        <v/>
      </c>
      <c r="BG51" s="607"/>
      <c r="BH51" s="607"/>
      <c r="BI51" s="618">
        <v>0</v>
      </c>
    </row>
    <row customHeight="1" ht="11.549999999999999">
      <c r="A52" s="1459" t="s">
        <v>331</v>
      </c>
      <c r="B52" s="1459" t="s">
        <v>332</v>
      </c>
      <c r="C52" s="1459" t="s">
        <v>333</v>
      </c>
      <c r="D52" s="1459" t="s">
        <v>600</v>
      </c>
      <c r="E52" s="3116"/>
      <c r="F52" s="3116"/>
      <c r="G52" s="3116"/>
      <c r="H52" s="3116"/>
      <c r="I52" s="3118"/>
      <c r="J52" s="3118"/>
      <c r="K52" s="3117" t="str">
        <f>S48&amp;".1"</f>
        <v>...1</v>
      </c>
      <c r="L52" s="1460"/>
      <c r="P52" s="3119"/>
      <c r="Q52" s="3119"/>
      <c r="R52" s="464">
        <v>1</v>
      </c>
      <c r="S52" s="3172" t="str">
        <f>$K52</f>
        <v>...1</v>
      </c>
      <c r="T52" s="3192"/>
      <c r="U52" s="408"/>
      <c r="V52" s="858"/>
      <c r="W52" s="1353"/>
      <c r="X52" s="858"/>
      <c r="Y52" s="1353"/>
      <c r="Z52" s="1830"/>
      <c r="AA52" s="1555" t="s">
        <v>62</v>
      </c>
      <c r="AB52" s="1830"/>
      <c r="AC52" s="1555" t="s">
        <v>62</v>
      </c>
      <c r="AD52" s="3060" t="s">
        <v>62</v>
      </c>
      <c r="AE52" s="3168"/>
      <c r="AF52" s="3073">
        <v>1</v>
      </c>
      <c r="AG52" s="3191"/>
      <c r="AH52" s="2989" t="s">
        <v>62</v>
      </c>
      <c r="AI52" s="3168"/>
      <c r="AJ52" s="3073">
        <v>1</v>
      </c>
      <c r="AK52" s="3182" t="s">
        <v>22</v>
      </c>
      <c r="AL52" s="2989" t="s">
        <v>62</v>
      </c>
      <c r="AM52" s="3048"/>
      <c r="AN52" s="3073">
        <v>1</v>
      </c>
      <c r="AO52" s="3195"/>
      <c r="AP52" s="3196" t="s">
        <v>62</v>
      </c>
      <c r="AQ52" s="419"/>
      <c r="AR52" s="1559">
        <v>1</v>
      </c>
      <c r="AS52" s="1562" t="s">
        <v>22</v>
      </c>
      <c r="AT52" s="858"/>
      <c r="AU52" s="1353"/>
      <c r="AV52" s="858"/>
      <c r="AW52" s="1353"/>
      <c r="AX52" s="1830"/>
      <c r="AY52" s="1555" t="s">
        <v>62</v>
      </c>
      <c r="AZ52" s="1830"/>
      <c r="BA52" s="1555" t="s">
        <v>62</v>
      </c>
      <c r="BB52" s="1444"/>
      <c r="BC52" s="3138" t="s">
        <v>586</v>
      </c>
      <c r="BE52" s="607"/>
      <c r="BF52" s="607" t="str">
        <f>IF(T52="","",T52)</f>
        <v/>
      </c>
      <c r="BG52" s="607"/>
      <c r="BH52" s="607"/>
      <c r="BI52" s="1251">
        <v>11</v>
      </c>
    </row>
    <row customHeight="1" ht="11.549999999999999">
      <c r="A53" s="1459"/>
      <c r="B53" s="1459"/>
      <c r="C53" s="1459"/>
      <c r="D53" s="1459"/>
      <c r="E53" s="3116"/>
      <c r="F53" s="3116"/>
      <c r="G53" s="3116"/>
      <c r="H53" s="3116"/>
      <c r="I53" s="3118"/>
      <c r="J53" s="3118"/>
      <c r="K53" s="3117"/>
      <c r="L53" s="1460"/>
      <c r="P53" s="3119"/>
      <c r="Q53" s="3119"/>
      <c r="R53" s="464"/>
      <c r="S53" s="3173"/>
      <c r="T53" s="3193"/>
      <c r="U53" s="408"/>
      <c r="V53" s="1489"/>
      <c r="W53" s="1592"/>
      <c r="X53" s="1489"/>
      <c r="Y53" s="1592"/>
      <c r="Z53" s="1489"/>
      <c r="AA53" s="1489"/>
      <c r="AB53" s="1489"/>
      <c r="AC53" s="1489"/>
      <c r="AD53" s="3061"/>
      <c r="AE53" s="3168"/>
      <c r="AF53" s="3073"/>
      <c r="AG53" s="3191"/>
      <c r="AH53" s="2989"/>
      <c r="AI53" s="3168"/>
      <c r="AJ53" s="3073"/>
      <c r="AK53" s="3182"/>
      <c r="AL53" s="2989"/>
      <c r="AM53" s="3053"/>
      <c r="AN53" s="3073"/>
      <c r="AO53" s="3195"/>
      <c r="AP53" s="3197"/>
      <c r="AQ53" s="424"/>
      <c r="AR53" s="523"/>
      <c r="AS53" s="523" t="s">
        <v>587</v>
      </c>
      <c r="AT53" s="1489"/>
      <c r="AU53" s="1592"/>
      <c r="AV53" s="1489"/>
      <c r="AW53" s="1592"/>
      <c r="AX53" s="1489"/>
      <c r="AY53" s="1489"/>
      <c r="AZ53" s="1489"/>
      <c r="BA53" s="1489"/>
      <c r="BB53" s="1493"/>
      <c r="BC53" s="3139"/>
      <c r="BE53" s="607"/>
      <c r="BF53" s="607"/>
      <c r="BG53" s="607"/>
      <c r="BH53" s="607"/>
      <c r="BI53" s="1251">
        <v>11</v>
      </c>
    </row>
    <row customHeight="1" ht="11.549999999999999">
      <c r="A54" s="1459" t="s">
        <v>331</v>
      </c>
      <c r="B54" s="1459"/>
      <c r="C54" s="1459"/>
      <c r="D54" s="1459"/>
      <c r="E54" s="3116"/>
      <c r="F54" s="3116"/>
      <c r="G54" s="3116"/>
      <c r="H54" s="3116"/>
      <c r="I54" s="3118"/>
      <c r="J54" s="3118"/>
      <c r="K54" s="3117"/>
      <c r="L54" s="1460"/>
      <c r="P54" s="3119"/>
      <c r="Q54" s="3119"/>
      <c r="R54" s="464"/>
      <c r="S54" s="3173"/>
      <c r="T54" s="3193"/>
      <c r="U54" s="408"/>
      <c r="V54" s="1489"/>
      <c r="W54" s="1592"/>
      <c r="X54" s="1489"/>
      <c r="Y54" s="1592"/>
      <c r="Z54" s="1489"/>
      <c r="AA54" s="1489"/>
      <c r="AB54" s="1489"/>
      <c r="AC54" s="1489"/>
      <c r="AD54" s="3061"/>
      <c r="AE54" s="3168"/>
      <c r="AF54" s="3073"/>
      <c r="AG54" s="3191"/>
      <c r="AH54" s="2989"/>
      <c r="AI54" s="3168"/>
      <c r="AJ54" s="3073"/>
      <c r="AK54" s="3182"/>
      <c r="AL54" s="2989"/>
      <c r="AM54" s="424"/>
      <c r="AN54" s="1596"/>
      <c r="AO54" s="1596" t="s">
        <v>588</v>
      </c>
      <c r="AP54" s="523"/>
      <c r="AQ54" s="523"/>
      <c r="AR54" s="523"/>
      <c r="AS54" s="1489"/>
      <c r="AT54" s="1489"/>
      <c r="AU54" s="1592"/>
      <c r="AV54" s="1489"/>
      <c r="AW54" s="1592"/>
      <c r="AX54" s="1489"/>
      <c r="AY54" s="1489"/>
      <c r="AZ54" s="1489"/>
      <c r="BA54" s="1489"/>
      <c r="BB54" s="1493"/>
      <c r="BC54" s="3139"/>
      <c r="BE54" s="607"/>
      <c r="BF54" s="607"/>
      <c r="BG54" s="607"/>
      <c r="BH54" s="607"/>
      <c r="BI54" s="1251">
        <v>11</v>
      </c>
    </row>
    <row customHeight="1" ht="11.549999999999999">
      <c r="A55" s="1459" t="s">
        <v>331</v>
      </c>
      <c r="B55" s="1459"/>
      <c r="C55" s="1459"/>
      <c r="D55" s="1459"/>
      <c r="E55" s="3116"/>
      <c r="F55" s="3116"/>
      <c r="G55" s="3116"/>
      <c r="H55" s="3116"/>
      <c r="I55" s="3118"/>
      <c r="J55" s="3118"/>
      <c r="K55" s="3117"/>
      <c r="L55" s="1460"/>
      <c r="P55" s="3119"/>
      <c r="Q55" s="3119"/>
      <c r="R55" s="464"/>
      <c r="S55" s="3173"/>
      <c r="T55" s="3193"/>
      <c r="U55" s="408"/>
      <c r="V55" s="1489"/>
      <c r="W55" s="1592"/>
      <c r="X55" s="1489"/>
      <c r="Y55" s="1592"/>
      <c r="Z55" s="1489"/>
      <c r="AA55" s="1489"/>
      <c r="AB55" s="1489"/>
      <c r="AC55" s="1489"/>
      <c r="AD55" s="3061"/>
      <c r="AE55" s="3168"/>
      <c r="AF55" s="3073"/>
      <c r="AG55" s="3191"/>
      <c r="AH55" s="2989"/>
      <c r="AI55" s="402"/>
      <c r="AJ55" s="522"/>
      <c r="AK55" s="421" t="s">
        <v>589</v>
      </c>
      <c r="AL55" s="1489"/>
      <c r="AM55" s="1489"/>
      <c r="AN55" s="1489"/>
      <c r="AO55" s="1489"/>
      <c r="AP55" s="1489"/>
      <c r="AQ55" s="1489"/>
      <c r="AR55" s="1489"/>
      <c r="AS55" s="1489"/>
      <c r="AT55" s="1489"/>
      <c r="AU55" s="1592"/>
      <c r="AV55" s="1489"/>
      <c r="AW55" s="1592"/>
      <c r="AX55" s="1489"/>
      <c r="AY55" s="1489"/>
      <c r="AZ55" s="1489"/>
      <c r="BA55" s="1489"/>
      <c r="BB55" s="1493"/>
      <c r="BC55" s="3139"/>
      <c r="BE55" s="607"/>
      <c r="BF55" s="607"/>
      <c r="BG55" s="607"/>
      <c r="BH55" s="607"/>
      <c r="BI55" s="1251">
        <v>11</v>
      </c>
    </row>
    <row customHeight="1" ht="11.549999999999999">
      <c r="A56" s="1459" t="s">
        <v>331</v>
      </c>
      <c r="B56" s="1459" t="s">
        <v>332</v>
      </c>
      <c r="C56" s="1459" t="s">
        <v>333</v>
      </c>
      <c r="D56" s="1459" t="s">
        <v>600</v>
      </c>
      <c r="E56" s="3116"/>
      <c r="F56" s="3116"/>
      <c r="G56" s="3116"/>
      <c r="H56" s="3116"/>
      <c r="I56" s="3118"/>
      <c r="J56" s="3118"/>
      <c r="K56" s="3117"/>
      <c r="L56" s="1460"/>
      <c r="P56" s="3119"/>
      <c r="Q56" s="3119"/>
      <c r="R56" s="464"/>
      <c r="S56" s="3174"/>
      <c r="T56" s="3194"/>
      <c r="U56" s="408"/>
      <c r="V56" s="1489"/>
      <c r="W56" s="1490" t="str">
        <f>Z52&amp;"-"&amp;AB52</f>
        <v>-</v>
      </c>
      <c r="X56" s="1489"/>
      <c r="Y56" s="1490" t="str">
        <f>AB52&amp;"-"&amp;AD52</f>
        <v>-да</v>
      </c>
      <c r="Z56" s="1489"/>
      <c r="AA56" s="1489"/>
      <c r="AB56" s="1489"/>
      <c r="AC56" s="1489"/>
      <c r="AD56" s="2994"/>
      <c r="AE56" s="420"/>
      <c r="AF56" s="422"/>
      <c r="AG56" s="523" t="s">
        <v>590</v>
      </c>
      <c r="AH56" s="1489"/>
      <c r="AI56" s="1489"/>
      <c r="AJ56" s="1489"/>
      <c r="AK56" s="1489"/>
      <c r="AL56" s="1489"/>
      <c r="AM56" s="1489"/>
      <c r="AN56" s="1489"/>
      <c r="AO56" s="1489"/>
      <c r="AP56" s="1489"/>
      <c r="AQ56" s="1489"/>
      <c r="AR56" s="1489"/>
      <c r="AS56" s="1489"/>
      <c r="AT56" s="1489"/>
      <c r="AU56" s="1490" t="str">
        <f>AX52&amp;"-"&amp;AZ52</f>
        <v>-</v>
      </c>
      <c r="AV56" s="1489"/>
      <c r="AW56" s="1490" t="str">
        <f>AZ52&amp;"-"&amp;BB52</f>
        <v>-</v>
      </c>
      <c r="AX56" s="1489"/>
      <c r="AY56" s="1489"/>
      <c r="AZ56" s="1489"/>
      <c r="BA56" s="1489"/>
      <c r="BB56" s="1492" t="str">
        <f>BE52&amp;"-"&amp;BG52</f>
        <v>-</v>
      </c>
      <c r="BC56" s="3139"/>
      <c r="BE56" s="607"/>
      <c r="BF56" s="607" t="str">
        <f>IF(T56="","",T56)</f>
        <v/>
      </c>
      <c r="BG56" s="607"/>
      <c r="BH56" s="607"/>
      <c r="BI56" s="1251">
        <v>11</v>
      </c>
    </row>
    <row customHeight="1" ht="11.549999999999999">
      <c r="A57" s="1459" t="s">
        <v>331</v>
      </c>
      <c r="B57" s="1459" t="s">
        <v>332</v>
      </c>
      <c r="C57" s="1459" t="s">
        <v>333</v>
      </c>
      <c r="D57" s="1459" t="s">
        <v>600</v>
      </c>
      <c r="E57" s="3116"/>
      <c r="F57" s="3116"/>
      <c r="G57" s="3116"/>
      <c r="H57" s="3116"/>
      <c r="I57" s="3118"/>
      <c r="J57" s="3117"/>
      <c r="K57" s="1459"/>
      <c r="L57" s="1460"/>
      <c r="P57" s="3119"/>
      <c r="Q57" s="3119"/>
      <c r="R57" s="463"/>
      <c r="S57" s="1374"/>
      <c r="T57" s="395" t="s">
        <v>553</v>
      </c>
      <c r="U57" s="474"/>
      <c r="V57" s="474"/>
      <c r="W57" s="474"/>
      <c r="X57" s="474"/>
      <c r="Y57" s="474"/>
      <c r="Z57" s="474"/>
      <c r="AA57" s="474"/>
      <c r="AB57" s="474"/>
      <c r="AC57" s="432"/>
      <c r="AD57" s="1601"/>
      <c r="AE57" s="474"/>
      <c r="AF57" s="474"/>
      <c r="AG57" s="474"/>
      <c r="AH57" s="474"/>
      <c r="AI57" s="474"/>
      <c r="AJ57" s="474"/>
      <c r="AK57" s="474"/>
      <c r="AL57" s="474"/>
      <c r="AM57" s="474"/>
      <c r="AN57" s="474"/>
      <c r="AO57" s="474"/>
      <c r="AP57" s="474"/>
      <c r="AQ57" s="474"/>
      <c r="AR57" s="474"/>
      <c r="AS57" s="474"/>
      <c r="AT57" s="474"/>
      <c r="AU57" s="474"/>
      <c r="AV57" s="474"/>
      <c r="AW57" s="474"/>
      <c r="AX57" s="474"/>
      <c r="AY57" s="474"/>
      <c r="AZ57" s="474"/>
      <c r="BA57" s="474"/>
      <c r="BB57" s="432"/>
      <c r="BC57" s="3140"/>
      <c r="BE57" s="607"/>
      <c r="BF57" s="607" t="str">
        <f>IF(T57="","",T57)</f>
        <v>Добавить строку</v>
      </c>
      <c r="BG57" s="607"/>
      <c r="BH57" s="607"/>
      <c r="BI57" s="1251">
        <v>11</v>
      </c>
    </row>
    <row s="10307" customFormat="1" customHeight="1" ht="14.25" hidden="1">
      <c r="A58" s="1439" t="s">
        <v>331</v>
      </c>
      <c r="B58" s="1439" t="s">
        <v>332</v>
      </c>
      <c r="C58" s="1439" t="s">
        <v>333</v>
      </c>
      <c r="D58" s="1439" t="s">
        <v>600</v>
      </c>
      <c r="E58" s="3116"/>
      <c r="F58" s="3116"/>
      <c r="G58" s="3116"/>
      <c r="H58" s="3116"/>
      <c r="I58" s="3117"/>
      <c r="J58" s="1439"/>
      <c r="K58" s="1439"/>
      <c r="L58" s="1442"/>
      <c r="M58" s="617"/>
      <c r="N58" s="617"/>
      <c r="O58" s="617"/>
      <c r="P58" s="3119"/>
      <c r="Q58" s="1558"/>
      <c r="R58" s="463"/>
      <c r="S58" s="1482"/>
      <c r="T58" s="1483"/>
      <c r="U58" s="1484"/>
      <c r="V58" s="1484"/>
      <c r="W58" s="1484"/>
      <c r="X58" s="1484"/>
      <c r="Y58" s="1484"/>
      <c r="Z58" s="1484"/>
      <c r="AA58" s="1484"/>
      <c r="AB58" s="1484"/>
      <c r="AC58" s="1484"/>
      <c r="AD58" s="1484"/>
      <c r="AE58" s="1484"/>
      <c r="AF58" s="1484"/>
      <c r="AG58" s="1484"/>
      <c r="AH58" s="1484"/>
      <c r="AI58" s="1484"/>
      <c r="AJ58" s="1484"/>
      <c r="AK58" s="1484"/>
      <c r="AL58" s="1484"/>
      <c r="AM58" s="1484"/>
      <c r="AN58" s="1484"/>
      <c r="AO58" s="1484"/>
      <c r="AP58" s="1484"/>
      <c r="AQ58" s="1484"/>
      <c r="AR58" s="1484"/>
      <c r="AS58" s="1484"/>
      <c r="AT58" s="1484"/>
      <c r="AU58" s="1484"/>
      <c r="AV58" s="1484"/>
      <c r="AW58" s="1484"/>
      <c r="AX58" s="1484"/>
      <c r="AY58" s="1484"/>
      <c r="AZ58" s="1484"/>
      <c r="BA58" s="1484"/>
      <c r="BB58" s="1484"/>
      <c r="BC58" s="1485"/>
      <c r="BE58" s="607"/>
      <c r="BF58" s="607" t="str">
        <f>IF(T58="","",T58)</f>
        <v/>
      </c>
      <c r="BG58" s="607"/>
      <c r="BH58" s="607"/>
      <c r="BI58" s="618">
        <v>0</v>
      </c>
    </row>
    <row s="10307" customFormat="1" customHeight="1" ht="14.25" hidden="1">
      <c r="A59" s="1439" t="s">
        <v>331</v>
      </c>
      <c r="B59" s="1439" t="s">
        <v>332</v>
      </c>
      <c r="C59" s="1439" t="s">
        <v>333</v>
      </c>
      <c r="D59" s="1439" t="s">
        <v>600</v>
      </c>
      <c r="E59" s="3116"/>
      <c r="F59" s="3116"/>
      <c r="G59" s="3116"/>
      <c r="H59" s="3115"/>
      <c r="I59" s="1439"/>
      <c r="J59" s="1439"/>
      <c r="K59" s="1439"/>
      <c r="L59" s="1442"/>
      <c r="M59" s="1411"/>
      <c r="N59" s="1411"/>
      <c r="O59" s="625"/>
      <c r="P59" s="487"/>
      <c r="Q59" s="1440"/>
      <c r="R59" s="1497"/>
      <c r="S59" s="1482"/>
      <c r="T59" s="1483"/>
      <c r="U59" s="1484"/>
      <c r="V59" s="1484"/>
      <c r="W59" s="1484"/>
      <c r="X59" s="1484"/>
      <c r="Y59" s="1484"/>
      <c r="Z59" s="1484"/>
      <c r="AA59" s="1484"/>
      <c r="AB59" s="1484"/>
      <c r="AC59" s="1484"/>
      <c r="AD59" s="1484"/>
      <c r="AE59" s="1484"/>
      <c r="AF59" s="1484"/>
      <c r="AG59" s="1484"/>
      <c r="AH59" s="1484"/>
      <c r="AI59" s="1484"/>
      <c r="AJ59" s="1484"/>
      <c r="AK59" s="1484"/>
      <c r="AL59" s="1484"/>
      <c r="AM59" s="1484"/>
      <c r="AN59" s="1484"/>
      <c r="AO59" s="1484"/>
      <c r="AP59" s="1484"/>
      <c r="AQ59" s="1484"/>
      <c r="AR59" s="1484"/>
      <c r="AS59" s="1484"/>
      <c r="AT59" s="1484"/>
      <c r="AU59" s="1484"/>
      <c r="AV59" s="1484"/>
      <c r="AW59" s="1484"/>
      <c r="AX59" s="1484"/>
      <c r="AY59" s="1484"/>
      <c r="AZ59" s="1484"/>
      <c r="BA59" s="1484"/>
      <c r="BB59" s="1484"/>
      <c r="BC59" s="1485"/>
      <c r="BE59" s="607"/>
      <c r="BF59" s="607" t="str">
        <f>IF(T59="","",T59)</f>
        <v/>
      </c>
      <c r="BG59" s="607"/>
      <c r="BH59" s="607"/>
      <c r="BI59" s="618">
        <v>0</v>
      </c>
    </row>
    <row s="10307" customFormat="1" customHeight="1" ht="14.25" hidden="1">
      <c r="A60" s="1439" t="s">
        <v>331</v>
      </c>
      <c r="B60" s="1439" t="s">
        <v>332</v>
      </c>
      <c r="C60" s="1439" t="s">
        <v>333</v>
      </c>
      <c r="D60" s="1410"/>
      <c r="E60" s="3116"/>
      <c r="F60" s="3116"/>
      <c r="G60" s="3115"/>
      <c r="H60" s="1410"/>
      <c r="I60" s="1410"/>
      <c r="J60" s="1410"/>
      <c r="K60" s="1410"/>
      <c r="L60" s="1560"/>
      <c r="M60" s="1411"/>
      <c r="N60" s="1411"/>
      <c r="P60" s="1412"/>
      <c r="Q60" s="1413"/>
      <c r="R60" s="1412"/>
      <c r="S60" s="1418"/>
      <c r="T60" s="1421"/>
      <c r="U60" s="1420"/>
      <c r="V60" s="1420"/>
      <c r="W60" s="1420"/>
      <c r="X60" s="1420"/>
      <c r="Y60" s="1420"/>
      <c r="Z60" s="1420"/>
      <c r="AA60" s="1420"/>
      <c r="AB60" s="1420"/>
      <c r="AC60" s="1420"/>
      <c r="AD60" s="1420"/>
      <c r="AE60" s="1420"/>
      <c r="AF60" s="1420"/>
      <c r="AG60" s="1420"/>
      <c r="AH60" s="1420"/>
      <c r="AI60" s="1420"/>
      <c r="AJ60" s="1420"/>
      <c r="AK60" s="1420"/>
      <c r="AL60" s="1420"/>
      <c r="AM60" s="1420"/>
      <c r="AN60" s="1420"/>
      <c r="AO60" s="1420"/>
      <c r="AP60" s="1420"/>
      <c r="AQ60" s="1420"/>
      <c r="AR60" s="1420"/>
      <c r="AS60" s="1420"/>
      <c r="AT60" s="1420"/>
      <c r="AU60" s="1420"/>
      <c r="AV60" s="1420"/>
      <c r="AW60" s="1420"/>
      <c r="AX60" s="1420"/>
      <c r="AY60" s="1420"/>
      <c r="AZ60" s="1420"/>
      <c r="BA60" s="1420"/>
      <c r="BB60" s="1420"/>
      <c r="BC60" s="1420"/>
      <c r="BE60" s="890"/>
      <c r="BF60" s="890" t="str">
        <f>IF(T60="","",T60)</f>
        <v/>
      </c>
      <c r="BG60" s="890"/>
      <c r="BH60" s="890"/>
      <c r="BI60" s="625">
        <v>0</v>
      </c>
    </row>
    <row s="10307" customFormat="1" customHeight="1" ht="14.25" hidden="1">
      <c r="A61" s="1439" t="s">
        <v>331</v>
      </c>
      <c r="B61" s="1439" t="s">
        <v>332</v>
      </c>
      <c r="C61" s="1410"/>
      <c r="D61" s="1410"/>
      <c r="E61" s="3116"/>
      <c r="F61" s="3115"/>
      <c r="G61" s="1410"/>
      <c r="H61" s="1410"/>
      <c r="I61" s="1410"/>
      <c r="J61" s="1410"/>
      <c r="K61" s="1410"/>
      <c r="L61" s="1560"/>
      <c r="M61" s="1417"/>
      <c r="N61" s="1417"/>
      <c r="P61" s="1412"/>
      <c r="Q61" s="1413"/>
      <c r="R61" s="1412"/>
      <c r="S61" s="1418"/>
      <c r="T61" s="1421" t="s">
        <v>500</v>
      </c>
      <c r="U61" s="1420"/>
      <c r="V61" s="1420"/>
      <c r="W61" s="1420"/>
      <c r="X61" s="1420"/>
      <c r="Y61" s="1420"/>
      <c r="Z61" s="1420"/>
      <c r="AA61" s="1420"/>
      <c r="AB61" s="1420"/>
      <c r="AC61" s="1420"/>
      <c r="AD61" s="1420"/>
      <c r="AE61" s="1420"/>
      <c r="AF61" s="1420"/>
      <c r="AG61" s="1420"/>
      <c r="AH61" s="1420"/>
      <c r="AI61" s="1420"/>
      <c r="AJ61" s="1420"/>
      <c r="AK61" s="1420"/>
      <c r="AL61" s="1420"/>
      <c r="AM61" s="1420"/>
      <c r="AN61" s="1420"/>
      <c r="AO61" s="1420"/>
      <c r="AP61" s="1420"/>
      <c r="AQ61" s="1420"/>
      <c r="AR61" s="1420"/>
      <c r="AS61" s="1420"/>
      <c r="AT61" s="1420"/>
      <c r="AU61" s="1420"/>
      <c r="AV61" s="1420"/>
      <c r="AW61" s="1420"/>
      <c r="AX61" s="1420"/>
      <c r="AY61" s="1420"/>
      <c r="AZ61" s="1420"/>
      <c r="BA61" s="1420"/>
      <c r="BB61" s="1420"/>
      <c r="BC61" s="1420"/>
      <c r="BE61" s="890"/>
      <c r="BF61" s="890" t="str">
        <f>IF(T61="","",T61)</f>
        <v>Добавить централизованную систему для дифференциации</v>
      </c>
      <c r="BG61" s="890"/>
      <c r="BH61" s="890"/>
      <c r="BI61" s="625">
        <v>0</v>
      </c>
    </row>
    <row s="10307" customFormat="1" customHeight="1" ht="14.25" hidden="1">
      <c r="A62" s="1439" t="s">
        <v>331</v>
      </c>
      <c r="B62" s="1439"/>
      <c r="C62" s="1439"/>
      <c r="D62" s="1439"/>
      <c r="E62" s="3115"/>
      <c r="F62" s="1439"/>
      <c r="G62" s="1439"/>
      <c r="H62" s="1439"/>
      <c r="I62" s="1439"/>
      <c r="J62" s="1439"/>
      <c r="K62" s="1439"/>
      <c r="L62" s="1442"/>
      <c r="M62" s="1417"/>
      <c r="N62" s="1417"/>
      <c r="O62" s="625"/>
      <c r="P62" s="487"/>
      <c r="Q62" s="1440"/>
      <c r="R62" s="487"/>
      <c r="S62" s="1418"/>
      <c r="T62" s="1421" t="s">
        <v>501</v>
      </c>
      <c r="U62" s="1420"/>
      <c r="V62" s="1420"/>
      <c r="W62" s="1420"/>
      <c r="X62" s="1420"/>
      <c r="Y62" s="1420"/>
      <c r="Z62" s="1420"/>
      <c r="AA62" s="1420"/>
      <c r="AB62" s="1420"/>
      <c r="AC62" s="1420"/>
      <c r="AD62" s="1420"/>
      <c r="AE62" s="1420"/>
      <c r="AF62" s="1420"/>
      <c r="AG62" s="1420"/>
      <c r="AH62" s="1420"/>
      <c r="AI62" s="1420"/>
      <c r="AJ62" s="1420"/>
      <c r="AK62" s="1420"/>
      <c r="AL62" s="1420"/>
      <c r="AM62" s="1420"/>
      <c r="AN62" s="1420"/>
      <c r="AO62" s="1420"/>
      <c r="AP62" s="1420"/>
      <c r="AQ62" s="1420"/>
      <c r="AR62" s="1420"/>
      <c r="AS62" s="1420"/>
      <c r="AT62" s="1420"/>
      <c r="AU62" s="1420"/>
      <c r="AV62" s="1420"/>
      <c r="AW62" s="1420"/>
      <c r="AX62" s="1420"/>
      <c r="AY62" s="1420"/>
      <c r="AZ62" s="1420"/>
      <c r="BA62" s="1420"/>
      <c r="BB62" s="1420"/>
      <c r="BC62" s="1420"/>
      <c r="BE62" s="607"/>
      <c r="BF62" s="607" t="str">
        <f>IF(T62="","",T62)</f>
        <v>Добавить территорию для дифференциации</v>
      </c>
      <c r="BG62" s="607"/>
      <c r="BH62" s="607"/>
      <c r="BI62" s="618">
        <v>0</v>
      </c>
    </row>
    <row s="10307" customFormat="1" customHeight="1" ht="14.25" hidden="1">
      <c r="A63" s="1410"/>
      <c r="B63" s="1410"/>
      <c r="C63" s="1410"/>
      <c r="D63" s="1410"/>
      <c r="E63" s="1439"/>
      <c r="F63" s="1410"/>
      <c r="G63" s="1410"/>
      <c r="H63" s="1410"/>
      <c r="I63" s="1410"/>
      <c r="J63" s="1410"/>
      <c r="K63" s="1410"/>
      <c r="L63" s="1560"/>
      <c r="M63" s="1417"/>
      <c r="N63" s="1417"/>
      <c r="P63" s="1412"/>
      <c r="Q63" s="1413"/>
      <c r="R63" s="1412"/>
      <c r="S63" s="1418"/>
      <c r="T63" s="1421" t="s">
        <v>533</v>
      </c>
      <c r="U63" s="1420"/>
      <c r="V63" s="1420"/>
      <c r="W63" s="1420"/>
      <c r="X63" s="1420"/>
      <c r="Y63" s="1420"/>
      <c r="Z63" s="1420"/>
      <c r="AA63" s="1420"/>
      <c r="AB63" s="1420"/>
      <c r="AC63" s="1420"/>
      <c r="AD63" s="1420"/>
      <c r="AE63" s="1420"/>
      <c r="AF63" s="1420"/>
      <c r="AG63" s="1420"/>
      <c r="AH63" s="1420"/>
      <c r="AI63" s="1420"/>
      <c r="AJ63" s="1420"/>
      <c r="AK63" s="1420"/>
      <c r="AL63" s="1420"/>
      <c r="AM63" s="1420"/>
      <c r="AN63" s="1420"/>
      <c r="AO63" s="1420"/>
      <c r="AP63" s="1420"/>
      <c r="AQ63" s="1420"/>
      <c r="AR63" s="1420"/>
      <c r="AS63" s="1420"/>
      <c r="AT63" s="1420"/>
      <c r="AU63" s="1420"/>
      <c r="AV63" s="1420"/>
      <c r="AW63" s="1420"/>
      <c r="AX63" s="1420"/>
      <c r="AY63" s="1420"/>
      <c r="AZ63" s="1420"/>
      <c r="BA63" s="1420"/>
      <c r="BB63" s="1420"/>
      <c r="BC63" s="1420"/>
      <c r="BE63" s="890"/>
      <c r="BF63" s="890" t="str">
        <f>IF(T63="","",T63)</f>
        <v>Добавить наименование тарифа</v>
      </c>
      <c r="BG63" s="890"/>
      <c r="BH63" s="890"/>
      <c r="BI63" s="625">
        <v>0</v>
      </c>
    </row>
    <row customHeight="1" ht="11.549999999999999">
      <c r="M64" s="1256"/>
      <c r="N64" s="1256"/>
      <c r="O64" s="644"/>
      <c r="P64" s="1256"/>
      <c r="Q64" s="1256"/>
      <c r="R64" s="1251"/>
      <c r="S64" s="1251"/>
      <c r="BD64" s="1251"/>
      <c r="BE64" s="1251"/>
      <c r="BF64" s="1251"/>
      <c r="BG64" s="1251"/>
      <c r="BH64" s="1251"/>
      <c r="BI64" s="1251">
        <v>11</v>
      </c>
    </row>
    <row customHeight="1" ht="19.95">
      <c r="O65" s="644"/>
      <c r="S65" s="1349"/>
      <c r="T65" s="3114"/>
      <c r="U65" s="3114"/>
      <c r="V65" s="3114"/>
      <c r="W65" s="3114"/>
      <c r="X65" s="3114"/>
      <c r="Y65" s="3114"/>
      <c r="Z65" s="3114"/>
      <c r="AA65" s="3114"/>
      <c r="AB65" s="3114"/>
      <c r="AC65" s="3114"/>
      <c r="AD65" s="3114"/>
      <c r="AE65" s="3114"/>
      <c r="AF65" s="3114"/>
      <c r="AG65" s="3114"/>
      <c r="AH65" s="3114"/>
      <c r="AI65" s="3114"/>
      <c r="AJ65" s="3114"/>
      <c r="AK65" s="3114"/>
      <c r="AL65" s="3114"/>
      <c r="AM65" s="3114"/>
      <c r="AN65" s="3114"/>
      <c r="AO65" s="3114"/>
      <c r="AP65" s="3114"/>
      <c r="AQ65" s="3114"/>
      <c r="AR65" s="3114"/>
      <c r="AS65" s="3114"/>
      <c r="AT65" s="3114"/>
      <c r="AU65" s="3114"/>
      <c r="AV65" s="3114"/>
      <c r="AW65" s="3114"/>
      <c r="AX65" s="3114"/>
      <c r="AY65" s="3114"/>
      <c r="AZ65" s="3114"/>
      <c r="BA65" s="3114"/>
      <c r="BB65" s="3114"/>
      <c r="BC65" s="3114"/>
      <c r="BI65" s="1251">
        <v>19</v>
      </c>
    </row>
    <row customHeight="1" ht="14.699999999999998">
      <c r="O66" s="644"/>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51">
        <v>14</v>
      </c>
    </row>
    <row customHeight="1" ht="19.95">
      <c r="O67" s="644"/>
      <c r="S67" s="1349"/>
      <c r="T67" s="3114"/>
      <c r="U67" s="3114"/>
      <c r="V67" s="3114"/>
      <c r="W67" s="3114"/>
      <c r="X67" s="3114"/>
      <c r="Y67" s="3114"/>
      <c r="Z67" s="3114"/>
      <c r="AA67" s="3114"/>
      <c r="AB67" s="3114"/>
      <c r="AC67" s="3114"/>
      <c r="AD67" s="3114"/>
      <c r="AE67" s="3114"/>
      <c r="AF67" s="3114"/>
      <c r="AG67" s="3114"/>
      <c r="AH67" s="3114"/>
      <c r="AI67" s="3114"/>
      <c r="AJ67" s="3114"/>
      <c r="AK67" s="3114"/>
      <c r="AL67" s="3114"/>
      <c r="AM67" s="3114"/>
      <c r="AN67" s="3114"/>
      <c r="AO67" s="3114"/>
      <c r="AP67" s="3114"/>
      <c r="AQ67" s="3114"/>
      <c r="AR67" s="3114"/>
      <c r="AS67" s="3114"/>
      <c r="AT67" s="3114"/>
      <c r="AU67" s="3114"/>
      <c r="AV67" s="3114"/>
      <c r="AW67" s="3114"/>
      <c r="AX67" s="3114"/>
      <c r="AY67" s="3114"/>
      <c r="AZ67" s="3114"/>
      <c r="BA67" s="3114"/>
      <c r="BB67" s="3114"/>
      <c r="BC67" s="3114"/>
      <c r="BI67" s="1251">
        <v>19</v>
      </c>
    </row>
    <row customHeight="1" ht="14.699999999999998">
      <c r="O68" s="644"/>
      <c r="BI68" s="1251">
        <v>14</v>
      </c>
    </row>
    <row customHeight="1" ht="14.25" hidden="1">
      <c r="A69" s="1256" t="s">
        <v>82</v>
      </c>
      <c r="B69" s="1256">
        <v>0</v>
      </c>
      <c r="C69" s="1256">
        <v>0</v>
      </c>
      <c r="D69" s="1256">
        <v>0</v>
      </c>
      <c r="E69" s="1256">
        <v>0</v>
      </c>
      <c r="F69" s="1256">
        <v>0</v>
      </c>
      <c r="G69" s="1256">
        <v>0</v>
      </c>
      <c r="H69" s="1256">
        <v>0</v>
      </c>
      <c r="I69" s="1256">
        <v>0</v>
      </c>
      <c r="J69" s="1256">
        <v>0</v>
      </c>
      <c r="K69" s="1256">
        <v>0</v>
      </c>
      <c r="L69" s="1557">
        <v>0</v>
      </c>
      <c r="M69" s="1458">
        <v>0</v>
      </c>
      <c r="N69" s="1458">
        <v>0</v>
      </c>
      <c r="O69" s="1458">
        <v>0</v>
      </c>
      <c r="P69" s="1458">
        <v>0</v>
      </c>
      <c r="Q69" s="1467">
        <v>0</v>
      </c>
      <c r="R69" s="452">
        <v>3</v>
      </c>
      <c r="S69" s="688">
        <v>12</v>
      </c>
      <c r="T69" s="1251">
        <v>31</v>
      </c>
      <c r="U69" s="1251">
        <v>0</v>
      </c>
      <c r="V69" s="1251">
        <v>0</v>
      </c>
      <c r="W69" s="1251">
        <v>0</v>
      </c>
      <c r="X69" s="1251">
        <v>0</v>
      </c>
      <c r="Y69" s="1251">
        <v>0</v>
      </c>
      <c r="Z69" s="1251">
        <v>0</v>
      </c>
      <c r="AA69" s="1251">
        <v>0</v>
      </c>
      <c r="AB69" s="1251">
        <v>0</v>
      </c>
      <c r="AC69" s="1251">
        <v>0</v>
      </c>
      <c r="AD69" s="1251">
        <v>3</v>
      </c>
      <c r="AE69" s="1251">
        <v>3</v>
      </c>
      <c r="AF69" s="1251">
        <v>3</v>
      </c>
      <c r="AG69" s="1251">
        <v>24</v>
      </c>
      <c r="AH69" s="1251">
        <v>3</v>
      </c>
      <c r="AI69" s="1251">
        <v>3</v>
      </c>
      <c r="AJ69" s="1251">
        <v>3</v>
      </c>
      <c r="AK69" s="1251">
        <v>24</v>
      </c>
      <c r="AL69" s="1251">
        <v>3</v>
      </c>
      <c r="AM69" s="1251">
        <v>3</v>
      </c>
      <c r="AN69" s="1251">
        <v>3</v>
      </c>
      <c r="AO69" s="1251">
        <v>18</v>
      </c>
      <c r="AP69" s="1251">
        <v>3</v>
      </c>
      <c r="AQ69" s="1251">
        <v>3</v>
      </c>
      <c r="AR69" s="1251">
        <v>3</v>
      </c>
      <c r="AS69" s="1251">
        <v>18</v>
      </c>
      <c r="AT69" s="1251">
        <v>21</v>
      </c>
      <c r="AU69" s="1251">
        <v>21</v>
      </c>
      <c r="AV69" s="1251">
        <v>21</v>
      </c>
      <c r="AW69" s="1251">
        <v>21</v>
      </c>
      <c r="AX69" s="1251">
        <v>11</v>
      </c>
      <c r="AY69" s="1251">
        <v>3</v>
      </c>
      <c r="AZ69" s="1251">
        <v>11</v>
      </c>
      <c r="BA69" s="1251">
        <v>0</v>
      </c>
      <c r="BB69" s="1251">
        <v>4</v>
      </c>
      <c r="BC69" s="1251">
        <v>115</v>
      </c>
      <c r="BD69" s="618">
        <v>10</v>
      </c>
      <c r="BE69" s="618">
        <v>10</v>
      </c>
      <c r="BF69" s="618">
        <v>10</v>
      </c>
      <c r="BG69" s="618">
        <v>10</v>
      </c>
      <c r="BH69" s="618">
        <v>10</v>
      </c>
      <c r="BI69" s="1251">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DA39C-CB94-A31D-4277-2C64B5C751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4.140625" hidden="1" customWidth="1"/>
    <col min="10" max="10" style="10306" width="9.8515625" hidden="1" customWidth="1"/>
    <col min="11" max="11" style="10306" width="14.7109375" hidden="1" customWidth="1"/>
    <col min="12" max="12" style="11079" width="19.140625" hidden="1" customWidth="1"/>
    <col min="13" max="14" style="11080" width="12.28125" hidden="1" customWidth="1"/>
    <col min="15" max="15" style="11080" width="23.421875" hidden="1" customWidth="1"/>
    <col min="16" max="16" style="11081" width="3.00390625" customWidth="1"/>
    <col min="17" max="18" style="11082" width="3.00390625" customWidth="1"/>
    <col min="19" max="19" style="11083" width="12.00390625" customWidth="1"/>
    <col min="20" max="20" style="10232" width="35.00390625" customWidth="1"/>
    <col min="21" max="21" style="10232" width="0.140625" customWidth="1"/>
    <col min="22" max="24" style="10232" width="24.7109375" hidden="1" customWidth="1"/>
    <col min="25" max="25" style="10232" width="11.7109375" hidden="1" customWidth="1"/>
    <col min="26" max="26" style="10232" width="3.7109375" hidden="1" customWidth="1"/>
    <col min="27" max="27" style="10232" width="11.7109375" hidden="1" customWidth="1"/>
    <col min="28" max="28" style="10232" width="8.57421875" hidden="1" customWidth="1"/>
    <col min="29" max="29" style="10232" width="24.7109375" customWidth="1"/>
    <col min="30" max="31" style="10232" width="24.00390625" customWidth="1"/>
    <col min="32" max="32" style="10232" width="11.00390625" customWidth="1"/>
    <col min="33" max="33" style="10232" width="3.7109375" customWidth="1"/>
    <col min="34" max="34" style="10232" width="11.00390625" customWidth="1"/>
    <col min="35" max="35" style="10232" width="8.57421875" hidden="1" customWidth="1"/>
    <col min="36" max="36" style="10232" width="4.00390625" customWidth="1"/>
    <col min="37" max="37" style="10232" width="115.00390625" customWidth="1"/>
    <col min="38" max="42" style="10307" width="10.00390625" customWidth="1"/>
    <col min="43" max="43" style="10232" width="10.57421875" hidden="1"/>
  </cols>
  <sheetData>
    <row customHeight="1" ht="22.5" hidden="1">
      <c r="X1" s="435"/>
      <c r="Y1" s="435"/>
      <c r="AE1" s="435"/>
      <c r="AF1" s="435"/>
      <c r="AQ1" s="1251" t="s">
        <v>14</v>
      </c>
    </row>
    <row customHeight="1" ht="23.25" hidden="1">
      <c r="A2" s="1459"/>
      <c r="B2" s="1459"/>
      <c r="C2" s="1459"/>
      <c r="D2" s="1459"/>
      <c r="E2" s="3115">
        <v>1</v>
      </c>
      <c r="F2" s="1459"/>
      <c r="G2" s="1459"/>
      <c r="H2" s="1459"/>
      <c r="I2" s="1459"/>
      <c r="J2" s="1459"/>
      <c r="K2" s="1459"/>
      <c r="L2" s="1460"/>
      <c r="M2" s="1461"/>
      <c r="N2" s="1461"/>
      <c r="O2" s="1461"/>
      <c r="P2" s="468"/>
      <c r="Q2" s="467"/>
      <c r="R2" s="462"/>
      <c r="S2" s="1589">
        <f>INDEX(PT_DIFFERENTIATION_NUM_NTAR,MATCH(A2,PT_DIFFERENTIATION_NTAR_ID,0))</f>
      </c>
      <c r="T2" s="406" t="s">
        <v>210</v>
      </c>
      <c r="U2" s="408"/>
      <c r="V2" s="3109"/>
      <c r="W2" s="3110"/>
      <c r="X2" s="3110"/>
      <c r="Y2" s="3110"/>
      <c r="Z2" s="3110"/>
      <c r="AA2" s="3110"/>
      <c r="AB2" s="3111"/>
      <c r="AC2" s="3109">
        <f>INDEX(PT_DIFFERENTIATION_NTAR,MATCH(A2,PT_DIFFERENTIATION_NTAR_ID,0))</f>
      </c>
      <c r="AD2" s="3110"/>
      <c r="AE2" s="3110"/>
      <c r="AF2" s="3110"/>
      <c r="AG2" s="3110"/>
      <c r="AH2" s="3110"/>
      <c r="AI2" s="3110"/>
      <c r="AJ2" s="3111"/>
      <c r="AK2"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7"/>
      <c r="AN2" s="607" t="str">
        <f>IF(T2="","",T2)</f>
        <v>Наименование тарифа</v>
      </c>
      <c r="AO2" s="607"/>
      <c r="AP2" s="607"/>
      <c r="AQ2" s="1251">
        <v>0</v>
      </c>
    </row>
    <row customHeight="1" ht="23.25" hidden="1">
      <c r="A3" s="1459"/>
      <c r="B3" s="1459"/>
      <c r="C3" s="1459"/>
      <c r="D3" s="1459"/>
      <c r="E3" s="3116"/>
      <c r="F3" s="3115">
        <v>1</v>
      </c>
      <c r="G3" s="1459"/>
      <c r="H3" s="1459"/>
      <c r="I3" s="1459"/>
      <c r="J3" s="1459"/>
      <c r="K3" s="1459"/>
      <c r="L3" s="1460"/>
      <c r="M3" s="1461"/>
      <c r="N3" s="1461"/>
      <c r="O3" s="1461"/>
      <c r="P3" s="1583"/>
      <c r="Q3" s="459"/>
      <c r="R3" s="460"/>
      <c r="S3" s="1589">
        <f>INDEX(PT_DIFFERENTIATION_NUM_TER,MATCH(B3,PT_DIFFERENTIATION_TER_ID,0))</f>
      </c>
      <c r="T3" s="416" t="s">
        <v>482</v>
      </c>
      <c r="U3" s="408"/>
      <c r="V3" s="3109"/>
      <c r="W3" s="3110"/>
      <c r="X3" s="3110"/>
      <c r="Y3" s="3110"/>
      <c r="Z3" s="3110"/>
      <c r="AA3" s="3110"/>
      <c r="AB3" s="3111"/>
      <c r="AC3" s="3109">
        <f>INDEX(PT_DIFFERENTIATION_TER,MATCH(B3,PT_DIFFERENTIATION_TER_ID,0))</f>
      </c>
      <c r="AD3" s="3110"/>
      <c r="AE3" s="3110"/>
      <c r="AF3" s="3110"/>
      <c r="AG3" s="3110"/>
      <c r="AH3" s="3110"/>
      <c r="AI3" s="3110"/>
      <c r="AJ3" s="3111"/>
      <c r="AK3" s="1354" t="s">
        <v>483</v>
      </c>
      <c r="AM3" s="607"/>
      <c r="AN3" s="607" t="str">
        <f>IF(T3="","",T3)</f>
        <v>Территория действия тарифа</v>
      </c>
      <c r="AO3" s="607"/>
      <c r="AP3" s="607"/>
      <c r="AQ3" s="1251">
        <v>0</v>
      </c>
    </row>
    <row customHeight="1" ht="23.25" hidden="1">
      <c r="A4" s="1459"/>
      <c r="B4" s="1459"/>
      <c r="C4" s="1459"/>
      <c r="D4" s="1459"/>
      <c r="E4" s="3116"/>
      <c r="F4" s="3116"/>
      <c r="G4" s="3115">
        <v>1</v>
      </c>
      <c r="H4" s="1459"/>
      <c r="I4" s="1459"/>
      <c r="J4" s="1459"/>
      <c r="K4" s="1459"/>
      <c r="L4" s="1460"/>
      <c r="M4" s="1461"/>
      <c r="N4" s="1461"/>
      <c r="O4" s="1461"/>
      <c r="P4" s="461"/>
      <c r="Q4" s="459"/>
      <c r="R4" s="460"/>
      <c r="S4" s="1589">
        <f>INDEX(PT_DIFFERENTIATION_NUM_CS,MATCH(C4,PT_DIFFERENTIATION_CS_ID,0))</f>
      </c>
      <c r="T4" s="417" t="s">
        <v>601</v>
      </c>
      <c r="U4" s="408"/>
      <c r="V4" s="3109"/>
      <c r="W4" s="3110"/>
      <c r="X4" s="3110"/>
      <c r="Y4" s="3110"/>
      <c r="Z4" s="3110"/>
      <c r="AA4" s="3110"/>
      <c r="AB4" s="3111"/>
      <c r="AC4" s="3109">
        <f>INDEX(PT_DIFFERENTIATION_CS,MATCH(C4,PT_DIFFERENTIATION_CS_ID,0))</f>
      </c>
      <c r="AD4" s="3110"/>
      <c r="AE4" s="3110"/>
      <c r="AF4" s="3110"/>
      <c r="AG4" s="3110"/>
      <c r="AH4" s="3110"/>
      <c r="AI4" s="3110"/>
      <c r="AJ4" s="3111"/>
      <c r="AK4" s="1354" t="s">
        <v>602</v>
      </c>
      <c r="AM4" s="607"/>
      <c r="AN4" s="607" t="str">
        <f>IF(T4="","",T4)</f>
        <v>Наименование централизованной системы водоотведения</v>
      </c>
      <c r="AO4" s="607"/>
      <c r="AP4" s="607"/>
      <c r="AQ4" s="1251">
        <v>0</v>
      </c>
    </row>
    <row customHeight="1" ht="23.25" hidden="1">
      <c r="A5" s="1459"/>
      <c r="B5" s="1459"/>
      <c r="C5" s="1459"/>
      <c r="D5" s="1459"/>
      <c r="E5" s="3116"/>
      <c r="F5" s="3116"/>
      <c r="G5" s="3116"/>
      <c r="H5" s="3116"/>
      <c r="I5" s="3117">
        <f>S4&amp;".1"</f>
      </c>
      <c r="J5" s="1459"/>
      <c r="K5" s="1459"/>
      <c r="L5" s="1460"/>
      <c r="P5" s="3119">
        <v>1</v>
      </c>
      <c r="Q5" s="1577"/>
      <c r="R5" s="463"/>
      <c r="S5" s="1589">
        <f>$I5</f>
      </c>
      <c r="T5" s="393" t="s">
        <v>568</v>
      </c>
      <c r="U5" s="408"/>
      <c r="V5" s="3183"/>
      <c r="W5" s="3184"/>
      <c r="X5" s="3184"/>
      <c r="Y5" s="3184"/>
      <c r="Z5" s="3184"/>
      <c r="AA5" s="3184"/>
      <c r="AB5" s="3185"/>
      <c r="AC5" s="3186"/>
      <c r="AD5" s="3187"/>
      <c r="AE5" s="3187"/>
      <c r="AF5" s="3187"/>
      <c r="AG5" s="3187"/>
      <c r="AH5" s="3187"/>
      <c r="AI5" s="3187"/>
      <c r="AJ5" s="3188"/>
      <c r="AK5" s="1354" t="s">
        <v>569</v>
      </c>
      <c r="AM5" s="607"/>
      <c r="AN5" s="607" t="str">
        <f>IF(T5="","",T5)</f>
        <v>Наименование признака дифференциации</v>
      </c>
      <c r="AO5" s="607"/>
      <c r="AP5" s="607"/>
      <c r="AQ5" s="1251">
        <v>0</v>
      </c>
    </row>
    <row customHeight="1" ht="23.25" hidden="1">
      <c r="A6" s="1459"/>
      <c r="B6" s="1459"/>
      <c r="C6" s="1459"/>
      <c r="D6" s="1459"/>
      <c r="E6" s="3116"/>
      <c r="F6" s="3116"/>
      <c r="G6" s="3116"/>
      <c r="H6" s="3116"/>
      <c r="I6" s="3118"/>
      <c r="J6" s="3117">
        <f>I5&amp;".1"</f>
      </c>
      <c r="K6" s="1459"/>
      <c r="L6" s="1460" t="s">
        <v>491</v>
      </c>
      <c r="P6" s="3119"/>
      <c r="Q6" s="3119">
        <v>1</v>
      </c>
      <c r="R6" s="464"/>
      <c r="S6" s="1589">
        <f>$J6</f>
      </c>
      <c r="T6" s="394" t="s">
        <v>492</v>
      </c>
      <c r="U6" s="408"/>
      <c r="V6" s="3103"/>
      <c r="W6" s="3104"/>
      <c r="X6" s="3104"/>
      <c r="Y6" s="3104"/>
      <c r="Z6" s="3104"/>
      <c r="AA6" s="3104"/>
      <c r="AB6" s="3105"/>
      <c r="AC6" s="3103"/>
      <c r="AD6" s="3104"/>
      <c r="AE6" s="3104"/>
      <c r="AF6" s="3104"/>
      <c r="AG6" s="3104"/>
      <c r="AH6" s="3104"/>
      <c r="AI6" s="3104"/>
      <c r="AJ6" s="3105"/>
      <c r="AK6" s="1403" t="s">
        <v>570</v>
      </c>
      <c r="AM6" s="607"/>
      <c r="AN6" s="607" t="str">
        <f>IF(T6="","",T6)</f>
        <v>Группа потребителей</v>
      </c>
      <c r="AO6" s="607"/>
      <c r="AP6" s="607"/>
      <c r="AQ6" s="1251">
        <v>0</v>
      </c>
    </row>
    <row customHeight="1" ht="23.25" hidden="1">
      <c r="A7" s="1459"/>
      <c r="B7" s="1459"/>
      <c r="C7" s="1459"/>
      <c r="D7" s="1459"/>
      <c r="E7" s="3116"/>
      <c r="F7" s="3116"/>
      <c r="G7" s="3116"/>
      <c r="H7" s="3116"/>
      <c r="I7" s="3118"/>
      <c r="J7" s="3118"/>
      <c r="K7" s="3117">
        <f>J6&amp;".1"</f>
      </c>
      <c r="L7" s="1460"/>
      <c r="P7" s="3119"/>
      <c r="Q7" s="3119"/>
      <c r="R7" s="464">
        <v>1</v>
      </c>
      <c r="S7" s="1589">
        <f>$K7</f>
      </c>
      <c r="T7" s="1533"/>
      <c r="U7" s="408"/>
      <c r="V7" s="858"/>
      <c r="W7" s="858"/>
      <c r="X7" s="1353"/>
      <c r="Y7" s="3120"/>
      <c r="Z7" s="2989" t="s">
        <v>62</v>
      </c>
      <c r="AA7" s="3120"/>
      <c r="AB7" s="2989" t="s">
        <v>62</v>
      </c>
      <c r="AC7" s="858"/>
      <c r="AD7" s="858"/>
      <c r="AE7" s="1353"/>
      <c r="AF7" s="3120"/>
      <c r="AG7" s="2989" t="s">
        <v>62</v>
      </c>
      <c r="AH7" s="3122"/>
      <c r="AI7" s="2989" t="s">
        <v>62</v>
      </c>
      <c r="AJ7" s="1534"/>
      <c r="AK7"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8">
        <f>STRCHECKDATE(V8:AJ8)</f>
      </c>
      <c r="AM7" s="607"/>
      <c r="AN7" s="607" t="str">
        <f>IF(T7="","",T7)</f>
        <v/>
      </c>
      <c r="AO7" s="607"/>
      <c r="AP7" s="607"/>
      <c r="AQ7" s="1251">
        <v>0</v>
      </c>
    </row>
    <row customHeight="1" ht="14.25" hidden="1">
      <c r="A8" s="1459"/>
      <c r="B8" s="1459"/>
      <c r="C8" s="1459"/>
      <c r="D8" s="1459"/>
      <c r="E8" s="3116"/>
      <c r="F8" s="3116"/>
      <c r="G8" s="3116"/>
      <c r="H8" s="3116"/>
      <c r="I8" s="3118"/>
      <c r="J8" s="3118"/>
      <c r="K8" s="3117"/>
      <c r="L8" s="1460"/>
      <c r="P8" s="3119"/>
      <c r="Q8" s="3119"/>
      <c r="R8" s="464"/>
      <c r="S8" s="1586"/>
      <c r="T8" s="408"/>
      <c r="U8" s="408"/>
      <c r="V8" s="433"/>
      <c r="W8" s="433"/>
      <c r="X8" s="436" t="str">
        <f>Y7&amp;"-"&amp;AA7</f>
        <v>-</v>
      </c>
      <c r="Y8" s="3121"/>
      <c r="Z8" s="2989"/>
      <c r="AA8" s="3121"/>
      <c r="AB8" s="2989"/>
      <c r="AC8" s="433"/>
      <c r="AD8" s="433"/>
      <c r="AE8" s="436" t="str">
        <f>AF7&amp;"-"&amp;AH7</f>
        <v>-</v>
      </c>
      <c r="AF8" s="3121"/>
      <c r="AG8" s="2989"/>
      <c r="AH8" s="3123"/>
      <c r="AI8" s="2989"/>
      <c r="AJ8" s="1535"/>
      <c r="AK8" s="3189"/>
      <c r="AM8" s="607"/>
      <c r="AN8" s="607" t="str">
        <f>IF(T8="","",T8)</f>
        <v/>
      </c>
      <c r="AO8" s="607"/>
      <c r="AP8" s="607"/>
      <c r="AQ8" s="1251">
        <v>0</v>
      </c>
    </row>
    <row customHeight="1" ht="21" hidden="1">
      <c r="A9" s="1459"/>
      <c r="B9" s="1459"/>
      <c r="C9" s="1459"/>
      <c r="D9" s="1459"/>
      <c r="E9" s="3116"/>
      <c r="F9" s="3116"/>
      <c r="G9" s="3116"/>
      <c r="H9" s="3116"/>
      <c r="I9" s="3118"/>
      <c r="J9" s="3117"/>
      <c r="K9" s="1459"/>
      <c r="L9" s="1460"/>
      <c r="P9" s="3119"/>
      <c r="Q9" s="3119"/>
      <c r="R9" s="463"/>
      <c r="S9" s="1374"/>
      <c r="T9" s="395" t="s">
        <v>571</v>
      </c>
      <c r="U9" s="474"/>
      <c r="V9" s="474"/>
      <c r="W9" s="474"/>
      <c r="X9" s="474"/>
      <c r="Y9" s="474"/>
      <c r="Z9" s="474"/>
      <c r="AA9" s="474"/>
      <c r="AB9" s="474"/>
      <c r="AC9" s="474"/>
      <c r="AD9" s="474"/>
      <c r="AE9" s="474"/>
      <c r="AF9" s="474"/>
      <c r="AG9" s="474"/>
      <c r="AH9" s="474"/>
      <c r="AI9" s="474"/>
      <c r="AJ9" s="474"/>
      <c r="AK9" s="1354" t="s">
        <v>572</v>
      </c>
      <c r="AM9" s="607"/>
      <c r="AN9" s="607" t="str">
        <f>IF(T9="","",T9)</f>
        <v>Добавить значение признака дифференциации</v>
      </c>
      <c r="AO9" s="607"/>
      <c r="AP9" s="607"/>
      <c r="AQ9" s="1251">
        <v>0</v>
      </c>
    </row>
    <row customHeight="1" ht="21" hidden="1">
      <c r="A10" s="1459"/>
      <c r="B10" s="1459"/>
      <c r="C10" s="1459"/>
      <c r="D10" s="1459"/>
      <c r="E10" s="3116"/>
      <c r="F10" s="3116"/>
      <c r="G10" s="3116"/>
      <c r="H10" s="3116"/>
      <c r="I10" s="3117"/>
      <c r="J10" s="1459"/>
      <c r="K10" s="1459"/>
      <c r="L10" s="1460"/>
      <c r="P10" s="3119"/>
      <c r="Q10" s="1577"/>
      <c r="R10" s="463"/>
      <c r="S10" s="1374"/>
      <c r="T10" s="472" t="s">
        <v>497</v>
      </c>
      <c r="U10" s="474"/>
      <c r="V10" s="474"/>
      <c r="W10" s="474"/>
      <c r="X10" s="474"/>
      <c r="Y10" s="474"/>
      <c r="Z10" s="474"/>
      <c r="AA10" s="474"/>
      <c r="AB10" s="473"/>
      <c r="AC10" s="474"/>
      <c r="AD10" s="474"/>
      <c r="AE10" s="474"/>
      <c r="AF10" s="474"/>
      <c r="AG10" s="474"/>
      <c r="AH10" s="474"/>
      <c r="AI10" s="473"/>
      <c r="AJ10" s="474"/>
      <c r="AK10" s="1536"/>
      <c r="AM10" s="607"/>
      <c r="AN10" s="607" t="str">
        <f>IF(T10="","",T10)</f>
        <v>Добавить группу потребителей</v>
      </c>
      <c r="AO10" s="607"/>
      <c r="AP10" s="607"/>
      <c r="AQ10" s="1251">
        <v>0</v>
      </c>
    </row>
    <row customHeight="1" ht="21" hidden="1">
      <c r="A11" s="1459"/>
      <c r="B11" s="1459"/>
      <c r="C11" s="1459"/>
      <c r="D11" s="1459"/>
      <c r="E11" s="3116"/>
      <c r="F11" s="3116"/>
      <c r="G11" s="3116"/>
      <c r="H11" s="3115"/>
      <c r="I11" s="1459"/>
      <c r="J11" s="1459"/>
      <c r="K11" s="1459"/>
      <c r="L11" s="1460"/>
      <c r="M11" s="1461"/>
      <c r="N11" s="1461"/>
      <c r="O11" s="644"/>
      <c r="P11" s="467"/>
      <c r="Q11" s="482"/>
      <c r="R11" s="462"/>
      <c r="S11" s="1374"/>
      <c r="T11" s="479" t="s">
        <v>573</v>
      </c>
      <c r="U11" s="474"/>
      <c r="V11" s="474"/>
      <c r="W11" s="474"/>
      <c r="X11" s="474"/>
      <c r="Y11" s="474"/>
      <c r="Z11" s="474"/>
      <c r="AA11" s="474"/>
      <c r="AB11" s="473"/>
      <c r="AC11" s="474"/>
      <c r="AD11" s="474"/>
      <c r="AE11" s="474"/>
      <c r="AF11" s="474"/>
      <c r="AG11" s="474"/>
      <c r="AH11" s="474"/>
      <c r="AI11" s="473"/>
      <c r="AJ11" s="474"/>
      <c r="AK11" s="411"/>
      <c r="AM11" s="607"/>
      <c r="AN11" s="607" t="str">
        <f>IF(T11="","",T11)</f>
        <v>Добавить наименование признака дифференциации</v>
      </c>
      <c r="AO11" s="607"/>
      <c r="AP11" s="607"/>
      <c r="AQ11" s="1251">
        <v>0</v>
      </c>
    </row>
    <row s="10307" customFormat="1" customHeight="1" ht="14.25" hidden="1">
      <c r="A12" s="1439"/>
      <c r="B12" s="1439"/>
      <c r="C12" s="1410"/>
      <c r="D12" s="1410"/>
      <c r="E12" s="3116"/>
      <c r="F12" s="3115"/>
      <c r="G12" s="1410"/>
      <c r="H12" s="1410"/>
      <c r="I12" s="1410"/>
      <c r="J12" s="1410"/>
      <c r="K12" s="1410"/>
      <c r="L12" s="1590"/>
      <c r="M12" s="1417"/>
      <c r="N12" s="1417"/>
      <c r="P12" s="1412"/>
      <c r="Q12" s="1413"/>
      <c r="R12" s="1412"/>
      <c r="S12" s="1418"/>
      <c r="T12" s="1421" t="s">
        <v>500</v>
      </c>
      <c r="U12" s="1420"/>
      <c r="V12" s="1420"/>
      <c r="W12" s="1420"/>
      <c r="X12" s="1420"/>
      <c r="Y12" s="1420"/>
      <c r="Z12" s="1420"/>
      <c r="AA12" s="1420"/>
      <c r="AB12" s="1420"/>
      <c r="AC12" s="1420"/>
      <c r="AD12" s="1420"/>
      <c r="AE12" s="1420"/>
      <c r="AF12" s="1420"/>
      <c r="AG12" s="1420"/>
      <c r="AH12" s="1420"/>
      <c r="AI12" s="1420"/>
      <c r="AJ12" s="1420"/>
      <c r="AK12" s="1420"/>
      <c r="AM12" s="890"/>
      <c r="AN12" s="890" t="str">
        <f>IF(T12="","",T12)</f>
        <v>Добавить централизованную систему для дифференциации</v>
      </c>
      <c r="AO12" s="890"/>
      <c r="AP12" s="890"/>
      <c r="AQ12" s="625">
        <v>0</v>
      </c>
    </row>
    <row s="10307" customFormat="1" customHeight="1" ht="14.25" hidden="1">
      <c r="A13" s="1439"/>
      <c r="B13" s="1439"/>
      <c r="C13" s="1439"/>
      <c r="D13" s="1439"/>
      <c r="E13" s="3115"/>
      <c r="F13" s="1439"/>
      <c r="G13" s="1439"/>
      <c r="H13" s="1439"/>
      <c r="I13" s="1439"/>
      <c r="J13" s="1439"/>
      <c r="K13" s="1439"/>
      <c r="L13" s="1442"/>
      <c r="M13" s="1417"/>
      <c r="N13" s="1417"/>
      <c r="O13" s="625"/>
      <c r="P13" s="487"/>
      <c r="Q13" s="1440"/>
      <c r="R13" s="487"/>
      <c r="S13" s="1418"/>
      <c r="T13" s="1421" t="s">
        <v>501</v>
      </c>
      <c r="U13" s="1420"/>
      <c r="V13" s="1420"/>
      <c r="W13" s="1420"/>
      <c r="X13" s="1420"/>
      <c r="Y13" s="1420"/>
      <c r="Z13" s="1420"/>
      <c r="AA13" s="1420"/>
      <c r="AB13" s="1420"/>
      <c r="AC13" s="1420"/>
      <c r="AD13" s="1420"/>
      <c r="AE13" s="1420"/>
      <c r="AF13" s="1420"/>
      <c r="AG13" s="1420"/>
      <c r="AH13" s="1420"/>
      <c r="AI13" s="1420"/>
      <c r="AJ13" s="1420"/>
      <c r="AK13" s="1420"/>
      <c r="AM13" s="607"/>
      <c r="AN13" s="607" t="str">
        <f>IF(T13="","",T13)</f>
        <v>Добавить территорию для дифференциации</v>
      </c>
      <c r="AO13" s="607"/>
      <c r="AP13" s="607"/>
      <c r="AQ13" s="618">
        <v>0</v>
      </c>
    </row>
    <row customHeight="1" ht="14.25" hidden="1">
      <c r="AB14" s="435"/>
      <c r="AI14" s="435"/>
      <c r="AQ14" s="1251">
        <v>0</v>
      </c>
    </row>
    <row customHeight="1" ht="14.25" hidden="1">
      <c r="AC15" s="1456"/>
      <c r="AD15" s="1456"/>
      <c r="AE15" s="1457"/>
      <c r="AF15" s="3113"/>
      <c r="AG15" s="3112" t="s">
        <v>62</v>
      </c>
      <c r="AH15" s="3113"/>
      <c r="AI15" s="3112" t="s">
        <v>62</v>
      </c>
      <c r="AQ15" s="1251">
        <v>0</v>
      </c>
    </row>
    <row customHeight="1" ht="14.25" hidden="1">
      <c r="AC16" s="1456"/>
      <c r="AD16" s="1456"/>
      <c r="AE16" s="436" t="str">
        <f>AF15&amp;"-"&amp;AH15</f>
        <v>-</v>
      </c>
      <c r="AF16" s="3112"/>
      <c r="AG16" s="3112"/>
      <c r="AH16" s="3112"/>
      <c r="AI16" s="3112"/>
      <c r="AQ16" s="1251">
        <v>0</v>
      </c>
    </row>
    <row customHeight="1" ht="14.25" hidden="1">
      <c r="AI17" s="435"/>
      <c r="AQ17" s="1251">
        <v>0</v>
      </c>
    </row>
    <row s="10306" customFormat="1" customHeight="1" ht="22.5" hidden="1">
      <c r="L18" s="1574"/>
      <c r="M18" s="1458"/>
      <c r="N18" s="1458"/>
      <c r="O18" s="1463" t="s">
        <v>502</v>
      </c>
      <c r="P18" s="1458"/>
      <c r="Q18" s="1467"/>
      <c r="R18" s="1467"/>
      <c r="S18" s="836"/>
      <c r="Y18" s="1463"/>
      <c r="AA18" s="1463"/>
      <c r="AF18" s="1463"/>
      <c r="AH18" s="1463"/>
      <c r="AL18" s="618"/>
      <c r="AM18" s="618"/>
      <c r="AN18" s="618"/>
      <c r="AO18" s="618"/>
      <c r="AP18" s="618"/>
      <c r="AQ18" s="1256">
        <v>0</v>
      </c>
    </row>
    <row s="10306" customFormat="1" customHeight="1" ht="14.25" hidden="1">
      <c r="L19" s="1574"/>
      <c r="M19" s="1458"/>
      <c r="N19" s="1458"/>
      <c r="O19" s="1458"/>
      <c r="P19" s="1458"/>
      <c r="Q19" s="1467"/>
      <c r="R19" s="1467"/>
      <c r="S19" s="836"/>
      <c r="AL19" s="618"/>
      <c r="AM19" s="618"/>
      <c r="AN19" s="618"/>
      <c r="AO19" s="618"/>
      <c r="AP19" s="618"/>
      <c r="AQ19" s="1256">
        <v>0</v>
      </c>
    </row>
    <row s="10306" customFormat="1" customHeight="1" ht="12" hidden="1">
      <c r="L20" s="1574"/>
      <c r="M20" s="1458"/>
      <c r="N20" s="1458"/>
      <c r="O20" s="1460" t="s">
        <v>503</v>
      </c>
      <c r="P20" s="1458"/>
      <c r="Q20" s="1538"/>
      <c r="R20" s="1538"/>
      <c r="S20" s="836"/>
      <c r="T20" s="1256" t="s">
        <v>504</v>
      </c>
      <c r="Z20" s="294" t="s">
        <v>505</v>
      </c>
      <c r="AB20" s="294" t="s">
        <v>506</v>
      </c>
      <c r="AC20" s="1256" t="s">
        <v>504</v>
      </c>
      <c r="AG20" s="294" t="s">
        <v>507</v>
      </c>
      <c r="AI20" s="294" t="s">
        <v>506</v>
      </c>
      <c r="AQ20" s="1256">
        <v>0</v>
      </c>
    </row>
    <row customHeight="1" ht="14.25" hidden="1">
      <c r="O21" s="1460"/>
      <c r="AQ21" s="1251">
        <v>0</v>
      </c>
    </row>
    <row customHeight="1" ht="14.25" hidden="1">
      <c r="O22" s="1460"/>
      <c r="AQ22" s="1251">
        <v>0</v>
      </c>
    </row>
    <row customHeight="1" ht="14.699999999999998">
      <c r="Q23" s="483"/>
      <c r="R23" s="483"/>
      <c r="S23" s="1371"/>
      <c r="T23" s="470"/>
      <c r="U23" s="470"/>
      <c r="V23" s="616"/>
      <c r="W23" s="616"/>
      <c r="X23" s="616"/>
      <c r="Y23" s="616"/>
      <c r="Z23" s="616"/>
      <c r="AA23" s="616"/>
      <c r="AB23" s="616"/>
      <c r="AC23" s="616"/>
      <c r="AD23" s="616"/>
      <c r="AE23" s="616"/>
      <c r="AF23" s="616"/>
      <c r="AG23" s="616"/>
      <c r="AH23" s="616"/>
      <c r="AI23" s="616"/>
      <c r="AQ23" s="1251">
        <v>14</v>
      </c>
    </row>
    <row customHeight="1" ht="14.699999999999998">
      <c r="Q24" s="483"/>
      <c r="R24" s="483"/>
      <c r="S24" s="309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096"/>
      <c r="U24" s="3096"/>
      <c r="V24" s="3096"/>
      <c r="W24" s="3096"/>
      <c r="X24" s="3096"/>
      <c r="Y24" s="3096"/>
      <c r="Z24" s="3096"/>
      <c r="AA24" s="3096"/>
      <c r="AB24" s="3096"/>
      <c r="AC24" s="3096"/>
      <c r="AD24" s="3096"/>
      <c r="AE24" s="3096"/>
      <c r="AF24" s="3096"/>
      <c r="AG24" s="3096"/>
      <c r="AH24" s="3096"/>
      <c r="AI24" s="1339"/>
      <c r="AQ24" s="1251">
        <v>14</v>
      </c>
    </row>
    <row customHeight="1" ht="14.699999999999998">
      <c r="Q25" s="483"/>
      <c r="R25" s="483"/>
      <c r="S25" s="3069" t="str">
        <f>IF(org=0,"Не определено",org)</f>
        <v>АО "ДГК"</v>
      </c>
      <c r="T25" s="3069"/>
      <c r="U25" s="3069"/>
      <c r="V25" s="3069"/>
      <c r="W25" s="3069"/>
      <c r="X25" s="3069"/>
      <c r="Y25" s="3069"/>
      <c r="Z25" s="3069"/>
      <c r="AA25" s="3069"/>
      <c r="AB25" s="3069"/>
      <c r="AC25" s="3069"/>
      <c r="AD25" s="3069"/>
      <c r="AE25" s="3069"/>
      <c r="AF25" s="3069"/>
      <c r="AG25" s="3069"/>
      <c r="AH25" s="3069"/>
      <c r="AI25" s="1339"/>
      <c r="AQ25" s="1251">
        <v>14</v>
      </c>
    </row>
    <row customHeight="1" ht="14.25" hidden="1">
      <c r="Q26" s="483"/>
      <c r="R26" s="483"/>
      <c r="S26" s="1371"/>
      <c r="T26" s="470"/>
      <c r="U26" s="470"/>
      <c r="V26" s="430"/>
      <c r="W26" s="430"/>
      <c r="X26" s="430"/>
      <c r="Y26" s="430"/>
      <c r="Z26" s="430"/>
      <c r="AA26" s="430"/>
      <c r="AB26" s="430"/>
      <c r="AC26" s="430"/>
      <c r="AD26" s="430"/>
      <c r="AE26" s="430"/>
      <c r="AF26" s="430"/>
      <c r="AG26" s="430"/>
      <c r="AH26" s="430"/>
      <c r="AI26" s="430"/>
      <c r="AJ26" s="616"/>
      <c r="AQ26" s="1251">
        <v>0</v>
      </c>
    </row>
    <row s="10446" customFormat="1" customHeight="1" ht="25.5" hidden="1">
      <c r="A27" s="1464"/>
      <c r="B27" s="1464"/>
      <c r="C27" s="1464"/>
      <c r="D27" s="1464"/>
      <c r="E27" s="1464"/>
      <c r="F27" s="1464"/>
      <c r="G27" s="1464"/>
      <c r="H27" s="1464"/>
      <c r="I27" s="1464"/>
      <c r="J27" s="1464"/>
      <c r="K27" s="1464"/>
      <c r="L27" s="1465"/>
      <c r="M27" s="1464"/>
      <c r="N27" s="1464"/>
      <c r="O27" s="1464"/>
      <c r="S27" s="3106" t="s">
        <v>41</v>
      </c>
      <c r="T27" s="3106"/>
      <c r="U27" s="1468"/>
      <c r="V27" s="3108" t="str">
        <f>IF(TITLE_NAME_OR_PR_CHANGE="",IF(TITLE_NAME_OR_PR="","",TITLE_NAME_OR_PR),TITLE_NAME_OR_PR_CHANGE)</f>
        <v/>
      </c>
      <c r="W27" s="3108"/>
      <c r="X27" s="3108"/>
      <c r="Y27" s="3108"/>
      <c r="Z27" s="3108"/>
      <c r="AA27" s="3108"/>
      <c r="AB27" s="434"/>
      <c r="AC27" s="3108" t="str">
        <f>IF(TITLE_NAME_OR_PR_CHANGE="",IF(TITLE_NAME_OR_PR="","",TITLE_NAME_OR_PR),TITLE_NAME_OR_PR_CHANGE)</f>
        <v/>
      </c>
      <c r="AD27" s="3108"/>
      <c r="AE27" s="3108"/>
      <c r="AF27" s="3108"/>
      <c r="AG27" s="3108"/>
      <c r="AH27" s="3108"/>
      <c r="AI27" s="434"/>
      <c r="AJ27" s="434"/>
      <c r="AK27" s="388"/>
      <c r="AL27" s="475"/>
      <c r="AM27" s="475"/>
      <c r="AN27" s="475"/>
      <c r="AO27" s="475"/>
      <c r="AP27" s="475"/>
      <c r="AQ27" s="525">
        <v>0</v>
      </c>
    </row>
    <row s="10446" customFormat="1" customHeight="1" ht="18.75" hidden="1">
      <c r="A28" s="1464"/>
      <c r="B28" s="1464"/>
      <c r="C28" s="1464"/>
      <c r="D28" s="1464"/>
      <c r="E28" s="1464"/>
      <c r="F28" s="1464"/>
      <c r="G28" s="1464"/>
      <c r="H28" s="1464"/>
      <c r="I28" s="1464"/>
      <c r="J28" s="1464"/>
      <c r="K28" s="1464"/>
      <c r="L28" s="1465"/>
      <c r="M28" s="1464"/>
      <c r="N28" s="1464"/>
      <c r="O28" s="1464"/>
      <c r="S28" s="3106" t="s">
        <v>508</v>
      </c>
      <c r="T28" s="3106"/>
      <c r="U28" s="1468"/>
      <c r="V28" s="3107" t="str">
        <f>IF(TITLE_DATE_PR_CHANGE="",IF(TITLE_DATE_PR="","",TITLE_DATE_PR),TITLE_DATE_PR_CHANGE)</f>
        <v/>
      </c>
      <c r="W28" s="3107"/>
      <c r="X28" s="3107"/>
      <c r="Y28" s="3107"/>
      <c r="Z28" s="3107"/>
      <c r="AA28" s="3107"/>
      <c r="AB28" s="434"/>
      <c r="AC28" s="3107" t="str">
        <f>IF(TITLE_DATE_PR_CHANGE="",IF(TITLE_DATE_PR="","",TITLE_DATE_PR),TITLE_DATE_PR_CHANGE)</f>
        <v/>
      </c>
      <c r="AD28" s="3107"/>
      <c r="AE28" s="3107"/>
      <c r="AF28" s="3107"/>
      <c r="AG28" s="3107"/>
      <c r="AH28" s="3107"/>
      <c r="AI28" s="434"/>
      <c r="AJ28" s="434"/>
      <c r="AK28" s="388"/>
      <c r="AL28" s="475"/>
      <c r="AM28" s="475"/>
      <c r="AN28" s="475"/>
      <c r="AO28" s="475"/>
      <c r="AP28" s="475"/>
      <c r="AQ28" s="525">
        <v>0</v>
      </c>
    </row>
    <row s="10446" customFormat="1" customHeight="1" ht="18.75" hidden="1">
      <c r="A29" s="1464"/>
      <c r="B29" s="1464"/>
      <c r="C29" s="1464"/>
      <c r="D29" s="1464"/>
      <c r="E29" s="1464"/>
      <c r="F29" s="1464"/>
      <c r="G29" s="1464"/>
      <c r="H29" s="1464"/>
      <c r="I29" s="1464"/>
      <c r="J29" s="1464"/>
      <c r="K29" s="1464"/>
      <c r="L29" s="1465"/>
      <c r="M29" s="1464"/>
      <c r="N29" s="1464"/>
      <c r="O29" s="1464"/>
      <c r="S29" s="3106" t="s">
        <v>509</v>
      </c>
      <c r="T29" s="3106"/>
      <c r="U29" s="1468"/>
      <c r="V29" s="3108" t="str">
        <f>IF(TITLE_NUMBER_PR_CHANGE="",IF(TITLE_NUMBER_PR="","",TITLE_NUMBER_PR),TITLE_NUMBER_PR_CHANGE)</f>
        <v/>
      </c>
      <c r="W29" s="3108"/>
      <c r="X29" s="3108"/>
      <c r="Y29" s="3108"/>
      <c r="Z29" s="3108"/>
      <c r="AA29" s="3108"/>
      <c r="AB29" s="434"/>
      <c r="AC29" s="3108" t="str">
        <f>IF(TITLE_NUMBER_PR_CHANGE="",IF(TITLE_NUMBER_PR="","",TITLE_NUMBER_PR),TITLE_NUMBER_PR_CHANGE)</f>
        <v/>
      </c>
      <c r="AD29" s="3108"/>
      <c r="AE29" s="3108"/>
      <c r="AF29" s="3108"/>
      <c r="AG29" s="3108"/>
      <c r="AH29" s="3108"/>
      <c r="AI29" s="434"/>
      <c r="AJ29" s="434"/>
      <c r="AK29" s="388"/>
      <c r="AL29" s="475"/>
      <c r="AM29" s="475"/>
      <c r="AN29" s="475"/>
      <c r="AO29" s="475"/>
      <c r="AP29" s="475"/>
      <c r="AQ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42</v>
      </c>
      <c r="T30" s="3106"/>
      <c r="U30" s="1468"/>
      <c r="V30" s="3108" t="str">
        <f>IF(TITLE_IST_PUB_CHANGE="",IF(TITLE_IST_PUB="","",TITLE_IST_PUB),TITLE_IST_PUB_CHANGE)</f>
        <v/>
      </c>
      <c r="W30" s="3108"/>
      <c r="X30" s="3108"/>
      <c r="Y30" s="3108"/>
      <c r="Z30" s="3108"/>
      <c r="AA30" s="3108"/>
      <c r="AB30" s="434"/>
      <c r="AC30" s="3108" t="str">
        <f>IF(TITLE_IST_PUB_CHANGE="",IF(TITLE_IST_PUB="","",TITLE_IST_PUB),TITLE_IST_PUB_CHANGE)</f>
        <v/>
      </c>
      <c r="AD30" s="3108"/>
      <c r="AE30" s="3108"/>
      <c r="AF30" s="3108"/>
      <c r="AG30" s="3108"/>
      <c r="AH30" s="3108"/>
      <c r="AI30" s="434"/>
      <c r="AJ30" s="434"/>
      <c r="AK30" s="388"/>
      <c r="AL30" s="475"/>
      <c r="AM30" s="475"/>
      <c r="AN30" s="475"/>
      <c r="AO30" s="475"/>
      <c r="AP30" s="475"/>
      <c r="AQ30" s="525">
        <v>0</v>
      </c>
    </row>
    <row customHeight="1" ht="14.25" hidden="1">
      <c r="Q31" s="483"/>
      <c r="R31" s="483"/>
      <c r="S31" s="1371"/>
      <c r="T31" s="470"/>
      <c r="U31" s="470"/>
      <c r="V31" s="430"/>
      <c r="W31" s="430"/>
      <c r="X31" s="430"/>
      <c r="Y31" s="430"/>
      <c r="Z31" s="430"/>
      <c r="AA31" s="430"/>
      <c r="AB31" s="430"/>
      <c r="AC31" s="430"/>
      <c r="AD31" s="430"/>
      <c r="AE31" s="430"/>
      <c r="AF31" s="430"/>
      <c r="AG31" s="430"/>
      <c r="AH31" s="430"/>
      <c r="AI31" s="430"/>
      <c r="AJ31" s="616"/>
      <c r="AQ31" s="1251">
        <v>0</v>
      </c>
    </row>
    <row s="10446" customFormat="1" customHeight="1" ht="18.75" hidden="1">
      <c r="A32" s="1464"/>
      <c r="B32" s="1464"/>
      <c r="C32" s="1464"/>
      <c r="D32" s="1464"/>
      <c r="E32" s="1464"/>
      <c r="F32" s="1464"/>
      <c r="G32" s="1464"/>
      <c r="H32" s="1464"/>
      <c r="I32" s="1464"/>
      <c r="J32" s="1464"/>
      <c r="K32" s="1464"/>
      <c r="L32" s="1465"/>
      <c r="M32" s="1464"/>
      <c r="N32" s="1464"/>
      <c r="O32" s="1464"/>
      <c r="S32" s="3106" t="s">
        <v>510</v>
      </c>
      <c r="T32" s="3106"/>
      <c r="U32" s="1468"/>
      <c r="V32" s="3107" t="str">
        <f>IF(TITLE_DATE_PR_CHANGE="",IF(TITLE_DATE_PR="","",TITLE_DATE_PR),TITLE_DATE_PR_CHANGE)</f>
        <v/>
      </c>
      <c r="W32" s="3107"/>
      <c r="X32" s="3107"/>
      <c r="Y32" s="3107"/>
      <c r="Z32" s="3107"/>
      <c r="AA32" s="3107"/>
      <c r="AB32" s="434"/>
      <c r="AC32" s="3107" t="str">
        <f>IF(TITLE_DATE_PR_CHANGE="",IF(TITLE_DATE_PR="","",TITLE_DATE_PR),TITLE_DATE_PR_CHANGE)</f>
        <v/>
      </c>
      <c r="AD32" s="3107"/>
      <c r="AE32" s="3107"/>
      <c r="AF32" s="3107"/>
      <c r="AG32" s="3107"/>
      <c r="AH32" s="3107"/>
      <c r="AI32" s="434"/>
      <c r="AJ32" s="434"/>
      <c r="AK32" s="388"/>
      <c r="AL32" s="475"/>
      <c r="AM32" s="475"/>
      <c r="AN32" s="475"/>
      <c r="AO32" s="475"/>
      <c r="AP32" s="475"/>
      <c r="AQ32" s="525">
        <v>0</v>
      </c>
    </row>
    <row s="10446" customFormat="1" customHeight="1" ht="18.75" hidden="1">
      <c r="A33" s="1464"/>
      <c r="B33" s="1464"/>
      <c r="C33" s="1464"/>
      <c r="D33" s="1464"/>
      <c r="E33" s="1464"/>
      <c r="F33" s="1464"/>
      <c r="G33" s="1464"/>
      <c r="H33" s="1464"/>
      <c r="I33" s="1464"/>
      <c r="J33" s="1464"/>
      <c r="K33" s="1464"/>
      <c r="L33" s="1465"/>
      <c r="M33" s="1464"/>
      <c r="N33" s="1464"/>
      <c r="O33" s="1464"/>
      <c r="S33" s="3106" t="s">
        <v>511</v>
      </c>
      <c r="T33" s="3106"/>
      <c r="U33" s="1468"/>
      <c r="V33" s="3108" t="str">
        <f>IF(TITLE_NUMBER_PR_CHANGE="",IF(TITLE_NUMBER_PR="","",TITLE_NUMBER_PR),TITLE_NUMBER_PR_CHANGE)</f>
        <v/>
      </c>
      <c r="W33" s="3108"/>
      <c r="X33" s="3108"/>
      <c r="Y33" s="3108"/>
      <c r="Z33" s="3108"/>
      <c r="AA33" s="3108"/>
      <c r="AB33" s="434"/>
      <c r="AC33" s="3108" t="str">
        <f>IF(TITLE_NUMBER_PR_CHANGE="",IF(TITLE_NUMBER_PR="","",TITLE_NUMBER_PR),TITLE_NUMBER_PR_CHANGE)</f>
        <v/>
      </c>
      <c r="AD33" s="3108"/>
      <c r="AE33" s="3108"/>
      <c r="AF33" s="3108"/>
      <c r="AG33" s="3108"/>
      <c r="AH33" s="3108"/>
      <c r="AI33" s="434"/>
      <c r="AJ33" s="434"/>
      <c r="AK33" s="388"/>
      <c r="AL33" s="475"/>
      <c r="AM33" s="475"/>
      <c r="AN33" s="475"/>
      <c r="AO33" s="475"/>
      <c r="AP33" s="475"/>
      <c r="AQ33" s="525">
        <v>0</v>
      </c>
    </row>
    <row s="10446" customFormat="1" customHeight="1" ht="1.05">
      <c r="A34" s="1464"/>
      <c r="B34" s="1464"/>
      <c r="C34" s="1464"/>
      <c r="D34" s="1464"/>
      <c r="E34" s="1464"/>
      <c r="F34" s="1464"/>
      <c r="G34" s="1464"/>
      <c r="H34" s="1464"/>
      <c r="I34" s="1464"/>
      <c r="J34" s="1464"/>
      <c r="K34" s="1464"/>
      <c r="L34" s="1465"/>
      <c r="M34" s="1464"/>
      <c r="N34" s="1464"/>
      <c r="O34" s="1464"/>
      <c r="S34" s="431"/>
      <c r="T34" s="431"/>
      <c r="U34" s="1584"/>
      <c r="V34" s="434"/>
      <c r="W34" s="434"/>
      <c r="X34" s="434"/>
      <c r="Y34" s="434"/>
      <c r="Z34" s="434"/>
      <c r="AA34" s="434"/>
      <c r="AB34" s="386" t="s">
        <v>512</v>
      </c>
      <c r="AC34" s="434"/>
      <c r="AD34" s="434"/>
      <c r="AE34" s="434"/>
      <c r="AF34" s="434"/>
      <c r="AG34" s="434"/>
      <c r="AH34" s="434"/>
      <c r="AI34" s="386" t="s">
        <v>512</v>
      </c>
      <c r="AL34" s="475"/>
      <c r="AM34" s="475"/>
      <c r="AN34" s="475"/>
      <c r="AO34" s="475"/>
      <c r="AP34" s="475"/>
      <c r="AQ34" s="525">
        <v>1</v>
      </c>
    </row>
    <row customHeight="1" ht="14.699999999999998">
      <c r="Q35" s="483"/>
      <c r="R35" s="483"/>
      <c r="S35" s="1371"/>
      <c r="T35" s="470"/>
      <c r="U35" s="1340"/>
      <c r="V35" s="3127"/>
      <c r="W35" s="3127"/>
      <c r="X35" s="3127"/>
      <c r="Y35" s="3127"/>
      <c r="Z35" s="3127"/>
      <c r="AA35" s="3127"/>
      <c r="AB35" s="3127"/>
      <c r="AC35" s="3127"/>
      <c r="AD35" s="3127"/>
      <c r="AE35" s="3127"/>
      <c r="AF35" s="3127"/>
      <c r="AG35" s="3127"/>
      <c r="AH35" s="3127"/>
      <c r="AI35" s="3127"/>
      <c r="AQ35" s="1251">
        <v>14</v>
      </c>
    </row>
    <row customHeight="1" ht="14.699999999999998">
      <c r="Q36" s="483"/>
      <c r="R36" s="483"/>
      <c r="S36" s="2978" t="s">
        <v>385</v>
      </c>
      <c r="T36" s="2978"/>
      <c r="U36" s="2978"/>
      <c r="V36" s="2978"/>
      <c r="W36" s="2978"/>
      <c r="X36" s="2978"/>
      <c r="Y36" s="2978"/>
      <c r="Z36" s="2978"/>
      <c r="AA36" s="2978"/>
      <c r="AB36" s="2978"/>
      <c r="AC36" s="2978"/>
      <c r="AD36" s="2978"/>
      <c r="AE36" s="2978"/>
      <c r="AF36" s="2978"/>
      <c r="AG36" s="2978"/>
      <c r="AH36" s="2978"/>
      <c r="AI36" s="2978"/>
      <c r="AJ36" s="2978"/>
      <c r="AK36" s="2978" t="s">
        <v>386</v>
      </c>
      <c r="AQ36" s="1251">
        <v>14</v>
      </c>
    </row>
    <row customHeight="1" ht="14.699999999999998">
      <c r="Q37" s="483"/>
      <c r="R37" s="483"/>
      <c r="S37" s="3128" t="s">
        <v>88</v>
      </c>
      <c r="T37" s="3077" t="s">
        <v>513</v>
      </c>
      <c r="U37" s="409"/>
      <c r="V37" s="3129" t="s">
        <v>514</v>
      </c>
      <c r="W37" s="3130"/>
      <c r="X37" s="3130"/>
      <c r="Y37" s="3130"/>
      <c r="Z37" s="3130"/>
      <c r="AA37" s="3131"/>
      <c r="AB37" s="3132" t="s">
        <v>515</v>
      </c>
      <c r="AC37" s="3129" t="s">
        <v>514</v>
      </c>
      <c r="AD37" s="3130"/>
      <c r="AE37" s="3130"/>
      <c r="AF37" s="3130"/>
      <c r="AG37" s="3130"/>
      <c r="AH37" s="3131"/>
      <c r="AI37" s="3132" t="s">
        <v>516</v>
      </c>
      <c r="AJ37" s="3135" t="s">
        <v>517</v>
      </c>
      <c r="AK37" s="2978"/>
      <c r="AQ37" s="1251">
        <v>14</v>
      </c>
    </row>
    <row customHeight="1" ht="35.699999999999996">
      <c r="Q38" s="483"/>
      <c r="R38" s="483"/>
      <c r="S38" s="3128"/>
      <c r="T38" s="3077"/>
      <c r="U38" s="1131"/>
      <c r="V38" s="1579" t="s">
        <v>574</v>
      </c>
      <c r="W38" s="2959" t="s">
        <v>520</v>
      </c>
      <c r="X38" s="2958"/>
      <c r="Y38" s="2959" t="s">
        <v>521</v>
      </c>
      <c r="Z38" s="2965"/>
      <c r="AA38" s="2958"/>
      <c r="AB38" s="3133"/>
      <c r="AC38" s="1579" t="s">
        <v>574</v>
      </c>
      <c r="AD38" s="2959" t="s">
        <v>520</v>
      </c>
      <c r="AE38" s="2958"/>
      <c r="AF38" s="2959" t="s">
        <v>521</v>
      </c>
      <c r="AG38" s="2965"/>
      <c r="AH38" s="2958"/>
      <c r="AI38" s="3133"/>
      <c r="AJ38" s="3136"/>
      <c r="AK38" s="2978"/>
      <c r="AQ38" s="1251">
        <v>34</v>
      </c>
    </row>
    <row customHeight="1" ht="90.3">
      <c r="A39" s="1466"/>
      <c r="B39" s="1466" t="s">
        <v>222</v>
      </c>
      <c r="C39" s="1466" t="s">
        <v>223</v>
      </c>
      <c r="D39" s="1466" t="s">
        <v>224</v>
      </c>
      <c r="E39" s="1460" t="s">
        <v>522</v>
      </c>
      <c r="F39" s="1460" t="s">
        <v>523</v>
      </c>
      <c r="G39" s="1460" t="s">
        <v>524</v>
      </c>
      <c r="H39" s="1460"/>
      <c r="I39" s="1460" t="s">
        <v>575</v>
      </c>
      <c r="J39" s="1460" t="s">
        <v>527</v>
      </c>
      <c r="K39" s="1460" t="s">
        <v>576</v>
      </c>
      <c r="L39" s="1460" t="s">
        <v>503</v>
      </c>
      <c r="Q39" s="483"/>
      <c r="R39" s="483"/>
      <c r="S39" s="3128"/>
      <c r="T39" s="3077"/>
      <c r="U39" s="410"/>
      <c r="V39" s="1579" t="s">
        <v>603</v>
      </c>
      <c r="W39" s="1318" t="s">
        <v>604</v>
      </c>
      <c r="X39" s="1318" t="s">
        <v>579</v>
      </c>
      <c r="Y39" s="1585" t="s">
        <v>531</v>
      </c>
      <c r="Z39" s="3082" t="s">
        <v>532</v>
      </c>
      <c r="AA39" s="3095"/>
      <c r="AB39" s="3134"/>
      <c r="AC39" s="1579" t="s">
        <v>603</v>
      </c>
      <c r="AD39" s="1318" t="s">
        <v>604</v>
      </c>
      <c r="AE39" s="1318" t="s">
        <v>579</v>
      </c>
      <c r="AF39" s="1585" t="s">
        <v>531</v>
      </c>
      <c r="AG39" s="3082" t="s">
        <v>532</v>
      </c>
      <c r="AH39" s="3095"/>
      <c r="AI39" s="3134"/>
      <c r="AJ39" s="3137"/>
      <c r="AK39" s="2978"/>
      <c r="AQ39" s="1251">
        <v>86</v>
      </c>
    </row>
    <row s="10851" customFormat="1" customHeight="1" ht="11.25" hidden="1">
      <c r="A40" s="1466"/>
      <c r="B40" s="1466"/>
      <c r="C40" s="1466"/>
      <c r="D40" s="1466"/>
      <c r="E40" s="1466"/>
      <c r="F40" s="1466"/>
      <c r="G40" s="1466"/>
      <c r="H40" s="1466"/>
      <c r="I40" s="1466"/>
      <c r="J40" s="1466"/>
      <c r="K40" s="1466"/>
      <c r="L40" s="1460"/>
      <c r="M40" s="1458"/>
      <c r="N40" s="1458"/>
      <c r="O40" s="1458"/>
      <c r="P40" s="1342"/>
      <c r="Q40" s="1343"/>
      <c r="R40" s="1350">
        <v>1</v>
      </c>
      <c r="S40" s="1373" t="s">
        <v>144</v>
      </c>
      <c r="T40" s="1351" t="s">
        <v>102</v>
      </c>
      <c r="U40" s="1341" t="str">
        <f>OFFSET(U40,0,-1)</f>
        <v>2</v>
      </c>
      <c r="V40" s="1578">
        <f>OFFSET(V40,0,-1)+1</f>
        <v>3</v>
      </c>
      <c r="W40" s="1578">
        <f>OFFSET(W40,0,-1)+1</f>
        <v>4</v>
      </c>
      <c r="X40" s="1578">
        <f>OFFSET(X40,0,-1)+1</f>
        <v>5</v>
      </c>
      <c r="Y40" s="1578">
        <f>OFFSET(Y40,0,-1)+1</f>
        <v>6</v>
      </c>
      <c r="Z40" s="3126">
        <f>OFFSET(Z40,0,-1)+1</f>
        <v>7</v>
      </c>
      <c r="AA40" s="3126"/>
      <c r="AB40" s="1578">
        <f>OFFSET(AB40,0,-2)+1</f>
        <v>8</v>
      </c>
      <c r="AC40" s="1578">
        <f>OFFSET(AC40,0,-1)+1</f>
        <v>9</v>
      </c>
      <c r="AD40" s="1578">
        <f>OFFSET(AD40,0,-1)+1</f>
        <v>10</v>
      </c>
      <c r="AE40" s="1578">
        <f>OFFSET(AE40,0,-1)+1</f>
        <v>11</v>
      </c>
      <c r="AF40" s="1578">
        <f>OFFSET(AF40,0,-1)+1</f>
        <v>12</v>
      </c>
      <c r="AG40" s="3126">
        <f>OFFSET(AG40,0,-1)+1</f>
        <v>13</v>
      </c>
      <c r="AH40" s="3126"/>
      <c r="AI40" s="1578">
        <f>OFFSET(AI40,0,-2)+1</f>
        <v>14</v>
      </c>
      <c r="AJ40" s="1341">
        <f>OFFSET(AJ40,0,-1)</f>
        <v>14</v>
      </c>
      <c r="AK40" s="1578">
        <f>OFFSET(AK40,0,-1)+1</f>
        <v>15</v>
      </c>
      <c r="AL40" s="618"/>
      <c r="AM40" s="618"/>
      <c r="AN40" s="618"/>
      <c r="AO40" s="618"/>
      <c r="AP40" s="618"/>
      <c r="AQ40" s="603">
        <v>0</v>
      </c>
    </row>
    <row customHeight="1" ht="24">
      <c r="A41" s="1459" t="s">
        <v>351</v>
      </c>
      <c r="B41" s="1459"/>
      <c r="C41" s="1459"/>
      <c r="D41" s="1459"/>
      <c r="E41" s="3115">
        <v>1</v>
      </c>
      <c r="F41" s="1459"/>
      <c r="G41" s="1459"/>
      <c r="H41" s="1459"/>
      <c r="I41" s="1459"/>
      <c r="J41" s="1459"/>
      <c r="K41" s="1459"/>
      <c r="L41" s="1460"/>
      <c r="M41" s="1461"/>
      <c r="N41" s="1461"/>
      <c r="O41" s="1461"/>
      <c r="P41" s="468"/>
      <c r="Q41" s="467"/>
      <c r="R41" s="462"/>
      <c r="S41" s="1589">
        <f>INDEX(PT_DIFFERENTIATION_NUM_NTAR,MATCH(A41,PT_DIFFERENTIATION_NTAR_ID,0))</f>
        <v>0</v>
      </c>
      <c r="T41" s="406" t="s">
        <v>210</v>
      </c>
      <c r="U41" s="408"/>
      <c r="V41" s="3109"/>
      <c r="W41" s="3110"/>
      <c r="X41" s="3110"/>
      <c r="Y41" s="3110"/>
      <c r="Z41" s="3110"/>
      <c r="AA41" s="3110"/>
      <c r="AB41" s="3111"/>
      <c r="AC41" s="3109" t="str">
        <f>INDEX(PT_DIFFERENTIATION_NTAR,MATCH(A41,PT_DIFFERENTIATION_NTAR_ID,0))</f>
        <v/>
      </c>
      <c r="AD41" s="3110"/>
      <c r="AE41" s="3110"/>
      <c r="AF41" s="3110"/>
      <c r="AG41" s="3110"/>
      <c r="AH41" s="3110"/>
      <c r="AI41" s="3110"/>
      <c r="AJ41" s="3111"/>
      <c r="AK41"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7"/>
      <c r="AN41" s="607" t="str">
        <f>IF(T41="","",T41)</f>
        <v>Наименование тарифа</v>
      </c>
      <c r="AO41" s="607"/>
      <c r="AP41" s="607"/>
      <c r="AQ41" s="1251">
        <v>23</v>
      </c>
    </row>
    <row customHeight="1" ht="24">
      <c r="A42" s="1459" t="s">
        <v>351</v>
      </c>
      <c r="B42" s="1459" t="s">
        <v>352</v>
      </c>
      <c r="C42" s="1459"/>
      <c r="D42" s="1459"/>
      <c r="E42" s="3116"/>
      <c r="F42" s="3115">
        <v>1</v>
      </c>
      <c r="G42" s="1459"/>
      <c r="H42" s="1459"/>
      <c r="I42" s="1459"/>
      <c r="J42" s="1459"/>
      <c r="K42" s="1459"/>
      <c r="L42" s="1460"/>
      <c r="M42" s="1461"/>
      <c r="N42" s="1461"/>
      <c r="O42" s="1461"/>
      <c r="P42" s="1583"/>
      <c r="Q42" s="459"/>
      <c r="R42" s="460"/>
      <c r="S42" s="1589" t="str">
        <f>INDEX(PT_DIFFERENTIATION_NUM_TER,MATCH(B42,PT_DIFFERENTIATION_TER_ID,0))</f>
        <v>.</v>
      </c>
      <c r="T42" s="416" t="s">
        <v>482</v>
      </c>
      <c r="U42" s="408"/>
      <c r="V42" s="3109"/>
      <c r="W42" s="3110"/>
      <c r="X42" s="3110"/>
      <c r="Y42" s="3110"/>
      <c r="Z42" s="3110"/>
      <c r="AA42" s="3110"/>
      <c r="AB42" s="3111"/>
      <c r="AC42" s="3109" t="str">
        <f>INDEX(PT_DIFFERENTIATION_TER,MATCH(B42,PT_DIFFERENTIATION_TER_ID,0))</f>
        <v/>
      </c>
      <c r="AD42" s="3110"/>
      <c r="AE42" s="3110"/>
      <c r="AF42" s="3110"/>
      <c r="AG42" s="3110"/>
      <c r="AH42" s="3110"/>
      <c r="AI42" s="3110"/>
      <c r="AJ42" s="3111"/>
      <c r="AK42" s="1354" t="s">
        <v>483</v>
      </c>
      <c r="AM42" s="607"/>
      <c r="AN42" s="607" t="str">
        <f>IF(T42="","",T42)</f>
        <v>Территория действия тарифа</v>
      </c>
      <c r="AO42" s="607"/>
      <c r="AP42" s="607"/>
      <c r="AQ42" s="1251">
        <v>23</v>
      </c>
    </row>
    <row customHeight="1" ht="24">
      <c r="A43" s="1459" t="s">
        <v>351</v>
      </c>
      <c r="B43" s="1459" t="s">
        <v>352</v>
      </c>
      <c r="C43" s="1459" t="s">
        <v>353</v>
      </c>
      <c r="D43" s="1459"/>
      <c r="E43" s="3116"/>
      <c r="F43" s="3116"/>
      <c r="G43" s="3115">
        <v>1</v>
      </c>
      <c r="H43" s="1459"/>
      <c r="I43" s="1459"/>
      <c r="J43" s="1459"/>
      <c r="K43" s="1459"/>
      <c r="L43" s="1460"/>
      <c r="M43" s="1461"/>
      <c r="N43" s="1461"/>
      <c r="O43" s="1461"/>
      <c r="P43" s="461"/>
      <c r="Q43" s="459"/>
      <c r="R43" s="460"/>
      <c r="S43" s="1589" t="str">
        <f>INDEX(PT_DIFFERENTIATION_NUM_CS,MATCH(C43,PT_DIFFERENTIATION_CS_ID,0))</f>
        <v>..</v>
      </c>
      <c r="T43" s="417" t="s">
        <v>601</v>
      </c>
      <c r="U43" s="408"/>
      <c r="V43" s="3109"/>
      <c r="W43" s="3110"/>
      <c r="X43" s="3110"/>
      <c r="Y43" s="3110"/>
      <c r="Z43" s="3110"/>
      <c r="AA43" s="3110"/>
      <c r="AB43" s="3111"/>
      <c r="AC43" s="3109" t="str">
        <f>INDEX(PT_DIFFERENTIATION_CS,MATCH(C43,PT_DIFFERENTIATION_CS_ID,0))</f>
        <v/>
      </c>
      <c r="AD43" s="3110"/>
      <c r="AE43" s="3110"/>
      <c r="AF43" s="3110"/>
      <c r="AG43" s="3110"/>
      <c r="AH43" s="3110"/>
      <c r="AI43" s="3110"/>
      <c r="AJ43" s="3111"/>
      <c r="AK43" s="1354" t="s">
        <v>602</v>
      </c>
      <c r="AM43" s="607"/>
      <c r="AN43" s="607" t="str">
        <f>IF(T43="","",T43)</f>
        <v>Наименование централизованной системы водоотведения</v>
      </c>
      <c r="AO43" s="607"/>
      <c r="AP43" s="607"/>
      <c r="AQ43" s="1251">
        <v>23</v>
      </c>
    </row>
    <row customHeight="1" ht="24">
      <c r="A44" s="1459" t="s">
        <v>351</v>
      </c>
      <c r="B44" s="1459" t="s">
        <v>352</v>
      </c>
      <c r="C44" s="1459" t="s">
        <v>353</v>
      </c>
      <c r="D44" s="1459" t="s">
        <v>605</v>
      </c>
      <c r="E44" s="3116"/>
      <c r="F44" s="3116"/>
      <c r="G44" s="3116"/>
      <c r="H44" s="3116"/>
      <c r="I44" s="3117" t="str">
        <f>S43&amp;".1"</f>
        <v>...1</v>
      </c>
      <c r="J44" s="1459"/>
      <c r="K44" s="1459"/>
      <c r="L44" s="1460"/>
      <c r="P44" s="3119">
        <v>1</v>
      </c>
      <c r="Q44" s="1577"/>
      <c r="R44" s="463"/>
      <c r="S44" s="1589" t="str">
        <f>$I44</f>
        <v>...1</v>
      </c>
      <c r="T44" s="393" t="s">
        <v>568</v>
      </c>
      <c r="U44" s="408"/>
      <c r="V44" s="3183"/>
      <c r="W44" s="3184"/>
      <c r="X44" s="3184"/>
      <c r="Y44" s="3184"/>
      <c r="Z44" s="3184"/>
      <c r="AA44" s="3184"/>
      <c r="AB44" s="3185"/>
      <c r="AC44" s="3186"/>
      <c r="AD44" s="3187"/>
      <c r="AE44" s="3187"/>
      <c r="AF44" s="3187"/>
      <c r="AG44" s="3187"/>
      <c r="AH44" s="3187"/>
      <c r="AI44" s="3187"/>
      <c r="AJ44" s="3188"/>
      <c r="AK44" s="1354" t="s">
        <v>569</v>
      </c>
      <c r="AM44" s="607"/>
      <c r="AN44" s="607" t="str">
        <f>IF(T44="","",T44)</f>
        <v>Наименование признака дифференциации</v>
      </c>
      <c r="AO44" s="607"/>
      <c r="AP44" s="607"/>
      <c r="AQ44" s="1251">
        <v>23</v>
      </c>
    </row>
    <row customHeight="1" ht="24">
      <c r="A45" s="1459" t="s">
        <v>351</v>
      </c>
      <c r="B45" s="1459" t="s">
        <v>352</v>
      </c>
      <c r="C45" s="1459" t="s">
        <v>353</v>
      </c>
      <c r="D45" s="1459" t="s">
        <v>605</v>
      </c>
      <c r="E45" s="3116"/>
      <c r="F45" s="3116"/>
      <c r="G45" s="3116"/>
      <c r="H45" s="3116"/>
      <c r="I45" s="3118"/>
      <c r="J45" s="3117" t="str">
        <f>I44&amp;".1"</f>
        <v>...1.1</v>
      </c>
      <c r="K45" s="1459"/>
      <c r="L45" s="1460" t="s">
        <v>491</v>
      </c>
      <c r="P45" s="3119"/>
      <c r="Q45" s="3119">
        <v>1</v>
      </c>
      <c r="R45" s="464"/>
      <c r="S45" s="1589" t="str">
        <f>$J45</f>
        <v>...1.1</v>
      </c>
      <c r="T45" s="394" t="s">
        <v>492</v>
      </c>
      <c r="U45" s="408"/>
      <c r="V45" s="3103"/>
      <c r="W45" s="3104"/>
      <c r="X45" s="3104"/>
      <c r="Y45" s="3104"/>
      <c r="Z45" s="3104"/>
      <c r="AA45" s="3104"/>
      <c r="AB45" s="3105"/>
      <c r="AC45" s="3103"/>
      <c r="AD45" s="3104"/>
      <c r="AE45" s="3104"/>
      <c r="AF45" s="3104"/>
      <c r="AG45" s="3104"/>
      <c r="AH45" s="3104"/>
      <c r="AI45" s="3104"/>
      <c r="AJ45" s="3105"/>
      <c r="AK45" s="1403" t="s">
        <v>570</v>
      </c>
      <c r="AM45" s="607"/>
      <c r="AN45" s="607" t="str">
        <f>IF(T45="","",T45)</f>
        <v>Группа потребителей</v>
      </c>
      <c r="AO45" s="607"/>
      <c r="AP45" s="607"/>
      <c r="AQ45" s="1251">
        <v>23</v>
      </c>
    </row>
    <row customHeight="1" ht="24">
      <c r="A46" s="1459" t="s">
        <v>351</v>
      </c>
      <c r="B46" s="1459" t="s">
        <v>352</v>
      </c>
      <c r="C46" s="1459" t="s">
        <v>353</v>
      </c>
      <c r="D46" s="1459" t="s">
        <v>605</v>
      </c>
      <c r="E46" s="3116"/>
      <c r="F46" s="3116"/>
      <c r="G46" s="3116"/>
      <c r="H46" s="3116"/>
      <c r="I46" s="3118"/>
      <c r="J46" s="3118"/>
      <c r="K46" s="3117" t="str">
        <f>J45&amp;".1"</f>
        <v>...1.1.1</v>
      </c>
      <c r="L46" s="1460"/>
      <c r="P46" s="3119"/>
      <c r="Q46" s="3119"/>
      <c r="R46" s="464">
        <v>1</v>
      </c>
      <c r="S46" s="1589" t="str">
        <f>$K46</f>
        <v>...1.1.1</v>
      </c>
      <c r="T46" s="1533"/>
      <c r="U46" s="408"/>
      <c r="V46" s="1456"/>
      <c r="W46" s="1456"/>
      <c r="X46" s="1457"/>
      <c r="Y46" s="3113"/>
      <c r="Z46" s="3112" t="s">
        <v>62</v>
      </c>
      <c r="AA46" s="3113"/>
      <c r="AB46" s="3112" t="s">
        <v>62</v>
      </c>
      <c r="AC46" s="858"/>
      <c r="AD46" s="858"/>
      <c r="AE46" s="1353"/>
      <c r="AF46" s="3120"/>
      <c r="AG46" s="2989" t="s">
        <v>62</v>
      </c>
      <c r="AH46" s="3122"/>
      <c r="AI46" s="2989" t="s">
        <v>19</v>
      </c>
      <c r="AJ46" s="1534"/>
      <c r="AK46"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8">
        <f>STRCHECKDATE(V47:AJ47)</f>
      </c>
      <c r="AM46" s="607"/>
      <c r="AN46" s="607" t="str">
        <f>IF(T46="","",T46)</f>
        <v/>
      </c>
      <c r="AO46" s="607"/>
      <c r="AP46" s="607"/>
      <c r="AQ46" s="1251">
        <v>23</v>
      </c>
    </row>
    <row customHeight="1" ht="14.25" hidden="1">
      <c r="A47" s="1459" t="s">
        <v>351</v>
      </c>
      <c r="B47" s="1459" t="s">
        <v>352</v>
      </c>
      <c r="C47" s="1459" t="s">
        <v>353</v>
      </c>
      <c r="D47" s="1459" t="s">
        <v>605</v>
      </c>
      <c r="E47" s="3116"/>
      <c r="F47" s="3116"/>
      <c r="G47" s="3116"/>
      <c r="H47" s="3116"/>
      <c r="I47" s="3118"/>
      <c r="J47" s="3118"/>
      <c r="K47" s="3117"/>
      <c r="L47" s="1460"/>
      <c r="P47" s="3119"/>
      <c r="Q47" s="3119"/>
      <c r="R47" s="464"/>
      <c r="S47" s="1586"/>
      <c r="T47" s="408"/>
      <c r="U47" s="408"/>
      <c r="V47" s="1456"/>
      <c r="W47" s="1456"/>
      <c r="X47" s="436" t="str">
        <f>Y46&amp;"-"&amp;AA46</f>
        <v>-</v>
      </c>
      <c r="Y47" s="3112"/>
      <c r="Z47" s="3112"/>
      <c r="AA47" s="3112"/>
      <c r="AB47" s="3112"/>
      <c r="AC47" s="433"/>
      <c r="AD47" s="433"/>
      <c r="AE47" s="436" t="str">
        <f>AF46&amp;"-"&amp;AH46</f>
        <v>-</v>
      </c>
      <c r="AF47" s="3121"/>
      <c r="AG47" s="2989"/>
      <c r="AH47" s="3123"/>
      <c r="AI47" s="2989"/>
      <c r="AJ47" s="1535"/>
      <c r="AK47" s="3189"/>
      <c r="AM47" s="607"/>
      <c r="AN47" s="607" t="str">
        <f>IF(T47="","",T47)</f>
        <v/>
      </c>
      <c r="AO47" s="607"/>
      <c r="AP47" s="607"/>
      <c r="AQ47" s="1251">
        <v>0</v>
      </c>
    </row>
    <row customHeight="1" ht="21">
      <c r="A48" s="1459" t="s">
        <v>351</v>
      </c>
      <c r="B48" s="1459" t="s">
        <v>352</v>
      </c>
      <c r="C48" s="1459" t="s">
        <v>353</v>
      </c>
      <c r="D48" s="1459" t="s">
        <v>605</v>
      </c>
      <c r="E48" s="3116"/>
      <c r="F48" s="3116"/>
      <c r="G48" s="3116"/>
      <c r="H48" s="3116"/>
      <c r="I48" s="3118"/>
      <c r="J48" s="3117"/>
      <c r="K48" s="1459"/>
      <c r="L48" s="1460"/>
      <c r="P48" s="3119"/>
      <c r="Q48" s="3119"/>
      <c r="R48" s="463"/>
      <c r="S48" s="1374"/>
      <c r="T48" s="395" t="s">
        <v>571</v>
      </c>
      <c r="U48" s="474"/>
      <c r="V48" s="474"/>
      <c r="W48" s="474"/>
      <c r="X48" s="474"/>
      <c r="Y48" s="474"/>
      <c r="Z48" s="474"/>
      <c r="AA48" s="474"/>
      <c r="AB48" s="474"/>
      <c r="AC48" s="474"/>
      <c r="AD48" s="474"/>
      <c r="AE48" s="474"/>
      <c r="AF48" s="474"/>
      <c r="AG48" s="474"/>
      <c r="AH48" s="474"/>
      <c r="AI48" s="474"/>
      <c r="AJ48" s="474"/>
      <c r="AK48" s="1354" t="s">
        <v>572</v>
      </c>
      <c r="AM48" s="607"/>
      <c r="AN48" s="607" t="str">
        <f>IF(T48="","",T48)</f>
        <v>Добавить значение признака дифференциации</v>
      </c>
      <c r="AO48" s="607"/>
      <c r="AP48" s="607"/>
      <c r="AQ48" s="1251">
        <v>20</v>
      </c>
    </row>
    <row customHeight="1" ht="22.049999999999997">
      <c r="A49" s="1459" t="s">
        <v>351</v>
      </c>
      <c r="B49" s="1459" t="s">
        <v>352</v>
      </c>
      <c r="C49" s="1459" t="s">
        <v>353</v>
      </c>
      <c r="D49" s="1459" t="s">
        <v>605</v>
      </c>
      <c r="E49" s="3116"/>
      <c r="F49" s="3116"/>
      <c r="G49" s="3116"/>
      <c r="H49" s="3116"/>
      <c r="I49" s="3117"/>
      <c r="J49" s="1459"/>
      <c r="K49" s="1459"/>
      <c r="L49" s="1460"/>
      <c r="P49" s="3119"/>
      <c r="Q49" s="1577"/>
      <c r="R49" s="463"/>
      <c r="S49" s="1374"/>
      <c r="T49" s="472" t="s">
        <v>497</v>
      </c>
      <c r="U49" s="474"/>
      <c r="V49" s="474"/>
      <c r="W49" s="474"/>
      <c r="X49" s="474"/>
      <c r="Y49" s="474"/>
      <c r="Z49" s="474"/>
      <c r="AA49" s="474"/>
      <c r="AB49" s="473"/>
      <c r="AC49" s="474"/>
      <c r="AD49" s="474"/>
      <c r="AE49" s="474"/>
      <c r="AF49" s="474"/>
      <c r="AG49" s="474"/>
      <c r="AH49" s="474"/>
      <c r="AI49" s="473"/>
      <c r="AJ49" s="474"/>
      <c r="AK49" s="1536"/>
      <c r="AM49" s="607"/>
      <c r="AN49" s="607" t="str">
        <f>IF(T49="","",T49)</f>
        <v>Добавить группу потребителей</v>
      </c>
      <c r="AO49" s="607"/>
      <c r="AP49" s="607"/>
      <c r="AQ49" s="1251">
        <v>21</v>
      </c>
    </row>
    <row customHeight="1" ht="22.049999999999997">
      <c r="A50" s="1459" t="s">
        <v>351</v>
      </c>
      <c r="B50" s="1459" t="s">
        <v>352</v>
      </c>
      <c r="C50" s="1459" t="s">
        <v>353</v>
      </c>
      <c r="D50" s="1459" t="s">
        <v>605</v>
      </c>
      <c r="E50" s="3116"/>
      <c r="F50" s="3116"/>
      <c r="G50" s="3116"/>
      <c r="H50" s="3115"/>
      <c r="I50" s="1459"/>
      <c r="J50" s="1459"/>
      <c r="K50" s="1459"/>
      <c r="L50" s="1460"/>
      <c r="M50" s="1461"/>
      <c r="N50" s="1461"/>
      <c r="O50" s="644"/>
      <c r="P50" s="467"/>
      <c r="Q50" s="482"/>
      <c r="R50" s="462"/>
      <c r="S50" s="1374"/>
      <c r="T50" s="479" t="s">
        <v>573</v>
      </c>
      <c r="U50" s="474"/>
      <c r="V50" s="474"/>
      <c r="W50" s="474"/>
      <c r="X50" s="474"/>
      <c r="Y50" s="474"/>
      <c r="Z50" s="474"/>
      <c r="AA50" s="474"/>
      <c r="AB50" s="473"/>
      <c r="AC50" s="474"/>
      <c r="AD50" s="474"/>
      <c r="AE50" s="474"/>
      <c r="AF50" s="474"/>
      <c r="AG50" s="474"/>
      <c r="AH50" s="474"/>
      <c r="AI50" s="473"/>
      <c r="AJ50" s="474"/>
      <c r="AK50" s="411"/>
      <c r="AM50" s="607"/>
      <c r="AN50" s="607" t="str">
        <f>IF(T50="","",T50)</f>
        <v>Добавить наименование признака дифференциации</v>
      </c>
      <c r="AO50" s="607"/>
      <c r="AP50" s="607"/>
      <c r="AQ50" s="1251">
        <v>21</v>
      </c>
    </row>
    <row s="10307" customFormat="1" customHeight="1" ht="14.25" hidden="1">
      <c r="A51" s="1439" t="s">
        <v>351</v>
      </c>
      <c r="B51" s="1439" t="s">
        <v>352</v>
      </c>
      <c r="C51" s="1410"/>
      <c r="D51" s="1410"/>
      <c r="E51" s="3116"/>
      <c r="F51" s="3115"/>
      <c r="G51" s="1410"/>
      <c r="H51" s="1410"/>
      <c r="I51" s="1410"/>
      <c r="J51" s="1410"/>
      <c r="K51" s="1410"/>
      <c r="L51" s="1590"/>
      <c r="M51" s="1417"/>
      <c r="N51" s="1417"/>
      <c r="P51" s="1412"/>
      <c r="Q51" s="1413"/>
      <c r="R51" s="1412"/>
      <c r="S51" s="1418"/>
      <c r="T51" s="1421" t="s">
        <v>500</v>
      </c>
      <c r="U51" s="1420"/>
      <c r="V51" s="1420"/>
      <c r="W51" s="1420"/>
      <c r="X51" s="1420"/>
      <c r="Y51" s="1420"/>
      <c r="Z51" s="1420"/>
      <c r="AA51" s="1420"/>
      <c r="AB51" s="1420"/>
      <c r="AC51" s="1420"/>
      <c r="AD51" s="1420"/>
      <c r="AE51" s="1420"/>
      <c r="AF51" s="1420"/>
      <c r="AG51" s="1420"/>
      <c r="AH51" s="1420"/>
      <c r="AI51" s="1420"/>
      <c r="AJ51" s="1420"/>
      <c r="AK51" s="1420"/>
      <c r="AM51" s="890"/>
      <c r="AN51" s="890" t="str">
        <f>IF(T51="","",T51)</f>
        <v>Добавить централизованную систему для дифференциации</v>
      </c>
      <c r="AO51" s="890"/>
      <c r="AP51" s="890"/>
      <c r="AQ51" s="625">
        <v>0</v>
      </c>
    </row>
    <row s="10307" customFormat="1" customHeight="1" ht="14.25" hidden="1">
      <c r="A52" s="1439" t="s">
        <v>351</v>
      </c>
      <c r="B52" s="1439"/>
      <c r="C52" s="1439"/>
      <c r="D52" s="1439"/>
      <c r="E52" s="3115"/>
      <c r="F52" s="1439"/>
      <c r="G52" s="1439"/>
      <c r="H52" s="1439"/>
      <c r="I52" s="1439"/>
      <c r="J52" s="1439"/>
      <c r="K52" s="1439"/>
      <c r="L52" s="1442"/>
      <c r="M52" s="1417"/>
      <c r="N52" s="1417"/>
      <c r="O52" s="625"/>
      <c r="P52" s="487"/>
      <c r="Q52" s="1440"/>
      <c r="R52" s="487"/>
      <c r="S52" s="1418"/>
      <c r="T52" s="1421" t="s">
        <v>501</v>
      </c>
      <c r="U52" s="1420"/>
      <c r="V52" s="1420"/>
      <c r="W52" s="1420"/>
      <c r="X52" s="1420"/>
      <c r="Y52" s="1420"/>
      <c r="Z52" s="1420"/>
      <c r="AA52" s="1420"/>
      <c r="AB52" s="1420"/>
      <c r="AC52" s="1420"/>
      <c r="AD52" s="1420"/>
      <c r="AE52" s="1420"/>
      <c r="AF52" s="1420"/>
      <c r="AG52" s="1420"/>
      <c r="AH52" s="1420"/>
      <c r="AI52" s="1420"/>
      <c r="AJ52" s="1420"/>
      <c r="AK52" s="1420"/>
      <c r="AM52" s="607"/>
      <c r="AN52" s="607" t="str">
        <f>IF(T52="","",T52)</f>
        <v>Добавить территорию для дифференциации</v>
      </c>
      <c r="AO52" s="607"/>
      <c r="AP52" s="607"/>
      <c r="AQ52" s="618">
        <v>0</v>
      </c>
    </row>
    <row s="10307" customFormat="1" customHeight="1" ht="14.25" hidden="1">
      <c r="A53" s="1410"/>
      <c r="B53" s="1410"/>
      <c r="C53" s="1410"/>
      <c r="D53" s="1410"/>
      <c r="E53" s="1439"/>
      <c r="F53" s="1410"/>
      <c r="G53" s="1410"/>
      <c r="H53" s="1410"/>
      <c r="I53" s="1410"/>
      <c r="J53" s="1410"/>
      <c r="K53" s="1410"/>
      <c r="L53" s="1590"/>
      <c r="M53" s="1417"/>
      <c r="N53" s="1417"/>
      <c r="P53" s="1412"/>
      <c r="Q53" s="1413"/>
      <c r="R53" s="1412"/>
      <c r="S53" s="1418"/>
      <c r="T53" s="1421" t="s">
        <v>533</v>
      </c>
      <c r="U53" s="1420"/>
      <c r="V53" s="1420"/>
      <c r="W53" s="1420"/>
      <c r="X53" s="1420"/>
      <c r="Y53" s="1420"/>
      <c r="Z53" s="1420"/>
      <c r="AA53" s="1420"/>
      <c r="AB53" s="1420"/>
      <c r="AC53" s="1420"/>
      <c r="AD53" s="1420"/>
      <c r="AE53" s="1420"/>
      <c r="AF53" s="1420"/>
      <c r="AG53" s="1420"/>
      <c r="AH53" s="1420"/>
      <c r="AI53" s="1420"/>
      <c r="AJ53" s="1420"/>
      <c r="AK53" s="1420"/>
      <c r="AM53" s="890"/>
      <c r="AN53" s="890" t="str">
        <f>IF(T53="","",T53)</f>
        <v>Добавить наименование тарифа</v>
      </c>
      <c r="AO53" s="890"/>
      <c r="AP53" s="890"/>
      <c r="AQ53" s="625">
        <v>0</v>
      </c>
    </row>
    <row customHeight="1" ht="11.549999999999999">
      <c r="M54" s="1256"/>
      <c r="N54" s="1256"/>
      <c r="O54" s="644"/>
      <c r="P54" s="1251"/>
      <c r="Q54" s="1251"/>
      <c r="R54" s="1251"/>
      <c r="S54" s="1251"/>
      <c r="AL54" s="1251"/>
      <c r="AM54" s="1251"/>
      <c r="AN54" s="1251"/>
      <c r="AO54" s="1251"/>
      <c r="AP54" s="1251"/>
      <c r="AQ54" s="1251">
        <v>11</v>
      </c>
    </row>
    <row customHeight="1" ht="14.699999999999998">
      <c r="O55" s="644"/>
      <c r="S55" s="1349"/>
      <c r="T55" s="3114"/>
      <c r="U55" s="3114"/>
      <c r="V55" s="3114"/>
      <c r="W55" s="3114"/>
      <c r="X55" s="3114"/>
      <c r="Y55" s="3114"/>
      <c r="Z55" s="3114"/>
      <c r="AA55" s="3114"/>
      <c r="AB55" s="3114"/>
      <c r="AC55" s="3114"/>
      <c r="AD55" s="3114"/>
      <c r="AE55" s="3114"/>
      <c r="AF55" s="3114"/>
      <c r="AG55" s="3114"/>
      <c r="AH55" s="3114"/>
      <c r="AI55" s="3114"/>
      <c r="AJ55" s="3114"/>
      <c r="AK55" s="3114"/>
      <c r="AQ55" s="1251">
        <v>14</v>
      </c>
    </row>
    <row customHeight="1" ht="14.699999999999998">
      <c r="O56" s="644"/>
      <c r="AQ56" s="1251">
        <v>14</v>
      </c>
    </row>
    <row customHeight="1" ht="14.699999999999998">
      <c r="O57" s="644"/>
      <c r="S57" s="1349"/>
      <c r="T57" s="3114"/>
      <c r="U57" s="3114"/>
      <c r="V57" s="3114"/>
      <c r="W57" s="3114"/>
      <c r="X57" s="3114"/>
      <c r="Y57" s="3114"/>
      <c r="Z57" s="3114"/>
      <c r="AA57" s="3114"/>
      <c r="AB57" s="3114"/>
      <c r="AC57" s="3114"/>
      <c r="AD57" s="3114"/>
      <c r="AE57" s="3114"/>
      <c r="AF57" s="3114"/>
      <c r="AG57" s="3114"/>
      <c r="AH57" s="3114"/>
      <c r="AI57" s="3114"/>
      <c r="AJ57" s="3114"/>
      <c r="AK57" s="3114"/>
      <c r="AQ57" s="1251">
        <v>14</v>
      </c>
    </row>
    <row customHeight="1" ht="22.5" hidden="1">
      <c r="A58" s="1256" t="s">
        <v>82</v>
      </c>
      <c r="B58" s="1256">
        <v>0</v>
      </c>
      <c r="C58" s="1256">
        <v>0</v>
      </c>
      <c r="D58" s="1256">
        <v>0</v>
      </c>
      <c r="E58" s="1256">
        <v>0</v>
      </c>
      <c r="F58" s="1256">
        <v>0</v>
      </c>
      <c r="G58" s="1256">
        <v>0</v>
      </c>
      <c r="H58" s="1256">
        <v>0</v>
      </c>
      <c r="I58" s="1256">
        <v>0</v>
      </c>
      <c r="J58" s="1256">
        <v>0</v>
      </c>
      <c r="K58" s="1256">
        <v>0</v>
      </c>
      <c r="L58" s="1574">
        <v>0</v>
      </c>
      <c r="M58" s="1458">
        <v>0</v>
      </c>
      <c r="N58" s="1458">
        <v>0</v>
      </c>
      <c r="O58" s="1458">
        <v>0</v>
      </c>
      <c r="P58" s="1569">
        <v>3</v>
      </c>
      <c r="Q58" s="452">
        <v>3</v>
      </c>
      <c r="R58" s="452">
        <v>3</v>
      </c>
      <c r="S58" s="688">
        <v>12</v>
      </c>
      <c r="T58" s="1251">
        <v>35</v>
      </c>
      <c r="U58" s="1251">
        <v>0</v>
      </c>
      <c r="V58" s="1251">
        <v>0</v>
      </c>
      <c r="W58" s="1251">
        <v>0</v>
      </c>
      <c r="X58" s="1251">
        <v>0</v>
      </c>
      <c r="Y58" s="1251">
        <v>0</v>
      </c>
      <c r="Z58" s="1251">
        <v>0</v>
      </c>
      <c r="AA58" s="1251">
        <v>0</v>
      </c>
      <c r="AB58" s="1251">
        <v>0</v>
      </c>
      <c r="AC58" s="1251">
        <v>24</v>
      </c>
      <c r="AD58" s="1251">
        <v>24</v>
      </c>
      <c r="AE58" s="1251">
        <v>24</v>
      </c>
      <c r="AF58" s="1251">
        <v>11</v>
      </c>
      <c r="AG58" s="1251">
        <v>3</v>
      </c>
      <c r="AH58" s="1251">
        <v>11</v>
      </c>
      <c r="AI58" s="1251">
        <v>0</v>
      </c>
      <c r="AJ58" s="1251">
        <v>4</v>
      </c>
      <c r="AK58" s="1251">
        <v>115</v>
      </c>
      <c r="AL58" s="618">
        <v>10</v>
      </c>
      <c r="AM58" s="618">
        <v>10</v>
      </c>
      <c r="AN58" s="618">
        <v>10</v>
      </c>
      <c r="AO58" s="618">
        <v>10</v>
      </c>
      <c r="AP58" s="618">
        <v>10</v>
      </c>
      <c r="AQ58" s="125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70332-292E-DDF2-90D9-0051C0D82D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4.140625" hidden="1" customWidth="1"/>
    <col min="10" max="10" style="10306" width="9.8515625" hidden="1" customWidth="1"/>
    <col min="11" max="11" style="10306" width="14.7109375" hidden="1" customWidth="1"/>
    <col min="12" max="12" style="11079" width="19.140625" hidden="1" customWidth="1"/>
    <col min="13" max="14" style="11080" width="12.28125" hidden="1" customWidth="1"/>
    <col min="15" max="15" style="11080" width="23.421875" hidden="1" customWidth="1"/>
    <col min="16" max="16" style="11081" width="3.00390625" customWidth="1"/>
    <col min="17" max="18" style="11082" width="3.00390625" customWidth="1"/>
    <col min="19" max="19" style="11083" width="12.00390625" customWidth="1"/>
    <col min="20" max="20" style="10232" width="35.00390625" customWidth="1"/>
    <col min="21" max="21" style="10232" width="0.140625" customWidth="1"/>
    <col min="22" max="24" style="10232" width="24.7109375" hidden="1" customWidth="1"/>
    <col min="25" max="25" style="10232" width="11.7109375" hidden="1" customWidth="1"/>
    <col min="26" max="26" style="10232" width="3.7109375" hidden="1" customWidth="1"/>
    <col min="27" max="27" style="10232" width="11.7109375" hidden="1" customWidth="1"/>
    <col min="28" max="28" style="10232" width="8.57421875" hidden="1" customWidth="1"/>
    <col min="29" max="29" style="10232" width="24.7109375" customWidth="1"/>
    <col min="30" max="31" style="10232" width="24.00390625" customWidth="1"/>
    <col min="32" max="32" style="10232" width="11.00390625" customWidth="1"/>
    <col min="33" max="33" style="10232" width="3.7109375" customWidth="1"/>
    <col min="34" max="34" style="10232" width="11.00390625" customWidth="1"/>
    <col min="35" max="35" style="10232" width="8.57421875" hidden="1" customWidth="1"/>
    <col min="36" max="36" style="10232" width="4.00390625" customWidth="1"/>
    <col min="37" max="37" style="10232" width="115.00390625" customWidth="1"/>
    <col min="38" max="42" style="10307" width="10.00390625" customWidth="1"/>
    <col min="43" max="43" style="10232" width="10.57421875" hidden="1"/>
  </cols>
  <sheetData>
    <row customHeight="1" ht="22.5" hidden="1">
      <c r="X1" s="435"/>
      <c r="Y1" s="435"/>
      <c r="AE1" s="435"/>
      <c r="AF1" s="435"/>
      <c r="AQ1" s="1251" t="s">
        <v>14</v>
      </c>
    </row>
    <row customHeight="1" ht="23.25" hidden="1">
      <c r="A2" s="1459"/>
      <c r="B2" s="1459"/>
      <c r="C2" s="1459"/>
      <c r="D2" s="1459"/>
      <c r="E2" s="3115">
        <v>1</v>
      </c>
      <c r="F2" s="1459"/>
      <c r="G2" s="1459"/>
      <c r="H2" s="1459"/>
      <c r="I2" s="1459"/>
      <c r="J2" s="1459"/>
      <c r="K2" s="1459"/>
      <c r="L2" s="1460"/>
      <c r="M2" s="1461"/>
      <c r="N2" s="1461"/>
      <c r="O2" s="1461"/>
      <c r="P2" s="468"/>
      <c r="Q2" s="467"/>
      <c r="R2" s="462"/>
      <c r="S2" s="1589">
        <f>INDEX(PT_DIFFERENTIATION_NUM_NTAR,MATCH(A2,PT_DIFFERENTIATION_NTAR_ID,0))</f>
      </c>
      <c r="T2" s="406" t="s">
        <v>210</v>
      </c>
      <c r="U2" s="408"/>
      <c r="V2" s="3109"/>
      <c r="W2" s="3110"/>
      <c r="X2" s="3110"/>
      <c r="Y2" s="3110"/>
      <c r="Z2" s="3110"/>
      <c r="AA2" s="3110"/>
      <c r="AB2" s="3111"/>
      <c r="AC2" s="3109">
        <f>INDEX(PT_DIFFERENTIATION_NTAR,MATCH(A2,PT_DIFFERENTIATION_NTAR_ID,0))</f>
      </c>
      <c r="AD2" s="3110"/>
      <c r="AE2" s="3110"/>
      <c r="AF2" s="3110"/>
      <c r="AG2" s="3110"/>
      <c r="AH2" s="3110"/>
      <c r="AI2" s="3110"/>
      <c r="AJ2" s="3111"/>
      <c r="AK2"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7"/>
      <c r="AN2" s="607" t="str">
        <f>IF(T2="","",T2)</f>
        <v>Наименование тарифа</v>
      </c>
      <c r="AO2" s="607"/>
      <c r="AP2" s="607"/>
      <c r="AQ2" s="1251">
        <v>0</v>
      </c>
    </row>
    <row customHeight="1" ht="23.25" hidden="1">
      <c r="A3" s="1459"/>
      <c r="B3" s="1459"/>
      <c r="C3" s="1459"/>
      <c r="D3" s="1459"/>
      <c r="E3" s="3116"/>
      <c r="F3" s="3115">
        <v>1</v>
      </c>
      <c r="G3" s="1459"/>
      <c r="H3" s="1459"/>
      <c r="I3" s="1459"/>
      <c r="J3" s="1459"/>
      <c r="K3" s="1459"/>
      <c r="L3" s="1460"/>
      <c r="M3" s="1461"/>
      <c r="N3" s="1461"/>
      <c r="O3" s="1461"/>
      <c r="P3" s="1583"/>
      <c r="Q3" s="459"/>
      <c r="R3" s="460"/>
      <c r="S3" s="1589">
        <f>INDEX(PT_DIFFERENTIATION_NUM_TER,MATCH(B3,PT_DIFFERENTIATION_TER_ID,0))</f>
      </c>
      <c r="T3" s="416" t="s">
        <v>482</v>
      </c>
      <c r="U3" s="408"/>
      <c r="V3" s="3109"/>
      <c r="W3" s="3110"/>
      <c r="X3" s="3110"/>
      <c r="Y3" s="3110"/>
      <c r="Z3" s="3110"/>
      <c r="AA3" s="3110"/>
      <c r="AB3" s="3111"/>
      <c r="AC3" s="3109">
        <f>INDEX(PT_DIFFERENTIATION_TER,MATCH(B3,PT_DIFFERENTIATION_TER_ID,0))</f>
      </c>
      <c r="AD3" s="3110"/>
      <c r="AE3" s="3110"/>
      <c r="AF3" s="3110"/>
      <c r="AG3" s="3110"/>
      <c r="AH3" s="3110"/>
      <c r="AI3" s="3110"/>
      <c r="AJ3" s="3111"/>
      <c r="AK3" s="1354" t="s">
        <v>483</v>
      </c>
      <c r="AM3" s="607"/>
      <c r="AN3" s="607" t="str">
        <f>IF(T3="","",T3)</f>
        <v>Территория действия тарифа</v>
      </c>
      <c r="AO3" s="607"/>
      <c r="AP3" s="607"/>
      <c r="AQ3" s="1251">
        <v>0</v>
      </c>
    </row>
    <row customHeight="1" ht="23.25" hidden="1">
      <c r="A4" s="1459"/>
      <c r="B4" s="1459"/>
      <c r="C4" s="1459"/>
      <c r="D4" s="1459"/>
      <c r="E4" s="3116"/>
      <c r="F4" s="3116"/>
      <c r="G4" s="3115">
        <v>1</v>
      </c>
      <c r="H4" s="1459"/>
      <c r="I4" s="1459"/>
      <c r="J4" s="1459"/>
      <c r="K4" s="1459"/>
      <c r="L4" s="1460"/>
      <c r="M4" s="1461"/>
      <c r="N4" s="1461"/>
      <c r="O4" s="1461"/>
      <c r="P4" s="461"/>
      <c r="Q4" s="459"/>
      <c r="R4" s="460"/>
      <c r="S4" s="1589">
        <f>INDEX(PT_DIFFERENTIATION_NUM_CS,MATCH(C4,PT_DIFFERENTIATION_CS_ID,0))</f>
      </c>
      <c r="T4" s="417" t="s">
        <v>601</v>
      </c>
      <c r="U4" s="408"/>
      <c r="V4" s="3109"/>
      <c r="W4" s="3110"/>
      <c r="X4" s="3110"/>
      <c r="Y4" s="3110"/>
      <c r="Z4" s="3110"/>
      <c r="AA4" s="3110"/>
      <c r="AB4" s="3111"/>
      <c r="AC4" s="3109">
        <f>INDEX(PT_DIFFERENTIATION_CS,MATCH(C4,PT_DIFFERENTIATION_CS_ID,0))</f>
      </c>
      <c r="AD4" s="3110"/>
      <c r="AE4" s="3110"/>
      <c r="AF4" s="3110"/>
      <c r="AG4" s="3110"/>
      <c r="AH4" s="3110"/>
      <c r="AI4" s="3110"/>
      <c r="AJ4" s="3111"/>
      <c r="AK4" s="1354" t="s">
        <v>602</v>
      </c>
      <c r="AM4" s="607"/>
      <c r="AN4" s="607" t="str">
        <f>IF(T4="","",T4)</f>
        <v>Наименование централизованной системы водоотведения</v>
      </c>
      <c r="AO4" s="607"/>
      <c r="AP4" s="607"/>
      <c r="AQ4" s="1251">
        <v>0</v>
      </c>
    </row>
    <row customHeight="1" ht="23.25" hidden="1">
      <c r="A5" s="1459"/>
      <c r="B5" s="1459"/>
      <c r="C5" s="1459"/>
      <c r="D5" s="1459"/>
      <c r="E5" s="3116"/>
      <c r="F5" s="3116"/>
      <c r="G5" s="3116"/>
      <c r="H5" s="3116"/>
      <c r="I5" s="3117">
        <f>S4&amp;".1"</f>
      </c>
      <c r="J5" s="1459"/>
      <c r="K5" s="1459"/>
      <c r="L5" s="1460"/>
      <c r="P5" s="3119">
        <v>1</v>
      </c>
      <c r="Q5" s="1577"/>
      <c r="R5" s="463"/>
      <c r="S5" s="1589">
        <f>$I5</f>
      </c>
      <c r="T5" s="393" t="s">
        <v>568</v>
      </c>
      <c r="U5" s="408"/>
      <c r="V5" s="3183"/>
      <c r="W5" s="3184"/>
      <c r="X5" s="3184"/>
      <c r="Y5" s="3184"/>
      <c r="Z5" s="3184"/>
      <c r="AA5" s="3184"/>
      <c r="AB5" s="3185"/>
      <c r="AC5" s="3186"/>
      <c r="AD5" s="3187"/>
      <c r="AE5" s="3187"/>
      <c r="AF5" s="3187"/>
      <c r="AG5" s="3187"/>
      <c r="AH5" s="3187"/>
      <c r="AI5" s="3187"/>
      <c r="AJ5" s="3188"/>
      <c r="AK5" s="1354" t="s">
        <v>569</v>
      </c>
      <c r="AM5" s="607"/>
      <c r="AN5" s="607" t="str">
        <f>IF(T5="","",T5)</f>
        <v>Наименование признака дифференциации</v>
      </c>
      <c r="AO5" s="607"/>
      <c r="AP5" s="607"/>
      <c r="AQ5" s="1251">
        <v>0</v>
      </c>
    </row>
    <row customHeight="1" ht="23.25" hidden="1">
      <c r="A6" s="1459"/>
      <c r="B6" s="1459"/>
      <c r="C6" s="1459"/>
      <c r="D6" s="1459"/>
      <c r="E6" s="3116"/>
      <c r="F6" s="3116"/>
      <c r="G6" s="3116"/>
      <c r="H6" s="3116"/>
      <c r="I6" s="3118"/>
      <c r="J6" s="3117">
        <f>I5&amp;".1"</f>
      </c>
      <c r="K6" s="1459"/>
      <c r="L6" s="1460" t="s">
        <v>491</v>
      </c>
      <c r="P6" s="3119"/>
      <c r="Q6" s="3119">
        <v>1</v>
      </c>
      <c r="R6" s="464"/>
      <c r="S6" s="1589">
        <f>$J6</f>
      </c>
      <c r="T6" s="394" t="s">
        <v>492</v>
      </c>
      <c r="U6" s="408"/>
      <c r="V6" s="3103"/>
      <c r="W6" s="3104"/>
      <c r="X6" s="3104"/>
      <c r="Y6" s="3104"/>
      <c r="Z6" s="3104"/>
      <c r="AA6" s="3104"/>
      <c r="AB6" s="3105"/>
      <c r="AC6" s="3103"/>
      <c r="AD6" s="3104"/>
      <c r="AE6" s="3104"/>
      <c r="AF6" s="3104"/>
      <c r="AG6" s="3104"/>
      <c r="AH6" s="3104"/>
      <c r="AI6" s="3104"/>
      <c r="AJ6" s="3105"/>
      <c r="AK6" s="1403" t="s">
        <v>570</v>
      </c>
      <c r="AM6" s="607"/>
      <c r="AN6" s="607" t="str">
        <f>IF(T6="","",T6)</f>
        <v>Группа потребителей</v>
      </c>
      <c r="AO6" s="607"/>
      <c r="AP6" s="607"/>
      <c r="AQ6" s="1251">
        <v>0</v>
      </c>
    </row>
    <row customHeight="1" ht="23.25" hidden="1">
      <c r="A7" s="1459"/>
      <c r="B7" s="1459"/>
      <c r="C7" s="1459"/>
      <c r="D7" s="1459"/>
      <c r="E7" s="3116"/>
      <c r="F7" s="3116"/>
      <c r="G7" s="3116"/>
      <c r="H7" s="3116"/>
      <c r="I7" s="3118"/>
      <c r="J7" s="3118"/>
      <c r="K7" s="3117">
        <f>J6&amp;".1"</f>
      </c>
      <c r="L7" s="1460"/>
      <c r="P7" s="3119"/>
      <c r="Q7" s="3119"/>
      <c r="R7" s="464">
        <v>1</v>
      </c>
      <c r="S7" s="1589">
        <f>$K7</f>
      </c>
      <c r="T7" s="1533"/>
      <c r="U7" s="408"/>
      <c r="V7" s="858"/>
      <c r="W7" s="858"/>
      <c r="X7" s="1353"/>
      <c r="Y7" s="3120"/>
      <c r="Z7" s="2989" t="s">
        <v>62</v>
      </c>
      <c r="AA7" s="3120"/>
      <c r="AB7" s="2989" t="s">
        <v>62</v>
      </c>
      <c r="AC7" s="858"/>
      <c r="AD7" s="858"/>
      <c r="AE7" s="1353"/>
      <c r="AF7" s="3120"/>
      <c r="AG7" s="2989" t="s">
        <v>62</v>
      </c>
      <c r="AH7" s="3122"/>
      <c r="AI7" s="2989" t="s">
        <v>62</v>
      </c>
      <c r="AJ7" s="1534"/>
      <c r="AK7"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8">
        <f>STRCHECKDATE(V8:AJ8)</f>
      </c>
      <c r="AM7" s="607"/>
      <c r="AN7" s="607" t="str">
        <f>IF(T7="","",T7)</f>
        <v/>
      </c>
      <c r="AO7" s="607"/>
      <c r="AP7" s="607"/>
      <c r="AQ7" s="1251">
        <v>0</v>
      </c>
    </row>
    <row customHeight="1" ht="14.25" hidden="1">
      <c r="A8" s="1459"/>
      <c r="B8" s="1459"/>
      <c r="C8" s="1459"/>
      <c r="D8" s="1459"/>
      <c r="E8" s="3116"/>
      <c r="F8" s="3116"/>
      <c r="G8" s="3116"/>
      <c r="H8" s="3116"/>
      <c r="I8" s="3118"/>
      <c r="J8" s="3118"/>
      <c r="K8" s="3117"/>
      <c r="L8" s="1460"/>
      <c r="P8" s="3119"/>
      <c r="Q8" s="3119"/>
      <c r="R8" s="464"/>
      <c r="S8" s="1586"/>
      <c r="T8" s="408"/>
      <c r="U8" s="408"/>
      <c r="V8" s="433"/>
      <c r="W8" s="433"/>
      <c r="X8" s="436" t="str">
        <f>Y7&amp;"-"&amp;AA7</f>
        <v>-</v>
      </c>
      <c r="Y8" s="3121"/>
      <c r="Z8" s="2989"/>
      <c r="AA8" s="3121"/>
      <c r="AB8" s="2989"/>
      <c r="AC8" s="433"/>
      <c r="AD8" s="433"/>
      <c r="AE8" s="436" t="str">
        <f>AF7&amp;"-"&amp;AH7</f>
        <v>-</v>
      </c>
      <c r="AF8" s="3121"/>
      <c r="AG8" s="2989"/>
      <c r="AH8" s="3123"/>
      <c r="AI8" s="2989"/>
      <c r="AJ8" s="1535"/>
      <c r="AK8" s="3189"/>
      <c r="AM8" s="607"/>
      <c r="AN8" s="607" t="str">
        <f>IF(T8="","",T8)</f>
        <v/>
      </c>
      <c r="AO8" s="607"/>
      <c r="AP8" s="607"/>
      <c r="AQ8" s="1251">
        <v>0</v>
      </c>
    </row>
    <row customHeight="1" ht="21" hidden="1">
      <c r="A9" s="1459"/>
      <c r="B9" s="1459"/>
      <c r="C9" s="1459"/>
      <c r="D9" s="1459"/>
      <c r="E9" s="3116"/>
      <c r="F9" s="3116"/>
      <c r="G9" s="3116"/>
      <c r="H9" s="3116"/>
      <c r="I9" s="3118"/>
      <c r="J9" s="3117"/>
      <c r="K9" s="1459"/>
      <c r="L9" s="1460"/>
      <c r="P9" s="3119"/>
      <c r="Q9" s="3119"/>
      <c r="R9" s="463"/>
      <c r="S9" s="1374"/>
      <c r="T9" s="395" t="s">
        <v>571</v>
      </c>
      <c r="U9" s="474"/>
      <c r="V9" s="474"/>
      <c r="W9" s="474"/>
      <c r="X9" s="474"/>
      <c r="Y9" s="474"/>
      <c r="Z9" s="474"/>
      <c r="AA9" s="474"/>
      <c r="AB9" s="474"/>
      <c r="AC9" s="474"/>
      <c r="AD9" s="474"/>
      <c r="AE9" s="474"/>
      <c r="AF9" s="474"/>
      <c r="AG9" s="474"/>
      <c r="AH9" s="474"/>
      <c r="AI9" s="474"/>
      <c r="AJ9" s="474"/>
      <c r="AK9" s="1354" t="s">
        <v>572</v>
      </c>
      <c r="AM9" s="607"/>
      <c r="AN9" s="607" t="str">
        <f>IF(T9="","",T9)</f>
        <v>Добавить значение признака дифференциации</v>
      </c>
      <c r="AO9" s="607"/>
      <c r="AP9" s="607"/>
      <c r="AQ9" s="1251">
        <v>0</v>
      </c>
    </row>
    <row customHeight="1" ht="21" hidden="1">
      <c r="A10" s="1459"/>
      <c r="B10" s="1459"/>
      <c r="C10" s="1459"/>
      <c r="D10" s="1459"/>
      <c r="E10" s="3116"/>
      <c r="F10" s="3116"/>
      <c r="G10" s="3116"/>
      <c r="H10" s="3116"/>
      <c r="I10" s="3117"/>
      <c r="J10" s="1459"/>
      <c r="K10" s="1459"/>
      <c r="L10" s="1460"/>
      <c r="P10" s="3119"/>
      <c r="Q10" s="1577"/>
      <c r="R10" s="463"/>
      <c r="S10" s="1374"/>
      <c r="T10" s="472" t="s">
        <v>497</v>
      </c>
      <c r="U10" s="474"/>
      <c r="V10" s="474"/>
      <c r="W10" s="474"/>
      <c r="X10" s="474"/>
      <c r="Y10" s="474"/>
      <c r="Z10" s="474"/>
      <c r="AA10" s="474"/>
      <c r="AB10" s="473"/>
      <c r="AC10" s="474"/>
      <c r="AD10" s="474"/>
      <c r="AE10" s="474"/>
      <c r="AF10" s="474"/>
      <c r="AG10" s="474"/>
      <c r="AH10" s="474"/>
      <c r="AI10" s="473"/>
      <c r="AJ10" s="474"/>
      <c r="AK10" s="1536"/>
      <c r="AM10" s="607"/>
      <c r="AN10" s="607" t="str">
        <f>IF(T10="","",T10)</f>
        <v>Добавить группу потребителей</v>
      </c>
      <c r="AO10" s="607"/>
      <c r="AP10" s="607"/>
      <c r="AQ10" s="1251">
        <v>0</v>
      </c>
    </row>
    <row customHeight="1" ht="21" hidden="1">
      <c r="A11" s="1459"/>
      <c r="B11" s="1459"/>
      <c r="C11" s="1459"/>
      <c r="D11" s="1459"/>
      <c r="E11" s="3116"/>
      <c r="F11" s="3116"/>
      <c r="G11" s="3116"/>
      <c r="H11" s="3115"/>
      <c r="I11" s="1459"/>
      <c r="J11" s="1459"/>
      <c r="K11" s="1459"/>
      <c r="L11" s="1460"/>
      <c r="M11" s="1461"/>
      <c r="N11" s="1461"/>
      <c r="O11" s="644"/>
      <c r="P11" s="467"/>
      <c r="Q11" s="482"/>
      <c r="R11" s="462"/>
      <c r="S11" s="1374"/>
      <c r="T11" s="479" t="s">
        <v>573</v>
      </c>
      <c r="U11" s="474"/>
      <c r="V11" s="474"/>
      <c r="W11" s="474"/>
      <c r="X11" s="474"/>
      <c r="Y11" s="474"/>
      <c r="Z11" s="474"/>
      <c r="AA11" s="474"/>
      <c r="AB11" s="473"/>
      <c r="AC11" s="474"/>
      <c r="AD11" s="474"/>
      <c r="AE11" s="474"/>
      <c r="AF11" s="474"/>
      <c r="AG11" s="474"/>
      <c r="AH11" s="474"/>
      <c r="AI11" s="473"/>
      <c r="AJ11" s="474"/>
      <c r="AK11" s="411"/>
      <c r="AM11" s="607"/>
      <c r="AN11" s="607" t="str">
        <f>IF(T11="","",T11)</f>
        <v>Добавить наименование признака дифференциации</v>
      </c>
      <c r="AO11" s="607"/>
      <c r="AP11" s="607"/>
      <c r="AQ11" s="1251">
        <v>0</v>
      </c>
    </row>
    <row s="10307" customFormat="1" customHeight="1" ht="14.25" hidden="1">
      <c r="A12" s="1439"/>
      <c r="B12" s="1439"/>
      <c r="C12" s="1410"/>
      <c r="D12" s="1410"/>
      <c r="E12" s="3116"/>
      <c r="F12" s="3115"/>
      <c r="G12" s="1410"/>
      <c r="H12" s="1410"/>
      <c r="I12" s="1410"/>
      <c r="J12" s="1410"/>
      <c r="K12" s="1410"/>
      <c r="L12" s="1590"/>
      <c r="M12" s="1417"/>
      <c r="N12" s="1417"/>
      <c r="P12" s="1412"/>
      <c r="Q12" s="1413"/>
      <c r="R12" s="1412"/>
      <c r="S12" s="1418"/>
      <c r="T12" s="1421" t="s">
        <v>500</v>
      </c>
      <c r="U12" s="1420"/>
      <c r="V12" s="1420"/>
      <c r="W12" s="1420"/>
      <c r="X12" s="1420"/>
      <c r="Y12" s="1420"/>
      <c r="Z12" s="1420"/>
      <c r="AA12" s="1420"/>
      <c r="AB12" s="1420"/>
      <c r="AC12" s="1420"/>
      <c r="AD12" s="1420"/>
      <c r="AE12" s="1420"/>
      <c r="AF12" s="1420"/>
      <c r="AG12" s="1420"/>
      <c r="AH12" s="1420"/>
      <c r="AI12" s="1420"/>
      <c r="AJ12" s="1420"/>
      <c r="AK12" s="1420"/>
      <c r="AM12" s="890"/>
      <c r="AN12" s="890" t="str">
        <f>IF(T12="","",T12)</f>
        <v>Добавить централизованную систему для дифференциации</v>
      </c>
      <c r="AO12" s="890"/>
      <c r="AP12" s="890"/>
      <c r="AQ12" s="625">
        <v>0</v>
      </c>
    </row>
    <row s="10307" customFormat="1" customHeight="1" ht="14.25" hidden="1">
      <c r="A13" s="1439"/>
      <c r="B13" s="1439"/>
      <c r="C13" s="1439"/>
      <c r="D13" s="1439"/>
      <c r="E13" s="3115"/>
      <c r="F13" s="1439"/>
      <c r="G13" s="1439"/>
      <c r="H13" s="1439"/>
      <c r="I13" s="1439"/>
      <c r="J13" s="1439"/>
      <c r="K13" s="1439"/>
      <c r="L13" s="1442"/>
      <c r="M13" s="1417"/>
      <c r="N13" s="1417"/>
      <c r="O13" s="625"/>
      <c r="P13" s="487"/>
      <c r="Q13" s="1440"/>
      <c r="R13" s="487"/>
      <c r="S13" s="1418"/>
      <c r="T13" s="1421" t="s">
        <v>501</v>
      </c>
      <c r="U13" s="1420"/>
      <c r="V13" s="1420"/>
      <c r="W13" s="1420"/>
      <c r="X13" s="1420"/>
      <c r="Y13" s="1420"/>
      <c r="Z13" s="1420"/>
      <c r="AA13" s="1420"/>
      <c r="AB13" s="1420"/>
      <c r="AC13" s="1420"/>
      <c r="AD13" s="1420"/>
      <c r="AE13" s="1420"/>
      <c r="AF13" s="1420"/>
      <c r="AG13" s="1420"/>
      <c r="AH13" s="1420"/>
      <c r="AI13" s="1420"/>
      <c r="AJ13" s="1420"/>
      <c r="AK13" s="1420"/>
      <c r="AM13" s="607"/>
      <c r="AN13" s="607" t="str">
        <f>IF(T13="","",T13)</f>
        <v>Добавить территорию для дифференциации</v>
      </c>
      <c r="AO13" s="607"/>
      <c r="AP13" s="607"/>
      <c r="AQ13" s="618">
        <v>0</v>
      </c>
    </row>
    <row customHeight="1" ht="14.25" hidden="1">
      <c r="AB14" s="435"/>
      <c r="AI14" s="435"/>
      <c r="AQ14" s="1251">
        <v>0</v>
      </c>
    </row>
    <row customHeight="1" ht="14.25" hidden="1">
      <c r="AC15" s="1456"/>
      <c r="AD15" s="1456"/>
      <c r="AE15" s="1457"/>
      <c r="AF15" s="3113"/>
      <c r="AG15" s="3112" t="s">
        <v>62</v>
      </c>
      <c r="AH15" s="3113"/>
      <c r="AI15" s="3112" t="s">
        <v>62</v>
      </c>
      <c r="AQ15" s="1251">
        <v>0</v>
      </c>
    </row>
    <row customHeight="1" ht="14.25" hidden="1">
      <c r="AC16" s="1456"/>
      <c r="AD16" s="1456"/>
      <c r="AE16" s="436" t="str">
        <f>AF15&amp;"-"&amp;AH15</f>
        <v>-</v>
      </c>
      <c r="AF16" s="3112"/>
      <c r="AG16" s="3112"/>
      <c r="AH16" s="3112"/>
      <c r="AI16" s="3112"/>
      <c r="AQ16" s="1251">
        <v>0</v>
      </c>
    </row>
    <row customHeight="1" ht="14.25" hidden="1">
      <c r="AI17" s="435"/>
      <c r="AQ17" s="1251">
        <v>0</v>
      </c>
    </row>
    <row s="10306" customFormat="1" customHeight="1" ht="22.5" hidden="1">
      <c r="L18" s="1574"/>
      <c r="M18" s="1458"/>
      <c r="N18" s="1458"/>
      <c r="O18" s="1463" t="s">
        <v>502</v>
      </c>
      <c r="P18" s="1458"/>
      <c r="Q18" s="1467"/>
      <c r="R18" s="1467"/>
      <c r="S18" s="836"/>
      <c r="Y18" s="1463"/>
      <c r="AA18" s="1463"/>
      <c r="AF18" s="1463"/>
      <c r="AH18" s="1463"/>
      <c r="AL18" s="618"/>
      <c r="AM18" s="618"/>
      <c r="AN18" s="618"/>
      <c r="AO18" s="618"/>
      <c r="AP18" s="618"/>
      <c r="AQ18" s="1256">
        <v>0</v>
      </c>
    </row>
    <row s="10306" customFormat="1" customHeight="1" ht="14.25" hidden="1">
      <c r="L19" s="1574"/>
      <c r="M19" s="1458"/>
      <c r="N19" s="1458"/>
      <c r="O19" s="1458"/>
      <c r="P19" s="1458"/>
      <c r="Q19" s="1467"/>
      <c r="R19" s="1467"/>
      <c r="S19" s="836"/>
      <c r="AL19" s="618"/>
      <c r="AM19" s="618"/>
      <c r="AN19" s="618"/>
      <c r="AO19" s="618"/>
      <c r="AP19" s="618"/>
      <c r="AQ19" s="1256">
        <v>0</v>
      </c>
    </row>
    <row s="10306" customFormat="1" customHeight="1" ht="12" hidden="1">
      <c r="L20" s="1574"/>
      <c r="M20" s="1458"/>
      <c r="N20" s="1458"/>
      <c r="O20" s="1460" t="s">
        <v>503</v>
      </c>
      <c r="P20" s="1458"/>
      <c r="Q20" s="1538"/>
      <c r="R20" s="1538"/>
      <c r="S20" s="836"/>
      <c r="T20" s="1256" t="s">
        <v>504</v>
      </c>
      <c r="Z20" s="294" t="s">
        <v>505</v>
      </c>
      <c r="AB20" s="294" t="s">
        <v>506</v>
      </c>
      <c r="AC20" s="1256" t="s">
        <v>504</v>
      </c>
      <c r="AG20" s="294" t="s">
        <v>507</v>
      </c>
      <c r="AI20" s="294" t="s">
        <v>506</v>
      </c>
      <c r="AQ20" s="1256">
        <v>0</v>
      </c>
    </row>
    <row customHeight="1" ht="14.25" hidden="1">
      <c r="O21" s="1460"/>
      <c r="AQ21" s="1251">
        <v>0</v>
      </c>
    </row>
    <row customHeight="1" ht="14.25" hidden="1">
      <c r="O22" s="1460"/>
      <c r="AQ22" s="1251">
        <v>0</v>
      </c>
    </row>
    <row customHeight="1" ht="14.699999999999998">
      <c r="Q23" s="483"/>
      <c r="R23" s="483"/>
      <c r="S23" s="1371"/>
      <c r="T23" s="470"/>
      <c r="U23" s="470"/>
      <c r="V23" s="616"/>
      <c r="W23" s="616"/>
      <c r="X23" s="616"/>
      <c r="Y23" s="616"/>
      <c r="Z23" s="616"/>
      <c r="AA23" s="616"/>
      <c r="AB23" s="616"/>
      <c r="AC23" s="616"/>
      <c r="AD23" s="616"/>
      <c r="AE23" s="616"/>
      <c r="AF23" s="616"/>
      <c r="AG23" s="616"/>
      <c r="AH23" s="616"/>
      <c r="AI23" s="616"/>
      <c r="AQ23" s="1251">
        <v>14</v>
      </c>
    </row>
    <row customHeight="1" ht="14.699999999999998">
      <c r="Q24" s="483"/>
      <c r="R24" s="483"/>
      <c r="S24" s="309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096"/>
      <c r="U24" s="3096"/>
      <c r="V24" s="3096"/>
      <c r="W24" s="3096"/>
      <c r="X24" s="3096"/>
      <c r="Y24" s="3096"/>
      <c r="Z24" s="3096"/>
      <c r="AA24" s="3096"/>
      <c r="AB24" s="3096"/>
      <c r="AC24" s="3096"/>
      <c r="AD24" s="3096"/>
      <c r="AE24" s="3096"/>
      <c r="AF24" s="3096"/>
      <c r="AG24" s="3096"/>
      <c r="AH24" s="3096"/>
      <c r="AI24" s="1339"/>
      <c r="AQ24" s="1251">
        <v>14</v>
      </c>
    </row>
    <row customHeight="1" ht="14.699999999999998">
      <c r="Q25" s="483"/>
      <c r="R25" s="483"/>
      <c r="S25" s="3069" t="str">
        <f>IF(org=0,"Не определено",org)</f>
        <v>АО "ДГК"</v>
      </c>
      <c r="T25" s="3069"/>
      <c r="U25" s="3069"/>
      <c r="V25" s="3069"/>
      <c r="W25" s="3069"/>
      <c r="X25" s="3069"/>
      <c r="Y25" s="3069"/>
      <c r="Z25" s="3069"/>
      <c r="AA25" s="3069"/>
      <c r="AB25" s="3069"/>
      <c r="AC25" s="3069"/>
      <c r="AD25" s="3069"/>
      <c r="AE25" s="3069"/>
      <c r="AF25" s="3069"/>
      <c r="AG25" s="3069"/>
      <c r="AH25" s="3069"/>
      <c r="AI25" s="1339"/>
      <c r="AQ25" s="1251">
        <v>14</v>
      </c>
    </row>
    <row customHeight="1" ht="14.25" hidden="1">
      <c r="Q26" s="483"/>
      <c r="R26" s="483"/>
      <c r="S26" s="1371"/>
      <c r="T26" s="470"/>
      <c r="U26" s="470"/>
      <c r="V26" s="430"/>
      <c r="W26" s="430"/>
      <c r="X26" s="430"/>
      <c r="Y26" s="430"/>
      <c r="Z26" s="430"/>
      <c r="AA26" s="430"/>
      <c r="AB26" s="430"/>
      <c r="AC26" s="430"/>
      <c r="AD26" s="430"/>
      <c r="AE26" s="430"/>
      <c r="AF26" s="430"/>
      <c r="AG26" s="430"/>
      <c r="AH26" s="430"/>
      <c r="AI26" s="430"/>
      <c r="AJ26" s="616"/>
      <c r="AQ26" s="1251">
        <v>0</v>
      </c>
    </row>
    <row s="10446" customFormat="1" customHeight="1" ht="25.5" hidden="1">
      <c r="A27" s="1464"/>
      <c r="B27" s="1464"/>
      <c r="C27" s="1464"/>
      <c r="D27" s="1464"/>
      <c r="E27" s="1464"/>
      <c r="F27" s="1464"/>
      <c r="G27" s="1464"/>
      <c r="H27" s="1464"/>
      <c r="I27" s="1464"/>
      <c r="J27" s="1464"/>
      <c r="K27" s="1464"/>
      <c r="L27" s="1465"/>
      <c r="M27" s="1464"/>
      <c r="N27" s="1464"/>
      <c r="O27" s="1464"/>
      <c r="S27" s="3106" t="s">
        <v>41</v>
      </c>
      <c r="T27" s="3106"/>
      <c r="U27" s="1468"/>
      <c r="V27" s="3108" t="str">
        <f>IF(TITLE_NAME_OR_PR_CHANGE="",IF(TITLE_NAME_OR_PR="","",TITLE_NAME_OR_PR),TITLE_NAME_OR_PR_CHANGE)</f>
        <v/>
      </c>
      <c r="W27" s="3108"/>
      <c r="X27" s="3108"/>
      <c r="Y27" s="3108"/>
      <c r="Z27" s="3108"/>
      <c r="AA27" s="3108"/>
      <c r="AB27" s="434"/>
      <c r="AC27" s="3108" t="str">
        <f>IF(TITLE_NAME_OR_PR_CHANGE="",IF(TITLE_NAME_OR_PR="","",TITLE_NAME_OR_PR),TITLE_NAME_OR_PR_CHANGE)</f>
        <v/>
      </c>
      <c r="AD27" s="3108"/>
      <c r="AE27" s="3108"/>
      <c r="AF27" s="3108"/>
      <c r="AG27" s="3108"/>
      <c r="AH27" s="3108"/>
      <c r="AI27" s="434"/>
      <c r="AJ27" s="434"/>
      <c r="AK27" s="388"/>
      <c r="AL27" s="475"/>
      <c r="AM27" s="475"/>
      <c r="AN27" s="475"/>
      <c r="AO27" s="475"/>
      <c r="AP27" s="475"/>
      <c r="AQ27" s="525">
        <v>0</v>
      </c>
    </row>
    <row s="10446" customFormat="1" customHeight="1" ht="18.75" hidden="1">
      <c r="A28" s="1464"/>
      <c r="B28" s="1464"/>
      <c r="C28" s="1464"/>
      <c r="D28" s="1464"/>
      <c r="E28" s="1464"/>
      <c r="F28" s="1464"/>
      <c r="G28" s="1464"/>
      <c r="H28" s="1464"/>
      <c r="I28" s="1464"/>
      <c r="J28" s="1464"/>
      <c r="K28" s="1464"/>
      <c r="L28" s="1465"/>
      <c r="M28" s="1464"/>
      <c r="N28" s="1464"/>
      <c r="O28" s="1464"/>
      <c r="S28" s="3106" t="s">
        <v>508</v>
      </c>
      <c r="T28" s="3106"/>
      <c r="U28" s="1468"/>
      <c r="V28" s="3107" t="str">
        <f>IF(TITLE_DATE_PR_CHANGE="",IF(TITLE_DATE_PR="","",TITLE_DATE_PR),TITLE_DATE_PR_CHANGE)</f>
        <v/>
      </c>
      <c r="W28" s="3107"/>
      <c r="X28" s="3107"/>
      <c r="Y28" s="3107"/>
      <c r="Z28" s="3107"/>
      <c r="AA28" s="3107"/>
      <c r="AB28" s="434"/>
      <c r="AC28" s="3107" t="str">
        <f>IF(TITLE_DATE_PR_CHANGE="",IF(TITLE_DATE_PR="","",TITLE_DATE_PR),TITLE_DATE_PR_CHANGE)</f>
        <v/>
      </c>
      <c r="AD28" s="3107"/>
      <c r="AE28" s="3107"/>
      <c r="AF28" s="3107"/>
      <c r="AG28" s="3107"/>
      <c r="AH28" s="3107"/>
      <c r="AI28" s="434"/>
      <c r="AJ28" s="434"/>
      <c r="AK28" s="388"/>
      <c r="AL28" s="475"/>
      <c r="AM28" s="475"/>
      <c r="AN28" s="475"/>
      <c r="AO28" s="475"/>
      <c r="AP28" s="475"/>
      <c r="AQ28" s="525">
        <v>0</v>
      </c>
    </row>
    <row s="10446" customFormat="1" customHeight="1" ht="18.75" hidden="1">
      <c r="A29" s="1464"/>
      <c r="B29" s="1464"/>
      <c r="C29" s="1464"/>
      <c r="D29" s="1464"/>
      <c r="E29" s="1464"/>
      <c r="F29" s="1464"/>
      <c r="G29" s="1464"/>
      <c r="H29" s="1464"/>
      <c r="I29" s="1464"/>
      <c r="J29" s="1464"/>
      <c r="K29" s="1464"/>
      <c r="L29" s="1465"/>
      <c r="M29" s="1464"/>
      <c r="N29" s="1464"/>
      <c r="O29" s="1464"/>
      <c r="S29" s="3106" t="s">
        <v>509</v>
      </c>
      <c r="T29" s="3106"/>
      <c r="U29" s="1468"/>
      <c r="V29" s="3108" t="str">
        <f>IF(TITLE_NUMBER_PR_CHANGE="",IF(TITLE_NUMBER_PR="","",TITLE_NUMBER_PR),TITLE_NUMBER_PR_CHANGE)</f>
        <v/>
      </c>
      <c r="W29" s="3108"/>
      <c r="X29" s="3108"/>
      <c r="Y29" s="3108"/>
      <c r="Z29" s="3108"/>
      <c r="AA29" s="3108"/>
      <c r="AB29" s="434"/>
      <c r="AC29" s="3108" t="str">
        <f>IF(TITLE_NUMBER_PR_CHANGE="",IF(TITLE_NUMBER_PR="","",TITLE_NUMBER_PR),TITLE_NUMBER_PR_CHANGE)</f>
        <v/>
      </c>
      <c r="AD29" s="3108"/>
      <c r="AE29" s="3108"/>
      <c r="AF29" s="3108"/>
      <c r="AG29" s="3108"/>
      <c r="AH29" s="3108"/>
      <c r="AI29" s="434"/>
      <c r="AJ29" s="434"/>
      <c r="AK29" s="388"/>
      <c r="AL29" s="475"/>
      <c r="AM29" s="475"/>
      <c r="AN29" s="475"/>
      <c r="AO29" s="475"/>
      <c r="AP29" s="475"/>
      <c r="AQ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42</v>
      </c>
      <c r="T30" s="3106"/>
      <c r="U30" s="1468"/>
      <c r="V30" s="3108" t="str">
        <f>IF(TITLE_IST_PUB_CHANGE="",IF(TITLE_IST_PUB="","",TITLE_IST_PUB),TITLE_IST_PUB_CHANGE)</f>
        <v/>
      </c>
      <c r="W30" s="3108"/>
      <c r="X30" s="3108"/>
      <c r="Y30" s="3108"/>
      <c r="Z30" s="3108"/>
      <c r="AA30" s="3108"/>
      <c r="AB30" s="434"/>
      <c r="AC30" s="3108" t="str">
        <f>IF(TITLE_IST_PUB_CHANGE="",IF(TITLE_IST_PUB="","",TITLE_IST_PUB),TITLE_IST_PUB_CHANGE)</f>
        <v/>
      </c>
      <c r="AD30" s="3108"/>
      <c r="AE30" s="3108"/>
      <c r="AF30" s="3108"/>
      <c r="AG30" s="3108"/>
      <c r="AH30" s="3108"/>
      <c r="AI30" s="434"/>
      <c r="AJ30" s="434"/>
      <c r="AK30" s="388"/>
      <c r="AL30" s="475"/>
      <c r="AM30" s="475"/>
      <c r="AN30" s="475"/>
      <c r="AO30" s="475"/>
      <c r="AP30" s="475"/>
      <c r="AQ30" s="525">
        <v>0</v>
      </c>
    </row>
    <row customHeight="1" ht="14.25" hidden="1">
      <c r="Q31" s="483"/>
      <c r="R31" s="483"/>
      <c r="S31" s="1371"/>
      <c r="T31" s="470"/>
      <c r="U31" s="470"/>
      <c r="V31" s="430"/>
      <c r="W31" s="430"/>
      <c r="X31" s="430"/>
      <c r="Y31" s="430"/>
      <c r="Z31" s="430"/>
      <c r="AA31" s="430"/>
      <c r="AB31" s="430"/>
      <c r="AC31" s="430"/>
      <c r="AD31" s="430"/>
      <c r="AE31" s="430"/>
      <c r="AF31" s="430"/>
      <c r="AG31" s="430"/>
      <c r="AH31" s="430"/>
      <c r="AI31" s="430"/>
      <c r="AJ31" s="616"/>
      <c r="AQ31" s="1251">
        <v>0</v>
      </c>
    </row>
    <row s="10446" customFormat="1" customHeight="1" ht="18.75" hidden="1">
      <c r="A32" s="1464"/>
      <c r="B32" s="1464"/>
      <c r="C32" s="1464"/>
      <c r="D32" s="1464"/>
      <c r="E32" s="1464"/>
      <c r="F32" s="1464"/>
      <c r="G32" s="1464"/>
      <c r="H32" s="1464"/>
      <c r="I32" s="1464"/>
      <c r="J32" s="1464"/>
      <c r="K32" s="1464"/>
      <c r="L32" s="1465"/>
      <c r="M32" s="1464"/>
      <c r="N32" s="1464"/>
      <c r="O32" s="1464"/>
      <c r="S32" s="3106" t="s">
        <v>510</v>
      </c>
      <c r="T32" s="3106"/>
      <c r="U32" s="1468"/>
      <c r="V32" s="3107" t="str">
        <f>IF(TITLE_DATE_PR_CHANGE="",IF(TITLE_DATE_PR="","",TITLE_DATE_PR),TITLE_DATE_PR_CHANGE)</f>
        <v/>
      </c>
      <c r="W32" s="3107"/>
      <c r="X32" s="3107"/>
      <c r="Y32" s="3107"/>
      <c r="Z32" s="3107"/>
      <c r="AA32" s="3107"/>
      <c r="AB32" s="434"/>
      <c r="AC32" s="3107" t="str">
        <f>IF(TITLE_DATE_PR_CHANGE="",IF(TITLE_DATE_PR="","",TITLE_DATE_PR),TITLE_DATE_PR_CHANGE)</f>
        <v/>
      </c>
      <c r="AD32" s="3107"/>
      <c r="AE32" s="3107"/>
      <c r="AF32" s="3107"/>
      <c r="AG32" s="3107"/>
      <c r="AH32" s="3107"/>
      <c r="AI32" s="434"/>
      <c r="AJ32" s="434"/>
      <c r="AK32" s="388"/>
      <c r="AL32" s="475"/>
      <c r="AM32" s="475"/>
      <c r="AN32" s="475"/>
      <c r="AO32" s="475"/>
      <c r="AP32" s="475"/>
      <c r="AQ32" s="525">
        <v>0</v>
      </c>
    </row>
    <row s="10446" customFormat="1" customHeight="1" ht="18.75" hidden="1">
      <c r="A33" s="1464"/>
      <c r="B33" s="1464"/>
      <c r="C33" s="1464"/>
      <c r="D33" s="1464"/>
      <c r="E33" s="1464"/>
      <c r="F33" s="1464"/>
      <c r="G33" s="1464"/>
      <c r="H33" s="1464"/>
      <c r="I33" s="1464"/>
      <c r="J33" s="1464"/>
      <c r="K33" s="1464"/>
      <c r="L33" s="1465"/>
      <c r="M33" s="1464"/>
      <c r="N33" s="1464"/>
      <c r="O33" s="1464"/>
      <c r="S33" s="3106" t="s">
        <v>511</v>
      </c>
      <c r="T33" s="3106"/>
      <c r="U33" s="1468"/>
      <c r="V33" s="3108" t="str">
        <f>IF(TITLE_NUMBER_PR_CHANGE="",IF(TITLE_NUMBER_PR="","",TITLE_NUMBER_PR),TITLE_NUMBER_PR_CHANGE)</f>
        <v/>
      </c>
      <c r="W33" s="3108"/>
      <c r="X33" s="3108"/>
      <c r="Y33" s="3108"/>
      <c r="Z33" s="3108"/>
      <c r="AA33" s="3108"/>
      <c r="AB33" s="434"/>
      <c r="AC33" s="3108" t="str">
        <f>IF(TITLE_NUMBER_PR_CHANGE="",IF(TITLE_NUMBER_PR="","",TITLE_NUMBER_PR),TITLE_NUMBER_PR_CHANGE)</f>
        <v/>
      </c>
      <c r="AD33" s="3108"/>
      <c r="AE33" s="3108"/>
      <c r="AF33" s="3108"/>
      <c r="AG33" s="3108"/>
      <c r="AH33" s="3108"/>
      <c r="AI33" s="434"/>
      <c r="AJ33" s="434"/>
      <c r="AK33" s="388"/>
      <c r="AL33" s="475"/>
      <c r="AM33" s="475"/>
      <c r="AN33" s="475"/>
      <c r="AO33" s="475"/>
      <c r="AP33" s="475"/>
      <c r="AQ33" s="525">
        <v>0</v>
      </c>
    </row>
    <row s="10446" customFormat="1" customHeight="1" ht="1.05">
      <c r="A34" s="1464"/>
      <c r="B34" s="1464"/>
      <c r="C34" s="1464"/>
      <c r="D34" s="1464"/>
      <c r="E34" s="1464"/>
      <c r="F34" s="1464"/>
      <c r="G34" s="1464"/>
      <c r="H34" s="1464"/>
      <c r="I34" s="1464"/>
      <c r="J34" s="1464"/>
      <c r="K34" s="1464"/>
      <c r="L34" s="1465"/>
      <c r="M34" s="1464"/>
      <c r="N34" s="1464"/>
      <c r="O34" s="1464"/>
      <c r="S34" s="431"/>
      <c r="T34" s="431"/>
      <c r="U34" s="1584"/>
      <c r="V34" s="434"/>
      <c r="W34" s="434"/>
      <c r="X34" s="434"/>
      <c r="Y34" s="434"/>
      <c r="Z34" s="434"/>
      <c r="AA34" s="434"/>
      <c r="AB34" s="386" t="s">
        <v>512</v>
      </c>
      <c r="AC34" s="434"/>
      <c r="AD34" s="434"/>
      <c r="AE34" s="434"/>
      <c r="AF34" s="434"/>
      <c r="AG34" s="434"/>
      <c r="AH34" s="434"/>
      <c r="AI34" s="386" t="s">
        <v>512</v>
      </c>
      <c r="AL34" s="475"/>
      <c r="AM34" s="475"/>
      <c r="AN34" s="475"/>
      <c r="AO34" s="475"/>
      <c r="AP34" s="475"/>
      <c r="AQ34" s="525">
        <v>1</v>
      </c>
    </row>
    <row customHeight="1" ht="14.699999999999998">
      <c r="Q35" s="483"/>
      <c r="R35" s="483"/>
      <c r="S35" s="1371"/>
      <c r="T35" s="470"/>
      <c r="U35" s="1340"/>
      <c r="V35" s="3127"/>
      <c r="W35" s="3127"/>
      <c r="X35" s="3127"/>
      <c r="Y35" s="3127"/>
      <c r="Z35" s="3127"/>
      <c r="AA35" s="3127"/>
      <c r="AB35" s="3127"/>
      <c r="AC35" s="3127"/>
      <c r="AD35" s="3127"/>
      <c r="AE35" s="3127"/>
      <c r="AF35" s="3127"/>
      <c r="AG35" s="3127"/>
      <c r="AH35" s="3127"/>
      <c r="AI35" s="3127"/>
      <c r="AQ35" s="1251">
        <v>14</v>
      </c>
    </row>
    <row customHeight="1" ht="14.699999999999998">
      <c r="Q36" s="483"/>
      <c r="R36" s="483"/>
      <c r="S36" s="2978" t="s">
        <v>385</v>
      </c>
      <c r="T36" s="2978"/>
      <c r="U36" s="2978"/>
      <c r="V36" s="2978"/>
      <c r="W36" s="2978"/>
      <c r="X36" s="2978"/>
      <c r="Y36" s="2978"/>
      <c r="Z36" s="2978"/>
      <c r="AA36" s="2978"/>
      <c r="AB36" s="2978"/>
      <c r="AC36" s="2978"/>
      <c r="AD36" s="2978"/>
      <c r="AE36" s="2978"/>
      <c r="AF36" s="2978"/>
      <c r="AG36" s="2978"/>
      <c r="AH36" s="2978"/>
      <c r="AI36" s="2978"/>
      <c r="AJ36" s="2978"/>
      <c r="AK36" s="2978" t="s">
        <v>386</v>
      </c>
      <c r="AQ36" s="1251">
        <v>14</v>
      </c>
    </row>
    <row customHeight="1" ht="14.699999999999998">
      <c r="Q37" s="483"/>
      <c r="R37" s="483"/>
      <c r="S37" s="3128" t="s">
        <v>88</v>
      </c>
      <c r="T37" s="3077" t="s">
        <v>513</v>
      </c>
      <c r="U37" s="409"/>
      <c r="V37" s="3129" t="s">
        <v>514</v>
      </c>
      <c r="W37" s="3130"/>
      <c r="X37" s="3130"/>
      <c r="Y37" s="3130"/>
      <c r="Z37" s="3130"/>
      <c r="AA37" s="3131"/>
      <c r="AB37" s="3132" t="s">
        <v>515</v>
      </c>
      <c r="AC37" s="3129" t="s">
        <v>514</v>
      </c>
      <c r="AD37" s="3130"/>
      <c r="AE37" s="3130"/>
      <c r="AF37" s="3130"/>
      <c r="AG37" s="3130"/>
      <c r="AH37" s="3131"/>
      <c r="AI37" s="3132" t="s">
        <v>516</v>
      </c>
      <c r="AJ37" s="3135" t="s">
        <v>517</v>
      </c>
      <c r="AK37" s="2978"/>
      <c r="AQ37" s="1251">
        <v>14</v>
      </c>
    </row>
    <row customHeight="1" ht="35.699999999999996">
      <c r="Q38" s="483"/>
      <c r="R38" s="483"/>
      <c r="S38" s="3128"/>
      <c r="T38" s="3077"/>
      <c r="U38" s="1131"/>
      <c r="V38" s="1579" t="s">
        <v>574</v>
      </c>
      <c r="W38" s="2959" t="s">
        <v>520</v>
      </c>
      <c r="X38" s="2958"/>
      <c r="Y38" s="2959" t="s">
        <v>521</v>
      </c>
      <c r="Z38" s="2965"/>
      <c r="AA38" s="2958"/>
      <c r="AB38" s="3133"/>
      <c r="AC38" s="1579" t="s">
        <v>574</v>
      </c>
      <c r="AD38" s="2959" t="s">
        <v>520</v>
      </c>
      <c r="AE38" s="2958"/>
      <c r="AF38" s="2959" t="s">
        <v>521</v>
      </c>
      <c r="AG38" s="2965"/>
      <c r="AH38" s="2958"/>
      <c r="AI38" s="3133"/>
      <c r="AJ38" s="3136"/>
      <c r="AK38" s="2978"/>
      <c r="AQ38" s="1251">
        <v>34</v>
      </c>
    </row>
    <row customHeight="1" ht="90.3">
      <c r="A39" s="1466"/>
      <c r="B39" s="1466" t="s">
        <v>222</v>
      </c>
      <c r="C39" s="1466" t="s">
        <v>223</v>
      </c>
      <c r="D39" s="1466" t="s">
        <v>224</v>
      </c>
      <c r="E39" s="1460" t="s">
        <v>522</v>
      </c>
      <c r="F39" s="1460" t="s">
        <v>523</v>
      </c>
      <c r="G39" s="1460" t="s">
        <v>524</v>
      </c>
      <c r="H39" s="1460"/>
      <c r="I39" s="1460" t="s">
        <v>575</v>
      </c>
      <c r="J39" s="1460" t="s">
        <v>527</v>
      </c>
      <c r="K39" s="1460" t="s">
        <v>576</v>
      </c>
      <c r="L39" s="1460" t="s">
        <v>503</v>
      </c>
      <c r="Q39" s="483"/>
      <c r="R39" s="483"/>
      <c r="S39" s="3128"/>
      <c r="T39" s="3077"/>
      <c r="U39" s="410"/>
      <c r="V39" s="1579" t="s">
        <v>603</v>
      </c>
      <c r="W39" s="1318" t="s">
        <v>604</v>
      </c>
      <c r="X39" s="1318" t="s">
        <v>579</v>
      </c>
      <c r="Y39" s="1585" t="s">
        <v>531</v>
      </c>
      <c r="Z39" s="3082" t="s">
        <v>532</v>
      </c>
      <c r="AA39" s="3095"/>
      <c r="AB39" s="3134"/>
      <c r="AC39" s="1579" t="s">
        <v>603</v>
      </c>
      <c r="AD39" s="1318" t="s">
        <v>604</v>
      </c>
      <c r="AE39" s="1318" t="s">
        <v>579</v>
      </c>
      <c r="AF39" s="1585" t="s">
        <v>531</v>
      </c>
      <c r="AG39" s="3082" t="s">
        <v>532</v>
      </c>
      <c r="AH39" s="3095"/>
      <c r="AI39" s="3134"/>
      <c r="AJ39" s="3137"/>
      <c r="AK39" s="2978"/>
      <c r="AQ39" s="1251">
        <v>86</v>
      </c>
    </row>
    <row s="10851" customFormat="1" customHeight="1" ht="14.25" hidden="1">
      <c r="A40" s="1466"/>
      <c r="B40" s="1466"/>
      <c r="C40" s="1466"/>
      <c r="D40" s="1466"/>
      <c r="E40" s="1466"/>
      <c r="F40" s="1466"/>
      <c r="G40" s="1466"/>
      <c r="H40" s="1466"/>
      <c r="I40" s="1466"/>
      <c r="J40" s="1466"/>
      <c r="K40" s="1466"/>
      <c r="L40" s="1460"/>
      <c r="M40" s="1458"/>
      <c r="N40" s="1458"/>
      <c r="O40" s="1458"/>
      <c r="P40" s="1342"/>
      <c r="Q40" s="1343"/>
      <c r="R40" s="1350">
        <v>1</v>
      </c>
      <c r="S40" s="1373" t="s">
        <v>144</v>
      </c>
      <c r="T40" s="1351" t="s">
        <v>102</v>
      </c>
      <c r="U40" s="1341" t="str">
        <f>OFFSET(U40,0,-1)</f>
        <v>2</v>
      </c>
      <c r="V40" s="1578">
        <f>OFFSET(V40,0,-1)+1</f>
        <v>3</v>
      </c>
      <c r="W40" s="1578">
        <f>OFFSET(W40,0,-1)+1</f>
        <v>4</v>
      </c>
      <c r="X40" s="1578">
        <f>OFFSET(X40,0,-1)+1</f>
        <v>5</v>
      </c>
      <c r="Y40" s="1578">
        <f>OFFSET(Y40,0,-1)+1</f>
        <v>6</v>
      </c>
      <c r="Z40" s="3126">
        <f>OFFSET(Z40,0,-1)+1</f>
        <v>7</v>
      </c>
      <c r="AA40" s="3126"/>
      <c r="AB40" s="1578">
        <f>OFFSET(AB40,0,-2)+1</f>
        <v>8</v>
      </c>
      <c r="AC40" s="1578">
        <f>OFFSET(AC40,0,-1)+1</f>
        <v>9</v>
      </c>
      <c r="AD40" s="1578">
        <f>OFFSET(AD40,0,-1)+1</f>
        <v>10</v>
      </c>
      <c r="AE40" s="1578">
        <f>OFFSET(AE40,0,-1)+1</f>
        <v>11</v>
      </c>
      <c r="AF40" s="1578">
        <f>OFFSET(AF40,0,-1)+1</f>
        <v>12</v>
      </c>
      <c r="AG40" s="3126">
        <f>OFFSET(AG40,0,-1)+1</f>
        <v>13</v>
      </c>
      <c r="AH40" s="3126"/>
      <c r="AI40" s="1578">
        <f>OFFSET(AI40,0,-2)+1</f>
        <v>14</v>
      </c>
      <c r="AJ40" s="1341">
        <f>OFFSET(AJ40,0,-1)</f>
        <v>14</v>
      </c>
      <c r="AK40" s="1578">
        <f>OFFSET(AK40,0,-1)+1</f>
        <v>15</v>
      </c>
      <c r="AL40" s="618"/>
      <c r="AM40" s="618"/>
      <c r="AN40" s="618"/>
      <c r="AO40" s="618"/>
      <c r="AP40" s="618"/>
      <c r="AQ40" s="603">
        <v>0</v>
      </c>
    </row>
    <row customHeight="1" ht="24">
      <c r="A41" s="1459" t="s">
        <v>356</v>
      </c>
      <c r="B41" s="1459"/>
      <c r="C41" s="1459"/>
      <c r="D41" s="1459"/>
      <c r="E41" s="3115">
        <v>1</v>
      </c>
      <c r="F41" s="1459"/>
      <c r="G41" s="1459"/>
      <c r="H41" s="1459"/>
      <c r="I41" s="1459"/>
      <c r="J41" s="1459"/>
      <c r="K41" s="1459"/>
      <c r="L41" s="1460"/>
      <c r="M41" s="1461"/>
      <c r="N41" s="1461"/>
      <c r="O41" s="1461"/>
      <c r="P41" s="468"/>
      <c r="Q41" s="467"/>
      <c r="R41" s="462"/>
      <c r="S41" s="1589">
        <f>INDEX(PT_DIFFERENTIATION_NUM_NTAR,MATCH(A41,PT_DIFFERENTIATION_NTAR_ID,0))</f>
        <v>0</v>
      </c>
      <c r="T41" s="406" t="s">
        <v>210</v>
      </c>
      <c r="U41" s="408"/>
      <c r="V41" s="3109"/>
      <c r="W41" s="3110"/>
      <c r="X41" s="3110"/>
      <c r="Y41" s="3110"/>
      <c r="Z41" s="3110"/>
      <c r="AA41" s="3110"/>
      <c r="AB41" s="3111"/>
      <c r="AC41" s="3109" t="str">
        <f>INDEX(PT_DIFFERENTIATION_NTAR,MATCH(A41,PT_DIFFERENTIATION_NTAR_ID,0))</f>
        <v/>
      </c>
      <c r="AD41" s="3110"/>
      <c r="AE41" s="3110"/>
      <c r="AF41" s="3110"/>
      <c r="AG41" s="3110"/>
      <c r="AH41" s="3110"/>
      <c r="AI41" s="3110"/>
      <c r="AJ41" s="3111"/>
      <c r="AK41"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7"/>
      <c r="AN41" s="607" t="str">
        <f>IF(T41="","",T41)</f>
        <v>Наименование тарифа</v>
      </c>
      <c r="AO41" s="607"/>
      <c r="AP41" s="607"/>
      <c r="AQ41" s="1251">
        <v>23</v>
      </c>
    </row>
    <row customHeight="1" ht="24">
      <c r="A42" s="1459" t="s">
        <v>356</v>
      </c>
      <c r="B42" s="1459" t="s">
        <v>357</v>
      </c>
      <c r="C42" s="1459"/>
      <c r="D42" s="1459"/>
      <c r="E42" s="3116"/>
      <c r="F42" s="3115">
        <v>1</v>
      </c>
      <c r="G42" s="1459"/>
      <c r="H42" s="1459"/>
      <c r="I42" s="1459"/>
      <c r="J42" s="1459"/>
      <c r="K42" s="1459"/>
      <c r="L42" s="1460"/>
      <c r="M42" s="1461"/>
      <c r="N42" s="1461"/>
      <c r="O42" s="1461"/>
      <c r="P42" s="1583"/>
      <c r="Q42" s="459"/>
      <c r="R42" s="460"/>
      <c r="S42" s="1589" t="str">
        <f>INDEX(PT_DIFFERENTIATION_NUM_TER,MATCH(B42,PT_DIFFERENTIATION_TER_ID,0))</f>
        <v>.</v>
      </c>
      <c r="T42" s="416" t="s">
        <v>482</v>
      </c>
      <c r="U42" s="408"/>
      <c r="V42" s="3109"/>
      <c r="W42" s="3110"/>
      <c r="X42" s="3110"/>
      <c r="Y42" s="3110"/>
      <c r="Z42" s="3110"/>
      <c r="AA42" s="3110"/>
      <c r="AB42" s="3111"/>
      <c r="AC42" s="3109" t="str">
        <f>INDEX(PT_DIFFERENTIATION_TER,MATCH(B42,PT_DIFFERENTIATION_TER_ID,0))</f>
        <v/>
      </c>
      <c r="AD42" s="3110"/>
      <c r="AE42" s="3110"/>
      <c r="AF42" s="3110"/>
      <c r="AG42" s="3110"/>
      <c r="AH42" s="3110"/>
      <c r="AI42" s="3110"/>
      <c r="AJ42" s="3111"/>
      <c r="AK42" s="1354" t="s">
        <v>483</v>
      </c>
      <c r="AM42" s="607"/>
      <c r="AN42" s="607" t="str">
        <f>IF(T42="","",T42)</f>
        <v>Территория действия тарифа</v>
      </c>
      <c r="AO42" s="607"/>
      <c r="AP42" s="607"/>
      <c r="AQ42" s="1251">
        <v>23</v>
      </c>
    </row>
    <row customHeight="1" ht="24">
      <c r="A43" s="1459" t="s">
        <v>356</v>
      </c>
      <c r="B43" s="1459" t="s">
        <v>357</v>
      </c>
      <c r="C43" s="1459" t="s">
        <v>358</v>
      </c>
      <c r="D43" s="1459"/>
      <c r="E43" s="3116"/>
      <c r="F43" s="3116"/>
      <c r="G43" s="3115">
        <v>1</v>
      </c>
      <c r="H43" s="1459"/>
      <c r="I43" s="1459"/>
      <c r="J43" s="1459"/>
      <c r="K43" s="1459"/>
      <c r="L43" s="1460"/>
      <c r="M43" s="1461"/>
      <c r="N43" s="1461"/>
      <c r="O43" s="1461"/>
      <c r="P43" s="461"/>
      <c r="Q43" s="459"/>
      <c r="R43" s="460"/>
      <c r="S43" s="1589" t="str">
        <f>INDEX(PT_DIFFERENTIATION_NUM_CS,MATCH(C43,PT_DIFFERENTIATION_CS_ID,0))</f>
        <v>..</v>
      </c>
      <c r="T43" s="417" t="s">
        <v>601</v>
      </c>
      <c r="U43" s="408"/>
      <c r="V43" s="3109"/>
      <c r="W43" s="3110"/>
      <c r="X43" s="3110"/>
      <c r="Y43" s="3110"/>
      <c r="Z43" s="3110"/>
      <c r="AA43" s="3110"/>
      <c r="AB43" s="3111"/>
      <c r="AC43" s="3109" t="str">
        <f>INDEX(PT_DIFFERENTIATION_CS,MATCH(C43,PT_DIFFERENTIATION_CS_ID,0))</f>
        <v/>
      </c>
      <c r="AD43" s="3110"/>
      <c r="AE43" s="3110"/>
      <c r="AF43" s="3110"/>
      <c r="AG43" s="3110"/>
      <c r="AH43" s="3110"/>
      <c r="AI43" s="3110"/>
      <c r="AJ43" s="3111"/>
      <c r="AK43" s="1354" t="s">
        <v>602</v>
      </c>
      <c r="AM43" s="607"/>
      <c r="AN43" s="607" t="str">
        <f>IF(T43="","",T43)</f>
        <v>Наименование централизованной системы водоотведения</v>
      </c>
      <c r="AO43" s="607"/>
      <c r="AP43" s="607"/>
      <c r="AQ43" s="1251">
        <v>23</v>
      </c>
    </row>
    <row customHeight="1" ht="24">
      <c r="A44" s="1459" t="s">
        <v>356</v>
      </c>
      <c r="B44" s="1459" t="s">
        <v>357</v>
      </c>
      <c r="C44" s="1459" t="s">
        <v>358</v>
      </c>
      <c r="D44" s="1459" t="s">
        <v>606</v>
      </c>
      <c r="E44" s="3116"/>
      <c r="F44" s="3116"/>
      <c r="G44" s="3116"/>
      <c r="H44" s="3116"/>
      <c r="I44" s="3117" t="str">
        <f>S43&amp;".1"</f>
        <v>...1</v>
      </c>
      <c r="J44" s="1459"/>
      <c r="K44" s="1459"/>
      <c r="L44" s="1460"/>
      <c r="P44" s="3119">
        <v>1</v>
      </c>
      <c r="Q44" s="1577"/>
      <c r="R44" s="463"/>
      <c r="S44" s="1589" t="str">
        <f>$I44</f>
        <v>...1</v>
      </c>
      <c r="T44" s="393" t="s">
        <v>568</v>
      </c>
      <c r="U44" s="408"/>
      <c r="V44" s="3183"/>
      <c r="W44" s="3184"/>
      <c r="X44" s="3184"/>
      <c r="Y44" s="3184"/>
      <c r="Z44" s="3184"/>
      <c r="AA44" s="3184"/>
      <c r="AB44" s="3185"/>
      <c r="AC44" s="3186"/>
      <c r="AD44" s="3187"/>
      <c r="AE44" s="3187"/>
      <c r="AF44" s="3187"/>
      <c r="AG44" s="3187"/>
      <c r="AH44" s="3187"/>
      <c r="AI44" s="3187"/>
      <c r="AJ44" s="3188"/>
      <c r="AK44" s="1354" t="s">
        <v>569</v>
      </c>
      <c r="AM44" s="607"/>
      <c r="AN44" s="607" t="str">
        <f>IF(T44="","",T44)</f>
        <v>Наименование признака дифференциации</v>
      </c>
      <c r="AO44" s="607"/>
      <c r="AP44" s="607"/>
      <c r="AQ44" s="1251">
        <v>23</v>
      </c>
    </row>
    <row customHeight="1" ht="24">
      <c r="A45" s="1459" t="s">
        <v>356</v>
      </c>
      <c r="B45" s="1459" t="s">
        <v>357</v>
      </c>
      <c r="C45" s="1459" t="s">
        <v>358</v>
      </c>
      <c r="D45" s="1459" t="s">
        <v>606</v>
      </c>
      <c r="E45" s="3116"/>
      <c r="F45" s="3116"/>
      <c r="G45" s="3116"/>
      <c r="H45" s="3116"/>
      <c r="I45" s="3118"/>
      <c r="J45" s="3117" t="str">
        <f>I44&amp;".1"</f>
        <v>...1.1</v>
      </c>
      <c r="K45" s="1459"/>
      <c r="L45" s="1460" t="s">
        <v>491</v>
      </c>
      <c r="P45" s="3119"/>
      <c r="Q45" s="3119">
        <v>1</v>
      </c>
      <c r="R45" s="464"/>
      <c r="S45" s="1589" t="str">
        <f>$J45</f>
        <v>...1.1</v>
      </c>
      <c r="T45" s="394" t="s">
        <v>492</v>
      </c>
      <c r="U45" s="408"/>
      <c r="V45" s="3103"/>
      <c r="W45" s="3104"/>
      <c r="X45" s="3104"/>
      <c r="Y45" s="3104"/>
      <c r="Z45" s="3104"/>
      <c r="AA45" s="3104"/>
      <c r="AB45" s="3105"/>
      <c r="AC45" s="3103"/>
      <c r="AD45" s="3104"/>
      <c r="AE45" s="3104"/>
      <c r="AF45" s="3104"/>
      <c r="AG45" s="3104"/>
      <c r="AH45" s="3104"/>
      <c r="AI45" s="3104"/>
      <c r="AJ45" s="3105"/>
      <c r="AK45" s="1403" t="s">
        <v>570</v>
      </c>
      <c r="AM45" s="607"/>
      <c r="AN45" s="607" t="str">
        <f>IF(T45="","",T45)</f>
        <v>Группа потребителей</v>
      </c>
      <c r="AO45" s="607"/>
      <c r="AP45" s="607"/>
      <c r="AQ45" s="1251">
        <v>23</v>
      </c>
    </row>
    <row customHeight="1" ht="24">
      <c r="A46" s="1459" t="s">
        <v>356</v>
      </c>
      <c r="B46" s="1459" t="s">
        <v>357</v>
      </c>
      <c r="C46" s="1459" t="s">
        <v>358</v>
      </c>
      <c r="D46" s="1459" t="s">
        <v>606</v>
      </c>
      <c r="E46" s="3116"/>
      <c r="F46" s="3116"/>
      <c r="G46" s="3116"/>
      <c r="H46" s="3116"/>
      <c r="I46" s="3118"/>
      <c r="J46" s="3118"/>
      <c r="K46" s="3117" t="str">
        <f>J45&amp;".1"</f>
        <v>...1.1.1</v>
      </c>
      <c r="L46" s="1460"/>
      <c r="P46" s="3119"/>
      <c r="Q46" s="3119"/>
      <c r="R46" s="464">
        <v>1</v>
      </c>
      <c r="S46" s="1589" t="str">
        <f>$K46</f>
        <v>...1.1.1</v>
      </c>
      <c r="T46" s="1533"/>
      <c r="U46" s="408"/>
      <c r="V46" s="1456"/>
      <c r="W46" s="1456"/>
      <c r="X46" s="1457"/>
      <c r="Y46" s="3113"/>
      <c r="Z46" s="3112" t="s">
        <v>62</v>
      </c>
      <c r="AA46" s="3113"/>
      <c r="AB46" s="3112" t="s">
        <v>62</v>
      </c>
      <c r="AC46" s="858"/>
      <c r="AD46" s="858"/>
      <c r="AE46" s="1353"/>
      <c r="AF46" s="3120"/>
      <c r="AG46" s="2989" t="s">
        <v>62</v>
      </c>
      <c r="AH46" s="3122"/>
      <c r="AI46" s="2989" t="s">
        <v>19</v>
      </c>
      <c r="AJ46" s="1534"/>
      <c r="AK46"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8">
        <f>STRCHECKDATE(V47:AJ47)</f>
      </c>
      <c r="AM46" s="607"/>
      <c r="AN46" s="607" t="str">
        <f>IF(T46="","",T46)</f>
        <v/>
      </c>
      <c r="AO46" s="607"/>
      <c r="AP46" s="607"/>
      <c r="AQ46" s="1251">
        <v>23</v>
      </c>
    </row>
    <row customHeight="1" ht="14.25" hidden="1">
      <c r="A47" s="1459" t="s">
        <v>356</v>
      </c>
      <c r="B47" s="1459" t="s">
        <v>357</v>
      </c>
      <c r="C47" s="1459" t="s">
        <v>358</v>
      </c>
      <c r="D47" s="1459" t="s">
        <v>606</v>
      </c>
      <c r="E47" s="3116"/>
      <c r="F47" s="3116"/>
      <c r="G47" s="3116"/>
      <c r="H47" s="3116"/>
      <c r="I47" s="3118"/>
      <c r="J47" s="3118"/>
      <c r="K47" s="3117"/>
      <c r="L47" s="1460"/>
      <c r="P47" s="3119"/>
      <c r="Q47" s="3119"/>
      <c r="R47" s="464"/>
      <c r="S47" s="1586"/>
      <c r="T47" s="408"/>
      <c r="U47" s="408"/>
      <c r="V47" s="1456"/>
      <c r="W47" s="1456"/>
      <c r="X47" s="436" t="str">
        <f>Y46&amp;"-"&amp;AA46</f>
        <v>-</v>
      </c>
      <c r="Y47" s="3112"/>
      <c r="Z47" s="3112"/>
      <c r="AA47" s="3112"/>
      <c r="AB47" s="3112"/>
      <c r="AC47" s="433"/>
      <c r="AD47" s="433"/>
      <c r="AE47" s="436" t="str">
        <f>AF46&amp;"-"&amp;AH46</f>
        <v>-</v>
      </c>
      <c r="AF47" s="3121"/>
      <c r="AG47" s="2989"/>
      <c r="AH47" s="3123"/>
      <c r="AI47" s="2989"/>
      <c r="AJ47" s="1535"/>
      <c r="AK47" s="3189"/>
      <c r="AM47" s="607"/>
      <c r="AN47" s="607" t="str">
        <f>IF(T47="","",T47)</f>
        <v/>
      </c>
      <c r="AO47" s="607"/>
      <c r="AP47" s="607"/>
      <c r="AQ47" s="1251">
        <v>0</v>
      </c>
    </row>
    <row customHeight="1" ht="21">
      <c r="A48" s="1459" t="s">
        <v>356</v>
      </c>
      <c r="B48" s="1459" t="s">
        <v>357</v>
      </c>
      <c r="C48" s="1459" t="s">
        <v>358</v>
      </c>
      <c r="D48" s="1459" t="s">
        <v>606</v>
      </c>
      <c r="E48" s="3116"/>
      <c r="F48" s="3116"/>
      <c r="G48" s="3116"/>
      <c r="H48" s="3116"/>
      <c r="I48" s="3118"/>
      <c r="J48" s="3117"/>
      <c r="K48" s="1459"/>
      <c r="L48" s="1460"/>
      <c r="P48" s="3119"/>
      <c r="Q48" s="3119"/>
      <c r="R48" s="463"/>
      <c r="S48" s="1374"/>
      <c r="T48" s="395" t="s">
        <v>571</v>
      </c>
      <c r="U48" s="474"/>
      <c r="V48" s="474"/>
      <c r="W48" s="474"/>
      <c r="X48" s="474"/>
      <c r="Y48" s="474"/>
      <c r="Z48" s="474"/>
      <c r="AA48" s="474"/>
      <c r="AB48" s="474"/>
      <c r="AC48" s="474"/>
      <c r="AD48" s="474"/>
      <c r="AE48" s="474"/>
      <c r="AF48" s="474"/>
      <c r="AG48" s="474"/>
      <c r="AH48" s="474"/>
      <c r="AI48" s="474"/>
      <c r="AJ48" s="474"/>
      <c r="AK48" s="1354" t="s">
        <v>572</v>
      </c>
      <c r="AM48" s="607"/>
      <c r="AN48" s="607" t="str">
        <f>IF(T48="","",T48)</f>
        <v>Добавить значение признака дифференциации</v>
      </c>
      <c r="AO48" s="607"/>
      <c r="AP48" s="607"/>
      <c r="AQ48" s="1251">
        <v>20</v>
      </c>
    </row>
    <row customHeight="1" ht="22.049999999999997">
      <c r="A49" s="1459" t="s">
        <v>356</v>
      </c>
      <c r="B49" s="1459" t="s">
        <v>357</v>
      </c>
      <c r="C49" s="1459" t="s">
        <v>358</v>
      </c>
      <c r="D49" s="1459" t="s">
        <v>606</v>
      </c>
      <c r="E49" s="3116"/>
      <c r="F49" s="3116"/>
      <c r="G49" s="3116"/>
      <c r="H49" s="3116"/>
      <c r="I49" s="3117"/>
      <c r="J49" s="1459"/>
      <c r="K49" s="1459"/>
      <c r="L49" s="1460"/>
      <c r="P49" s="3119"/>
      <c r="Q49" s="1577"/>
      <c r="R49" s="463"/>
      <c r="S49" s="1374"/>
      <c r="T49" s="472" t="s">
        <v>497</v>
      </c>
      <c r="U49" s="474"/>
      <c r="V49" s="474"/>
      <c r="W49" s="474"/>
      <c r="X49" s="474"/>
      <c r="Y49" s="474"/>
      <c r="Z49" s="474"/>
      <c r="AA49" s="474"/>
      <c r="AB49" s="473"/>
      <c r="AC49" s="474"/>
      <c r="AD49" s="474"/>
      <c r="AE49" s="474"/>
      <c r="AF49" s="474"/>
      <c r="AG49" s="474"/>
      <c r="AH49" s="474"/>
      <c r="AI49" s="473"/>
      <c r="AJ49" s="474"/>
      <c r="AK49" s="1536"/>
      <c r="AM49" s="607"/>
      <c r="AN49" s="607" t="str">
        <f>IF(T49="","",T49)</f>
        <v>Добавить группу потребителей</v>
      </c>
      <c r="AO49" s="607"/>
      <c r="AP49" s="607"/>
      <c r="AQ49" s="1251">
        <v>21</v>
      </c>
    </row>
    <row customHeight="1" ht="22.049999999999997">
      <c r="A50" s="1459" t="s">
        <v>356</v>
      </c>
      <c r="B50" s="1459" t="s">
        <v>357</v>
      </c>
      <c r="C50" s="1459" t="s">
        <v>358</v>
      </c>
      <c r="D50" s="1459" t="s">
        <v>606</v>
      </c>
      <c r="E50" s="3116"/>
      <c r="F50" s="3116"/>
      <c r="G50" s="3116"/>
      <c r="H50" s="3115"/>
      <c r="I50" s="1459"/>
      <c r="J50" s="1459"/>
      <c r="K50" s="1459"/>
      <c r="L50" s="1460"/>
      <c r="M50" s="1461"/>
      <c r="N50" s="1461"/>
      <c r="O50" s="644"/>
      <c r="P50" s="467"/>
      <c r="Q50" s="482"/>
      <c r="R50" s="462"/>
      <c r="S50" s="1374"/>
      <c r="T50" s="479" t="s">
        <v>573</v>
      </c>
      <c r="U50" s="474"/>
      <c r="V50" s="474"/>
      <c r="W50" s="474"/>
      <c r="X50" s="474"/>
      <c r="Y50" s="474"/>
      <c r="Z50" s="474"/>
      <c r="AA50" s="474"/>
      <c r="AB50" s="473"/>
      <c r="AC50" s="474"/>
      <c r="AD50" s="474"/>
      <c r="AE50" s="474"/>
      <c r="AF50" s="474"/>
      <c r="AG50" s="474"/>
      <c r="AH50" s="474"/>
      <c r="AI50" s="473"/>
      <c r="AJ50" s="474"/>
      <c r="AK50" s="411"/>
      <c r="AM50" s="607"/>
      <c r="AN50" s="607" t="str">
        <f>IF(T50="","",T50)</f>
        <v>Добавить наименование признака дифференциации</v>
      </c>
      <c r="AO50" s="607"/>
      <c r="AP50" s="607"/>
      <c r="AQ50" s="1251">
        <v>21</v>
      </c>
    </row>
    <row s="10307" customFormat="1" customHeight="1" ht="14.25" hidden="1">
      <c r="A51" s="1439" t="s">
        <v>356</v>
      </c>
      <c r="B51" s="1439" t="s">
        <v>357</v>
      </c>
      <c r="C51" s="1410"/>
      <c r="D51" s="1410"/>
      <c r="E51" s="3116"/>
      <c r="F51" s="3115"/>
      <c r="G51" s="1410"/>
      <c r="H51" s="1410"/>
      <c r="I51" s="1410"/>
      <c r="J51" s="1410"/>
      <c r="K51" s="1410"/>
      <c r="L51" s="1590"/>
      <c r="M51" s="1417"/>
      <c r="N51" s="1417"/>
      <c r="P51" s="1412"/>
      <c r="Q51" s="1413"/>
      <c r="R51" s="1412"/>
      <c r="S51" s="1418"/>
      <c r="T51" s="1421" t="s">
        <v>500</v>
      </c>
      <c r="U51" s="1420"/>
      <c r="V51" s="1420"/>
      <c r="W51" s="1420"/>
      <c r="X51" s="1420"/>
      <c r="Y51" s="1420"/>
      <c r="Z51" s="1420"/>
      <c r="AA51" s="1420"/>
      <c r="AB51" s="1420"/>
      <c r="AC51" s="1420"/>
      <c r="AD51" s="1420"/>
      <c r="AE51" s="1420"/>
      <c r="AF51" s="1420"/>
      <c r="AG51" s="1420"/>
      <c r="AH51" s="1420"/>
      <c r="AI51" s="1420"/>
      <c r="AJ51" s="1420"/>
      <c r="AK51" s="1420"/>
      <c r="AM51" s="890"/>
      <c r="AN51" s="890" t="str">
        <f>IF(T51="","",T51)</f>
        <v>Добавить централизованную систему для дифференциации</v>
      </c>
      <c r="AO51" s="890"/>
      <c r="AP51" s="890"/>
      <c r="AQ51" s="625">
        <v>0</v>
      </c>
    </row>
    <row s="10307" customFormat="1" customHeight="1" ht="14.25" hidden="1">
      <c r="A52" s="1439" t="s">
        <v>356</v>
      </c>
      <c r="B52" s="1439"/>
      <c r="C52" s="1439"/>
      <c r="D52" s="1439"/>
      <c r="E52" s="3115"/>
      <c r="F52" s="1439"/>
      <c r="G52" s="1439"/>
      <c r="H52" s="1439"/>
      <c r="I52" s="1439"/>
      <c r="J52" s="1439"/>
      <c r="K52" s="1439"/>
      <c r="L52" s="1442"/>
      <c r="M52" s="1417"/>
      <c r="N52" s="1417"/>
      <c r="O52" s="625"/>
      <c r="P52" s="487"/>
      <c r="Q52" s="1440"/>
      <c r="R52" s="487"/>
      <c r="S52" s="1418"/>
      <c r="T52" s="1421" t="s">
        <v>501</v>
      </c>
      <c r="U52" s="1420"/>
      <c r="V52" s="1420"/>
      <c r="W52" s="1420"/>
      <c r="X52" s="1420"/>
      <c r="Y52" s="1420"/>
      <c r="Z52" s="1420"/>
      <c r="AA52" s="1420"/>
      <c r="AB52" s="1420"/>
      <c r="AC52" s="1420"/>
      <c r="AD52" s="1420"/>
      <c r="AE52" s="1420"/>
      <c r="AF52" s="1420"/>
      <c r="AG52" s="1420"/>
      <c r="AH52" s="1420"/>
      <c r="AI52" s="1420"/>
      <c r="AJ52" s="1420"/>
      <c r="AK52" s="1420"/>
      <c r="AM52" s="607"/>
      <c r="AN52" s="607" t="str">
        <f>IF(T52="","",T52)</f>
        <v>Добавить территорию для дифференциации</v>
      </c>
      <c r="AO52" s="607"/>
      <c r="AP52" s="607"/>
      <c r="AQ52" s="618">
        <v>0</v>
      </c>
    </row>
    <row s="10307" customFormat="1" customHeight="1" ht="14.25" hidden="1">
      <c r="A53" s="1410"/>
      <c r="B53" s="1410"/>
      <c r="C53" s="1410"/>
      <c r="D53" s="1410"/>
      <c r="E53" s="1439"/>
      <c r="F53" s="1410"/>
      <c r="G53" s="1410"/>
      <c r="H53" s="1410"/>
      <c r="I53" s="1410"/>
      <c r="J53" s="1410"/>
      <c r="K53" s="1410"/>
      <c r="L53" s="1590"/>
      <c r="M53" s="1417"/>
      <c r="N53" s="1417"/>
      <c r="P53" s="1412"/>
      <c r="Q53" s="1413"/>
      <c r="R53" s="1412"/>
      <c r="S53" s="1418"/>
      <c r="T53" s="1421" t="s">
        <v>533</v>
      </c>
      <c r="U53" s="1420"/>
      <c r="V53" s="1420"/>
      <c r="W53" s="1420"/>
      <c r="X53" s="1420"/>
      <c r="Y53" s="1420"/>
      <c r="Z53" s="1420"/>
      <c r="AA53" s="1420"/>
      <c r="AB53" s="1420"/>
      <c r="AC53" s="1420"/>
      <c r="AD53" s="1420"/>
      <c r="AE53" s="1420"/>
      <c r="AF53" s="1420"/>
      <c r="AG53" s="1420"/>
      <c r="AH53" s="1420"/>
      <c r="AI53" s="1420"/>
      <c r="AJ53" s="1420"/>
      <c r="AK53" s="1420"/>
      <c r="AM53" s="890"/>
      <c r="AN53" s="890" t="str">
        <f>IF(T53="","",T53)</f>
        <v>Добавить наименование тарифа</v>
      </c>
      <c r="AO53" s="890"/>
      <c r="AP53" s="890"/>
      <c r="AQ53" s="625">
        <v>0</v>
      </c>
    </row>
    <row customHeight="1" ht="11.549999999999999">
      <c r="M54" s="1256"/>
      <c r="N54" s="1256"/>
      <c r="O54" s="644"/>
      <c r="P54" s="1251"/>
      <c r="Q54" s="1251"/>
      <c r="R54" s="1251"/>
      <c r="S54" s="1251"/>
      <c r="AL54" s="1251"/>
      <c r="AM54" s="1251"/>
      <c r="AN54" s="1251"/>
      <c r="AO54" s="1251"/>
      <c r="AP54" s="1251"/>
      <c r="AQ54" s="1251">
        <v>11</v>
      </c>
    </row>
    <row customHeight="1" ht="14.699999999999998">
      <c r="O55" s="644"/>
      <c r="S55" s="1349"/>
      <c r="T55" s="3114"/>
      <c r="U55" s="3114"/>
      <c r="V55" s="3114"/>
      <c r="W55" s="3114"/>
      <c r="X55" s="3114"/>
      <c r="Y55" s="3114"/>
      <c r="Z55" s="3114"/>
      <c r="AA55" s="3114"/>
      <c r="AB55" s="3114"/>
      <c r="AC55" s="3114"/>
      <c r="AD55" s="3114"/>
      <c r="AE55" s="3114"/>
      <c r="AF55" s="3114"/>
      <c r="AG55" s="3114"/>
      <c r="AH55" s="3114"/>
      <c r="AI55" s="3114"/>
      <c r="AJ55" s="3114"/>
      <c r="AK55" s="3114"/>
      <c r="AQ55" s="1251">
        <v>14</v>
      </c>
    </row>
    <row customHeight="1" ht="14.699999999999998">
      <c r="O56" s="644"/>
      <c r="AQ56" s="1251">
        <v>14</v>
      </c>
    </row>
    <row customHeight="1" ht="14.699999999999998">
      <c r="O57" s="644"/>
      <c r="S57" s="1349"/>
      <c r="T57" s="3114"/>
      <c r="U57" s="3114"/>
      <c r="V57" s="3114"/>
      <c r="W57" s="3114"/>
      <c r="X57" s="3114"/>
      <c r="Y57" s="3114"/>
      <c r="Z57" s="3114"/>
      <c r="AA57" s="3114"/>
      <c r="AB57" s="3114"/>
      <c r="AC57" s="3114"/>
      <c r="AD57" s="3114"/>
      <c r="AE57" s="3114"/>
      <c r="AF57" s="3114"/>
      <c r="AG57" s="3114"/>
      <c r="AH57" s="3114"/>
      <c r="AI57" s="3114"/>
      <c r="AJ57" s="3114"/>
      <c r="AK57" s="3114"/>
      <c r="AQ57" s="1251">
        <v>14</v>
      </c>
    </row>
    <row customHeight="1" ht="22.5" hidden="1">
      <c r="A58" s="1256" t="s">
        <v>82</v>
      </c>
      <c r="B58" s="1256">
        <v>0</v>
      </c>
      <c r="C58" s="1256">
        <v>0</v>
      </c>
      <c r="D58" s="1256">
        <v>0</v>
      </c>
      <c r="E58" s="1256">
        <v>0</v>
      </c>
      <c r="F58" s="1256">
        <v>0</v>
      </c>
      <c r="G58" s="1256">
        <v>0</v>
      </c>
      <c r="H58" s="1256">
        <v>0</v>
      </c>
      <c r="I58" s="1256">
        <v>0</v>
      </c>
      <c r="J58" s="1256">
        <v>0</v>
      </c>
      <c r="K58" s="1256">
        <v>0</v>
      </c>
      <c r="L58" s="1574">
        <v>0</v>
      </c>
      <c r="M58" s="1458">
        <v>0</v>
      </c>
      <c r="N58" s="1458">
        <v>0</v>
      </c>
      <c r="O58" s="1458">
        <v>0</v>
      </c>
      <c r="P58" s="1569">
        <v>3</v>
      </c>
      <c r="Q58" s="452">
        <v>3</v>
      </c>
      <c r="R58" s="452">
        <v>3</v>
      </c>
      <c r="S58" s="688">
        <v>12</v>
      </c>
      <c r="T58" s="1251">
        <v>35</v>
      </c>
      <c r="U58" s="1251">
        <v>0</v>
      </c>
      <c r="V58" s="1251">
        <v>0</v>
      </c>
      <c r="W58" s="1251">
        <v>0</v>
      </c>
      <c r="X58" s="1251">
        <v>0</v>
      </c>
      <c r="Y58" s="1251">
        <v>0</v>
      </c>
      <c r="Z58" s="1251">
        <v>0</v>
      </c>
      <c r="AA58" s="1251">
        <v>0</v>
      </c>
      <c r="AB58" s="1251">
        <v>0</v>
      </c>
      <c r="AC58" s="1251">
        <v>24</v>
      </c>
      <c r="AD58" s="1251">
        <v>24</v>
      </c>
      <c r="AE58" s="1251">
        <v>24</v>
      </c>
      <c r="AF58" s="1251">
        <v>11</v>
      </c>
      <c r="AG58" s="1251">
        <v>3</v>
      </c>
      <c r="AH58" s="1251">
        <v>11</v>
      </c>
      <c r="AI58" s="1251">
        <v>0</v>
      </c>
      <c r="AJ58" s="1251">
        <v>4</v>
      </c>
      <c r="AK58" s="1251">
        <v>115</v>
      </c>
      <c r="AL58" s="618">
        <v>10</v>
      </c>
      <c r="AM58" s="618">
        <v>10</v>
      </c>
      <c r="AN58" s="618">
        <v>10</v>
      </c>
      <c r="AO58" s="618">
        <v>10</v>
      </c>
      <c r="AP58" s="618">
        <v>10</v>
      </c>
      <c r="AQ58" s="125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2B48A-955D-8E9B-9301-586085FECEF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306" width="11.57421875" hidden="1" customWidth="1"/>
    <col min="2" max="2" style="10306" width="11.00390625" hidden="1" customWidth="1"/>
    <col min="3" max="3" style="10306" width="10.57421875" hidden="1"/>
    <col min="4" max="4" style="10306" width="12.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2.00390625" hidden="1" customWidth="1"/>
    <col min="10" max="10" style="10306" width="9.8515625" hidden="1" customWidth="1"/>
    <col min="11" max="11" style="10306" width="11.421875" hidden="1" customWidth="1"/>
    <col min="12" max="12" style="11079" width="19.140625" hidden="1" customWidth="1"/>
    <col min="13" max="14" style="11080" width="12.28125" hidden="1" customWidth="1"/>
    <col min="15" max="15" style="11080" width="23.421875" hidden="1" customWidth="1"/>
    <col min="16" max="16" style="11080" width="3.7109375" hidden="1" customWidth="1"/>
    <col min="17" max="17" style="11245" width="3.7109375" hidden="1" customWidth="1"/>
    <col min="18" max="18" style="11082" width="3.00390625" customWidth="1"/>
    <col min="19" max="19" style="11083" width="12.00390625" customWidth="1"/>
    <col min="20" max="20" style="10232" width="31.00390625" customWidth="1"/>
    <col min="21" max="21" style="10232" width="0.140625" customWidth="1"/>
    <col min="22" max="25" style="10232" width="21.7109375" hidden="1" customWidth="1"/>
    <col min="26" max="26" style="10232" width="11.7109375" hidden="1" customWidth="1"/>
    <col min="27" max="27" style="10232" width="3.7109375" hidden="1" customWidth="1"/>
    <col min="28" max="28" style="10232" width="11.7109375" hidden="1" customWidth="1"/>
    <col min="29" max="29" style="10232" width="8.57421875" hidden="1" customWidth="1"/>
    <col min="30" max="30" style="10232" width="3.7109375" customWidth="1"/>
    <col min="31" max="32" style="10232" width="3.00390625" customWidth="1"/>
    <col min="33" max="33" style="10232" width="24.00390625" customWidth="1"/>
    <col min="34" max="34" style="10232" width="3.7109375" customWidth="1"/>
    <col min="35" max="36" style="10232" width="3.00390625" customWidth="1"/>
    <col min="37" max="37" style="10232" width="24.00390625" customWidth="1"/>
    <col min="38" max="38" style="10232" width="3.7109375" customWidth="1"/>
    <col min="39" max="40" style="10232" width="3.00390625" customWidth="1"/>
    <col min="41" max="41" style="10232" width="18.00390625" customWidth="1"/>
    <col min="42" max="42" style="10232" width="3.7109375" customWidth="1"/>
    <col min="43" max="44" style="10232" width="3.00390625" customWidth="1"/>
    <col min="45" max="45" style="10232" width="18.00390625" customWidth="1"/>
    <col min="46" max="49" style="10232" width="21.00390625" customWidth="1"/>
    <col min="50" max="50" style="10232" width="11.00390625" customWidth="1"/>
    <col min="51" max="51" style="10232" width="3.7109375" customWidth="1"/>
    <col min="52" max="52" style="10232" width="11.00390625" customWidth="1"/>
    <col min="53" max="53" style="10232" width="8.57421875" hidden="1" customWidth="1"/>
    <col min="54" max="54" style="10232" width="4.00390625" customWidth="1"/>
    <col min="55" max="55" style="10232" width="115.00390625" customWidth="1"/>
    <col min="56" max="60" style="10307" width="10.00390625" customWidth="1"/>
    <col min="61" max="61" style="10232" width="10.57421875" hidden="1"/>
  </cols>
  <sheetData>
    <row customHeight="1" ht="22.5" hidden="1">
      <c r="W1" s="435"/>
      <c r="Y1" s="435"/>
      <c r="Z1" s="435"/>
      <c r="AW1" s="435"/>
      <c r="AX1" s="435"/>
      <c r="BI1" s="1251" t="s">
        <v>14</v>
      </c>
    </row>
    <row customHeight="1" ht="21" hidden="1">
      <c r="A2" s="1459"/>
      <c r="B2" s="1459"/>
      <c r="C2" s="1459"/>
      <c r="D2" s="1459"/>
      <c r="E2" s="3115">
        <v>1</v>
      </c>
      <c r="F2" s="1459"/>
      <c r="G2" s="1459"/>
      <c r="H2" s="1459"/>
      <c r="I2" s="1459"/>
      <c r="J2" s="1459"/>
      <c r="K2" s="1459"/>
      <c r="L2" s="1460"/>
      <c r="M2" s="1461"/>
      <c r="N2" s="1461"/>
      <c r="O2" s="1461"/>
      <c r="P2" s="1505"/>
      <c r="Q2" s="974"/>
      <c r="R2" s="462"/>
      <c r="S2" s="1589">
        <f>INDEX(PT_DIFFERENTIATION_NUM_NTAR,MATCH(A2,PT_DIFFERENTIATION_NTAR_ID,0))</f>
      </c>
      <c r="T2" s="406" t="s">
        <v>210</v>
      </c>
      <c r="U2" s="408"/>
      <c r="V2" s="3110"/>
      <c r="W2" s="3110"/>
      <c r="X2" s="3110"/>
      <c r="Y2" s="3110"/>
      <c r="Z2" s="3110"/>
      <c r="AA2" s="3110"/>
      <c r="AB2" s="3110"/>
      <c r="AC2" s="3111"/>
      <c r="AD2" s="3109">
        <f>INDEX(PT_DIFFERENTIATION_NTAR,MATCH(A2,PT_DIFFERENTIATION_NTAR_ID,0))</f>
      </c>
      <c r="AE2" s="3110"/>
      <c r="AF2" s="3110"/>
      <c r="AG2" s="3110"/>
      <c r="AH2" s="3110"/>
      <c r="AI2" s="3110"/>
      <c r="AJ2" s="3110"/>
      <c r="AK2" s="3110"/>
      <c r="AL2" s="3110"/>
      <c r="AM2" s="3110"/>
      <c r="AN2" s="3110"/>
      <c r="AO2" s="3110"/>
      <c r="AP2" s="3110"/>
      <c r="AQ2" s="3110"/>
      <c r="AR2" s="3110"/>
      <c r="AS2" s="3110"/>
      <c r="AT2" s="3110"/>
      <c r="AU2" s="3110"/>
      <c r="AV2" s="3110"/>
      <c r="AW2" s="3110"/>
      <c r="AX2" s="3110"/>
      <c r="AY2" s="3110"/>
      <c r="AZ2" s="3110"/>
      <c r="BA2" s="3110"/>
      <c r="BB2" s="3111"/>
      <c r="BC2"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7"/>
      <c r="BF2" s="607" t="str">
        <f>IF(T2="","",T2)</f>
        <v>Наименование тарифа</v>
      </c>
      <c r="BG2" s="607"/>
      <c r="BH2" s="607"/>
      <c r="BI2" s="1251">
        <v>0</v>
      </c>
    </row>
    <row customHeight="1" ht="21" hidden="1">
      <c r="A3" s="1459"/>
      <c r="B3" s="1459"/>
      <c r="C3" s="1459"/>
      <c r="D3" s="1459"/>
      <c r="E3" s="3116"/>
      <c r="F3" s="3115">
        <v>1</v>
      </c>
      <c r="G3" s="1459"/>
      <c r="H3" s="1459"/>
      <c r="I3" s="1459"/>
      <c r="J3" s="1459"/>
      <c r="K3" s="1459"/>
      <c r="L3" s="1460"/>
      <c r="M3" s="1461"/>
      <c r="N3" s="1461"/>
      <c r="O3" s="1461"/>
      <c r="P3" s="1506"/>
      <c r="Q3" s="1507"/>
      <c r="R3" s="460"/>
      <c r="S3" s="1589">
        <f>INDEX(PT_DIFFERENTIATION_NUM_TER,MATCH(B3,PT_DIFFERENTIATION_TER_ID,0))</f>
      </c>
      <c r="T3" s="416" t="s">
        <v>482</v>
      </c>
      <c r="U3" s="408"/>
      <c r="V3" s="3110"/>
      <c r="W3" s="3110"/>
      <c r="X3" s="3110"/>
      <c r="Y3" s="3110"/>
      <c r="Z3" s="3110"/>
      <c r="AA3" s="3110"/>
      <c r="AB3" s="3110"/>
      <c r="AC3" s="3111"/>
      <c r="AD3" s="3109">
        <f>INDEX(PT_DIFFERENTIATION_TER,MATCH(B3,PT_DIFFERENTIATION_TER_ID,0))</f>
      </c>
      <c r="AE3" s="3110"/>
      <c r="AF3" s="3110"/>
      <c r="AG3" s="3110"/>
      <c r="AH3" s="3110"/>
      <c r="AI3" s="3110"/>
      <c r="AJ3" s="3110"/>
      <c r="AK3" s="3110"/>
      <c r="AL3" s="3110"/>
      <c r="AM3" s="3110"/>
      <c r="AN3" s="3110"/>
      <c r="AO3" s="3110"/>
      <c r="AP3" s="3110"/>
      <c r="AQ3" s="3110"/>
      <c r="AR3" s="3110"/>
      <c r="AS3" s="3110"/>
      <c r="AT3" s="3110"/>
      <c r="AU3" s="3110"/>
      <c r="AV3" s="3110"/>
      <c r="AW3" s="3110"/>
      <c r="AX3" s="3110"/>
      <c r="AY3" s="3110"/>
      <c r="AZ3" s="3110"/>
      <c r="BA3" s="3110"/>
      <c r="BB3" s="3111"/>
      <c r="BC3" s="1354" t="s">
        <v>483</v>
      </c>
      <c r="BE3" s="607"/>
      <c r="BF3" s="607" t="str">
        <f>IF(T3="","",T3)</f>
        <v>Территория действия тарифа</v>
      </c>
      <c r="BG3" s="607"/>
      <c r="BH3" s="607"/>
      <c r="BI3" s="1251">
        <v>0</v>
      </c>
    </row>
    <row customHeight="1" ht="33.75" hidden="1">
      <c r="A4" s="1459"/>
      <c r="B4" s="1459"/>
      <c r="C4" s="1459"/>
      <c r="D4" s="1459"/>
      <c r="E4" s="3116"/>
      <c r="F4" s="3116"/>
      <c r="G4" s="3115">
        <v>1</v>
      </c>
      <c r="H4" s="1459"/>
      <c r="I4" s="1459"/>
      <c r="J4" s="1459"/>
      <c r="K4" s="1459"/>
      <c r="L4" s="1460"/>
      <c r="M4" s="1461"/>
      <c r="N4" s="1461"/>
      <c r="O4" s="1461"/>
      <c r="P4" s="1508"/>
      <c r="Q4" s="1507"/>
      <c r="R4" s="460"/>
      <c r="S4" s="1589">
        <f>INDEX(PT_DIFFERENTIATION_NUM_CS,MATCH(C4,PT_DIFFERENTIATION_CS_ID,0))</f>
      </c>
      <c r="T4" s="417" t="s">
        <v>601</v>
      </c>
      <c r="U4" s="408"/>
      <c r="V4" s="3110"/>
      <c r="W4" s="3110"/>
      <c r="X4" s="3110"/>
      <c r="Y4" s="3110"/>
      <c r="Z4" s="3110"/>
      <c r="AA4" s="3110"/>
      <c r="AB4" s="3110"/>
      <c r="AC4" s="3111"/>
      <c r="AD4" s="3109">
        <f>INDEX(PT_DIFFERENTIATION_CS,MATCH(C4,PT_DIFFERENTIATION_CS_ID,0))</f>
      </c>
      <c r="AE4" s="3110"/>
      <c r="AF4" s="3110"/>
      <c r="AG4" s="3110"/>
      <c r="AH4" s="3110"/>
      <c r="AI4" s="3110"/>
      <c r="AJ4" s="3110"/>
      <c r="AK4" s="3110"/>
      <c r="AL4" s="3110"/>
      <c r="AM4" s="3110"/>
      <c r="AN4" s="3110"/>
      <c r="AO4" s="3110"/>
      <c r="AP4" s="3110"/>
      <c r="AQ4" s="3110"/>
      <c r="AR4" s="3110"/>
      <c r="AS4" s="3110"/>
      <c r="AT4" s="3110"/>
      <c r="AU4" s="3110"/>
      <c r="AV4" s="3110"/>
      <c r="AW4" s="3110"/>
      <c r="AX4" s="3110"/>
      <c r="AY4" s="3110"/>
      <c r="AZ4" s="3110"/>
      <c r="BA4" s="3110"/>
      <c r="BB4" s="3111"/>
      <c r="BC4" s="1354" t="s">
        <v>602</v>
      </c>
      <c r="BE4" s="607"/>
      <c r="BF4" s="607" t="str">
        <f>IF(T4="","",T4)</f>
        <v>Наименование централизованной системы водоотведения</v>
      </c>
      <c r="BG4" s="607"/>
      <c r="BH4" s="607"/>
      <c r="BI4" s="1251">
        <v>0</v>
      </c>
    </row>
    <row s="10307" customFormat="1" customHeight="1" ht="14.25" hidden="1">
      <c r="A5" s="1439"/>
      <c r="B5" s="1439"/>
      <c r="C5" s="1439"/>
      <c r="D5" s="1439"/>
      <c r="E5" s="3116"/>
      <c r="F5" s="3116"/>
      <c r="G5" s="3116"/>
      <c r="H5" s="3115">
        <v>1</v>
      </c>
      <c r="I5" s="1439"/>
      <c r="J5" s="1439"/>
      <c r="K5" s="1439"/>
      <c r="L5" s="1442"/>
      <c r="M5" s="1411"/>
      <c r="N5" s="1411"/>
      <c r="O5" s="1411"/>
      <c r="P5" s="1593"/>
      <c r="Q5" s="1594"/>
      <c r="R5" s="464"/>
      <c r="S5" s="1142"/>
      <c r="T5" s="1595"/>
      <c r="U5" s="1480"/>
      <c r="V5" s="3147"/>
      <c r="W5" s="3147"/>
      <c r="X5" s="3147"/>
      <c r="Y5" s="3147"/>
      <c r="Z5" s="3147"/>
      <c r="AA5" s="3147"/>
      <c r="AB5" s="3147"/>
      <c r="AC5" s="3148"/>
      <c r="AD5" s="3146"/>
      <c r="AE5" s="3147"/>
      <c r="AF5" s="3147"/>
      <c r="AG5" s="3147"/>
      <c r="AH5" s="3147"/>
      <c r="AI5" s="3147"/>
      <c r="AJ5" s="3147"/>
      <c r="AK5" s="3147"/>
      <c r="AL5" s="3147"/>
      <c r="AM5" s="3147"/>
      <c r="AN5" s="3147"/>
      <c r="AO5" s="3147"/>
      <c r="AP5" s="3147"/>
      <c r="AQ5" s="3147"/>
      <c r="AR5" s="3147"/>
      <c r="AS5" s="3147"/>
      <c r="AT5" s="3147"/>
      <c r="AU5" s="3147"/>
      <c r="AV5" s="3147"/>
      <c r="AW5" s="3147"/>
      <c r="AX5" s="3147"/>
      <c r="AY5" s="3147"/>
      <c r="AZ5" s="3147"/>
      <c r="BA5" s="3147"/>
      <c r="BB5" s="3148"/>
      <c r="BC5" s="1481" t="s">
        <v>487</v>
      </c>
      <c r="BE5" s="607"/>
      <c r="BF5" s="607" t="str">
        <f>IF(T5="","",T5)</f>
        <v/>
      </c>
      <c r="BG5" s="607"/>
      <c r="BH5" s="607"/>
      <c r="BI5" s="618">
        <v>0</v>
      </c>
    </row>
    <row s="10307" customFormat="1" customHeight="1" ht="14.25" hidden="1">
      <c r="A6" s="1439"/>
      <c r="B6" s="1439"/>
      <c r="C6" s="1439"/>
      <c r="D6" s="1439"/>
      <c r="E6" s="3116"/>
      <c r="F6" s="3116"/>
      <c r="G6" s="3116"/>
      <c r="H6" s="3116"/>
      <c r="I6" s="3117" t="str">
        <f>S5&amp;".1"</f>
        <v>.1</v>
      </c>
      <c r="J6" s="1439"/>
      <c r="K6" s="1439"/>
      <c r="L6" s="1442" t="s">
        <v>488</v>
      </c>
      <c r="M6" s="617"/>
      <c r="N6" s="617"/>
      <c r="O6" s="617"/>
      <c r="P6" s="3119">
        <v>1</v>
      </c>
      <c r="Q6" s="1577"/>
      <c r="R6" s="463"/>
      <c r="S6" s="1142"/>
      <c r="T6" s="1479"/>
      <c r="U6" s="1480"/>
      <c r="V6" s="3147"/>
      <c r="W6" s="3147"/>
      <c r="X6" s="3147"/>
      <c r="Y6" s="3147"/>
      <c r="Z6" s="3147"/>
      <c r="AA6" s="3147"/>
      <c r="AB6" s="3147"/>
      <c r="AC6" s="3148"/>
      <c r="AD6" s="3146"/>
      <c r="AE6" s="3147"/>
      <c r="AF6" s="3147"/>
      <c r="AG6" s="3147"/>
      <c r="AH6" s="3147"/>
      <c r="AI6" s="3147"/>
      <c r="AJ6" s="3147"/>
      <c r="AK6" s="3147"/>
      <c r="AL6" s="3147"/>
      <c r="AM6" s="3147"/>
      <c r="AN6" s="3147"/>
      <c r="AO6" s="3147"/>
      <c r="AP6" s="3147"/>
      <c r="AQ6" s="3147"/>
      <c r="AR6" s="3147"/>
      <c r="AS6" s="3147"/>
      <c r="AT6" s="3147"/>
      <c r="AU6" s="3147"/>
      <c r="AV6" s="3147"/>
      <c r="AW6" s="3147"/>
      <c r="AX6" s="3147"/>
      <c r="AY6" s="3147"/>
      <c r="AZ6" s="3147"/>
      <c r="BA6" s="3147"/>
      <c r="BB6" s="3148"/>
      <c r="BC6" s="1481"/>
      <c r="BE6" s="607"/>
      <c r="BF6" s="607" t="str">
        <f>IF(T6="","",T6)</f>
        <v/>
      </c>
      <c r="BG6" s="607"/>
      <c r="BH6" s="607"/>
      <c r="BI6" s="618">
        <v>0</v>
      </c>
    </row>
    <row s="10307" customFormat="1" customHeight="1" ht="14.25" hidden="1">
      <c r="A7" s="1439"/>
      <c r="B7" s="1439"/>
      <c r="C7" s="1439"/>
      <c r="D7" s="1439"/>
      <c r="E7" s="3116"/>
      <c r="F7" s="3116"/>
      <c r="G7" s="3116"/>
      <c r="H7" s="3116"/>
      <c r="I7" s="3118"/>
      <c r="J7" s="3117" t="str">
        <f>S5&amp;".1"</f>
        <v>.1</v>
      </c>
      <c r="K7" s="1439"/>
      <c r="L7" s="1442"/>
      <c r="M7" s="617"/>
      <c r="N7" s="617"/>
      <c r="O7" s="617"/>
      <c r="P7" s="3119"/>
      <c r="Q7" s="3119">
        <v>1</v>
      </c>
      <c r="R7" s="464"/>
      <c r="S7" s="1142"/>
      <c r="T7" s="1495"/>
      <c r="U7" s="1480"/>
      <c r="V7" s="3147"/>
      <c r="W7" s="3147"/>
      <c r="X7" s="3147"/>
      <c r="Y7" s="3147"/>
      <c r="Z7" s="3147"/>
      <c r="AA7" s="3147"/>
      <c r="AB7" s="3147"/>
      <c r="AC7" s="3148"/>
      <c r="AD7" s="3146"/>
      <c r="AE7" s="3147"/>
      <c r="AF7" s="3147"/>
      <c r="AG7" s="3147"/>
      <c r="AH7" s="3147"/>
      <c r="AI7" s="3147"/>
      <c r="AJ7" s="3147"/>
      <c r="AK7" s="3147"/>
      <c r="AL7" s="3147"/>
      <c r="AM7" s="3147"/>
      <c r="AN7" s="3147"/>
      <c r="AO7" s="3147"/>
      <c r="AP7" s="3147"/>
      <c r="AQ7" s="3147"/>
      <c r="AR7" s="3147"/>
      <c r="AS7" s="3147"/>
      <c r="AT7" s="3147"/>
      <c r="AU7" s="3147"/>
      <c r="AV7" s="3147"/>
      <c r="AW7" s="3147"/>
      <c r="AX7" s="3147"/>
      <c r="AY7" s="3147"/>
      <c r="AZ7" s="3147"/>
      <c r="BA7" s="3147"/>
      <c r="BB7" s="3148"/>
      <c r="BC7" s="1481"/>
      <c r="BE7" s="607"/>
      <c r="BF7" s="607" t="str">
        <f>IF(T7="","",T7)</f>
        <v/>
      </c>
      <c r="BG7" s="607"/>
      <c r="BH7" s="607"/>
      <c r="BI7" s="618">
        <v>0</v>
      </c>
    </row>
    <row customHeight="1" ht="11.25" hidden="1">
      <c r="A8" s="1459"/>
      <c r="B8" s="1459"/>
      <c r="C8" s="1459"/>
      <c r="D8" s="1459"/>
      <c r="E8" s="3116"/>
      <c r="F8" s="3116"/>
      <c r="G8" s="3116"/>
      <c r="H8" s="3116"/>
      <c r="I8" s="3118"/>
      <c r="J8" s="3118"/>
      <c r="K8" s="3117">
        <f>S4&amp;".1"</f>
      </c>
      <c r="L8" s="1460"/>
      <c r="P8" s="3119"/>
      <c r="Q8" s="3119"/>
      <c r="R8" s="3175">
        <v>1</v>
      </c>
      <c r="S8" s="3172">
        <f>$K8</f>
      </c>
      <c r="T8" s="3192"/>
      <c r="U8" s="408"/>
      <c r="V8" s="858"/>
      <c r="W8" s="1353"/>
      <c r="X8" s="858"/>
      <c r="Y8" s="1353"/>
      <c r="Z8" s="1830"/>
      <c r="AA8" s="1565" t="s">
        <v>62</v>
      </c>
      <c r="AB8" s="1830"/>
      <c r="AC8" s="1565" t="s">
        <v>62</v>
      </c>
      <c r="AD8" s="3060" t="s">
        <v>62</v>
      </c>
      <c r="AE8" s="3168"/>
      <c r="AF8" s="3073">
        <v>1</v>
      </c>
      <c r="AG8" s="3191"/>
      <c r="AH8" s="2989" t="s">
        <v>62</v>
      </c>
      <c r="AI8" s="3168"/>
      <c r="AJ8" s="3073">
        <v>1</v>
      </c>
      <c r="AK8" s="3182" t="s">
        <v>22</v>
      </c>
      <c r="AL8" s="2989" t="s">
        <v>62</v>
      </c>
      <c r="AM8" s="3048"/>
      <c r="AN8" s="3073">
        <v>1</v>
      </c>
      <c r="AO8" s="3195"/>
      <c r="AP8" s="3196" t="s">
        <v>62</v>
      </c>
      <c r="AQ8" s="419"/>
      <c r="AR8" s="1582">
        <v>1</v>
      </c>
      <c r="AS8" s="1588" t="s">
        <v>22</v>
      </c>
      <c r="AT8" s="858"/>
      <c r="AU8" s="1353"/>
      <c r="AV8" s="858"/>
      <c r="AW8" s="1353"/>
      <c r="AX8" s="1830"/>
      <c r="AY8" s="1565" t="s">
        <v>62</v>
      </c>
      <c r="AZ8" s="1830"/>
      <c r="BA8" s="1565" t="s">
        <v>62</v>
      </c>
      <c r="BB8" s="1444"/>
      <c r="BC8" s="3138" t="s">
        <v>586</v>
      </c>
      <c r="BE8" s="607"/>
      <c r="BF8" s="607" t="str">
        <f>IF(T8="","",T8)</f>
        <v/>
      </c>
      <c r="BG8" s="607"/>
      <c r="BH8" s="607"/>
      <c r="BI8" s="1251">
        <v>0</v>
      </c>
    </row>
    <row customHeight="1" ht="11.25" hidden="1">
      <c r="A9" s="1459"/>
      <c r="B9" s="1459"/>
      <c r="C9" s="1459"/>
      <c r="D9" s="1459"/>
      <c r="E9" s="3116"/>
      <c r="F9" s="3116"/>
      <c r="G9" s="3116"/>
      <c r="H9" s="3116"/>
      <c r="I9" s="3118"/>
      <c r="J9" s="3118"/>
      <c r="K9" s="3117"/>
      <c r="L9" s="1460"/>
      <c r="P9" s="3119"/>
      <c r="Q9" s="3119"/>
      <c r="R9" s="3175"/>
      <c r="S9" s="3173"/>
      <c r="T9" s="3193"/>
      <c r="U9" s="408"/>
      <c r="V9" s="1489"/>
      <c r="W9" s="1592"/>
      <c r="X9" s="1489"/>
      <c r="Y9" s="1592"/>
      <c r="Z9" s="1489"/>
      <c r="AA9" s="1489"/>
      <c r="AB9" s="1489"/>
      <c r="AC9" s="1489"/>
      <c r="AD9" s="3061"/>
      <c r="AE9" s="3168"/>
      <c r="AF9" s="3073"/>
      <c r="AG9" s="3191"/>
      <c r="AH9" s="2989"/>
      <c r="AI9" s="3168"/>
      <c r="AJ9" s="3073"/>
      <c r="AK9" s="3182"/>
      <c r="AL9" s="2989"/>
      <c r="AM9" s="3053"/>
      <c r="AN9" s="3073"/>
      <c r="AO9" s="3195"/>
      <c r="AP9" s="3197"/>
      <c r="AQ9" s="424"/>
      <c r="AR9" s="523"/>
      <c r="AS9" s="523" t="s">
        <v>587</v>
      </c>
      <c r="AT9" s="1489"/>
      <c r="AU9" s="1592"/>
      <c r="AV9" s="1489"/>
      <c r="AW9" s="1592"/>
      <c r="AX9" s="1489"/>
      <c r="AY9" s="1489"/>
      <c r="AZ9" s="1489"/>
      <c r="BA9" s="1489"/>
      <c r="BB9" s="1493"/>
      <c r="BC9" s="3139"/>
      <c r="BE9" s="607"/>
      <c r="BF9" s="607"/>
      <c r="BG9" s="607"/>
      <c r="BH9" s="607"/>
      <c r="BI9" s="1251">
        <v>0</v>
      </c>
    </row>
    <row customHeight="1" ht="11.25" hidden="1">
      <c r="A10" s="1459"/>
      <c r="B10" s="1459"/>
      <c r="C10" s="1459"/>
      <c r="D10" s="1459"/>
      <c r="E10" s="3116"/>
      <c r="F10" s="3116"/>
      <c r="G10" s="3116"/>
      <c r="H10" s="3116"/>
      <c r="I10" s="3118"/>
      <c r="J10" s="3118"/>
      <c r="K10" s="3117"/>
      <c r="L10" s="1460"/>
      <c r="P10" s="3119"/>
      <c r="Q10" s="3119"/>
      <c r="R10" s="3175"/>
      <c r="S10" s="3173"/>
      <c r="T10" s="3193"/>
      <c r="U10" s="408"/>
      <c r="V10" s="1489"/>
      <c r="W10" s="1592"/>
      <c r="X10" s="1489"/>
      <c r="Y10" s="1592"/>
      <c r="Z10" s="1489"/>
      <c r="AA10" s="1489"/>
      <c r="AB10" s="1489"/>
      <c r="AC10" s="1489"/>
      <c r="AD10" s="3061"/>
      <c r="AE10" s="3168"/>
      <c r="AF10" s="3073"/>
      <c r="AG10" s="3191"/>
      <c r="AH10" s="2989"/>
      <c r="AI10" s="3168"/>
      <c r="AJ10" s="3073"/>
      <c r="AK10" s="3182"/>
      <c r="AL10" s="2989"/>
      <c r="AM10" s="424"/>
      <c r="AN10" s="1596"/>
      <c r="AO10" s="1596" t="s">
        <v>607</v>
      </c>
      <c r="AP10" s="523"/>
      <c r="AQ10" s="523"/>
      <c r="AR10" s="523"/>
      <c r="AS10" s="1489"/>
      <c r="AT10" s="1489"/>
      <c r="AU10" s="1592"/>
      <c r="AV10" s="1489"/>
      <c r="AW10" s="1592"/>
      <c r="AX10" s="1489"/>
      <c r="AY10" s="1489"/>
      <c r="AZ10" s="1489"/>
      <c r="BA10" s="1489"/>
      <c r="BB10" s="1493"/>
      <c r="BC10" s="3139"/>
      <c r="BE10" s="607"/>
      <c r="BF10" s="607"/>
      <c r="BG10" s="607"/>
      <c r="BH10" s="607"/>
      <c r="BI10" s="1251">
        <v>0</v>
      </c>
    </row>
    <row customHeight="1" ht="11.25" hidden="1">
      <c r="A11" s="1459"/>
      <c r="B11" s="1459"/>
      <c r="C11" s="1459"/>
      <c r="D11" s="1459"/>
      <c r="E11" s="3116"/>
      <c r="F11" s="3116"/>
      <c r="G11" s="3116"/>
      <c r="H11" s="3116"/>
      <c r="I11" s="3118"/>
      <c r="J11" s="3118"/>
      <c r="K11" s="3117"/>
      <c r="L11" s="1460"/>
      <c r="P11" s="3119"/>
      <c r="Q11" s="3119"/>
      <c r="R11" s="3175"/>
      <c r="S11" s="3173"/>
      <c r="T11" s="3193"/>
      <c r="U11" s="408"/>
      <c r="V11" s="1489"/>
      <c r="W11" s="1592"/>
      <c r="X11" s="1489"/>
      <c r="Y11" s="1592"/>
      <c r="Z11" s="1489"/>
      <c r="AA11" s="1489"/>
      <c r="AB11" s="1489"/>
      <c r="AC11" s="1489"/>
      <c r="AD11" s="3061"/>
      <c r="AE11" s="3168"/>
      <c r="AF11" s="3073"/>
      <c r="AG11" s="3191"/>
      <c r="AH11" s="2989"/>
      <c r="AI11" s="402"/>
      <c r="AJ11" s="522"/>
      <c r="AK11" s="421" t="s">
        <v>608</v>
      </c>
      <c r="AL11" s="1489"/>
      <c r="AM11" s="1489"/>
      <c r="AN11" s="1489"/>
      <c r="AO11" s="1489"/>
      <c r="AP11" s="1489"/>
      <c r="AQ11" s="1489"/>
      <c r="AR11" s="1489"/>
      <c r="AS11" s="1489"/>
      <c r="AT11" s="1489"/>
      <c r="AU11" s="1592"/>
      <c r="AV11" s="1489"/>
      <c r="AW11" s="1592"/>
      <c r="AX11" s="1489"/>
      <c r="AY11" s="1489"/>
      <c r="AZ11" s="1489"/>
      <c r="BA11" s="1489"/>
      <c r="BB11" s="1493"/>
      <c r="BC11" s="3139"/>
      <c r="BE11" s="607"/>
      <c r="BF11" s="607"/>
      <c r="BG11" s="607"/>
      <c r="BH11" s="607"/>
      <c r="BI11" s="1251">
        <v>0</v>
      </c>
    </row>
    <row customHeight="1" ht="11.25" hidden="1">
      <c r="A12" s="1459"/>
      <c r="B12" s="1459"/>
      <c r="C12" s="1459"/>
      <c r="D12" s="1459"/>
      <c r="E12" s="3116"/>
      <c r="F12" s="3116"/>
      <c r="G12" s="3116"/>
      <c r="H12" s="3116"/>
      <c r="I12" s="3118"/>
      <c r="J12" s="3118"/>
      <c r="K12" s="3117"/>
      <c r="L12" s="1460"/>
      <c r="P12" s="3119"/>
      <c r="Q12" s="3119"/>
      <c r="R12" s="3175"/>
      <c r="S12" s="3174"/>
      <c r="T12" s="3194"/>
      <c r="U12" s="408"/>
      <c r="V12" s="1489"/>
      <c r="W12" s="1490" t="str">
        <f>Z8&amp;"-"&amp;AB8</f>
        <v>-</v>
      </c>
      <c r="X12" s="1489"/>
      <c r="Y12" s="1490" t="str">
        <f>AB8&amp;"-"&amp;AD8</f>
        <v>-да</v>
      </c>
      <c r="Z12" s="1489"/>
      <c r="AA12" s="1489"/>
      <c r="AB12" s="1489"/>
      <c r="AC12" s="1489"/>
      <c r="AD12" s="2994"/>
      <c r="AE12" s="420"/>
      <c r="AF12" s="422"/>
      <c r="AG12" s="523" t="s">
        <v>590</v>
      </c>
      <c r="AH12" s="1489"/>
      <c r="AI12" s="1489"/>
      <c r="AJ12" s="1489"/>
      <c r="AK12" s="1489"/>
      <c r="AL12" s="1489"/>
      <c r="AM12" s="1489"/>
      <c r="AN12" s="1489"/>
      <c r="AO12" s="1489"/>
      <c r="AP12" s="1489"/>
      <c r="AQ12" s="1489"/>
      <c r="AR12" s="1489"/>
      <c r="AS12" s="1489"/>
      <c r="AT12" s="1489"/>
      <c r="AU12" s="1490" t="str">
        <f>AX8&amp;"-"&amp;AZ8</f>
        <v>-</v>
      </c>
      <c r="AV12" s="1489"/>
      <c r="AW12" s="1490" t="str">
        <f>AZ8&amp;"-"&amp;BB8</f>
        <v>-</v>
      </c>
      <c r="AX12" s="1489"/>
      <c r="AY12" s="1489"/>
      <c r="AZ12" s="1489"/>
      <c r="BA12" s="1489"/>
      <c r="BB12" s="1492" t="str">
        <f>BE8&amp;"-"&amp;BG8</f>
        <v>-</v>
      </c>
      <c r="BC12" s="3139"/>
      <c r="BE12" s="607"/>
      <c r="BF12" s="607" t="str">
        <f>IF(T12="","",T12)</f>
        <v/>
      </c>
      <c r="BG12" s="607"/>
      <c r="BH12" s="607"/>
      <c r="BI12" s="1251">
        <v>0</v>
      </c>
    </row>
    <row customHeight="1" ht="11.25" hidden="1">
      <c r="A13" s="1459"/>
      <c r="B13" s="1459"/>
      <c r="C13" s="1459"/>
      <c r="D13" s="1459"/>
      <c r="E13" s="3116"/>
      <c r="F13" s="3116"/>
      <c r="G13" s="3116"/>
      <c r="H13" s="3116"/>
      <c r="I13" s="3118"/>
      <c r="J13" s="3117"/>
      <c r="K13" s="1459"/>
      <c r="L13" s="1460"/>
      <c r="P13" s="3119"/>
      <c r="Q13" s="3119"/>
      <c r="R13" s="463"/>
      <c r="S13" s="1374"/>
      <c r="T13" s="395" t="s">
        <v>553</v>
      </c>
      <c r="U13" s="474"/>
      <c r="V13" s="474"/>
      <c r="W13" s="474"/>
      <c r="X13" s="474"/>
      <c r="Y13" s="474"/>
      <c r="Z13" s="474"/>
      <c r="AA13" s="474"/>
      <c r="AB13" s="474"/>
      <c r="AC13" s="474"/>
      <c r="AD13" s="1601"/>
      <c r="AE13" s="474"/>
      <c r="AF13" s="474"/>
      <c r="AG13" s="474"/>
      <c r="AH13" s="474"/>
      <c r="AI13" s="474"/>
      <c r="AJ13" s="474"/>
      <c r="AK13" s="474"/>
      <c r="AL13" s="474"/>
      <c r="AM13" s="474"/>
      <c r="AN13" s="474"/>
      <c r="AO13" s="474"/>
      <c r="AP13" s="474"/>
      <c r="AQ13" s="474"/>
      <c r="AR13" s="474"/>
      <c r="AS13" s="474"/>
      <c r="AT13" s="474"/>
      <c r="AU13" s="474"/>
      <c r="AV13" s="474"/>
      <c r="AW13" s="474"/>
      <c r="AX13" s="474"/>
      <c r="AY13" s="474"/>
      <c r="AZ13" s="474"/>
      <c r="BA13" s="474"/>
      <c r="BB13" s="432"/>
      <c r="BC13" s="3140"/>
      <c r="BE13" s="607"/>
      <c r="BF13" s="607" t="str">
        <f>IF(T13="","",T13)</f>
        <v>Добавить строку</v>
      </c>
      <c r="BG13" s="607"/>
      <c r="BH13" s="607"/>
      <c r="BI13" s="1251">
        <v>0</v>
      </c>
    </row>
    <row s="10307" customFormat="1" customHeight="1" ht="14.25" hidden="1">
      <c r="A14" s="1439"/>
      <c r="B14" s="1439"/>
      <c r="C14" s="1439"/>
      <c r="D14" s="1439"/>
      <c r="E14" s="3116"/>
      <c r="F14" s="3116"/>
      <c r="G14" s="3116"/>
      <c r="H14" s="3116"/>
      <c r="I14" s="3117"/>
      <c r="J14" s="1439"/>
      <c r="K14" s="1439"/>
      <c r="L14" s="1442"/>
      <c r="M14" s="617"/>
      <c r="N14" s="617"/>
      <c r="O14" s="617"/>
      <c r="P14" s="3119"/>
      <c r="Q14" s="1577"/>
      <c r="R14" s="463"/>
      <c r="S14" s="1482"/>
      <c r="T14" s="1483"/>
      <c r="U14" s="1484"/>
      <c r="V14" s="1484"/>
      <c r="W14" s="1484"/>
      <c r="X14" s="1484"/>
      <c r="Y14" s="1484"/>
      <c r="Z14" s="1484"/>
      <c r="AA14" s="1484"/>
      <c r="AB14" s="1484"/>
      <c r="AC14" s="1484"/>
      <c r="AD14" s="1484"/>
      <c r="AE14" s="1484"/>
      <c r="AF14" s="1484"/>
      <c r="AG14" s="1484"/>
      <c r="AH14" s="1484"/>
      <c r="AI14" s="1484"/>
      <c r="AJ14" s="1484"/>
      <c r="AK14" s="1484"/>
      <c r="AL14" s="1484"/>
      <c r="AM14" s="1484"/>
      <c r="AN14" s="1484"/>
      <c r="AO14" s="1484"/>
      <c r="AP14" s="1484"/>
      <c r="AQ14" s="1484"/>
      <c r="AR14" s="1484"/>
      <c r="AS14" s="1484"/>
      <c r="AT14" s="1484"/>
      <c r="AU14" s="1484"/>
      <c r="AV14" s="1484"/>
      <c r="AW14" s="1484"/>
      <c r="AX14" s="1484"/>
      <c r="AY14" s="1484"/>
      <c r="AZ14" s="1484"/>
      <c r="BA14" s="1484"/>
      <c r="BB14" s="1484"/>
      <c r="BC14" s="1485"/>
      <c r="BE14" s="607"/>
      <c r="BF14" s="607" t="str">
        <f>IF(T14="","",T14)</f>
        <v/>
      </c>
      <c r="BG14" s="607"/>
      <c r="BH14" s="607"/>
      <c r="BI14" s="618">
        <v>0</v>
      </c>
    </row>
    <row s="10307" customFormat="1" customHeight="1" ht="14.25" hidden="1">
      <c r="A15" s="1439"/>
      <c r="B15" s="1439"/>
      <c r="C15" s="1439"/>
      <c r="D15" s="1439"/>
      <c r="E15" s="3116"/>
      <c r="F15" s="3116"/>
      <c r="G15" s="3116"/>
      <c r="H15" s="3115"/>
      <c r="I15" s="1439"/>
      <c r="J15" s="1439"/>
      <c r="K15" s="1439"/>
      <c r="L15" s="1442"/>
      <c r="M15" s="1411"/>
      <c r="N15" s="1411"/>
      <c r="O15" s="625"/>
      <c r="P15" s="487"/>
      <c r="Q15" s="1440"/>
      <c r="R15" s="1497"/>
      <c r="S15" s="1482"/>
      <c r="T15" s="1483"/>
      <c r="U15" s="1484"/>
      <c r="V15" s="1484"/>
      <c r="W15" s="1484"/>
      <c r="X15" s="1484"/>
      <c r="Y15" s="1484"/>
      <c r="Z15" s="1484"/>
      <c r="AA15" s="1484"/>
      <c r="AB15" s="1484"/>
      <c r="AC15" s="1484"/>
      <c r="AD15" s="1484"/>
      <c r="AE15" s="1484"/>
      <c r="AF15" s="1484"/>
      <c r="AG15" s="1484"/>
      <c r="AH15" s="1484"/>
      <c r="AI15" s="1484"/>
      <c r="AJ15" s="1484"/>
      <c r="AK15" s="1484"/>
      <c r="AL15" s="1484"/>
      <c r="AM15" s="1484"/>
      <c r="AN15" s="1484"/>
      <c r="AO15" s="1484"/>
      <c r="AP15" s="1484"/>
      <c r="AQ15" s="1484"/>
      <c r="AR15" s="1484"/>
      <c r="AS15" s="1484"/>
      <c r="AT15" s="1484"/>
      <c r="AU15" s="1484"/>
      <c r="AV15" s="1484"/>
      <c r="AW15" s="1484"/>
      <c r="AX15" s="1484"/>
      <c r="AY15" s="1484"/>
      <c r="AZ15" s="1484"/>
      <c r="BA15" s="1484"/>
      <c r="BB15" s="1484"/>
      <c r="BC15" s="1485"/>
      <c r="BE15" s="607"/>
      <c r="BF15" s="607" t="str">
        <f>IF(T15="","",T15)</f>
        <v/>
      </c>
      <c r="BG15" s="607"/>
      <c r="BH15" s="607"/>
      <c r="BI15" s="618">
        <v>0</v>
      </c>
    </row>
    <row s="10307" customFormat="1" customHeight="1" ht="14.25" hidden="1">
      <c r="A16" s="1439"/>
      <c r="B16" s="1439"/>
      <c r="C16" s="1439"/>
      <c r="D16" s="1410"/>
      <c r="E16" s="3116"/>
      <c r="F16" s="3116"/>
      <c r="G16" s="3115"/>
      <c r="H16" s="1410"/>
      <c r="I16" s="1410"/>
      <c r="J16" s="1410"/>
      <c r="K16" s="1410"/>
      <c r="L16" s="1590"/>
      <c r="M16" s="1411"/>
      <c r="N16" s="1411"/>
      <c r="P16" s="1412"/>
      <c r="Q16" s="1413"/>
      <c r="R16" s="1412"/>
      <c r="S16" s="1418"/>
      <c r="T16" s="1421"/>
      <c r="U16" s="1420"/>
      <c r="V16" s="1420"/>
      <c r="W16" s="1420"/>
      <c r="X16" s="1420"/>
      <c r="Y16" s="1420"/>
      <c r="Z16" s="1420"/>
      <c r="AA16" s="1420"/>
      <c r="AB16" s="1420"/>
      <c r="AC16" s="1420"/>
      <c r="AD16" s="1420"/>
      <c r="AE16" s="1420"/>
      <c r="AF16" s="1420"/>
      <c r="AG16" s="1420"/>
      <c r="AH16" s="1420"/>
      <c r="AI16" s="1420"/>
      <c r="AJ16" s="1420"/>
      <c r="AK16" s="1420"/>
      <c r="AL16" s="1420"/>
      <c r="AM16" s="1420"/>
      <c r="AN16" s="1420"/>
      <c r="AO16" s="1420"/>
      <c r="AP16" s="1420"/>
      <c r="AQ16" s="1420"/>
      <c r="AR16" s="1420"/>
      <c r="AS16" s="1420"/>
      <c r="AT16" s="1420"/>
      <c r="AU16" s="1420"/>
      <c r="AV16" s="1420"/>
      <c r="AW16" s="1420"/>
      <c r="AX16" s="1420"/>
      <c r="AY16" s="1420"/>
      <c r="AZ16" s="1420"/>
      <c r="BA16" s="1420"/>
      <c r="BB16" s="1420"/>
      <c r="BC16" s="1420"/>
      <c r="BE16" s="890"/>
      <c r="BF16" s="890" t="str">
        <f>IF(T16="","",T16)</f>
        <v/>
      </c>
      <c r="BG16" s="890"/>
      <c r="BH16" s="890"/>
      <c r="BI16" s="625">
        <v>0</v>
      </c>
    </row>
    <row s="10307" customFormat="1" customHeight="1" ht="14.25" hidden="1">
      <c r="A17" s="1439"/>
      <c r="B17" s="1439"/>
      <c r="C17" s="1410"/>
      <c r="D17" s="1410"/>
      <c r="E17" s="3116"/>
      <c r="F17" s="3115"/>
      <c r="G17" s="1410"/>
      <c r="H17" s="1410"/>
      <c r="I17" s="1410"/>
      <c r="J17" s="1410"/>
      <c r="K17" s="1410"/>
      <c r="L17" s="1590"/>
      <c r="M17" s="1417"/>
      <c r="N17" s="1417"/>
      <c r="P17" s="1412"/>
      <c r="Q17" s="1413"/>
      <c r="R17" s="1412"/>
      <c r="S17" s="1418"/>
      <c r="T17" s="1421" t="s">
        <v>500</v>
      </c>
      <c r="U17" s="1420"/>
      <c r="V17" s="1420"/>
      <c r="W17" s="1420"/>
      <c r="X17" s="1420"/>
      <c r="Y17" s="1420"/>
      <c r="Z17" s="1420"/>
      <c r="AA17" s="1420"/>
      <c r="AB17" s="1420"/>
      <c r="AC17" s="1420"/>
      <c r="AD17" s="1420"/>
      <c r="AE17" s="1420"/>
      <c r="AF17" s="1420"/>
      <c r="AG17" s="1420"/>
      <c r="AH17" s="1420"/>
      <c r="AI17" s="1420"/>
      <c r="AJ17" s="1420"/>
      <c r="AK17" s="1420"/>
      <c r="AL17" s="1420"/>
      <c r="AM17" s="1420"/>
      <c r="AN17" s="1420"/>
      <c r="AO17" s="1420"/>
      <c r="AP17" s="1420"/>
      <c r="AQ17" s="1420"/>
      <c r="AR17" s="1420"/>
      <c r="AS17" s="1420"/>
      <c r="AT17" s="1420"/>
      <c r="AU17" s="1420"/>
      <c r="AV17" s="1420"/>
      <c r="AW17" s="1420"/>
      <c r="AX17" s="1420"/>
      <c r="AY17" s="1420"/>
      <c r="AZ17" s="1420"/>
      <c r="BA17" s="1420"/>
      <c r="BB17" s="1420"/>
      <c r="BC17" s="1420"/>
      <c r="BE17" s="890"/>
      <c r="BF17" s="890" t="str">
        <f>IF(T17="","",T17)</f>
        <v>Добавить централизованную систему для дифференциации</v>
      </c>
      <c r="BG17" s="890"/>
      <c r="BH17" s="890"/>
      <c r="BI17" s="625">
        <v>0</v>
      </c>
    </row>
    <row s="10307" customFormat="1" customHeight="1" ht="14.25" hidden="1">
      <c r="A18" s="1439"/>
      <c r="B18" s="1439"/>
      <c r="C18" s="1439"/>
      <c r="D18" s="1439"/>
      <c r="E18" s="3115"/>
      <c r="F18" s="1439"/>
      <c r="G18" s="1439"/>
      <c r="H18" s="1439"/>
      <c r="I18" s="1439"/>
      <c r="J18" s="1439"/>
      <c r="K18" s="1439"/>
      <c r="L18" s="1442"/>
      <c r="M18" s="1417"/>
      <c r="N18" s="1417"/>
      <c r="O18" s="625"/>
      <c r="P18" s="487"/>
      <c r="Q18" s="1440"/>
      <c r="R18" s="487"/>
      <c r="S18" s="1418"/>
      <c r="T18" s="1421" t="s">
        <v>501</v>
      </c>
      <c r="U18" s="1420"/>
      <c r="V18" s="1420"/>
      <c r="W18" s="1420"/>
      <c r="X18" s="1420"/>
      <c r="Y18" s="1420"/>
      <c r="Z18" s="1420"/>
      <c r="AA18" s="1420"/>
      <c r="AB18" s="1420"/>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E18" s="607"/>
      <c r="BF18" s="607" t="str">
        <f>IF(T18="","",T18)</f>
        <v>Добавить территорию для дифференциации</v>
      </c>
      <c r="BG18" s="607"/>
      <c r="BH18" s="607"/>
      <c r="BI18" s="618">
        <v>0</v>
      </c>
    </row>
    <row customHeight="1" ht="14.25" hidden="1">
      <c r="AC19" s="435"/>
      <c r="BA19" s="435"/>
      <c r="BI19" s="1251">
        <v>0</v>
      </c>
    </row>
    <row customHeight="1" ht="14.25" hidden="1">
      <c r="AD20" s="1420" t="s">
        <v>19</v>
      </c>
      <c r="AE20" s="1597"/>
      <c r="AF20" s="655">
        <v>1</v>
      </c>
      <c r="AG20" s="1598"/>
      <c r="AH20" s="1420" t="s">
        <v>19</v>
      </c>
      <c r="AI20" s="1597"/>
      <c r="AJ20" s="655">
        <v>1</v>
      </c>
      <c r="AK20" s="1598"/>
      <c r="AL20" s="1420" t="s">
        <v>19</v>
      </c>
      <c r="AM20" s="1599"/>
      <c r="AN20" s="655">
        <v>1</v>
      </c>
      <c r="AO20" s="1600"/>
      <c r="AP20" s="1420" t="s">
        <v>19</v>
      </c>
      <c r="AQ20" s="1599"/>
      <c r="AR20" s="655">
        <v>1</v>
      </c>
      <c r="AS20" s="1600"/>
      <c r="AT20" s="433"/>
      <c r="AU20" s="491"/>
      <c r="AV20" s="433"/>
      <c r="AW20" s="491"/>
      <c r="AX20" s="1832"/>
      <c r="AY20" s="1581" t="s">
        <v>62</v>
      </c>
      <c r="AZ20" s="1832"/>
      <c r="BA20" s="1581" t="s">
        <v>62</v>
      </c>
      <c r="BI20" s="1251">
        <v>0</v>
      </c>
    </row>
    <row customHeight="1" ht="14.25" hidden="1">
      <c r="BD21" s="603"/>
      <c r="BE21" s="603"/>
      <c r="BF21" s="603"/>
      <c r="BG21" s="603"/>
      <c r="BH21" s="603"/>
      <c r="BI21" s="1251">
        <v>0</v>
      </c>
    </row>
    <row customHeight="1" ht="14.25" hidden="1">
      <c r="O22" s="1463" t="s">
        <v>502</v>
      </c>
      <c r="Z22" s="1441"/>
      <c r="AB22" s="1441"/>
      <c r="AC22" s="435"/>
      <c r="AX22" s="1441"/>
      <c r="AZ22" s="1441"/>
      <c r="BA22" s="435"/>
      <c r="BD22" s="603"/>
      <c r="BE22" s="603"/>
      <c r="BF22" s="603"/>
      <c r="BG22" s="603"/>
      <c r="BH22" s="603"/>
      <c r="BI22" s="1251">
        <v>0</v>
      </c>
    </row>
    <row customHeight="1" ht="14.25" hidden="1">
      <c r="AC23" s="435"/>
      <c r="BA23" s="435"/>
      <c r="BD23" s="603"/>
      <c r="BE23" s="603"/>
      <c r="BF23" s="603"/>
      <c r="BG23" s="603"/>
      <c r="BH23" s="603"/>
      <c r="BI23" s="1251">
        <v>0</v>
      </c>
    </row>
    <row s="11218" customFormat="1" customHeight="1" ht="14.25" hidden="1">
      <c r="M24" s="1604"/>
      <c r="N24" s="1604"/>
      <c r="O24" s="1605" t="s">
        <v>503</v>
      </c>
      <c r="P24" s="1604"/>
      <c r="Q24" s="1606"/>
      <c r="R24" s="1606"/>
      <c r="AA24" s="1603" t="s">
        <v>505</v>
      </c>
      <c r="AC24" s="1603" t="s">
        <v>506</v>
      </c>
      <c r="AD24" s="1603" t="s">
        <v>554</v>
      </c>
      <c r="AH24" s="1603" t="s">
        <v>554</v>
      </c>
      <c r="AK24" s="1603" t="s">
        <v>591</v>
      </c>
      <c r="AL24" s="1603" t="s">
        <v>554</v>
      </c>
      <c r="AP24" s="1603" t="s">
        <v>554</v>
      </c>
      <c r="AY24" s="1603" t="s">
        <v>505</v>
      </c>
      <c r="BA24" s="1603" t="s">
        <v>506</v>
      </c>
      <c r="BD24" s="1607"/>
      <c r="BE24" s="1607"/>
      <c r="BF24" s="1607"/>
      <c r="BG24" s="1607"/>
      <c r="BH24" s="1607"/>
      <c r="BI24" s="1603">
        <v>0</v>
      </c>
    </row>
    <row customHeight="1" ht="14.25" hidden="1">
      <c r="O25" s="1460"/>
      <c r="BD25" s="603"/>
      <c r="BE25" s="603"/>
      <c r="BF25" s="603"/>
      <c r="BG25" s="603"/>
      <c r="BH25" s="603"/>
      <c r="BI25" s="1251">
        <v>0</v>
      </c>
    </row>
    <row customHeight="1" ht="14.25" hidden="1">
      <c r="O26" s="1460"/>
      <c r="BD26" s="603"/>
      <c r="BE26" s="603"/>
      <c r="BF26" s="603"/>
      <c r="BG26" s="603"/>
      <c r="BH26" s="603"/>
      <c r="BI26" s="1251">
        <v>0</v>
      </c>
    </row>
    <row customHeight="1" ht="14.699999999999998">
      <c r="Q27" s="399"/>
      <c r="R27" s="483"/>
      <c r="S27" s="1371"/>
      <c r="T27" s="470"/>
      <c r="U27" s="470"/>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6"/>
      <c r="AZ27" s="616"/>
      <c r="BA27" s="616"/>
      <c r="BI27" s="1251">
        <v>14</v>
      </c>
    </row>
    <row customHeight="1" ht="14.699999999999998">
      <c r="Q28" s="399"/>
      <c r="R28" s="483"/>
      <c r="S28" s="309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096"/>
      <c r="U28" s="3096"/>
      <c r="V28" s="3096"/>
      <c r="W28" s="3096"/>
      <c r="X28" s="3096"/>
      <c r="Y28" s="3096"/>
      <c r="Z28" s="3096"/>
      <c r="AA28" s="3096"/>
      <c r="AB28" s="3096"/>
      <c r="AC28" s="3096"/>
      <c r="AD28" s="3096"/>
      <c r="AE28" s="3096"/>
      <c r="AF28" s="3096"/>
      <c r="AG28" s="3096"/>
      <c r="AH28" s="3096"/>
      <c r="AI28" s="3096"/>
      <c r="AJ28" s="3096"/>
      <c r="AK28" s="3096"/>
      <c r="AL28" s="3096"/>
      <c r="AM28" s="3096"/>
      <c r="AN28" s="3096"/>
      <c r="AO28" s="3096"/>
      <c r="AP28" s="3096"/>
      <c r="AQ28" s="3096"/>
      <c r="AR28" s="3096"/>
      <c r="AS28" s="3096"/>
      <c r="AT28" s="3096"/>
      <c r="AU28" s="3096"/>
      <c r="AV28" s="3096"/>
      <c r="AW28" s="3096"/>
      <c r="AX28" s="3096"/>
      <c r="AY28" s="3096"/>
      <c r="AZ28" s="3096"/>
      <c r="BA28" s="1339"/>
      <c r="BI28" s="1251">
        <v>14</v>
      </c>
    </row>
    <row customHeight="1" ht="14.699999999999998">
      <c r="Q29" s="399"/>
      <c r="R29" s="483"/>
      <c r="S29" s="3069" t="str">
        <f>IF(org=0,"Не определено",org)</f>
        <v>АО "ДГК"</v>
      </c>
      <c r="T29" s="3069"/>
      <c r="U29" s="3069"/>
      <c r="V29" s="3069"/>
      <c r="W29" s="3069"/>
      <c r="X29" s="3069"/>
      <c r="Y29" s="3069"/>
      <c r="Z29" s="3069"/>
      <c r="AA29" s="3069"/>
      <c r="AB29" s="3069"/>
      <c r="AC29" s="3069"/>
      <c r="AD29" s="3069"/>
      <c r="AE29" s="3069"/>
      <c r="AF29" s="3069"/>
      <c r="AG29" s="3069"/>
      <c r="AH29" s="3069"/>
      <c r="AI29" s="3069"/>
      <c r="AJ29" s="3069"/>
      <c r="AK29" s="3069"/>
      <c r="AL29" s="3069"/>
      <c r="AM29" s="3069"/>
      <c r="AN29" s="3069"/>
      <c r="AO29" s="3069"/>
      <c r="AP29" s="3069"/>
      <c r="AQ29" s="3069"/>
      <c r="AR29" s="3069"/>
      <c r="AS29" s="3069"/>
      <c r="AT29" s="3069"/>
      <c r="AU29" s="3069"/>
      <c r="AV29" s="3069"/>
      <c r="AW29" s="3069"/>
      <c r="AX29" s="3069"/>
      <c r="AY29" s="3069"/>
      <c r="AZ29" s="3069"/>
      <c r="BA29" s="1339"/>
      <c r="BI29" s="1251">
        <v>14</v>
      </c>
    </row>
    <row customHeight="1" ht="14.25" hidden="1">
      <c r="Q30" s="399"/>
      <c r="R30" s="483"/>
      <c r="S30" s="1371"/>
      <c r="T30" s="470"/>
      <c r="U30" s="47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0"/>
      <c r="AZ30" s="430"/>
      <c r="BA30" s="430"/>
      <c r="BB30" s="616"/>
      <c r="BI30" s="1251">
        <v>0</v>
      </c>
    </row>
    <row s="10446" customFormat="1" customHeight="1" ht="25.5" hidden="1">
      <c r="A31" s="1464"/>
      <c r="B31" s="1464"/>
      <c r="C31" s="1464"/>
      <c r="D31" s="1464"/>
      <c r="E31" s="1464"/>
      <c r="F31" s="1464"/>
      <c r="G31" s="1464"/>
      <c r="H31" s="1464"/>
      <c r="I31" s="1464"/>
      <c r="J31" s="1464"/>
      <c r="K31" s="1464"/>
      <c r="L31" s="1465"/>
      <c r="M31" s="1464"/>
      <c r="N31" s="1464"/>
      <c r="O31" s="1464"/>
      <c r="P31" s="1464"/>
      <c r="Q31" s="1464"/>
      <c r="S31" s="3106" t="s">
        <v>41</v>
      </c>
      <c r="T31" s="3106"/>
      <c r="U31" s="1468"/>
      <c r="V31" s="3108" t="str">
        <f>IF(TITLE_NAME_OR_PR_CHANGE="",IF(TITLE_NAME_OR_PR="","",TITLE_NAME_OR_PR),TITLE_NAME_OR_PR_CHANGE)</f>
        <v/>
      </c>
      <c r="W31" s="3108"/>
      <c r="X31" s="3108"/>
      <c r="Y31" s="3108"/>
      <c r="Z31" s="3108"/>
      <c r="AA31" s="3108"/>
      <c r="AB31" s="3108"/>
      <c r="AC31" s="434"/>
      <c r="AD31" s="3108" t="str">
        <f>IF(TITLE_NAME_OR_PR_CHANGE="",IF(TITLE_NAME_OR_PR="","",TITLE_NAME_OR_PR),TITLE_NAME_OR_PR_CHANGE)</f>
        <v/>
      </c>
      <c r="AE31" s="3108"/>
      <c r="AF31" s="3108"/>
      <c r="AG31" s="3108"/>
      <c r="AH31" s="3108"/>
      <c r="AI31" s="3108"/>
      <c r="AJ31" s="3108"/>
      <c r="AK31" s="3108"/>
      <c r="AL31" s="3108"/>
      <c r="AM31" s="3108"/>
      <c r="AN31" s="3108"/>
      <c r="AO31" s="3108"/>
      <c r="AP31" s="3108"/>
      <c r="AQ31" s="3108"/>
      <c r="AR31" s="3108"/>
      <c r="AS31" s="3108"/>
      <c r="AT31" s="3108"/>
      <c r="AU31" s="3108"/>
      <c r="AV31" s="3108"/>
      <c r="AW31" s="3108"/>
      <c r="AX31" s="3108"/>
      <c r="AY31" s="3108"/>
      <c r="AZ31" s="3108"/>
      <c r="BA31" s="434"/>
      <c r="BB31" s="434"/>
      <c r="BC31" s="388"/>
      <c r="BD31" s="475"/>
      <c r="BE31" s="475"/>
      <c r="BF31" s="475"/>
      <c r="BG31" s="475"/>
      <c r="BH31" s="475"/>
      <c r="BI31" s="525">
        <v>0</v>
      </c>
    </row>
    <row s="10446" customFormat="1" customHeight="1" ht="18.75" hidden="1">
      <c r="A32" s="1464"/>
      <c r="B32" s="1464"/>
      <c r="C32" s="1464"/>
      <c r="D32" s="1464"/>
      <c r="E32" s="1464"/>
      <c r="F32" s="1464"/>
      <c r="G32" s="1464"/>
      <c r="H32" s="1464"/>
      <c r="I32" s="1464"/>
      <c r="J32" s="1464"/>
      <c r="K32" s="1464"/>
      <c r="L32" s="1465"/>
      <c r="M32" s="1464"/>
      <c r="N32" s="1464"/>
      <c r="O32" s="1464"/>
      <c r="P32" s="1464"/>
      <c r="Q32" s="1464"/>
      <c r="S32" s="3106" t="s">
        <v>508</v>
      </c>
      <c r="T32" s="3106"/>
      <c r="U32" s="1468"/>
      <c r="V32" s="3107" t="str">
        <f>IF(TITLE_DATE_PR_CHANGE="",IF(TITLE_DATE_PR="","",TITLE_DATE_PR),TITLE_DATE_PR_CHANGE)</f>
        <v/>
      </c>
      <c r="W32" s="3107"/>
      <c r="X32" s="3107"/>
      <c r="Y32" s="3107"/>
      <c r="Z32" s="3107"/>
      <c r="AA32" s="3107"/>
      <c r="AB32" s="3107"/>
      <c r="AC32" s="434"/>
      <c r="AD32" s="3107" t="str">
        <f>IF(TITLE_DATE_PR_CHANGE="",IF(TITLE_DATE_PR="","",TITLE_DATE_PR),TITLE_DATE_PR_CHANGE)</f>
        <v/>
      </c>
      <c r="AE32" s="3107"/>
      <c r="AF32" s="3107"/>
      <c r="AG32" s="3107"/>
      <c r="AH32" s="3107"/>
      <c r="AI32" s="3107"/>
      <c r="AJ32" s="3107"/>
      <c r="AK32" s="3107"/>
      <c r="AL32" s="3107"/>
      <c r="AM32" s="3107"/>
      <c r="AN32" s="3107"/>
      <c r="AO32" s="3107"/>
      <c r="AP32" s="3107"/>
      <c r="AQ32" s="3107"/>
      <c r="AR32" s="3107"/>
      <c r="AS32" s="3107"/>
      <c r="AT32" s="3107"/>
      <c r="AU32" s="3107"/>
      <c r="AV32" s="3107"/>
      <c r="AW32" s="3107"/>
      <c r="AX32" s="3107"/>
      <c r="AY32" s="3107"/>
      <c r="AZ32" s="3107"/>
      <c r="BA32" s="434"/>
      <c r="BB32" s="434"/>
      <c r="BC32" s="388"/>
      <c r="BD32" s="475"/>
      <c r="BE32" s="475"/>
      <c r="BF32" s="475"/>
      <c r="BG32" s="475"/>
      <c r="BH32" s="475"/>
      <c r="BI32" s="525">
        <v>0</v>
      </c>
    </row>
    <row s="10446" customFormat="1" customHeight="1" ht="18.75" hidden="1">
      <c r="A33" s="1464"/>
      <c r="B33" s="1464"/>
      <c r="C33" s="1464"/>
      <c r="D33" s="1464"/>
      <c r="E33" s="1464"/>
      <c r="F33" s="1464"/>
      <c r="G33" s="1464"/>
      <c r="H33" s="1464"/>
      <c r="I33" s="1464"/>
      <c r="J33" s="1464"/>
      <c r="K33" s="1464"/>
      <c r="L33" s="1465"/>
      <c r="M33" s="1464"/>
      <c r="N33" s="1464"/>
      <c r="O33" s="1464"/>
      <c r="P33" s="1464"/>
      <c r="Q33" s="1464"/>
      <c r="S33" s="3106" t="s">
        <v>509</v>
      </c>
      <c r="T33" s="3106"/>
      <c r="U33" s="1468"/>
      <c r="V33" s="3108" t="str">
        <f>IF(TITLE_NUMBER_PR_CHANGE="",IF(TITLE_NUMBER_PR="","",TITLE_NUMBER_PR),TITLE_NUMBER_PR_CHANGE)</f>
        <v/>
      </c>
      <c r="W33" s="3108"/>
      <c r="X33" s="3108"/>
      <c r="Y33" s="3108"/>
      <c r="Z33" s="3108"/>
      <c r="AA33" s="3108"/>
      <c r="AB33" s="3108"/>
      <c r="AC33" s="434"/>
      <c r="AD33" s="3108" t="str">
        <f>IF(TITLE_NUMBER_PR_CHANGE="",IF(TITLE_NUMBER_PR="","",TITLE_NUMBER_PR),TITLE_NUMBER_PR_CHANGE)</f>
        <v/>
      </c>
      <c r="AE33" s="3108"/>
      <c r="AF33" s="3108"/>
      <c r="AG33" s="3108"/>
      <c r="AH33" s="3108"/>
      <c r="AI33" s="3108"/>
      <c r="AJ33" s="3108"/>
      <c r="AK33" s="3108"/>
      <c r="AL33" s="3108"/>
      <c r="AM33" s="3108"/>
      <c r="AN33" s="3108"/>
      <c r="AO33" s="3108"/>
      <c r="AP33" s="3108"/>
      <c r="AQ33" s="3108"/>
      <c r="AR33" s="3108"/>
      <c r="AS33" s="3108"/>
      <c r="AT33" s="3108"/>
      <c r="AU33" s="3108"/>
      <c r="AV33" s="3108"/>
      <c r="AW33" s="3108"/>
      <c r="AX33" s="3108"/>
      <c r="AY33" s="3108"/>
      <c r="AZ33" s="3108"/>
      <c r="BA33" s="434"/>
      <c r="BB33" s="434"/>
      <c r="BC33" s="388"/>
      <c r="BD33" s="475"/>
      <c r="BE33" s="475"/>
      <c r="BF33" s="475"/>
      <c r="BG33" s="475"/>
      <c r="BH33" s="475"/>
      <c r="BI33" s="525">
        <v>0</v>
      </c>
    </row>
    <row s="10446" customFormat="1" customHeight="1" ht="18.75" hidden="1">
      <c r="A34" s="1464"/>
      <c r="B34" s="1464"/>
      <c r="C34" s="1464"/>
      <c r="D34" s="1464"/>
      <c r="E34" s="1464"/>
      <c r="F34" s="1464"/>
      <c r="G34" s="1464"/>
      <c r="H34" s="1464"/>
      <c r="I34" s="1464"/>
      <c r="J34" s="1464"/>
      <c r="K34" s="1464"/>
      <c r="L34" s="1465"/>
      <c r="M34" s="1464"/>
      <c r="N34" s="1464"/>
      <c r="O34" s="1464"/>
      <c r="P34" s="1464"/>
      <c r="Q34" s="1464"/>
      <c r="S34" s="3106" t="s">
        <v>42</v>
      </c>
      <c r="T34" s="3106"/>
      <c r="U34" s="1468"/>
      <c r="V34" s="3108" t="str">
        <f>IF(TITLE_IST_PUB_CHANGE="",IF(TITLE_IST_PUB="","",TITLE_IST_PUB),TITLE_IST_PUB_CHANGE)</f>
        <v/>
      </c>
      <c r="W34" s="3108"/>
      <c r="X34" s="3108"/>
      <c r="Y34" s="3108"/>
      <c r="Z34" s="3108"/>
      <c r="AA34" s="3108"/>
      <c r="AB34" s="3108"/>
      <c r="AC34" s="434"/>
      <c r="AD34" s="3108" t="str">
        <f>IF(TITLE_IST_PUB_CHANGE="",IF(TITLE_IST_PUB="","",TITLE_IST_PUB),TITLE_IST_PUB_CHANGE)</f>
        <v/>
      </c>
      <c r="AE34" s="3108"/>
      <c r="AF34" s="3108"/>
      <c r="AG34" s="3108"/>
      <c r="AH34" s="3108"/>
      <c r="AI34" s="3108"/>
      <c r="AJ34" s="3108"/>
      <c r="AK34" s="3108"/>
      <c r="AL34" s="3108"/>
      <c r="AM34" s="3108"/>
      <c r="AN34" s="3108"/>
      <c r="AO34" s="3108"/>
      <c r="AP34" s="3108"/>
      <c r="AQ34" s="3108"/>
      <c r="AR34" s="3108"/>
      <c r="AS34" s="3108"/>
      <c r="AT34" s="3108"/>
      <c r="AU34" s="3108"/>
      <c r="AV34" s="3108"/>
      <c r="AW34" s="3108"/>
      <c r="AX34" s="3108"/>
      <c r="AY34" s="3108"/>
      <c r="AZ34" s="3108"/>
      <c r="BA34" s="434"/>
      <c r="BB34" s="434"/>
      <c r="BC34" s="388"/>
      <c r="BD34" s="475"/>
      <c r="BE34" s="475"/>
      <c r="BF34" s="475"/>
      <c r="BG34" s="475"/>
      <c r="BH34" s="475"/>
      <c r="BI34" s="525">
        <v>0</v>
      </c>
    </row>
    <row customHeight="1" ht="14.25" hidden="1">
      <c r="Q35" s="399"/>
      <c r="R35" s="483"/>
      <c r="S35" s="1371"/>
      <c r="T35" s="470"/>
      <c r="U35" s="47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0"/>
      <c r="AT35" s="430"/>
      <c r="AU35" s="430"/>
      <c r="AV35" s="430"/>
      <c r="AW35" s="430"/>
      <c r="AX35" s="430"/>
      <c r="AY35" s="430"/>
      <c r="AZ35" s="430"/>
      <c r="BA35" s="430"/>
      <c r="BB35" s="616"/>
      <c r="BI35" s="1251">
        <v>0</v>
      </c>
    </row>
    <row s="10446" customFormat="1" customHeight="1" ht="18.75" hidden="1">
      <c r="A36" s="1464"/>
      <c r="B36" s="1464"/>
      <c r="C36" s="1464"/>
      <c r="D36" s="1464"/>
      <c r="E36" s="1464"/>
      <c r="F36" s="1464"/>
      <c r="G36" s="1464"/>
      <c r="H36" s="1464"/>
      <c r="I36" s="1464"/>
      <c r="J36" s="1464"/>
      <c r="K36" s="1464"/>
      <c r="L36" s="1465"/>
      <c r="M36" s="1464"/>
      <c r="N36" s="1464"/>
      <c r="O36" s="1464"/>
      <c r="P36" s="1464"/>
      <c r="Q36" s="1464"/>
      <c r="S36" s="3106" t="s">
        <v>508</v>
      </c>
      <c r="T36" s="3106"/>
      <c r="U36" s="1468"/>
      <c r="V36" s="3107" t="str">
        <f>IF(TITLE_DATE_PR_CHANGE="",IF(TITLE_DATE_PR="","",TITLE_DATE_PR),TITLE_DATE_PR_CHANGE)</f>
        <v/>
      </c>
      <c r="W36" s="3107"/>
      <c r="X36" s="3107"/>
      <c r="Y36" s="3107"/>
      <c r="Z36" s="3107"/>
      <c r="AA36" s="3107"/>
      <c r="AB36" s="3107"/>
      <c r="AC36" s="434"/>
      <c r="AD36" s="3107" t="str">
        <f>IF(TITLE_DATE_PR_CHANGE="",IF(TITLE_DATE_PR="","",TITLE_DATE_PR),TITLE_DATE_PR_CHANGE)</f>
        <v/>
      </c>
      <c r="AE36" s="3107"/>
      <c r="AF36" s="3107"/>
      <c r="AG36" s="3107"/>
      <c r="AH36" s="3107"/>
      <c r="AI36" s="3107"/>
      <c r="AJ36" s="3107"/>
      <c r="AK36" s="3107"/>
      <c r="AL36" s="3107"/>
      <c r="AM36" s="3107"/>
      <c r="AN36" s="3107"/>
      <c r="AO36" s="3107"/>
      <c r="AP36" s="3107"/>
      <c r="AQ36" s="3107"/>
      <c r="AR36" s="3107"/>
      <c r="AS36" s="3107"/>
      <c r="AT36" s="3107"/>
      <c r="AU36" s="3107"/>
      <c r="AV36" s="3107"/>
      <c r="AW36" s="3107"/>
      <c r="AX36" s="3107"/>
      <c r="AY36" s="3107"/>
      <c r="AZ36" s="3107"/>
      <c r="BA36" s="434"/>
      <c r="BB36" s="434"/>
      <c r="BC36" s="388"/>
      <c r="BD36" s="475"/>
      <c r="BE36" s="475"/>
      <c r="BF36" s="475"/>
      <c r="BG36" s="475"/>
      <c r="BH36" s="475"/>
      <c r="BI36" s="525">
        <v>0</v>
      </c>
    </row>
    <row s="10446" customFormat="1" customHeight="1" ht="18.75" hidden="1">
      <c r="A37" s="1464"/>
      <c r="B37" s="1464"/>
      <c r="C37" s="1464"/>
      <c r="D37" s="1464"/>
      <c r="E37" s="1464"/>
      <c r="F37" s="1464"/>
      <c r="G37" s="1464"/>
      <c r="H37" s="1464"/>
      <c r="I37" s="1464"/>
      <c r="J37" s="1464"/>
      <c r="K37" s="1464"/>
      <c r="L37" s="1465"/>
      <c r="M37" s="1464"/>
      <c r="N37" s="1464"/>
      <c r="O37" s="1464"/>
      <c r="P37" s="1464"/>
      <c r="Q37" s="1464"/>
      <c r="S37" s="3106" t="s">
        <v>509</v>
      </c>
      <c r="T37" s="3106"/>
      <c r="U37" s="1468"/>
      <c r="V37" s="3108" t="str">
        <f>IF(TITLE_NUMBER_PR_CHANGE="",IF(TITLE_NUMBER_PR="","",TITLE_NUMBER_PR),TITLE_NUMBER_PR_CHANGE)</f>
        <v/>
      </c>
      <c r="W37" s="3108"/>
      <c r="X37" s="3108"/>
      <c r="Y37" s="3108"/>
      <c r="Z37" s="3108"/>
      <c r="AA37" s="3108"/>
      <c r="AB37" s="3108"/>
      <c r="AC37" s="434"/>
      <c r="AD37" s="3108" t="str">
        <f>IF(TITLE_NUMBER_PR_CHANGE="",IF(TITLE_NUMBER_PR="","",TITLE_NUMBER_PR),TITLE_NUMBER_PR_CHANGE)</f>
        <v/>
      </c>
      <c r="AE37" s="3108"/>
      <c r="AF37" s="3108"/>
      <c r="AG37" s="3108"/>
      <c r="AH37" s="3108"/>
      <c r="AI37" s="3108"/>
      <c r="AJ37" s="3108"/>
      <c r="AK37" s="3108"/>
      <c r="AL37" s="3108"/>
      <c r="AM37" s="3108"/>
      <c r="AN37" s="3108"/>
      <c r="AO37" s="3108"/>
      <c r="AP37" s="3108"/>
      <c r="AQ37" s="3108"/>
      <c r="AR37" s="3108"/>
      <c r="AS37" s="3108"/>
      <c r="AT37" s="3108"/>
      <c r="AU37" s="3108"/>
      <c r="AV37" s="3108"/>
      <c r="AW37" s="3108"/>
      <c r="AX37" s="3108"/>
      <c r="AY37" s="3108"/>
      <c r="AZ37" s="3108"/>
      <c r="BA37" s="434"/>
      <c r="BB37" s="434"/>
      <c r="BC37" s="388"/>
      <c r="BD37" s="475"/>
      <c r="BE37" s="475"/>
      <c r="BF37" s="475"/>
      <c r="BG37" s="475"/>
      <c r="BH37" s="475"/>
      <c r="BI37" s="525">
        <v>0</v>
      </c>
    </row>
    <row s="10446" customFormat="1" customHeight="1" ht="14.25" hidden="1">
      <c r="A38" s="1464"/>
      <c r="B38" s="1464"/>
      <c r="C38" s="1464"/>
      <c r="D38" s="1464"/>
      <c r="E38" s="1464"/>
      <c r="F38" s="1464"/>
      <c r="G38" s="1464"/>
      <c r="H38" s="1464"/>
      <c r="I38" s="1464"/>
      <c r="J38" s="1464"/>
      <c r="K38" s="1464"/>
      <c r="L38" s="1465"/>
      <c r="M38" s="1464"/>
      <c r="N38" s="1464"/>
      <c r="O38" s="1464"/>
      <c r="P38" s="1464"/>
      <c r="Q38" s="1464"/>
      <c r="S38" s="431"/>
      <c r="T38" s="431"/>
      <c r="U38" s="1584"/>
      <c r="V38" s="434"/>
      <c r="W38" s="434"/>
      <c r="X38" s="434"/>
      <c r="Y38" s="434"/>
      <c r="Z38" s="434"/>
      <c r="AA38" s="434"/>
      <c r="AB38" s="434"/>
      <c r="AC38" s="386" t="s">
        <v>512</v>
      </c>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386" t="s">
        <v>512</v>
      </c>
      <c r="BD38" s="475"/>
      <c r="BE38" s="475"/>
      <c r="BF38" s="475"/>
      <c r="BG38" s="475"/>
      <c r="BH38" s="475"/>
      <c r="BI38" s="525">
        <v>0</v>
      </c>
    </row>
    <row customHeight="1" ht="14.699999999999998">
      <c r="Q39" s="399"/>
      <c r="R39" s="483"/>
      <c r="S39" s="1371"/>
      <c r="T39" s="470"/>
      <c r="U39" s="1340"/>
      <c r="V39" s="3127"/>
      <c r="W39" s="3127"/>
      <c r="X39" s="3127"/>
      <c r="Y39" s="3127"/>
      <c r="Z39" s="3127"/>
      <c r="AA39" s="3127"/>
      <c r="AB39" s="3127"/>
      <c r="AC39" s="3127"/>
      <c r="AD39" s="3127"/>
      <c r="AE39" s="3127"/>
      <c r="AF39" s="3127"/>
      <c r="AG39" s="3127"/>
      <c r="AH39" s="3127"/>
      <c r="AI39" s="3127"/>
      <c r="AJ39" s="3127"/>
      <c r="AK39" s="3127"/>
      <c r="AL39" s="3127"/>
      <c r="AM39" s="3127"/>
      <c r="AN39" s="3127"/>
      <c r="AO39" s="3127"/>
      <c r="AP39" s="3127"/>
      <c r="AQ39" s="3127"/>
      <c r="AR39" s="3127"/>
      <c r="AS39" s="3127"/>
      <c r="AT39" s="3127"/>
      <c r="AU39" s="3127"/>
      <c r="AV39" s="3127"/>
      <c r="AW39" s="3127"/>
      <c r="AX39" s="3127"/>
      <c r="AY39" s="3127"/>
      <c r="AZ39" s="3127"/>
      <c r="BA39" s="3127"/>
      <c r="BI39" s="1251">
        <v>14</v>
      </c>
    </row>
    <row customHeight="1" ht="14.699999999999998">
      <c r="Q40" s="399"/>
      <c r="R40" s="483"/>
      <c r="S40" s="2978" t="s">
        <v>385</v>
      </c>
      <c r="T40" s="2978"/>
      <c r="U40" s="2978"/>
      <c r="V40" s="2978"/>
      <c r="W40" s="2978"/>
      <c r="X40" s="2978"/>
      <c r="Y40" s="2978"/>
      <c r="Z40" s="2978"/>
      <c r="AA40" s="2978"/>
      <c r="AB40" s="2978"/>
      <c r="AC40" s="2978"/>
      <c r="AD40" s="2978"/>
      <c r="AE40" s="2978"/>
      <c r="AF40" s="2978"/>
      <c r="AG40" s="2978"/>
      <c r="AH40" s="2978"/>
      <c r="AI40" s="2978"/>
      <c r="AJ40" s="2978"/>
      <c r="AK40" s="2978"/>
      <c r="AL40" s="2978"/>
      <c r="AM40" s="2978"/>
      <c r="AN40" s="2978"/>
      <c r="AO40" s="2978"/>
      <c r="AP40" s="2978"/>
      <c r="AQ40" s="2978"/>
      <c r="AR40" s="2978"/>
      <c r="AS40" s="2978"/>
      <c r="AT40" s="2978"/>
      <c r="AU40" s="2978"/>
      <c r="AV40" s="2978"/>
      <c r="AW40" s="2978"/>
      <c r="AX40" s="2978"/>
      <c r="AY40" s="2978"/>
      <c r="AZ40" s="2978"/>
      <c r="BA40" s="2978"/>
      <c r="BB40" s="2978"/>
      <c r="BC40" s="2978" t="s">
        <v>386</v>
      </c>
      <c r="BI40" s="1251">
        <v>14</v>
      </c>
    </row>
    <row customHeight="1" ht="14.699999999999998">
      <c r="Q41" s="399"/>
      <c r="R41" s="483"/>
      <c r="S41" s="3128" t="s">
        <v>88</v>
      </c>
      <c r="T41" s="3077" t="s">
        <v>592</v>
      </c>
      <c r="U41" s="409"/>
      <c r="V41" s="3129" t="s">
        <v>514</v>
      </c>
      <c r="W41" s="3130"/>
      <c r="X41" s="3130"/>
      <c r="Y41" s="3130"/>
      <c r="Z41" s="3130"/>
      <c r="AA41" s="3130"/>
      <c r="AB41" s="3131"/>
      <c r="AC41" s="3132" t="s">
        <v>515</v>
      </c>
      <c r="AD41" s="3161" t="s">
        <v>609</v>
      </c>
      <c r="AE41" s="3145"/>
      <c r="AF41" s="3145"/>
      <c r="AG41" s="3162"/>
      <c r="AH41" s="3161" t="s">
        <v>610</v>
      </c>
      <c r="AI41" s="3145"/>
      <c r="AJ41" s="3145"/>
      <c r="AK41" s="3162"/>
      <c r="AL41" s="3161" t="s">
        <v>611</v>
      </c>
      <c r="AM41" s="3145"/>
      <c r="AN41" s="3145"/>
      <c r="AO41" s="3162"/>
      <c r="AP41" s="3161" t="s">
        <v>596</v>
      </c>
      <c r="AQ41" s="3145"/>
      <c r="AR41" s="3145"/>
      <c r="AS41" s="3162"/>
      <c r="AT41" s="3129" t="s">
        <v>514</v>
      </c>
      <c r="AU41" s="3130"/>
      <c r="AV41" s="3130"/>
      <c r="AW41" s="3130"/>
      <c r="AX41" s="3130"/>
      <c r="AY41" s="3130"/>
      <c r="AZ41" s="3131"/>
      <c r="BA41" s="3132" t="s">
        <v>515</v>
      </c>
      <c r="BB41" s="3135" t="s">
        <v>517</v>
      </c>
      <c r="BC41" s="2978"/>
      <c r="BI41" s="1251">
        <v>14</v>
      </c>
    </row>
    <row customHeight="1" ht="35.699999999999996">
      <c r="Q42" s="399"/>
      <c r="R42" s="483"/>
      <c r="S42" s="3128"/>
      <c r="T42" s="3077"/>
      <c r="U42" s="1131"/>
      <c r="V42" s="3048" t="s">
        <v>597</v>
      </c>
      <c r="W42" s="3049"/>
      <c r="X42" s="3048" t="s">
        <v>598</v>
      </c>
      <c r="Y42" s="3049"/>
      <c r="Z42" s="3048" t="s">
        <v>599</v>
      </c>
      <c r="AA42" s="3157"/>
      <c r="AB42" s="3049"/>
      <c r="AC42" s="3133"/>
      <c r="AD42" s="3163"/>
      <c r="AE42" s="3164"/>
      <c r="AF42" s="3164"/>
      <c r="AG42" s="3176"/>
      <c r="AH42" s="3163"/>
      <c r="AI42" s="3164"/>
      <c r="AJ42" s="3164"/>
      <c r="AK42" s="3176"/>
      <c r="AL42" s="3163"/>
      <c r="AM42" s="3164"/>
      <c r="AN42" s="3164"/>
      <c r="AO42" s="3176"/>
      <c r="AP42" s="3163"/>
      <c r="AQ42" s="3164"/>
      <c r="AR42" s="3164"/>
      <c r="AS42" s="3176"/>
      <c r="AT42" s="3048" t="s">
        <v>612</v>
      </c>
      <c r="AU42" s="3049"/>
      <c r="AV42" s="3048" t="s">
        <v>613</v>
      </c>
      <c r="AW42" s="3049"/>
      <c r="AX42" s="3048" t="s">
        <v>599</v>
      </c>
      <c r="AY42" s="3157"/>
      <c r="AZ42" s="3049"/>
      <c r="BA42" s="3133"/>
      <c r="BB42" s="3136"/>
      <c r="BC42" s="2978"/>
      <c r="BI42" s="1251">
        <v>34</v>
      </c>
    </row>
    <row customHeight="1" ht="14.699999999999998">
      <c r="Q43" s="399"/>
      <c r="R43" s="483"/>
      <c r="S43" s="3128"/>
      <c r="T43" s="3077"/>
      <c r="U43" s="1131"/>
      <c r="V43" s="3053"/>
      <c r="W43" s="3054"/>
      <c r="X43" s="3053"/>
      <c r="Y43" s="3054"/>
      <c r="Z43" s="3053"/>
      <c r="AA43" s="3158"/>
      <c r="AB43" s="3054"/>
      <c r="AC43" s="3133"/>
      <c r="AD43" s="3163"/>
      <c r="AE43" s="3164"/>
      <c r="AF43" s="3164"/>
      <c r="AG43" s="3176"/>
      <c r="AH43" s="3163"/>
      <c r="AI43" s="3164"/>
      <c r="AJ43" s="3164"/>
      <c r="AK43" s="3176"/>
      <c r="AL43" s="3163"/>
      <c r="AM43" s="3164"/>
      <c r="AN43" s="3164"/>
      <c r="AO43" s="3176"/>
      <c r="AP43" s="3163"/>
      <c r="AQ43" s="3164"/>
      <c r="AR43" s="3164"/>
      <c r="AS43" s="3176"/>
      <c r="AT43" s="3053"/>
      <c r="AU43" s="3054"/>
      <c r="AV43" s="3053"/>
      <c r="AW43" s="3054"/>
      <c r="AX43" s="3053"/>
      <c r="AY43" s="3158"/>
      <c r="AZ43" s="3054"/>
      <c r="BA43" s="3133"/>
      <c r="BB43" s="3136"/>
      <c r="BC43" s="2978"/>
      <c r="BI43" s="1251">
        <v>14</v>
      </c>
    </row>
    <row customHeight="1" ht="14.699999999999998">
      <c r="A44" s="1466"/>
      <c r="B44" s="1466" t="s">
        <v>222</v>
      </c>
      <c r="C44" s="1466" t="s">
        <v>223</v>
      </c>
      <c r="D44" s="1466" t="s">
        <v>224</v>
      </c>
      <c r="E44" s="1460" t="s">
        <v>522</v>
      </c>
      <c r="F44" s="1460" t="s">
        <v>523</v>
      </c>
      <c r="G44" s="1460" t="s">
        <v>524</v>
      </c>
      <c r="H44" s="1460" t="s">
        <v>525</v>
      </c>
      <c r="I44" s="1460" t="s">
        <v>526</v>
      </c>
      <c r="J44" s="1460" t="s">
        <v>527</v>
      </c>
      <c r="K44" s="1460" t="s">
        <v>528</v>
      </c>
      <c r="L44" s="1460" t="s">
        <v>503</v>
      </c>
      <c r="Q44" s="399"/>
      <c r="R44" s="483"/>
      <c r="S44" s="3128"/>
      <c r="T44" s="3077"/>
      <c r="U44" s="410"/>
      <c r="V44" s="1575" t="s">
        <v>563</v>
      </c>
      <c r="W44" s="1575" t="s">
        <v>564</v>
      </c>
      <c r="X44" s="1575" t="s">
        <v>563</v>
      </c>
      <c r="Y44" s="1575" t="s">
        <v>564</v>
      </c>
      <c r="Z44" s="1585" t="s">
        <v>531</v>
      </c>
      <c r="AA44" s="3082" t="s">
        <v>532</v>
      </c>
      <c r="AB44" s="3095"/>
      <c r="AC44" s="3134"/>
      <c r="AD44" s="3165"/>
      <c r="AE44" s="3166"/>
      <c r="AF44" s="3166"/>
      <c r="AG44" s="3167"/>
      <c r="AH44" s="3165"/>
      <c r="AI44" s="3166"/>
      <c r="AJ44" s="3166"/>
      <c r="AK44" s="3167"/>
      <c r="AL44" s="3165"/>
      <c r="AM44" s="3166"/>
      <c r="AN44" s="3166"/>
      <c r="AO44" s="3167"/>
      <c r="AP44" s="3165"/>
      <c r="AQ44" s="3166"/>
      <c r="AR44" s="3166"/>
      <c r="AS44" s="3167"/>
      <c r="AT44" s="1575" t="s">
        <v>563</v>
      </c>
      <c r="AU44" s="1575" t="s">
        <v>564</v>
      </c>
      <c r="AV44" s="1575" t="s">
        <v>563</v>
      </c>
      <c r="AW44" s="1575" t="s">
        <v>564</v>
      </c>
      <c r="AX44" s="1585" t="s">
        <v>531</v>
      </c>
      <c r="AY44" s="3082" t="s">
        <v>532</v>
      </c>
      <c r="AZ44" s="3095"/>
      <c r="BA44" s="3134"/>
      <c r="BB44" s="3137"/>
      <c r="BC44" s="2978"/>
      <c r="BI44" s="1251">
        <v>14</v>
      </c>
    </row>
    <row s="10851" customFormat="1" customHeight="1" ht="11.25" hidden="1">
      <c r="A45" s="1466"/>
      <c r="B45" s="1466"/>
      <c r="C45" s="1466"/>
      <c r="D45" s="1466"/>
      <c r="E45" s="1466"/>
      <c r="F45" s="1466"/>
      <c r="G45" s="1466"/>
      <c r="H45" s="1466"/>
      <c r="I45" s="1466"/>
      <c r="J45" s="1466"/>
      <c r="K45" s="1466"/>
      <c r="L45" s="1460"/>
      <c r="M45" s="1458"/>
      <c r="N45" s="1458"/>
      <c r="O45" s="1458"/>
      <c r="P45" s="617"/>
      <c r="Q45" s="1350"/>
      <c r="R45" s="1350">
        <v>1</v>
      </c>
      <c r="S45" s="1373" t="s">
        <v>144</v>
      </c>
      <c r="T45" s="1351" t="s">
        <v>102</v>
      </c>
      <c r="U45" s="1341" t="str">
        <f>OFFSET(U45,0,-1)</f>
        <v>2</v>
      </c>
      <c r="V45" s="1578">
        <f>OFFSET(V45,0,-1)+1</f>
        <v>3</v>
      </c>
      <c r="W45" s="1578">
        <f>OFFSET(W45,0,-1)+1</f>
        <v>4</v>
      </c>
      <c r="X45" s="1578">
        <f>OFFSET(X45,0,-1)+1</f>
        <v>5</v>
      </c>
      <c r="Y45" s="1578">
        <f>OFFSET(Y45,0,-1)+1</f>
        <v>6</v>
      </c>
      <c r="Z45" s="1578">
        <f>OFFSET(Z45,0,-1)+1</f>
        <v>7</v>
      </c>
      <c r="AA45" s="3126">
        <f>OFFSET(AA45,0,-1)+1</f>
        <v>8</v>
      </c>
      <c r="AB45" s="3126"/>
      <c r="AC45" s="1578">
        <f>OFFSET(AC45,0,-2)+1</f>
        <v>9</v>
      </c>
      <c r="AD45" s="1578">
        <f>OFFSET(AD45,0,-1)+1</f>
        <v>10</v>
      </c>
      <c r="AE45" s="1578"/>
      <c r="AF45" s="1578"/>
      <c r="AG45" s="1578"/>
      <c r="AH45" s="1578"/>
      <c r="AI45" s="1578"/>
      <c r="AJ45" s="1578"/>
      <c r="AK45" s="1578"/>
      <c r="AL45" s="1578"/>
      <c r="AM45" s="1578"/>
      <c r="AN45" s="1578"/>
      <c r="AO45" s="1578"/>
      <c r="AP45" s="1578"/>
      <c r="AQ45" s="1578"/>
      <c r="AR45" s="1578"/>
      <c r="AS45" s="1578"/>
      <c r="AT45" s="1578"/>
      <c r="AU45" s="1578"/>
      <c r="AV45" s="1578"/>
      <c r="AW45" s="1578">
        <f>OFFSET(AW45,0,-1)+1</f>
        <v>1</v>
      </c>
      <c r="AX45" s="1578">
        <f>OFFSET(AX45,0,-1)+1</f>
        <v>2</v>
      </c>
      <c r="AY45" s="3126">
        <f>OFFSET(AY45,0,-1)+1</f>
        <v>3</v>
      </c>
      <c r="AZ45" s="3126"/>
      <c r="BA45" s="1578">
        <f>OFFSET(BA45,0,-2)+1</f>
        <v>4</v>
      </c>
      <c r="BB45" s="1341">
        <f>OFFSET(BB45,0,-1)</f>
        <v>4</v>
      </c>
      <c r="BC45" s="1578">
        <f>OFFSET(BC45,0,-1)+1</f>
        <v>5</v>
      </c>
      <c r="BD45" s="618"/>
      <c r="BE45" s="618"/>
      <c r="BF45" s="618"/>
      <c r="BG45" s="618"/>
      <c r="BH45" s="618"/>
      <c r="BI45" s="603">
        <v>0</v>
      </c>
    </row>
    <row customHeight="1" ht="22.049999999999997">
      <c r="A46" s="1459" t="s">
        <v>361</v>
      </c>
      <c r="B46" s="1459"/>
      <c r="C46" s="1459"/>
      <c r="D46" s="1459"/>
      <c r="E46" s="3115">
        <v>1</v>
      </c>
      <c r="F46" s="1459"/>
      <c r="G46" s="1459"/>
      <c r="H46" s="1459"/>
      <c r="I46" s="1459"/>
      <c r="J46" s="1459"/>
      <c r="K46" s="1459"/>
      <c r="L46" s="1460"/>
      <c r="M46" s="1461"/>
      <c r="N46" s="1461"/>
      <c r="O46" s="1461"/>
      <c r="P46" s="1505"/>
      <c r="Q46" s="974"/>
      <c r="R46" s="462"/>
      <c r="S46" s="1589">
        <f>INDEX(PT_DIFFERENTIATION_NUM_NTAR,MATCH(A46,PT_DIFFERENTIATION_NTAR_ID,0))</f>
        <v>0</v>
      </c>
      <c r="T46" s="406" t="s">
        <v>210</v>
      </c>
      <c r="U46" s="408"/>
      <c r="V46" s="3110"/>
      <c r="W46" s="3110"/>
      <c r="X46" s="3110"/>
      <c r="Y46" s="3110"/>
      <c r="Z46" s="3110"/>
      <c r="AA46" s="3110"/>
      <c r="AB46" s="3110"/>
      <c r="AC46" s="3111"/>
      <c r="AD46" s="3109" t="str">
        <f>INDEX(PT_DIFFERENTIATION_NTAR,MATCH(A46,PT_DIFFERENTIATION_NTAR_ID,0))</f>
        <v/>
      </c>
      <c r="AE46" s="3110"/>
      <c r="AF46" s="3110"/>
      <c r="AG46" s="3110"/>
      <c r="AH46" s="3110"/>
      <c r="AI46" s="3110"/>
      <c r="AJ46" s="3110"/>
      <c r="AK46" s="3110"/>
      <c r="AL46" s="3110"/>
      <c r="AM46" s="3110"/>
      <c r="AN46" s="3110"/>
      <c r="AO46" s="3110"/>
      <c r="AP46" s="3110"/>
      <c r="AQ46" s="3110"/>
      <c r="AR46" s="3110"/>
      <c r="AS46" s="3110"/>
      <c r="AT46" s="3110"/>
      <c r="AU46" s="3110"/>
      <c r="AV46" s="3110"/>
      <c r="AW46" s="3110"/>
      <c r="AX46" s="3110"/>
      <c r="AY46" s="3110"/>
      <c r="AZ46" s="3110"/>
      <c r="BA46" s="3110"/>
      <c r="BB46" s="3111"/>
      <c r="BC46"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7"/>
      <c r="BF46" s="607" t="str">
        <f>IF(T46="","",T46)</f>
        <v>Наименование тарифа</v>
      </c>
      <c r="BG46" s="607"/>
      <c r="BH46" s="607"/>
      <c r="BI46" s="1251">
        <v>21</v>
      </c>
    </row>
    <row customHeight="1" ht="22.049999999999997">
      <c r="A47" s="1459" t="s">
        <v>361</v>
      </c>
      <c r="B47" s="1459" t="s">
        <v>362</v>
      </c>
      <c r="C47" s="1459"/>
      <c r="D47" s="1459"/>
      <c r="E47" s="3116"/>
      <c r="F47" s="3115">
        <v>1</v>
      </c>
      <c r="G47" s="1459"/>
      <c r="H47" s="1459"/>
      <c r="I47" s="1459"/>
      <c r="J47" s="1459"/>
      <c r="K47" s="1459"/>
      <c r="L47" s="1460"/>
      <c r="M47" s="1461"/>
      <c r="N47" s="1461"/>
      <c r="O47" s="1461"/>
      <c r="P47" s="1506"/>
      <c r="Q47" s="1507"/>
      <c r="R47" s="460"/>
      <c r="S47" s="1589" t="str">
        <f>INDEX(PT_DIFFERENTIATION_NUM_TER,MATCH(B47,PT_DIFFERENTIATION_TER_ID,0))</f>
        <v>.</v>
      </c>
      <c r="T47" s="416" t="s">
        <v>482</v>
      </c>
      <c r="U47" s="408"/>
      <c r="V47" s="3110"/>
      <c r="W47" s="3110"/>
      <c r="X47" s="3110"/>
      <c r="Y47" s="3110"/>
      <c r="Z47" s="3110"/>
      <c r="AA47" s="3110"/>
      <c r="AB47" s="3110"/>
      <c r="AC47" s="3111"/>
      <c r="AD47" s="3109" t="str">
        <f>INDEX(PT_DIFFERENTIATION_TER,MATCH(B47,PT_DIFFERENTIATION_TER_ID,0))</f>
        <v/>
      </c>
      <c r="AE47" s="3110"/>
      <c r="AF47" s="3110"/>
      <c r="AG47" s="3110"/>
      <c r="AH47" s="3110"/>
      <c r="AI47" s="3110"/>
      <c r="AJ47" s="3110"/>
      <c r="AK47" s="3110"/>
      <c r="AL47" s="3110"/>
      <c r="AM47" s="3110"/>
      <c r="AN47" s="3110"/>
      <c r="AO47" s="3110"/>
      <c r="AP47" s="3110"/>
      <c r="AQ47" s="3110"/>
      <c r="AR47" s="3110"/>
      <c r="AS47" s="3110"/>
      <c r="AT47" s="3110"/>
      <c r="AU47" s="3110"/>
      <c r="AV47" s="3110"/>
      <c r="AW47" s="3110"/>
      <c r="AX47" s="3110"/>
      <c r="AY47" s="3110"/>
      <c r="AZ47" s="3110"/>
      <c r="BA47" s="3110"/>
      <c r="BB47" s="3111"/>
      <c r="BC47" s="1354" t="s">
        <v>483</v>
      </c>
      <c r="BE47" s="607"/>
      <c r="BF47" s="607" t="str">
        <f>IF(T47="","",T47)</f>
        <v>Территория действия тарифа</v>
      </c>
      <c r="BG47" s="607"/>
      <c r="BH47" s="607"/>
      <c r="BI47" s="1251">
        <v>21</v>
      </c>
    </row>
    <row customHeight="1" ht="35.699999999999996">
      <c r="A48" s="1459" t="s">
        <v>361</v>
      </c>
      <c r="B48" s="1459" t="s">
        <v>362</v>
      </c>
      <c r="C48" s="1459" t="s">
        <v>363</v>
      </c>
      <c r="D48" s="1459"/>
      <c r="E48" s="3116"/>
      <c r="F48" s="3116"/>
      <c r="G48" s="3115">
        <v>1</v>
      </c>
      <c r="H48" s="1459"/>
      <c r="I48" s="1459"/>
      <c r="J48" s="1459"/>
      <c r="K48" s="1459"/>
      <c r="L48" s="1460"/>
      <c r="M48" s="1461"/>
      <c r="N48" s="1461"/>
      <c r="O48" s="1461"/>
      <c r="P48" s="1508"/>
      <c r="Q48" s="1507"/>
      <c r="R48" s="460"/>
      <c r="S48" s="1589" t="str">
        <f>INDEX(PT_DIFFERENTIATION_NUM_CS,MATCH(C48,PT_DIFFERENTIATION_CS_ID,0))</f>
        <v>..</v>
      </c>
      <c r="T48" s="417" t="s">
        <v>601</v>
      </c>
      <c r="U48" s="408"/>
      <c r="V48" s="3110"/>
      <c r="W48" s="3110"/>
      <c r="X48" s="3110"/>
      <c r="Y48" s="3110"/>
      <c r="Z48" s="3110"/>
      <c r="AA48" s="3110"/>
      <c r="AB48" s="3110"/>
      <c r="AC48" s="3111"/>
      <c r="AD48" s="3109" t="str">
        <f>INDEX(PT_DIFFERENTIATION_CS,MATCH(C48,PT_DIFFERENTIATION_CS_ID,0))</f>
        <v/>
      </c>
      <c r="AE48" s="3110"/>
      <c r="AF48" s="3110"/>
      <c r="AG48" s="3110"/>
      <c r="AH48" s="3110"/>
      <c r="AI48" s="3110"/>
      <c r="AJ48" s="3110"/>
      <c r="AK48" s="3110"/>
      <c r="AL48" s="3110"/>
      <c r="AM48" s="3110"/>
      <c r="AN48" s="3110"/>
      <c r="AO48" s="3110"/>
      <c r="AP48" s="3110"/>
      <c r="AQ48" s="3110"/>
      <c r="AR48" s="3110"/>
      <c r="AS48" s="3110"/>
      <c r="AT48" s="3110"/>
      <c r="AU48" s="3110"/>
      <c r="AV48" s="3110"/>
      <c r="AW48" s="3110"/>
      <c r="AX48" s="3110"/>
      <c r="AY48" s="3110"/>
      <c r="AZ48" s="3110"/>
      <c r="BA48" s="3110"/>
      <c r="BB48" s="3111"/>
      <c r="BC48" s="1354" t="s">
        <v>602</v>
      </c>
      <c r="BE48" s="607"/>
      <c r="BF48" s="607" t="str">
        <f>IF(T48="","",T48)</f>
        <v>Наименование централизованной системы водоотведения</v>
      </c>
      <c r="BG48" s="607"/>
      <c r="BH48" s="607"/>
      <c r="BI48" s="1251">
        <v>34</v>
      </c>
    </row>
    <row s="10307" customFormat="1" customHeight="1" ht="14.25" hidden="1">
      <c r="A49" s="1439" t="s">
        <v>361</v>
      </c>
      <c r="B49" s="1439" t="s">
        <v>362</v>
      </c>
      <c r="C49" s="1439" t="s">
        <v>363</v>
      </c>
      <c r="D49" s="1439" t="s">
        <v>614</v>
      </c>
      <c r="E49" s="3116"/>
      <c r="F49" s="3116"/>
      <c r="G49" s="3116"/>
      <c r="H49" s="3115">
        <v>1</v>
      </c>
      <c r="I49" s="1439"/>
      <c r="J49" s="1439"/>
      <c r="K49" s="1439"/>
      <c r="L49" s="1442"/>
      <c r="M49" s="1411"/>
      <c r="N49" s="1411"/>
      <c r="O49" s="1411"/>
      <c r="P49" s="1593"/>
      <c r="Q49" s="1594"/>
      <c r="R49" s="464"/>
      <c r="S49" s="1142"/>
      <c r="T49" s="1595"/>
      <c r="U49" s="1480"/>
      <c r="V49" s="3147"/>
      <c r="W49" s="3147"/>
      <c r="X49" s="3147"/>
      <c r="Y49" s="3147"/>
      <c r="Z49" s="3147"/>
      <c r="AA49" s="3147"/>
      <c r="AB49" s="3147"/>
      <c r="AC49" s="3148"/>
      <c r="AD49" s="3146"/>
      <c r="AE49" s="3147"/>
      <c r="AF49" s="3147"/>
      <c r="AG49" s="3147"/>
      <c r="AH49" s="3147"/>
      <c r="AI49" s="3147"/>
      <c r="AJ49" s="3147"/>
      <c r="AK49" s="3147"/>
      <c r="AL49" s="3147"/>
      <c r="AM49" s="3147"/>
      <c r="AN49" s="3147"/>
      <c r="AO49" s="3147"/>
      <c r="AP49" s="3147"/>
      <c r="AQ49" s="3147"/>
      <c r="AR49" s="3147"/>
      <c r="AS49" s="3147"/>
      <c r="AT49" s="3147"/>
      <c r="AU49" s="3147"/>
      <c r="AV49" s="3147"/>
      <c r="AW49" s="3147"/>
      <c r="AX49" s="3147"/>
      <c r="AY49" s="3147"/>
      <c r="AZ49" s="3147"/>
      <c r="BA49" s="3147"/>
      <c r="BB49" s="3148"/>
      <c r="BC49" s="1481" t="s">
        <v>487</v>
      </c>
      <c r="BE49" s="607"/>
      <c r="BF49" s="607" t="str">
        <f>IF(T49="","",T49)</f>
        <v/>
      </c>
      <c r="BG49" s="607"/>
      <c r="BH49" s="607"/>
      <c r="BI49" s="618">
        <v>0</v>
      </c>
    </row>
    <row s="10307" customFormat="1" customHeight="1" ht="14.25" hidden="1">
      <c r="A50" s="1439" t="s">
        <v>361</v>
      </c>
      <c r="B50" s="1439" t="s">
        <v>362</v>
      </c>
      <c r="C50" s="1439" t="s">
        <v>363</v>
      </c>
      <c r="D50" s="1439" t="s">
        <v>614</v>
      </c>
      <c r="E50" s="3116"/>
      <c r="F50" s="3116"/>
      <c r="G50" s="3116"/>
      <c r="H50" s="3116"/>
      <c r="I50" s="3117" t="str">
        <f>S49&amp;".1"</f>
        <v>.1</v>
      </c>
      <c r="J50" s="1439"/>
      <c r="K50" s="1439"/>
      <c r="L50" s="1442" t="s">
        <v>488</v>
      </c>
      <c r="M50" s="617"/>
      <c r="N50" s="617"/>
      <c r="O50" s="617"/>
      <c r="P50" s="3119">
        <v>1</v>
      </c>
      <c r="Q50" s="1577"/>
      <c r="R50" s="463"/>
      <c r="S50" s="1142"/>
      <c r="T50" s="1479"/>
      <c r="U50" s="1480"/>
      <c r="V50" s="3147"/>
      <c r="W50" s="3147"/>
      <c r="X50" s="3147"/>
      <c r="Y50" s="3147"/>
      <c r="Z50" s="3147"/>
      <c r="AA50" s="3147"/>
      <c r="AB50" s="3147"/>
      <c r="AC50" s="3148"/>
      <c r="AD50" s="3146"/>
      <c r="AE50" s="3147"/>
      <c r="AF50" s="3147"/>
      <c r="AG50" s="3147"/>
      <c r="AH50" s="3147"/>
      <c r="AI50" s="3147"/>
      <c r="AJ50" s="3147"/>
      <c r="AK50" s="3147"/>
      <c r="AL50" s="3147"/>
      <c r="AM50" s="3147"/>
      <c r="AN50" s="3147"/>
      <c r="AO50" s="3147"/>
      <c r="AP50" s="3147"/>
      <c r="AQ50" s="3147"/>
      <c r="AR50" s="3147"/>
      <c r="AS50" s="3147"/>
      <c r="AT50" s="3147"/>
      <c r="AU50" s="3147"/>
      <c r="AV50" s="3147"/>
      <c r="AW50" s="3147"/>
      <c r="AX50" s="3147"/>
      <c r="AY50" s="3147"/>
      <c r="AZ50" s="3147"/>
      <c r="BA50" s="3147"/>
      <c r="BB50" s="3148"/>
      <c r="BC50" s="1481"/>
      <c r="BE50" s="607"/>
      <c r="BF50" s="607" t="str">
        <f>IF(T50="","",T50)</f>
        <v/>
      </c>
      <c r="BG50" s="607"/>
      <c r="BH50" s="607"/>
      <c r="BI50" s="618">
        <v>0</v>
      </c>
    </row>
    <row s="10307" customFormat="1" customHeight="1" ht="14.25" hidden="1">
      <c r="A51" s="1439" t="s">
        <v>361</v>
      </c>
      <c r="B51" s="1439" t="s">
        <v>362</v>
      </c>
      <c r="C51" s="1439" t="s">
        <v>363</v>
      </c>
      <c r="D51" s="1439" t="s">
        <v>614</v>
      </c>
      <c r="E51" s="3116"/>
      <c r="F51" s="3116"/>
      <c r="G51" s="3116"/>
      <c r="H51" s="3116"/>
      <c r="I51" s="3118"/>
      <c r="J51" s="3117" t="str">
        <f>S49&amp;".1"</f>
        <v>.1</v>
      </c>
      <c r="K51" s="1439"/>
      <c r="L51" s="1442"/>
      <c r="M51" s="617"/>
      <c r="N51" s="617"/>
      <c r="O51" s="617"/>
      <c r="P51" s="3119"/>
      <c r="Q51" s="3119">
        <v>1</v>
      </c>
      <c r="R51" s="464"/>
      <c r="S51" s="1142"/>
      <c r="T51" s="1495"/>
      <c r="U51" s="1480"/>
      <c r="V51" s="3147"/>
      <c r="W51" s="3147"/>
      <c r="X51" s="3147"/>
      <c r="Y51" s="3147"/>
      <c r="Z51" s="3147"/>
      <c r="AA51" s="3147"/>
      <c r="AB51" s="3147"/>
      <c r="AC51" s="3148"/>
      <c r="AD51" s="3146"/>
      <c r="AE51" s="3147"/>
      <c r="AF51" s="3147"/>
      <c r="AG51" s="3147"/>
      <c r="AH51" s="3147"/>
      <c r="AI51" s="3147"/>
      <c r="AJ51" s="3147"/>
      <c r="AK51" s="3147"/>
      <c r="AL51" s="3147"/>
      <c r="AM51" s="3147"/>
      <c r="AN51" s="3198"/>
      <c r="AO51" s="3198"/>
      <c r="AP51" s="3147"/>
      <c r="AQ51" s="3147"/>
      <c r="AR51" s="3147"/>
      <c r="AS51" s="3147"/>
      <c r="AT51" s="3147"/>
      <c r="AU51" s="3147"/>
      <c r="AV51" s="3147"/>
      <c r="AW51" s="3147"/>
      <c r="AX51" s="3147"/>
      <c r="AY51" s="3147"/>
      <c r="AZ51" s="3147"/>
      <c r="BA51" s="3147"/>
      <c r="BB51" s="3148"/>
      <c r="BC51" s="1481"/>
      <c r="BE51" s="607"/>
      <c r="BF51" s="607" t="str">
        <f>IF(T51="","",T51)</f>
        <v/>
      </c>
      <c r="BG51" s="607"/>
      <c r="BH51" s="607"/>
      <c r="BI51" s="618">
        <v>0</v>
      </c>
    </row>
    <row customHeight="1" ht="11.549999999999999">
      <c r="A52" s="1459" t="s">
        <v>361</v>
      </c>
      <c r="B52" s="1459" t="s">
        <v>362</v>
      </c>
      <c r="C52" s="1459" t="s">
        <v>363</v>
      </c>
      <c r="D52" s="1459" t="s">
        <v>614</v>
      </c>
      <c r="E52" s="3116"/>
      <c r="F52" s="3116"/>
      <c r="G52" s="3116"/>
      <c r="H52" s="3116"/>
      <c r="I52" s="3118"/>
      <c r="J52" s="3118"/>
      <c r="K52" s="3117" t="str">
        <f>S48&amp;".1"</f>
        <v>...1</v>
      </c>
      <c r="L52" s="1460"/>
      <c r="P52" s="3119"/>
      <c r="Q52" s="3119"/>
      <c r="R52" s="464">
        <v>1</v>
      </c>
      <c r="S52" s="3172" t="str">
        <f>$K52</f>
        <v>...1</v>
      </c>
      <c r="T52" s="3192"/>
      <c r="U52" s="408"/>
      <c r="V52" s="858"/>
      <c r="W52" s="1353"/>
      <c r="X52" s="858"/>
      <c r="Y52" s="1353"/>
      <c r="Z52" s="1830"/>
      <c r="AA52" s="1565" t="s">
        <v>62</v>
      </c>
      <c r="AB52" s="1830"/>
      <c r="AC52" s="1565" t="s">
        <v>62</v>
      </c>
      <c r="AD52" s="3060" t="s">
        <v>62</v>
      </c>
      <c r="AE52" s="3168"/>
      <c r="AF52" s="3073">
        <v>1</v>
      </c>
      <c r="AG52" s="3191"/>
      <c r="AH52" s="2989" t="s">
        <v>62</v>
      </c>
      <c r="AI52" s="3168"/>
      <c r="AJ52" s="3073">
        <v>1</v>
      </c>
      <c r="AK52" s="3182" t="s">
        <v>22</v>
      </c>
      <c r="AL52" s="2989" t="s">
        <v>62</v>
      </c>
      <c r="AM52" s="3048"/>
      <c r="AN52" s="3073">
        <v>1</v>
      </c>
      <c r="AO52" s="3195"/>
      <c r="AP52" s="3196" t="s">
        <v>62</v>
      </c>
      <c r="AQ52" s="419"/>
      <c r="AR52" s="1582">
        <v>1</v>
      </c>
      <c r="AS52" s="1588" t="s">
        <v>22</v>
      </c>
      <c r="AT52" s="858"/>
      <c r="AU52" s="1353"/>
      <c r="AV52" s="858"/>
      <c r="AW52" s="1353"/>
      <c r="AX52" s="1830"/>
      <c r="AY52" s="1565" t="s">
        <v>62</v>
      </c>
      <c r="AZ52" s="1830"/>
      <c r="BA52" s="1565" t="s">
        <v>62</v>
      </c>
      <c r="BB52" s="1444"/>
      <c r="BC52" s="3138" t="s">
        <v>586</v>
      </c>
      <c r="BE52" s="607"/>
      <c r="BF52" s="607" t="str">
        <f>IF(T52="","",T52)</f>
        <v/>
      </c>
      <c r="BG52" s="607"/>
      <c r="BH52" s="607"/>
      <c r="BI52" s="1251">
        <v>11</v>
      </c>
    </row>
    <row customHeight="1" ht="11.549999999999999">
      <c r="A53" s="1459"/>
      <c r="B53" s="1459"/>
      <c r="C53" s="1459"/>
      <c r="D53" s="1459"/>
      <c r="E53" s="3116"/>
      <c r="F53" s="3116"/>
      <c r="G53" s="3116"/>
      <c r="H53" s="3116"/>
      <c r="I53" s="3118"/>
      <c r="J53" s="3118"/>
      <c r="K53" s="3117"/>
      <c r="L53" s="1460"/>
      <c r="P53" s="3119"/>
      <c r="Q53" s="3119"/>
      <c r="R53" s="464"/>
      <c r="S53" s="3173"/>
      <c r="T53" s="3193"/>
      <c r="U53" s="408"/>
      <c r="V53" s="1489"/>
      <c r="W53" s="1592"/>
      <c r="X53" s="1489"/>
      <c r="Y53" s="1592"/>
      <c r="Z53" s="1489"/>
      <c r="AA53" s="1489"/>
      <c r="AB53" s="1489"/>
      <c r="AC53" s="1489"/>
      <c r="AD53" s="3061"/>
      <c r="AE53" s="3168"/>
      <c r="AF53" s="3073"/>
      <c r="AG53" s="3191"/>
      <c r="AH53" s="2989"/>
      <c r="AI53" s="3168"/>
      <c r="AJ53" s="3073"/>
      <c r="AK53" s="3182"/>
      <c r="AL53" s="2989"/>
      <c r="AM53" s="3053"/>
      <c r="AN53" s="3073"/>
      <c r="AO53" s="3195"/>
      <c r="AP53" s="3197"/>
      <c r="AQ53" s="424"/>
      <c r="AR53" s="523"/>
      <c r="AS53" s="523" t="s">
        <v>587</v>
      </c>
      <c r="AT53" s="1489"/>
      <c r="AU53" s="1592"/>
      <c r="AV53" s="1489"/>
      <c r="AW53" s="1592"/>
      <c r="AX53" s="1489"/>
      <c r="AY53" s="1489"/>
      <c r="AZ53" s="1489"/>
      <c r="BA53" s="1489"/>
      <c r="BB53" s="1493"/>
      <c r="BC53" s="3139"/>
      <c r="BE53" s="607"/>
      <c r="BF53" s="607"/>
      <c r="BG53" s="607"/>
      <c r="BH53" s="607"/>
      <c r="BI53" s="1251">
        <v>11</v>
      </c>
    </row>
    <row customHeight="1" ht="11.549999999999999">
      <c r="A54" s="1459" t="s">
        <v>361</v>
      </c>
      <c r="B54" s="1459"/>
      <c r="C54" s="1459"/>
      <c r="D54" s="1459"/>
      <c r="E54" s="3116"/>
      <c r="F54" s="3116"/>
      <c r="G54" s="3116"/>
      <c r="H54" s="3116"/>
      <c r="I54" s="3118"/>
      <c r="J54" s="3118"/>
      <c r="K54" s="3117"/>
      <c r="L54" s="1460"/>
      <c r="P54" s="3119"/>
      <c r="Q54" s="3119"/>
      <c r="R54" s="464"/>
      <c r="S54" s="3173"/>
      <c r="T54" s="3193"/>
      <c r="U54" s="408"/>
      <c r="V54" s="1489"/>
      <c r="W54" s="1592"/>
      <c r="X54" s="1489"/>
      <c r="Y54" s="1592"/>
      <c r="Z54" s="1489"/>
      <c r="AA54" s="1489"/>
      <c r="AB54" s="1489"/>
      <c r="AC54" s="1489"/>
      <c r="AD54" s="3061"/>
      <c r="AE54" s="3168"/>
      <c r="AF54" s="3073"/>
      <c r="AG54" s="3191"/>
      <c r="AH54" s="2989"/>
      <c r="AI54" s="3168"/>
      <c r="AJ54" s="3073"/>
      <c r="AK54" s="3182"/>
      <c r="AL54" s="2989"/>
      <c r="AM54" s="424"/>
      <c r="AN54" s="1596"/>
      <c r="AO54" s="1596" t="s">
        <v>607</v>
      </c>
      <c r="AP54" s="523"/>
      <c r="AQ54" s="523"/>
      <c r="AR54" s="523"/>
      <c r="AS54" s="1489"/>
      <c r="AT54" s="1489"/>
      <c r="AU54" s="1592"/>
      <c r="AV54" s="1489"/>
      <c r="AW54" s="1592"/>
      <c r="AX54" s="1489"/>
      <c r="AY54" s="1489"/>
      <c r="AZ54" s="1489"/>
      <c r="BA54" s="1489"/>
      <c r="BB54" s="1493"/>
      <c r="BC54" s="3139"/>
      <c r="BE54" s="607"/>
      <c r="BF54" s="607"/>
      <c r="BG54" s="607"/>
      <c r="BH54" s="607"/>
      <c r="BI54" s="1251">
        <v>11</v>
      </c>
    </row>
    <row customHeight="1" ht="11.549999999999999">
      <c r="A55" s="1459" t="s">
        <v>361</v>
      </c>
      <c r="B55" s="1459"/>
      <c r="C55" s="1459"/>
      <c r="D55" s="1459"/>
      <c r="E55" s="3116"/>
      <c r="F55" s="3116"/>
      <c r="G55" s="3116"/>
      <c r="H55" s="3116"/>
      <c r="I55" s="3118"/>
      <c r="J55" s="3118"/>
      <c r="K55" s="3117"/>
      <c r="L55" s="1460"/>
      <c r="P55" s="3119"/>
      <c r="Q55" s="3119"/>
      <c r="R55" s="464"/>
      <c r="S55" s="3173"/>
      <c r="T55" s="3193"/>
      <c r="U55" s="408"/>
      <c r="V55" s="1489"/>
      <c r="W55" s="1592"/>
      <c r="X55" s="1489"/>
      <c r="Y55" s="1592"/>
      <c r="Z55" s="1489"/>
      <c r="AA55" s="1489"/>
      <c r="AB55" s="1489"/>
      <c r="AC55" s="1489"/>
      <c r="AD55" s="3061"/>
      <c r="AE55" s="3168"/>
      <c r="AF55" s="3073"/>
      <c r="AG55" s="3191"/>
      <c r="AH55" s="2989"/>
      <c r="AI55" s="402"/>
      <c r="AJ55" s="522"/>
      <c r="AK55" s="421" t="s">
        <v>608</v>
      </c>
      <c r="AL55" s="1489"/>
      <c r="AM55" s="1489"/>
      <c r="AN55" s="1489"/>
      <c r="AO55" s="1489"/>
      <c r="AP55" s="1489"/>
      <c r="AQ55" s="1489"/>
      <c r="AR55" s="1489"/>
      <c r="AS55" s="1489"/>
      <c r="AT55" s="1489"/>
      <c r="AU55" s="1592"/>
      <c r="AV55" s="1489"/>
      <c r="AW55" s="1592"/>
      <c r="AX55" s="1489"/>
      <c r="AY55" s="1489"/>
      <c r="AZ55" s="1489"/>
      <c r="BA55" s="1489"/>
      <c r="BB55" s="1493"/>
      <c r="BC55" s="3139"/>
      <c r="BE55" s="607"/>
      <c r="BF55" s="607"/>
      <c r="BG55" s="607"/>
      <c r="BH55" s="607"/>
      <c r="BI55" s="1251">
        <v>11</v>
      </c>
    </row>
    <row customHeight="1" ht="11.549999999999999">
      <c r="A56" s="1459" t="s">
        <v>361</v>
      </c>
      <c r="B56" s="1459" t="s">
        <v>362</v>
      </c>
      <c r="C56" s="1459" t="s">
        <v>363</v>
      </c>
      <c r="D56" s="1459" t="s">
        <v>614</v>
      </c>
      <c r="E56" s="3116"/>
      <c r="F56" s="3116"/>
      <c r="G56" s="3116"/>
      <c r="H56" s="3116"/>
      <c r="I56" s="3118"/>
      <c r="J56" s="3118"/>
      <c r="K56" s="3117"/>
      <c r="L56" s="1460"/>
      <c r="P56" s="3119"/>
      <c r="Q56" s="3119"/>
      <c r="R56" s="464"/>
      <c r="S56" s="3174"/>
      <c r="T56" s="3194"/>
      <c r="U56" s="408"/>
      <c r="V56" s="1489"/>
      <c r="W56" s="1490" t="str">
        <f>Z52&amp;"-"&amp;AB52</f>
        <v>-</v>
      </c>
      <c r="X56" s="1489"/>
      <c r="Y56" s="1490" t="str">
        <f>AB52&amp;"-"&amp;AD52</f>
        <v>-да</v>
      </c>
      <c r="Z56" s="1489"/>
      <c r="AA56" s="1489"/>
      <c r="AB56" s="1489"/>
      <c r="AC56" s="1489"/>
      <c r="AD56" s="2994"/>
      <c r="AE56" s="420"/>
      <c r="AF56" s="422"/>
      <c r="AG56" s="523" t="s">
        <v>590</v>
      </c>
      <c r="AH56" s="1489"/>
      <c r="AI56" s="1489"/>
      <c r="AJ56" s="1489"/>
      <c r="AK56" s="1489"/>
      <c r="AL56" s="1489"/>
      <c r="AM56" s="1489"/>
      <c r="AN56" s="1489"/>
      <c r="AO56" s="1489"/>
      <c r="AP56" s="1489"/>
      <c r="AQ56" s="1489"/>
      <c r="AR56" s="1489"/>
      <c r="AS56" s="1489"/>
      <c r="AT56" s="1489"/>
      <c r="AU56" s="1490" t="str">
        <f>AX52&amp;"-"&amp;AZ52</f>
        <v>-</v>
      </c>
      <c r="AV56" s="1489"/>
      <c r="AW56" s="1490" t="str">
        <f>AZ52&amp;"-"&amp;BB52</f>
        <v>-</v>
      </c>
      <c r="AX56" s="1489"/>
      <c r="AY56" s="1489"/>
      <c r="AZ56" s="1489"/>
      <c r="BA56" s="1489"/>
      <c r="BB56" s="1492" t="str">
        <f>BE52&amp;"-"&amp;BG52</f>
        <v>-</v>
      </c>
      <c r="BC56" s="3139"/>
      <c r="BE56" s="607"/>
      <c r="BF56" s="607" t="str">
        <f>IF(T56="","",T56)</f>
        <v/>
      </c>
      <c r="BG56" s="607"/>
      <c r="BH56" s="607"/>
      <c r="BI56" s="1251">
        <v>11</v>
      </c>
    </row>
    <row customHeight="1" ht="11.549999999999999">
      <c r="A57" s="1459" t="s">
        <v>361</v>
      </c>
      <c r="B57" s="1459" t="s">
        <v>362</v>
      </c>
      <c r="C57" s="1459" t="s">
        <v>363</v>
      </c>
      <c r="D57" s="1459" t="s">
        <v>614</v>
      </c>
      <c r="E57" s="3116"/>
      <c r="F57" s="3116"/>
      <c r="G57" s="3116"/>
      <c r="H57" s="3116"/>
      <c r="I57" s="3118"/>
      <c r="J57" s="3117"/>
      <c r="K57" s="1459"/>
      <c r="L57" s="1460"/>
      <c r="P57" s="3119"/>
      <c r="Q57" s="3119"/>
      <c r="R57" s="463"/>
      <c r="S57" s="1374"/>
      <c r="T57" s="395" t="s">
        <v>553</v>
      </c>
      <c r="U57" s="474"/>
      <c r="V57" s="474"/>
      <c r="W57" s="474"/>
      <c r="X57" s="474"/>
      <c r="Y57" s="474"/>
      <c r="Z57" s="474"/>
      <c r="AA57" s="474"/>
      <c r="AB57" s="474"/>
      <c r="AC57" s="432"/>
      <c r="AD57" s="1601"/>
      <c r="AE57" s="474"/>
      <c r="AF57" s="474"/>
      <c r="AG57" s="474"/>
      <c r="AH57" s="474"/>
      <c r="AI57" s="474"/>
      <c r="AJ57" s="474"/>
      <c r="AK57" s="474"/>
      <c r="AL57" s="474"/>
      <c r="AM57" s="474"/>
      <c r="AN57" s="474"/>
      <c r="AO57" s="474"/>
      <c r="AP57" s="474"/>
      <c r="AQ57" s="474"/>
      <c r="AR57" s="474"/>
      <c r="AS57" s="474"/>
      <c r="AT57" s="474"/>
      <c r="AU57" s="474"/>
      <c r="AV57" s="474"/>
      <c r="AW57" s="474"/>
      <c r="AX57" s="474"/>
      <c r="AY57" s="474"/>
      <c r="AZ57" s="474"/>
      <c r="BA57" s="474"/>
      <c r="BB57" s="432"/>
      <c r="BC57" s="3140"/>
      <c r="BE57" s="607"/>
      <c r="BF57" s="607" t="str">
        <f>IF(T57="","",T57)</f>
        <v>Добавить строку</v>
      </c>
      <c r="BG57" s="607"/>
      <c r="BH57" s="607"/>
      <c r="BI57" s="1251">
        <v>11</v>
      </c>
    </row>
    <row s="10307" customFormat="1" customHeight="1" ht="14.25" hidden="1">
      <c r="A58" s="1439" t="s">
        <v>361</v>
      </c>
      <c r="B58" s="1439" t="s">
        <v>362</v>
      </c>
      <c r="C58" s="1439" t="s">
        <v>363</v>
      </c>
      <c r="D58" s="1439" t="s">
        <v>614</v>
      </c>
      <c r="E58" s="3116"/>
      <c r="F58" s="3116"/>
      <c r="G58" s="3116"/>
      <c r="H58" s="3116"/>
      <c r="I58" s="3117"/>
      <c r="J58" s="1439"/>
      <c r="K58" s="1439"/>
      <c r="L58" s="1442"/>
      <c r="M58" s="617"/>
      <c r="N58" s="617"/>
      <c r="O58" s="617"/>
      <c r="P58" s="3119"/>
      <c r="Q58" s="1577"/>
      <c r="R58" s="463"/>
      <c r="S58" s="1482"/>
      <c r="T58" s="1483"/>
      <c r="U58" s="1484"/>
      <c r="V58" s="1484"/>
      <c r="W58" s="1484"/>
      <c r="X58" s="1484"/>
      <c r="Y58" s="1484"/>
      <c r="Z58" s="1484"/>
      <c r="AA58" s="1484"/>
      <c r="AB58" s="1484"/>
      <c r="AC58" s="1484"/>
      <c r="AD58" s="1484"/>
      <c r="AE58" s="1484"/>
      <c r="AF58" s="1484"/>
      <c r="AG58" s="1484"/>
      <c r="AH58" s="1484"/>
      <c r="AI58" s="1484"/>
      <c r="AJ58" s="1484"/>
      <c r="AK58" s="1484"/>
      <c r="AL58" s="1484"/>
      <c r="AM58" s="1484"/>
      <c r="AN58" s="1484"/>
      <c r="AO58" s="1484"/>
      <c r="AP58" s="1484"/>
      <c r="AQ58" s="1484"/>
      <c r="AR58" s="1484"/>
      <c r="AS58" s="1484"/>
      <c r="AT58" s="1484"/>
      <c r="AU58" s="1484"/>
      <c r="AV58" s="1484"/>
      <c r="AW58" s="1484"/>
      <c r="AX58" s="1484"/>
      <c r="AY58" s="1484"/>
      <c r="AZ58" s="1484"/>
      <c r="BA58" s="1484"/>
      <c r="BB58" s="1484"/>
      <c r="BC58" s="1485"/>
      <c r="BE58" s="607"/>
      <c r="BF58" s="607" t="str">
        <f>IF(T58="","",T58)</f>
        <v/>
      </c>
      <c r="BG58" s="607"/>
      <c r="BH58" s="607"/>
      <c r="BI58" s="618">
        <v>0</v>
      </c>
    </row>
    <row s="10307" customFormat="1" customHeight="1" ht="14.25" hidden="1">
      <c r="A59" s="1439" t="s">
        <v>361</v>
      </c>
      <c r="B59" s="1439" t="s">
        <v>362</v>
      </c>
      <c r="C59" s="1439" t="s">
        <v>363</v>
      </c>
      <c r="D59" s="1439" t="s">
        <v>614</v>
      </c>
      <c r="E59" s="3116"/>
      <c r="F59" s="3116"/>
      <c r="G59" s="3116"/>
      <c r="H59" s="3115"/>
      <c r="I59" s="1439"/>
      <c r="J59" s="1439"/>
      <c r="K59" s="1439"/>
      <c r="L59" s="1442"/>
      <c r="M59" s="1411"/>
      <c r="N59" s="1411"/>
      <c r="O59" s="625"/>
      <c r="P59" s="487"/>
      <c r="Q59" s="1440"/>
      <c r="R59" s="1497"/>
      <c r="S59" s="1482"/>
      <c r="T59" s="1483"/>
      <c r="U59" s="1484"/>
      <c r="V59" s="1484"/>
      <c r="W59" s="1484"/>
      <c r="X59" s="1484"/>
      <c r="Y59" s="1484"/>
      <c r="Z59" s="1484"/>
      <c r="AA59" s="1484"/>
      <c r="AB59" s="1484"/>
      <c r="AC59" s="1484"/>
      <c r="AD59" s="1484"/>
      <c r="AE59" s="1484"/>
      <c r="AF59" s="1484"/>
      <c r="AG59" s="1484"/>
      <c r="AH59" s="1484"/>
      <c r="AI59" s="1484"/>
      <c r="AJ59" s="1484"/>
      <c r="AK59" s="1484"/>
      <c r="AL59" s="1484"/>
      <c r="AM59" s="1484"/>
      <c r="AN59" s="1484"/>
      <c r="AO59" s="1484"/>
      <c r="AP59" s="1484"/>
      <c r="AQ59" s="1484"/>
      <c r="AR59" s="1484"/>
      <c r="AS59" s="1484"/>
      <c r="AT59" s="1484"/>
      <c r="AU59" s="1484"/>
      <c r="AV59" s="1484"/>
      <c r="AW59" s="1484"/>
      <c r="AX59" s="1484"/>
      <c r="AY59" s="1484"/>
      <c r="AZ59" s="1484"/>
      <c r="BA59" s="1484"/>
      <c r="BB59" s="1484"/>
      <c r="BC59" s="1485"/>
      <c r="BE59" s="607"/>
      <c r="BF59" s="607" t="str">
        <f>IF(T59="","",T59)</f>
        <v/>
      </c>
      <c r="BG59" s="607"/>
      <c r="BH59" s="607"/>
      <c r="BI59" s="618">
        <v>0</v>
      </c>
    </row>
    <row s="10307" customFormat="1" customHeight="1" ht="14.25" hidden="1">
      <c r="A60" s="1439" t="s">
        <v>361</v>
      </c>
      <c r="B60" s="1439" t="s">
        <v>362</v>
      </c>
      <c r="C60" s="1439" t="s">
        <v>363</v>
      </c>
      <c r="D60" s="1410"/>
      <c r="E60" s="3116"/>
      <c r="F60" s="3116"/>
      <c r="G60" s="3115"/>
      <c r="H60" s="1410"/>
      <c r="I60" s="1410"/>
      <c r="J60" s="1410"/>
      <c r="K60" s="1410"/>
      <c r="L60" s="1590"/>
      <c r="M60" s="1411"/>
      <c r="N60" s="1411"/>
      <c r="P60" s="1412"/>
      <c r="Q60" s="1413"/>
      <c r="R60" s="1412"/>
      <c r="S60" s="1418"/>
      <c r="T60" s="1421"/>
      <c r="U60" s="1420"/>
      <c r="V60" s="1420"/>
      <c r="W60" s="1420"/>
      <c r="X60" s="1420"/>
      <c r="Y60" s="1420"/>
      <c r="Z60" s="1420"/>
      <c r="AA60" s="1420"/>
      <c r="AB60" s="1420"/>
      <c r="AC60" s="1420"/>
      <c r="AD60" s="1420"/>
      <c r="AE60" s="1420"/>
      <c r="AF60" s="1420"/>
      <c r="AG60" s="1420"/>
      <c r="AH60" s="1420"/>
      <c r="AI60" s="1420"/>
      <c r="AJ60" s="1420"/>
      <c r="AK60" s="1420"/>
      <c r="AL60" s="1420"/>
      <c r="AM60" s="1420"/>
      <c r="AN60" s="1420"/>
      <c r="AO60" s="1420"/>
      <c r="AP60" s="1420"/>
      <c r="AQ60" s="1420"/>
      <c r="AR60" s="1420"/>
      <c r="AS60" s="1420"/>
      <c r="AT60" s="1420"/>
      <c r="AU60" s="1420"/>
      <c r="AV60" s="1420"/>
      <c r="AW60" s="1420"/>
      <c r="AX60" s="1420"/>
      <c r="AY60" s="1420"/>
      <c r="AZ60" s="1420"/>
      <c r="BA60" s="1420"/>
      <c r="BB60" s="1420"/>
      <c r="BC60" s="1420"/>
      <c r="BE60" s="890"/>
      <c r="BF60" s="890" t="str">
        <f>IF(T60="","",T60)</f>
        <v/>
      </c>
      <c r="BG60" s="890"/>
      <c r="BH60" s="890"/>
      <c r="BI60" s="625">
        <v>0</v>
      </c>
    </row>
    <row s="10307" customFormat="1" customHeight="1" ht="14.25" hidden="1">
      <c r="A61" s="1439" t="s">
        <v>361</v>
      </c>
      <c r="B61" s="1439" t="s">
        <v>362</v>
      </c>
      <c r="C61" s="1410"/>
      <c r="D61" s="1410"/>
      <c r="E61" s="3116"/>
      <c r="F61" s="3115"/>
      <c r="G61" s="1410"/>
      <c r="H61" s="1410"/>
      <c r="I61" s="1410"/>
      <c r="J61" s="1410"/>
      <c r="K61" s="1410"/>
      <c r="L61" s="1590"/>
      <c r="M61" s="1417"/>
      <c r="N61" s="1417"/>
      <c r="P61" s="1412"/>
      <c r="Q61" s="1413"/>
      <c r="R61" s="1412"/>
      <c r="S61" s="1418"/>
      <c r="T61" s="1421" t="s">
        <v>500</v>
      </c>
      <c r="U61" s="1420"/>
      <c r="V61" s="1420"/>
      <c r="W61" s="1420"/>
      <c r="X61" s="1420"/>
      <c r="Y61" s="1420"/>
      <c r="Z61" s="1420"/>
      <c r="AA61" s="1420"/>
      <c r="AB61" s="1420"/>
      <c r="AC61" s="1420"/>
      <c r="AD61" s="1420"/>
      <c r="AE61" s="1420"/>
      <c r="AF61" s="1420"/>
      <c r="AG61" s="1420"/>
      <c r="AH61" s="1420"/>
      <c r="AI61" s="1420"/>
      <c r="AJ61" s="1420"/>
      <c r="AK61" s="1420"/>
      <c r="AL61" s="1420"/>
      <c r="AM61" s="1420"/>
      <c r="AN61" s="1420"/>
      <c r="AO61" s="1420"/>
      <c r="AP61" s="1420"/>
      <c r="AQ61" s="1420"/>
      <c r="AR61" s="1420"/>
      <c r="AS61" s="1420"/>
      <c r="AT61" s="1420"/>
      <c r="AU61" s="1420"/>
      <c r="AV61" s="1420"/>
      <c r="AW61" s="1420"/>
      <c r="AX61" s="1420"/>
      <c r="AY61" s="1420"/>
      <c r="AZ61" s="1420"/>
      <c r="BA61" s="1420"/>
      <c r="BB61" s="1420"/>
      <c r="BC61" s="1420"/>
      <c r="BE61" s="890"/>
      <c r="BF61" s="890" t="str">
        <f>IF(T61="","",T61)</f>
        <v>Добавить централизованную систему для дифференциации</v>
      </c>
      <c r="BG61" s="890"/>
      <c r="BH61" s="890"/>
      <c r="BI61" s="625">
        <v>0</v>
      </c>
    </row>
    <row s="10307" customFormat="1" customHeight="1" ht="14.25" hidden="1">
      <c r="A62" s="1439" t="s">
        <v>361</v>
      </c>
      <c r="B62" s="1439"/>
      <c r="C62" s="1439"/>
      <c r="D62" s="1439"/>
      <c r="E62" s="3115"/>
      <c r="F62" s="1439"/>
      <c r="G62" s="1439"/>
      <c r="H62" s="1439"/>
      <c r="I62" s="1439"/>
      <c r="J62" s="1439"/>
      <c r="K62" s="1439"/>
      <c r="L62" s="1442"/>
      <c r="M62" s="1417"/>
      <c r="N62" s="1417"/>
      <c r="O62" s="625"/>
      <c r="P62" s="487"/>
      <c r="Q62" s="1440"/>
      <c r="R62" s="487"/>
      <c r="S62" s="1418"/>
      <c r="T62" s="1421" t="s">
        <v>501</v>
      </c>
      <c r="U62" s="1420"/>
      <c r="V62" s="1420"/>
      <c r="W62" s="1420"/>
      <c r="X62" s="1420"/>
      <c r="Y62" s="1420"/>
      <c r="Z62" s="1420"/>
      <c r="AA62" s="1420"/>
      <c r="AB62" s="1420"/>
      <c r="AC62" s="1420"/>
      <c r="AD62" s="1420"/>
      <c r="AE62" s="1420"/>
      <c r="AF62" s="1420"/>
      <c r="AG62" s="1420"/>
      <c r="AH62" s="1420"/>
      <c r="AI62" s="1420"/>
      <c r="AJ62" s="1420"/>
      <c r="AK62" s="1420"/>
      <c r="AL62" s="1420"/>
      <c r="AM62" s="1420"/>
      <c r="AN62" s="1420"/>
      <c r="AO62" s="1420"/>
      <c r="AP62" s="1420"/>
      <c r="AQ62" s="1420"/>
      <c r="AR62" s="1420"/>
      <c r="AS62" s="1420"/>
      <c r="AT62" s="1420"/>
      <c r="AU62" s="1420"/>
      <c r="AV62" s="1420"/>
      <c r="AW62" s="1420"/>
      <c r="AX62" s="1420"/>
      <c r="AY62" s="1420"/>
      <c r="AZ62" s="1420"/>
      <c r="BA62" s="1420"/>
      <c r="BB62" s="1420"/>
      <c r="BC62" s="1420"/>
      <c r="BE62" s="607"/>
      <c r="BF62" s="607" t="str">
        <f>IF(T62="","",T62)</f>
        <v>Добавить территорию для дифференциации</v>
      </c>
      <c r="BG62" s="607"/>
      <c r="BH62" s="607"/>
      <c r="BI62" s="618">
        <v>0</v>
      </c>
    </row>
    <row s="10307" customFormat="1" customHeight="1" ht="14.25" hidden="1">
      <c r="A63" s="1410"/>
      <c r="B63" s="1410"/>
      <c r="C63" s="1410"/>
      <c r="D63" s="1410"/>
      <c r="E63" s="1439"/>
      <c r="F63" s="1410"/>
      <c r="G63" s="1410"/>
      <c r="H63" s="1410"/>
      <c r="I63" s="1410"/>
      <c r="J63" s="1410"/>
      <c r="K63" s="1410"/>
      <c r="L63" s="1590"/>
      <c r="M63" s="1417"/>
      <c r="N63" s="1417"/>
      <c r="P63" s="1412"/>
      <c r="Q63" s="1413"/>
      <c r="R63" s="1412"/>
      <c r="S63" s="1418"/>
      <c r="T63" s="1421" t="s">
        <v>533</v>
      </c>
      <c r="U63" s="1420"/>
      <c r="V63" s="1420"/>
      <c r="W63" s="1420"/>
      <c r="X63" s="1420"/>
      <c r="Y63" s="1420"/>
      <c r="Z63" s="1420"/>
      <c r="AA63" s="1420"/>
      <c r="AB63" s="1420"/>
      <c r="AC63" s="1420"/>
      <c r="AD63" s="1420"/>
      <c r="AE63" s="1420"/>
      <c r="AF63" s="1420"/>
      <c r="AG63" s="1420"/>
      <c r="AH63" s="1420"/>
      <c r="AI63" s="1420"/>
      <c r="AJ63" s="1420"/>
      <c r="AK63" s="1420"/>
      <c r="AL63" s="1420"/>
      <c r="AM63" s="1420"/>
      <c r="AN63" s="1420"/>
      <c r="AO63" s="1420"/>
      <c r="AP63" s="1420"/>
      <c r="AQ63" s="1420"/>
      <c r="AR63" s="1420"/>
      <c r="AS63" s="1420"/>
      <c r="AT63" s="1420"/>
      <c r="AU63" s="1420"/>
      <c r="AV63" s="1420"/>
      <c r="AW63" s="1420"/>
      <c r="AX63" s="1420"/>
      <c r="AY63" s="1420"/>
      <c r="AZ63" s="1420"/>
      <c r="BA63" s="1420"/>
      <c r="BB63" s="1420"/>
      <c r="BC63" s="1420"/>
      <c r="BE63" s="890"/>
      <c r="BF63" s="890" t="str">
        <f>IF(T63="","",T63)</f>
        <v>Добавить наименование тарифа</v>
      </c>
      <c r="BG63" s="890"/>
      <c r="BH63" s="890"/>
      <c r="BI63" s="625">
        <v>0</v>
      </c>
    </row>
    <row customHeight="1" ht="11.549999999999999">
      <c r="M64" s="1256"/>
      <c r="N64" s="1256"/>
      <c r="O64" s="644"/>
      <c r="P64" s="1256"/>
      <c r="Q64" s="1256"/>
      <c r="R64" s="1251"/>
      <c r="S64" s="1251"/>
      <c r="BD64" s="1251"/>
      <c r="BE64" s="1251"/>
      <c r="BF64" s="1251"/>
      <c r="BG64" s="1251"/>
      <c r="BH64" s="1251"/>
      <c r="BI64" s="1251">
        <v>11</v>
      </c>
    </row>
    <row customHeight="1" ht="14.699999999999998">
      <c r="O65" s="644"/>
      <c r="S65" s="1349"/>
      <c r="T65" s="3114"/>
      <c r="U65" s="3114"/>
      <c r="V65" s="3114"/>
      <c r="W65" s="3114"/>
      <c r="X65" s="3114"/>
      <c r="Y65" s="3114"/>
      <c r="Z65" s="3114"/>
      <c r="AA65" s="3114"/>
      <c r="AB65" s="3114"/>
      <c r="AC65" s="3114"/>
      <c r="AD65" s="3114"/>
      <c r="AE65" s="3114"/>
      <c r="AF65" s="3114"/>
      <c r="AG65" s="3114"/>
      <c r="AH65" s="3114"/>
      <c r="AI65" s="3114"/>
      <c r="AJ65" s="3114"/>
      <c r="AK65" s="3114"/>
      <c r="AL65" s="3114"/>
      <c r="AM65" s="3114"/>
      <c r="AN65" s="3114"/>
      <c r="AO65" s="3114"/>
      <c r="AP65" s="3114"/>
      <c r="AQ65" s="3114"/>
      <c r="AR65" s="3114"/>
      <c r="AS65" s="3114"/>
      <c r="AT65" s="3114"/>
      <c r="AU65" s="3114"/>
      <c r="AV65" s="3114"/>
      <c r="AW65" s="3114"/>
      <c r="AX65" s="3114"/>
      <c r="AY65" s="3114"/>
      <c r="AZ65" s="3114"/>
      <c r="BA65" s="3114"/>
      <c r="BB65" s="3114"/>
      <c r="BC65" s="3114"/>
      <c r="BI65" s="1251">
        <v>14</v>
      </c>
    </row>
    <row customHeight="1" ht="14.699999999999998">
      <c r="O66" s="644"/>
      <c r="T66" s="1576"/>
      <c r="U66" s="1576"/>
      <c r="V66" s="1576"/>
      <c r="W66" s="1576"/>
      <c r="X66" s="1576"/>
      <c r="Y66" s="1576"/>
      <c r="Z66" s="1576"/>
      <c r="AA66" s="1576"/>
      <c r="AB66" s="1576"/>
      <c r="AC66" s="1576"/>
      <c r="AD66" s="1576"/>
      <c r="AE66" s="1576"/>
      <c r="AF66" s="1576"/>
      <c r="AG66" s="1576"/>
      <c r="AH66" s="1576"/>
      <c r="AI66" s="1576"/>
      <c r="AJ66" s="1576"/>
      <c r="AK66" s="1576"/>
      <c r="AL66" s="1576"/>
      <c r="AM66" s="1576"/>
      <c r="AN66" s="1576"/>
      <c r="AO66" s="1576"/>
      <c r="AP66" s="1576"/>
      <c r="AQ66" s="1576"/>
      <c r="AR66" s="1576"/>
      <c r="AS66" s="1576"/>
      <c r="AT66" s="1576"/>
      <c r="AU66" s="1576"/>
      <c r="AV66" s="1576"/>
      <c r="AW66" s="1576"/>
      <c r="AX66" s="1576"/>
      <c r="AY66" s="1576"/>
      <c r="AZ66" s="1576"/>
      <c r="BA66" s="1576"/>
      <c r="BB66" s="1576"/>
      <c r="BC66" s="1576"/>
      <c r="BI66" s="1251">
        <v>14</v>
      </c>
    </row>
    <row customHeight="1" ht="14.699999999999998">
      <c r="O67" s="644"/>
      <c r="S67" s="1349"/>
      <c r="T67" s="3114"/>
      <c r="U67" s="3114"/>
      <c r="V67" s="3114"/>
      <c r="W67" s="3114"/>
      <c r="X67" s="3114"/>
      <c r="Y67" s="3114"/>
      <c r="Z67" s="3114"/>
      <c r="AA67" s="3114"/>
      <c r="AB67" s="3114"/>
      <c r="AC67" s="3114"/>
      <c r="AD67" s="3114"/>
      <c r="AE67" s="3114"/>
      <c r="AF67" s="3114"/>
      <c r="AG67" s="3114"/>
      <c r="AH67" s="3114"/>
      <c r="AI67" s="3114"/>
      <c r="AJ67" s="3114"/>
      <c r="AK67" s="3114"/>
      <c r="AL67" s="3114"/>
      <c r="AM67" s="3114"/>
      <c r="AN67" s="3114"/>
      <c r="AO67" s="3114"/>
      <c r="AP67" s="3114"/>
      <c r="AQ67" s="3114"/>
      <c r="AR67" s="3114"/>
      <c r="AS67" s="3114"/>
      <c r="AT67" s="3114"/>
      <c r="AU67" s="3114"/>
      <c r="AV67" s="3114"/>
      <c r="AW67" s="3114"/>
      <c r="AX67" s="3114"/>
      <c r="AY67" s="3114"/>
      <c r="AZ67" s="3114"/>
      <c r="BA67" s="3114"/>
      <c r="BB67" s="3114"/>
      <c r="BC67" s="3114"/>
      <c r="BI67" s="1251">
        <v>14</v>
      </c>
    </row>
    <row customHeight="1" ht="14.699999999999998">
      <c r="O68" s="644"/>
      <c r="BI68" s="1251">
        <v>14</v>
      </c>
    </row>
    <row customHeight="1" ht="14.25" hidden="1">
      <c r="A69" s="1256" t="s">
        <v>82</v>
      </c>
      <c r="B69" s="1256">
        <v>0</v>
      </c>
      <c r="C69" s="1256">
        <v>0</v>
      </c>
      <c r="D69" s="1256">
        <v>0</v>
      </c>
      <c r="E69" s="1256">
        <v>0</v>
      </c>
      <c r="F69" s="1256">
        <v>0</v>
      </c>
      <c r="G69" s="1256">
        <v>0</v>
      </c>
      <c r="H69" s="1256">
        <v>0</v>
      </c>
      <c r="I69" s="1256">
        <v>0</v>
      </c>
      <c r="J69" s="1256">
        <v>0</v>
      </c>
      <c r="K69" s="1256">
        <v>0</v>
      </c>
      <c r="L69" s="1574">
        <v>0</v>
      </c>
      <c r="M69" s="1458">
        <v>0</v>
      </c>
      <c r="N69" s="1458">
        <v>0</v>
      </c>
      <c r="O69" s="1458">
        <v>0</v>
      </c>
      <c r="P69" s="1458">
        <v>0</v>
      </c>
      <c r="Q69" s="1467">
        <v>0</v>
      </c>
      <c r="R69" s="452">
        <v>3</v>
      </c>
      <c r="S69" s="688">
        <v>12</v>
      </c>
      <c r="T69" s="1251">
        <v>31</v>
      </c>
      <c r="U69" s="1251">
        <v>0</v>
      </c>
      <c r="V69" s="1251">
        <v>0</v>
      </c>
      <c r="W69" s="1251">
        <v>0</v>
      </c>
      <c r="X69" s="1251">
        <v>0</v>
      </c>
      <c r="Y69" s="1251">
        <v>0</v>
      </c>
      <c r="Z69" s="1251">
        <v>0</v>
      </c>
      <c r="AA69" s="1251">
        <v>0</v>
      </c>
      <c r="AB69" s="1251">
        <v>0</v>
      </c>
      <c r="AC69" s="1251">
        <v>0</v>
      </c>
      <c r="AD69" s="1251">
        <v>3</v>
      </c>
      <c r="AE69" s="1251">
        <v>3</v>
      </c>
      <c r="AF69" s="1251">
        <v>3</v>
      </c>
      <c r="AG69" s="1251">
        <v>24</v>
      </c>
      <c r="AH69" s="1251">
        <v>3</v>
      </c>
      <c r="AI69" s="1251">
        <v>3</v>
      </c>
      <c r="AJ69" s="1251">
        <v>3</v>
      </c>
      <c r="AK69" s="1251">
        <v>24</v>
      </c>
      <c r="AL69" s="1251">
        <v>3</v>
      </c>
      <c r="AM69" s="1251">
        <v>3</v>
      </c>
      <c r="AN69" s="1251">
        <v>3</v>
      </c>
      <c r="AO69" s="1251">
        <v>18</v>
      </c>
      <c r="AP69" s="1251">
        <v>3</v>
      </c>
      <c r="AQ69" s="1251">
        <v>3</v>
      </c>
      <c r="AR69" s="1251">
        <v>3</v>
      </c>
      <c r="AS69" s="1251">
        <v>18</v>
      </c>
      <c r="AT69" s="1251">
        <v>21</v>
      </c>
      <c r="AU69" s="1251">
        <v>21</v>
      </c>
      <c r="AV69" s="1251">
        <v>21</v>
      </c>
      <c r="AW69" s="1251">
        <v>21</v>
      </c>
      <c r="AX69" s="1251">
        <v>11</v>
      </c>
      <c r="AY69" s="1251">
        <v>3</v>
      </c>
      <c r="AZ69" s="1251">
        <v>11</v>
      </c>
      <c r="BA69" s="1251">
        <v>0</v>
      </c>
      <c r="BB69" s="1251">
        <v>4</v>
      </c>
      <c r="BC69" s="1251">
        <v>115</v>
      </c>
      <c r="BD69" s="618">
        <v>10</v>
      </c>
      <c r="BE69" s="618">
        <v>10</v>
      </c>
      <c r="BF69" s="618">
        <v>10</v>
      </c>
      <c r="BG69" s="618">
        <v>10</v>
      </c>
      <c r="BH69" s="618">
        <v>10</v>
      </c>
      <c r="BI69" s="1251">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BB68C-43D4-71F7-692E-5E15109C09E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4.140625" hidden="1" customWidth="1"/>
    <col min="10" max="10" style="10306" width="9.8515625" hidden="1" customWidth="1"/>
    <col min="11" max="11" style="10306" width="14.7109375" hidden="1" customWidth="1"/>
    <col min="12" max="12" style="11079" width="19.140625" hidden="1" customWidth="1"/>
    <col min="13" max="14" style="11080" width="12.28125" hidden="1" customWidth="1"/>
    <col min="15" max="15" style="11080" width="23.421875" hidden="1" customWidth="1"/>
    <col min="16" max="16" style="11081" width="3.00390625" customWidth="1"/>
    <col min="17" max="18" style="11082" width="3.00390625" customWidth="1"/>
    <col min="19" max="19" style="11083" width="12.00390625" customWidth="1"/>
    <col min="20" max="20" style="10232" width="35.00390625" customWidth="1"/>
    <col min="21" max="21" style="10232" width="0.140625" customWidth="1"/>
    <col min="22" max="28" style="10232" width="19.7109375" hidden="1" customWidth="1"/>
    <col min="29" max="29" style="10232" width="11.7109375" hidden="1" customWidth="1"/>
    <col min="30" max="30" style="10232" width="3.7109375" hidden="1" customWidth="1"/>
    <col min="31" max="31" style="10232" width="11.7109375" hidden="1" customWidth="1"/>
    <col min="32" max="32" style="10232" width="8.57421875" hidden="1" customWidth="1"/>
    <col min="33" max="33" style="10232" width="19.7109375" customWidth="1"/>
    <col min="34" max="39" style="10232" width="19.00390625" customWidth="1"/>
    <col min="40" max="40" style="10232" width="11.00390625" customWidth="1"/>
    <col min="41" max="41" style="10232" width="3.7109375" customWidth="1"/>
    <col min="42" max="42" style="10232" width="11.00390625" customWidth="1"/>
    <col min="43" max="43" style="10232" width="8.57421875" hidden="1" customWidth="1"/>
    <col min="44" max="44" style="10232" width="4.00390625" customWidth="1"/>
    <col min="45" max="45" style="10232" width="115.00390625" customWidth="1"/>
    <col min="46" max="50" style="10307" width="10.00390625" customWidth="1"/>
    <col min="51" max="51" style="10232" width="10.57421875" hidden="1"/>
  </cols>
  <sheetData>
    <row customHeight="1" ht="22.5" hidden="1">
      <c r="AC1" s="435"/>
      <c r="AN1" s="435"/>
      <c r="AY1" s="1251" t="s">
        <v>14</v>
      </c>
    </row>
    <row customHeight="1" ht="23.25" hidden="1">
      <c r="A2" s="1459"/>
      <c r="B2" s="1459"/>
      <c r="C2" s="1459"/>
      <c r="D2" s="1459"/>
      <c r="E2" s="3115">
        <v>1</v>
      </c>
      <c r="F2" s="1459"/>
      <c r="G2" s="1459"/>
      <c r="H2" s="1459"/>
      <c r="I2" s="1459"/>
      <c r="J2" s="1459"/>
      <c r="K2" s="1459"/>
      <c r="L2" s="1460"/>
      <c r="M2" s="1461"/>
      <c r="N2" s="1461"/>
      <c r="O2" s="1461"/>
      <c r="P2" s="468"/>
      <c r="Q2" s="467"/>
      <c r="R2" s="462"/>
      <c r="S2" s="1589">
        <f>INDEX(PT_DIFFERENTIATION_NUM_NTAR,MATCH(A2,PT_DIFFERENTIATION_NTAR_ID,0))</f>
      </c>
      <c r="T2" s="406" t="s">
        <v>210</v>
      </c>
      <c r="U2" s="408"/>
      <c r="V2" s="3109"/>
      <c r="W2" s="3110"/>
      <c r="X2" s="3110"/>
      <c r="Y2" s="3110"/>
      <c r="Z2" s="3110"/>
      <c r="AA2" s="3110"/>
      <c r="AB2" s="3110"/>
      <c r="AC2" s="3110"/>
      <c r="AD2" s="3110"/>
      <c r="AE2" s="3110"/>
      <c r="AF2" s="3111"/>
      <c r="AG2" s="3109">
        <f>INDEX(PT_DIFFERENTIATION_NTAR,MATCH(A2,PT_DIFFERENTIATION_NTAR_ID,0))</f>
      </c>
      <c r="AH2" s="3110"/>
      <c r="AI2" s="3110"/>
      <c r="AJ2" s="3110"/>
      <c r="AK2" s="3110"/>
      <c r="AL2" s="3110"/>
      <c r="AM2" s="3110"/>
      <c r="AN2" s="3110"/>
      <c r="AO2" s="3110"/>
      <c r="AP2" s="3110"/>
      <c r="AQ2" s="3110"/>
      <c r="AR2" s="3111"/>
      <c r="AS2"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07"/>
      <c r="AV2" s="607" t="str">
        <f>IF(T2="","",T2)</f>
        <v>Наименование тарифа</v>
      </c>
      <c r="AW2" s="607"/>
      <c r="AX2" s="607"/>
      <c r="AY2" s="1251">
        <v>0</v>
      </c>
    </row>
    <row customHeight="1" ht="23.25" hidden="1">
      <c r="A3" s="1459"/>
      <c r="B3" s="1459"/>
      <c r="C3" s="1459"/>
      <c r="D3" s="1459"/>
      <c r="E3" s="3116"/>
      <c r="F3" s="3115">
        <v>1</v>
      </c>
      <c r="G3" s="1459"/>
      <c r="H3" s="1459"/>
      <c r="I3" s="1459"/>
      <c r="J3" s="1459"/>
      <c r="K3" s="1459"/>
      <c r="L3" s="1460"/>
      <c r="M3" s="1461"/>
      <c r="N3" s="1461"/>
      <c r="O3" s="1461"/>
      <c r="P3" s="1583"/>
      <c r="Q3" s="459"/>
      <c r="R3" s="460"/>
      <c r="S3" s="1589">
        <f>INDEX(PT_DIFFERENTIATION_NUM_TER,MATCH(B3,PT_DIFFERENTIATION_TER_ID,0))</f>
      </c>
      <c r="T3" s="416" t="s">
        <v>482</v>
      </c>
      <c r="U3" s="408"/>
      <c r="V3" s="3109"/>
      <c r="W3" s="3110"/>
      <c r="X3" s="3110"/>
      <c r="Y3" s="3110"/>
      <c r="Z3" s="3110"/>
      <c r="AA3" s="3110"/>
      <c r="AB3" s="3110"/>
      <c r="AC3" s="3110"/>
      <c r="AD3" s="3110"/>
      <c r="AE3" s="3110"/>
      <c r="AF3" s="3111"/>
      <c r="AG3" s="3109">
        <f>INDEX(PT_DIFFERENTIATION_TER,MATCH(B3,PT_DIFFERENTIATION_TER_ID,0))</f>
      </c>
      <c r="AH3" s="3110"/>
      <c r="AI3" s="3110"/>
      <c r="AJ3" s="3110"/>
      <c r="AK3" s="3110"/>
      <c r="AL3" s="3110"/>
      <c r="AM3" s="3110"/>
      <c r="AN3" s="3110"/>
      <c r="AO3" s="3110"/>
      <c r="AP3" s="3110"/>
      <c r="AQ3" s="3110"/>
      <c r="AR3" s="3111"/>
      <c r="AS3" s="1354" t="s">
        <v>483</v>
      </c>
      <c r="AU3" s="607"/>
      <c r="AV3" s="607" t="str">
        <f>IF(T3="","",T3)</f>
        <v>Территория действия тарифа</v>
      </c>
      <c r="AW3" s="607"/>
      <c r="AX3" s="607"/>
      <c r="AY3" s="1251">
        <v>0</v>
      </c>
    </row>
    <row customHeight="1" ht="23.25" hidden="1">
      <c r="A4" s="1459"/>
      <c r="B4" s="1459"/>
      <c r="C4" s="1459"/>
      <c r="D4" s="1459"/>
      <c r="E4" s="3116"/>
      <c r="F4" s="3116"/>
      <c r="G4" s="3115">
        <v>1</v>
      </c>
      <c r="H4" s="1459"/>
      <c r="I4" s="1459"/>
      <c r="J4" s="1459"/>
      <c r="K4" s="1459"/>
      <c r="L4" s="1460"/>
      <c r="M4" s="1461"/>
      <c r="N4" s="1461"/>
      <c r="O4" s="1461"/>
      <c r="P4" s="461"/>
      <c r="Q4" s="459"/>
      <c r="R4" s="460"/>
      <c r="S4" s="1589">
        <f>INDEX(PT_DIFFERENTIATION_NUM_CS,MATCH(C4,PT_DIFFERENTIATION_CS_ID,0))</f>
      </c>
      <c r="T4" s="417" t="s">
        <v>615</v>
      </c>
      <c r="U4" s="408"/>
      <c r="V4" s="3109"/>
      <c r="W4" s="3110"/>
      <c r="X4" s="3110"/>
      <c r="Y4" s="3110"/>
      <c r="Z4" s="3110"/>
      <c r="AA4" s="3110"/>
      <c r="AB4" s="3110"/>
      <c r="AC4" s="3110"/>
      <c r="AD4" s="3110"/>
      <c r="AE4" s="3110"/>
      <c r="AF4" s="3111"/>
      <c r="AG4" s="3109">
        <f>INDEX(PT_DIFFERENTIATION_CS,MATCH(C4,PT_DIFFERENTIATION_CS_ID,0))</f>
      </c>
      <c r="AH4" s="3110"/>
      <c r="AI4" s="3110"/>
      <c r="AJ4" s="3110"/>
      <c r="AK4" s="3110"/>
      <c r="AL4" s="3110"/>
      <c r="AM4" s="3110"/>
      <c r="AN4" s="3110"/>
      <c r="AO4" s="3110"/>
      <c r="AP4" s="3110"/>
      <c r="AQ4" s="3110"/>
      <c r="AR4" s="3111"/>
      <c r="AS4" s="1354" t="s">
        <v>616</v>
      </c>
      <c r="AU4" s="607"/>
      <c r="AV4" s="607" t="str">
        <f>IF(T4="","",T4)</f>
        <v>Наименование централизованной системы горячего водоснабжения</v>
      </c>
      <c r="AW4" s="607"/>
      <c r="AX4" s="607"/>
      <c r="AY4" s="1251">
        <v>0</v>
      </c>
    </row>
    <row customHeight="1" ht="23.25" hidden="1">
      <c r="A5" s="1459"/>
      <c r="B5" s="1459"/>
      <c r="C5" s="1459"/>
      <c r="D5" s="1459"/>
      <c r="E5" s="3116"/>
      <c r="F5" s="3116"/>
      <c r="G5" s="3116"/>
      <c r="H5" s="3116"/>
      <c r="I5" s="3117">
        <f>S4&amp;".1"</f>
      </c>
      <c r="J5" s="1459"/>
      <c r="K5" s="1459"/>
      <c r="L5" s="1460"/>
      <c r="P5" s="3119">
        <v>1</v>
      </c>
      <c r="Q5" s="1577"/>
      <c r="R5" s="463"/>
      <c r="S5" s="1589">
        <f>$I5</f>
      </c>
      <c r="T5" s="393" t="s">
        <v>568</v>
      </c>
      <c r="U5" s="408"/>
      <c r="V5" s="3183"/>
      <c r="W5" s="3184"/>
      <c r="X5" s="3184"/>
      <c r="Y5" s="3184"/>
      <c r="Z5" s="3184"/>
      <c r="AA5" s="3184"/>
      <c r="AB5" s="3184"/>
      <c r="AC5" s="3184"/>
      <c r="AD5" s="3184"/>
      <c r="AE5" s="3184"/>
      <c r="AF5" s="3185"/>
      <c r="AG5" s="3186"/>
      <c r="AH5" s="3187"/>
      <c r="AI5" s="3187"/>
      <c r="AJ5" s="3187"/>
      <c r="AK5" s="3187"/>
      <c r="AL5" s="3187"/>
      <c r="AM5" s="3187"/>
      <c r="AN5" s="3187"/>
      <c r="AO5" s="3187"/>
      <c r="AP5" s="3187"/>
      <c r="AQ5" s="3187"/>
      <c r="AR5" s="3188"/>
      <c r="AS5" s="1354" t="s">
        <v>569</v>
      </c>
      <c r="AU5" s="607"/>
      <c r="AV5" s="607" t="str">
        <f>IF(T5="","",T5)</f>
        <v>Наименование признака дифференциации</v>
      </c>
      <c r="AW5" s="607"/>
      <c r="AX5" s="607"/>
      <c r="AY5" s="1251">
        <v>0</v>
      </c>
    </row>
    <row customHeight="1" ht="23.25" hidden="1">
      <c r="A6" s="1459"/>
      <c r="B6" s="1459"/>
      <c r="C6" s="1459"/>
      <c r="D6" s="1459"/>
      <c r="E6" s="3116"/>
      <c r="F6" s="3116"/>
      <c r="G6" s="3116"/>
      <c r="H6" s="3116"/>
      <c r="I6" s="3118"/>
      <c r="J6" s="3117">
        <f>I5&amp;".1"</f>
      </c>
      <c r="K6" s="1459"/>
      <c r="L6" s="1460" t="s">
        <v>491</v>
      </c>
      <c r="P6" s="3119"/>
      <c r="Q6" s="3119">
        <v>1</v>
      </c>
      <c r="R6" s="464"/>
      <c r="S6" s="1589">
        <f>$J6</f>
      </c>
      <c r="T6" s="394" t="s">
        <v>492</v>
      </c>
      <c r="U6" s="408"/>
      <c r="V6" s="3103"/>
      <c r="W6" s="3104"/>
      <c r="X6" s="3104"/>
      <c r="Y6" s="3104"/>
      <c r="Z6" s="3104"/>
      <c r="AA6" s="3104"/>
      <c r="AB6" s="3104"/>
      <c r="AC6" s="3104"/>
      <c r="AD6" s="3104"/>
      <c r="AE6" s="3104"/>
      <c r="AF6" s="3105"/>
      <c r="AG6" s="3103"/>
      <c r="AH6" s="3104"/>
      <c r="AI6" s="3104"/>
      <c r="AJ6" s="3104"/>
      <c r="AK6" s="3104"/>
      <c r="AL6" s="3104"/>
      <c r="AM6" s="3104"/>
      <c r="AN6" s="3104"/>
      <c r="AO6" s="3104"/>
      <c r="AP6" s="3104"/>
      <c r="AQ6" s="3104"/>
      <c r="AR6" s="3105"/>
      <c r="AS6" s="1403" t="s">
        <v>570</v>
      </c>
      <c r="AU6" s="607"/>
      <c r="AV6" s="607" t="str">
        <f>IF(T6="","",T6)</f>
        <v>Группа потребителей</v>
      </c>
      <c r="AW6" s="607"/>
      <c r="AX6" s="607"/>
      <c r="AY6" s="1251">
        <v>0</v>
      </c>
    </row>
    <row customHeight="1" ht="23.25" hidden="1">
      <c r="A7" s="1459"/>
      <c r="B7" s="1459"/>
      <c r="C7" s="1459"/>
      <c r="D7" s="1459"/>
      <c r="E7" s="3116"/>
      <c r="F7" s="3116"/>
      <c r="G7" s="3116"/>
      <c r="H7" s="3116"/>
      <c r="I7" s="3118"/>
      <c r="J7" s="3118"/>
      <c r="K7" s="3117">
        <f>J6&amp;".1"</f>
      </c>
      <c r="L7" s="1460"/>
      <c r="P7" s="3119"/>
      <c r="Q7" s="3119"/>
      <c r="R7" s="464">
        <v>1</v>
      </c>
      <c r="S7" s="1589">
        <f>$K7</f>
      </c>
      <c r="T7" s="1533"/>
      <c r="U7" s="408"/>
      <c r="V7" s="858"/>
      <c r="W7" s="858"/>
      <c r="X7" s="858"/>
      <c r="Y7" s="858"/>
      <c r="Z7" s="858"/>
      <c r="AA7" s="858"/>
      <c r="AB7" s="858"/>
      <c r="AC7" s="3120"/>
      <c r="AD7" s="2989" t="s">
        <v>62</v>
      </c>
      <c r="AE7" s="3120"/>
      <c r="AF7" s="2989" t="s">
        <v>62</v>
      </c>
      <c r="AG7" s="858"/>
      <c r="AH7" s="858"/>
      <c r="AI7" s="858"/>
      <c r="AJ7" s="858"/>
      <c r="AK7" s="858"/>
      <c r="AL7" s="858"/>
      <c r="AM7" s="858"/>
      <c r="AN7" s="3120"/>
      <c r="AO7" s="2989" t="s">
        <v>62</v>
      </c>
      <c r="AP7" s="3122"/>
      <c r="AQ7" s="2989" t="s">
        <v>62</v>
      </c>
      <c r="AR7" s="1534"/>
      <c r="AS7"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18">
        <f>STRCHECKDATE(V8:AR8)</f>
      </c>
      <c r="AU7" s="607"/>
      <c r="AV7" s="607" t="str">
        <f>IF(T7="","",T7)</f>
        <v/>
      </c>
      <c r="AW7" s="607"/>
      <c r="AX7" s="607"/>
      <c r="AY7" s="1251">
        <v>0</v>
      </c>
    </row>
    <row customHeight="1" ht="14.25" hidden="1">
      <c r="A8" s="1459"/>
      <c r="B8" s="1459"/>
      <c r="C8" s="1459"/>
      <c r="D8" s="1459"/>
      <c r="E8" s="3116"/>
      <c r="F8" s="3116"/>
      <c r="G8" s="3116"/>
      <c r="H8" s="3116"/>
      <c r="I8" s="3118"/>
      <c r="J8" s="3118"/>
      <c r="K8" s="3117"/>
      <c r="L8" s="1460"/>
      <c r="P8" s="3119"/>
      <c r="Q8" s="3119"/>
      <c r="R8" s="464"/>
      <c r="S8" s="1586"/>
      <c r="T8" s="408"/>
      <c r="U8" s="408"/>
      <c r="V8" s="433"/>
      <c r="W8" s="433"/>
      <c r="X8" s="433"/>
      <c r="Y8" s="433"/>
      <c r="Z8" s="433"/>
      <c r="AA8" s="433"/>
      <c r="AB8" s="433"/>
      <c r="AC8" s="3121"/>
      <c r="AD8" s="2989"/>
      <c r="AE8" s="3121"/>
      <c r="AF8" s="2989"/>
      <c r="AG8" s="433"/>
      <c r="AH8" s="433"/>
      <c r="AI8" s="433"/>
      <c r="AJ8" s="433"/>
      <c r="AK8" s="433"/>
      <c r="AL8" s="433"/>
      <c r="AM8" s="433"/>
      <c r="AN8" s="3121"/>
      <c r="AO8" s="2989"/>
      <c r="AP8" s="3123"/>
      <c r="AQ8" s="2989"/>
      <c r="AR8" s="1535"/>
      <c r="AS8" s="3189"/>
      <c r="AU8" s="607"/>
      <c r="AV8" s="607" t="str">
        <f>IF(T8="","",T8)</f>
        <v/>
      </c>
      <c r="AW8" s="607"/>
      <c r="AX8" s="607"/>
      <c r="AY8" s="1251">
        <v>0</v>
      </c>
    </row>
    <row customHeight="1" ht="21" hidden="1">
      <c r="A9" s="1459"/>
      <c r="B9" s="1459"/>
      <c r="C9" s="1459"/>
      <c r="D9" s="1459"/>
      <c r="E9" s="3116"/>
      <c r="F9" s="3116"/>
      <c r="G9" s="3116"/>
      <c r="H9" s="3116"/>
      <c r="I9" s="3118"/>
      <c r="J9" s="3117"/>
      <c r="K9" s="1459"/>
      <c r="L9" s="1460"/>
      <c r="P9" s="3119"/>
      <c r="Q9" s="3119"/>
      <c r="R9" s="463"/>
      <c r="S9" s="1374"/>
      <c r="T9" s="395" t="s">
        <v>571</v>
      </c>
      <c r="U9" s="474"/>
      <c r="V9" s="474"/>
      <c r="W9" s="707"/>
      <c r="X9" s="707"/>
      <c r="Y9" s="707"/>
      <c r="Z9" s="707"/>
      <c r="AA9" s="707"/>
      <c r="AB9" s="707"/>
      <c r="AC9" s="474"/>
      <c r="AD9" s="474"/>
      <c r="AE9" s="474"/>
      <c r="AF9" s="474"/>
      <c r="AG9" s="474"/>
      <c r="AH9" s="707"/>
      <c r="AI9" s="707"/>
      <c r="AJ9" s="707"/>
      <c r="AK9" s="707"/>
      <c r="AL9" s="707"/>
      <c r="AM9" s="474"/>
      <c r="AN9" s="474"/>
      <c r="AO9" s="474"/>
      <c r="AP9" s="474"/>
      <c r="AQ9" s="474"/>
      <c r="AR9" s="474"/>
      <c r="AS9" s="1354" t="s">
        <v>572</v>
      </c>
      <c r="AU9" s="607"/>
      <c r="AV9" s="607" t="str">
        <f>IF(T9="","",T9)</f>
        <v>Добавить значение признака дифференциации</v>
      </c>
      <c r="AW9" s="607"/>
      <c r="AX9" s="607"/>
      <c r="AY9" s="1251">
        <v>0</v>
      </c>
    </row>
    <row customHeight="1" ht="21" hidden="1">
      <c r="A10" s="1459"/>
      <c r="B10" s="1459"/>
      <c r="C10" s="1459"/>
      <c r="D10" s="1459"/>
      <c r="E10" s="3116"/>
      <c r="F10" s="3116"/>
      <c r="G10" s="3116"/>
      <c r="H10" s="3116"/>
      <c r="I10" s="3117"/>
      <c r="J10" s="1459"/>
      <c r="K10" s="1459"/>
      <c r="L10" s="1460"/>
      <c r="P10" s="3119"/>
      <c r="Q10" s="1577"/>
      <c r="R10" s="463"/>
      <c r="S10" s="1374"/>
      <c r="T10" s="472" t="s">
        <v>497</v>
      </c>
      <c r="U10" s="474"/>
      <c r="V10" s="474"/>
      <c r="W10" s="707"/>
      <c r="X10" s="707"/>
      <c r="Y10" s="707"/>
      <c r="Z10" s="707"/>
      <c r="AA10" s="707"/>
      <c r="AB10" s="707"/>
      <c r="AC10" s="474"/>
      <c r="AD10" s="474"/>
      <c r="AE10" s="474"/>
      <c r="AF10" s="473"/>
      <c r="AG10" s="474"/>
      <c r="AH10" s="707"/>
      <c r="AI10" s="707"/>
      <c r="AJ10" s="707"/>
      <c r="AK10" s="707"/>
      <c r="AL10" s="707"/>
      <c r="AM10" s="474"/>
      <c r="AN10" s="474"/>
      <c r="AO10" s="474"/>
      <c r="AP10" s="474"/>
      <c r="AQ10" s="473"/>
      <c r="AR10" s="474"/>
      <c r="AS10" s="1536"/>
      <c r="AU10" s="607"/>
      <c r="AV10" s="607" t="str">
        <f>IF(T10="","",T10)</f>
        <v>Добавить группу потребителей</v>
      </c>
      <c r="AW10" s="607"/>
      <c r="AX10" s="607"/>
      <c r="AY10" s="1251">
        <v>0</v>
      </c>
    </row>
    <row customHeight="1" ht="21" hidden="1">
      <c r="A11" s="1459"/>
      <c r="B11" s="1459"/>
      <c r="C11" s="1459"/>
      <c r="D11" s="1459"/>
      <c r="E11" s="3116"/>
      <c r="F11" s="3116"/>
      <c r="G11" s="3116"/>
      <c r="H11" s="3115"/>
      <c r="I11" s="1459"/>
      <c r="J11" s="1459"/>
      <c r="K11" s="1459"/>
      <c r="L11" s="1460"/>
      <c r="M11" s="1461"/>
      <c r="N11" s="1461"/>
      <c r="O11" s="644"/>
      <c r="P11" s="467"/>
      <c r="Q11" s="482"/>
      <c r="R11" s="462"/>
      <c r="S11" s="1374"/>
      <c r="T11" s="479" t="s">
        <v>573</v>
      </c>
      <c r="U11" s="474"/>
      <c r="V11" s="474"/>
      <c r="W11" s="707"/>
      <c r="X11" s="707"/>
      <c r="Y11" s="707"/>
      <c r="Z11" s="707"/>
      <c r="AA11" s="707"/>
      <c r="AB11" s="707"/>
      <c r="AC11" s="474"/>
      <c r="AD11" s="474"/>
      <c r="AE11" s="474"/>
      <c r="AF11" s="473"/>
      <c r="AG11" s="474"/>
      <c r="AH11" s="707"/>
      <c r="AI11" s="707"/>
      <c r="AJ11" s="707"/>
      <c r="AK11" s="707"/>
      <c r="AL11" s="707"/>
      <c r="AM11" s="474"/>
      <c r="AN11" s="474"/>
      <c r="AO11" s="474"/>
      <c r="AP11" s="474"/>
      <c r="AQ11" s="473"/>
      <c r="AR11" s="474"/>
      <c r="AS11" s="411"/>
      <c r="AU11" s="607"/>
      <c r="AV11" s="607" t="str">
        <f>IF(T11="","",T11)</f>
        <v>Добавить наименование признака дифференциации</v>
      </c>
      <c r="AW11" s="607"/>
      <c r="AX11" s="607"/>
      <c r="AY11" s="1251">
        <v>0</v>
      </c>
    </row>
    <row s="10307" customFormat="1" customHeight="1" ht="14.25" hidden="1">
      <c r="A12" s="1439"/>
      <c r="B12" s="1439"/>
      <c r="C12" s="1410"/>
      <c r="D12" s="1410"/>
      <c r="E12" s="3116"/>
      <c r="F12" s="3115"/>
      <c r="G12" s="1410"/>
      <c r="H12" s="1410"/>
      <c r="I12" s="1410"/>
      <c r="J12" s="1410"/>
      <c r="K12" s="1410"/>
      <c r="L12" s="1590"/>
      <c r="M12" s="1417"/>
      <c r="N12" s="1417"/>
      <c r="P12" s="1412"/>
      <c r="Q12" s="1413"/>
      <c r="R12" s="1412"/>
      <c r="S12" s="1418"/>
      <c r="T12" s="1421" t="s">
        <v>500</v>
      </c>
      <c r="U12" s="1420"/>
      <c r="V12" s="1420"/>
      <c r="W12" s="1420"/>
      <c r="X12" s="1420"/>
      <c r="Y12" s="1420"/>
      <c r="Z12" s="1420"/>
      <c r="AA12" s="1420"/>
      <c r="AB12" s="1420"/>
      <c r="AC12" s="1420"/>
      <c r="AD12" s="1420"/>
      <c r="AE12" s="1420"/>
      <c r="AF12" s="1420"/>
      <c r="AG12" s="1420"/>
      <c r="AH12" s="1420"/>
      <c r="AI12" s="1420"/>
      <c r="AJ12" s="1420"/>
      <c r="AK12" s="1420"/>
      <c r="AL12" s="1420"/>
      <c r="AM12" s="1420"/>
      <c r="AN12" s="1420"/>
      <c r="AO12" s="1420"/>
      <c r="AP12" s="1420"/>
      <c r="AQ12" s="1420"/>
      <c r="AR12" s="1420"/>
      <c r="AS12" s="1420"/>
      <c r="AU12" s="890"/>
      <c r="AV12" s="890" t="str">
        <f>IF(T12="","",T12)</f>
        <v>Добавить централизованную систему для дифференциации</v>
      </c>
      <c r="AW12" s="890"/>
      <c r="AX12" s="890"/>
      <c r="AY12" s="625">
        <v>0</v>
      </c>
    </row>
    <row s="10307" customFormat="1" customHeight="1" ht="14.25" hidden="1">
      <c r="A13" s="1439"/>
      <c r="B13" s="1439"/>
      <c r="C13" s="1439"/>
      <c r="D13" s="1439"/>
      <c r="E13" s="3115"/>
      <c r="F13" s="1439"/>
      <c r="G13" s="1439"/>
      <c r="H13" s="1439"/>
      <c r="I13" s="1439"/>
      <c r="J13" s="1439"/>
      <c r="K13" s="1439"/>
      <c r="L13" s="1442"/>
      <c r="M13" s="1417"/>
      <c r="N13" s="1417"/>
      <c r="O13" s="625"/>
      <c r="P13" s="487"/>
      <c r="Q13" s="1440"/>
      <c r="R13" s="487"/>
      <c r="S13" s="1418"/>
      <c r="T13" s="1421" t="s">
        <v>501</v>
      </c>
      <c r="U13" s="1420"/>
      <c r="V13" s="1420"/>
      <c r="W13" s="1420"/>
      <c r="X13" s="1420"/>
      <c r="Y13" s="1420"/>
      <c r="Z13" s="1420"/>
      <c r="AA13" s="1420"/>
      <c r="AB13" s="1420"/>
      <c r="AC13" s="1420"/>
      <c r="AD13" s="1420"/>
      <c r="AE13" s="1420"/>
      <c r="AF13" s="1420"/>
      <c r="AG13" s="1420"/>
      <c r="AH13" s="1420"/>
      <c r="AI13" s="1420"/>
      <c r="AJ13" s="1420"/>
      <c r="AK13" s="1420"/>
      <c r="AL13" s="1420"/>
      <c r="AM13" s="1420"/>
      <c r="AN13" s="1420"/>
      <c r="AO13" s="1420"/>
      <c r="AP13" s="1420"/>
      <c r="AQ13" s="1420"/>
      <c r="AR13" s="1420"/>
      <c r="AS13" s="1420"/>
      <c r="AU13" s="607"/>
      <c r="AV13" s="607" t="str">
        <f>IF(T13="","",T13)</f>
        <v>Добавить территорию для дифференциации</v>
      </c>
      <c r="AW13" s="607"/>
      <c r="AX13" s="607"/>
      <c r="AY13" s="618">
        <v>0</v>
      </c>
    </row>
    <row customHeight="1" ht="14.25" hidden="1">
      <c r="AF14" s="435"/>
      <c r="AQ14" s="435"/>
      <c r="AY14" s="1251">
        <v>0</v>
      </c>
    </row>
    <row customHeight="1" ht="14.25" hidden="1">
      <c r="AG15" s="1456"/>
      <c r="AH15" s="1456"/>
      <c r="AI15" s="1456"/>
      <c r="AJ15" s="1456"/>
      <c r="AK15" s="1456"/>
      <c r="AL15" s="1456"/>
      <c r="AM15" s="1456"/>
      <c r="AN15" s="3113"/>
      <c r="AO15" s="3112" t="s">
        <v>62</v>
      </c>
      <c r="AP15" s="3113"/>
      <c r="AQ15" s="3112" t="s">
        <v>62</v>
      </c>
      <c r="AY15" s="1251">
        <v>0</v>
      </c>
    </row>
    <row customHeight="1" ht="14.25" hidden="1">
      <c r="AG16" s="1456"/>
      <c r="AH16" s="1456"/>
      <c r="AI16" s="1456"/>
      <c r="AJ16" s="1456"/>
      <c r="AK16" s="1456"/>
      <c r="AL16" s="1456"/>
      <c r="AM16" s="1456"/>
      <c r="AN16" s="3112"/>
      <c r="AO16" s="3112"/>
      <c r="AP16" s="3112"/>
      <c r="AQ16" s="3112"/>
      <c r="AY16" s="1251">
        <v>0</v>
      </c>
    </row>
    <row customHeight="1" ht="14.25" hidden="1">
      <c r="AQ17" s="435"/>
      <c r="AY17" s="1251">
        <v>0</v>
      </c>
    </row>
    <row s="10306" customFormat="1" customHeight="1" ht="22.5" hidden="1">
      <c r="L18" s="1574"/>
      <c r="M18" s="1458"/>
      <c r="N18" s="1458"/>
      <c r="O18" s="1463" t="s">
        <v>502</v>
      </c>
      <c r="P18" s="1458"/>
      <c r="Q18" s="1467"/>
      <c r="R18" s="1467"/>
      <c r="S18" s="836"/>
      <c r="AC18" s="1463"/>
      <c r="AE18" s="1463"/>
      <c r="AN18" s="1463"/>
      <c r="AP18" s="1463"/>
      <c r="AT18" s="618"/>
      <c r="AU18" s="618"/>
      <c r="AV18" s="618"/>
      <c r="AW18" s="618"/>
      <c r="AX18" s="618"/>
      <c r="AY18" s="1256">
        <v>0</v>
      </c>
    </row>
    <row s="10306" customFormat="1" customHeight="1" ht="14.25" hidden="1">
      <c r="L19" s="1574"/>
      <c r="M19" s="1458"/>
      <c r="N19" s="1458"/>
      <c r="O19" s="1458"/>
      <c r="P19" s="1458"/>
      <c r="Q19" s="1467"/>
      <c r="R19" s="1467"/>
      <c r="S19" s="836"/>
      <c r="AT19" s="618"/>
      <c r="AU19" s="618"/>
      <c r="AV19" s="618"/>
      <c r="AW19" s="618"/>
      <c r="AX19" s="618"/>
      <c r="AY19" s="1256">
        <v>0</v>
      </c>
    </row>
    <row s="10306" customFormat="1" customHeight="1" ht="12" hidden="1">
      <c r="L20" s="1574"/>
      <c r="M20" s="1458"/>
      <c r="N20" s="1458"/>
      <c r="O20" s="1460" t="s">
        <v>503</v>
      </c>
      <c r="P20" s="1458"/>
      <c r="Q20" s="1538"/>
      <c r="R20" s="1538"/>
      <c r="S20" s="836"/>
      <c r="T20" s="1256" t="s">
        <v>504</v>
      </c>
      <c r="AD20" s="294" t="s">
        <v>505</v>
      </c>
      <c r="AF20" s="294" t="s">
        <v>506</v>
      </c>
      <c r="AG20" s="1256" t="s">
        <v>504</v>
      </c>
      <c r="AO20" s="294" t="s">
        <v>507</v>
      </c>
      <c r="AQ20" s="294" t="s">
        <v>506</v>
      </c>
      <c r="AY20" s="1256">
        <v>0</v>
      </c>
    </row>
    <row customHeight="1" ht="14.25" hidden="1">
      <c r="O21" s="1460"/>
      <c r="AY21" s="1251">
        <v>0</v>
      </c>
    </row>
    <row customHeight="1" ht="14.25" hidden="1">
      <c r="O22" s="1460"/>
      <c r="AY22" s="1251">
        <v>0</v>
      </c>
    </row>
    <row customHeight="1" ht="14.699999999999998">
      <c r="Q23" s="483"/>
      <c r="R23" s="483"/>
      <c r="S23" s="1371"/>
      <c r="T23" s="470"/>
      <c r="U23" s="470"/>
      <c r="V23" s="616"/>
      <c r="AC23" s="616"/>
      <c r="AD23" s="616"/>
      <c r="AE23" s="616"/>
      <c r="AF23" s="616"/>
      <c r="AG23" s="616"/>
      <c r="AM23" s="616"/>
      <c r="AN23" s="616"/>
      <c r="AO23" s="616"/>
      <c r="AP23" s="616"/>
      <c r="AQ23" s="616"/>
      <c r="AY23" s="1251">
        <v>14</v>
      </c>
    </row>
    <row customHeight="1" ht="26.25">
      <c r="Q24" s="483"/>
      <c r="R24" s="483"/>
      <c r="S24" s="309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096"/>
      <c r="U24" s="3096"/>
      <c r="V24" s="3096"/>
      <c r="W24" s="3096"/>
      <c r="X24" s="3096"/>
      <c r="Y24" s="3096"/>
      <c r="Z24" s="3096"/>
      <c r="AA24" s="3096"/>
      <c r="AB24" s="3096"/>
      <c r="AC24" s="3096"/>
      <c r="AD24" s="3096"/>
      <c r="AE24" s="3096"/>
      <c r="AF24" s="3096"/>
      <c r="AG24" s="3096"/>
      <c r="AH24" s="3096"/>
      <c r="AI24" s="3096"/>
      <c r="AJ24" s="3096"/>
      <c r="AK24" s="3096"/>
      <c r="AL24" s="3096"/>
      <c r="AM24" s="3096"/>
      <c r="AN24" s="3096"/>
      <c r="AO24" s="3096"/>
      <c r="AP24" s="3096"/>
      <c r="AQ24" s="1339"/>
      <c r="AY24" s="1251">
        <v>25</v>
      </c>
    </row>
    <row customHeight="1" ht="14.699999999999998">
      <c r="Q25" s="483"/>
      <c r="R25" s="483"/>
      <c r="S25" s="3069" t="str">
        <f>IF(org=0,"Не определено",org)</f>
        <v>АО "ДГК"</v>
      </c>
      <c r="T25" s="3069"/>
      <c r="U25" s="3069"/>
      <c r="V25" s="3069"/>
      <c r="W25" s="3069"/>
      <c r="X25" s="3069"/>
      <c r="Y25" s="3069"/>
      <c r="Z25" s="3069"/>
      <c r="AA25" s="3069"/>
      <c r="AB25" s="3069"/>
      <c r="AC25" s="3069"/>
      <c r="AD25" s="3069"/>
      <c r="AE25" s="3069"/>
      <c r="AF25" s="3069"/>
      <c r="AG25" s="3069"/>
      <c r="AH25" s="3069"/>
      <c r="AI25" s="3069"/>
      <c r="AJ25" s="3069"/>
      <c r="AK25" s="3069"/>
      <c r="AL25" s="3069"/>
      <c r="AM25" s="3069"/>
      <c r="AN25" s="3069"/>
      <c r="AO25" s="3069"/>
      <c r="AP25" s="3069"/>
      <c r="AQ25" s="1339"/>
      <c r="AY25" s="1251">
        <v>14</v>
      </c>
    </row>
    <row customHeight="1" ht="14.25" hidden="1">
      <c r="Q26" s="483"/>
      <c r="R26" s="483"/>
      <c r="S26" s="1371"/>
      <c r="T26" s="470"/>
      <c r="U26" s="47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616"/>
      <c r="AY26" s="1251">
        <v>0</v>
      </c>
    </row>
    <row s="10446" customFormat="1" customHeight="1" ht="25.5" hidden="1">
      <c r="A27" s="1464"/>
      <c r="B27" s="1464"/>
      <c r="C27" s="1464"/>
      <c r="D27" s="1464"/>
      <c r="E27" s="1464"/>
      <c r="F27" s="1464"/>
      <c r="G27" s="1464"/>
      <c r="H27" s="1464"/>
      <c r="I27" s="1464"/>
      <c r="J27" s="1464"/>
      <c r="K27" s="1464"/>
      <c r="L27" s="1465"/>
      <c r="M27" s="1464"/>
      <c r="N27" s="1464"/>
      <c r="O27" s="1464"/>
      <c r="S27" s="3106" t="s">
        <v>41</v>
      </c>
      <c r="T27" s="3106"/>
      <c r="U27" s="1468"/>
      <c r="V27" s="3108" t="str">
        <f>IF(TITLE_NAME_OR_PR_CHANGE="",IF(TITLE_NAME_OR_PR="","",TITLE_NAME_OR_PR),TITLE_NAME_OR_PR_CHANGE)</f>
        <v/>
      </c>
      <c r="W27" s="3108"/>
      <c r="X27" s="3108"/>
      <c r="Y27" s="3108"/>
      <c r="Z27" s="3108"/>
      <c r="AA27" s="3108"/>
      <c r="AB27" s="3108"/>
      <c r="AC27" s="3108"/>
      <c r="AD27" s="3108"/>
      <c r="AE27" s="3108"/>
      <c r="AF27" s="434"/>
      <c r="AG27" s="3108" t="str">
        <f>IF(TITLE_NAME_OR_PR_CHANGE="",IF(TITLE_NAME_OR_PR="","",TITLE_NAME_OR_PR),TITLE_NAME_OR_PR_CHANGE)</f>
        <v/>
      </c>
      <c r="AH27" s="3108"/>
      <c r="AI27" s="3108"/>
      <c r="AJ27" s="3108"/>
      <c r="AK27" s="3108"/>
      <c r="AL27" s="3108"/>
      <c r="AM27" s="3108"/>
      <c r="AN27" s="3108"/>
      <c r="AO27" s="3108"/>
      <c r="AP27" s="3108"/>
      <c r="AQ27" s="434"/>
      <c r="AR27" s="434"/>
      <c r="AS27" s="388"/>
      <c r="AT27" s="475"/>
      <c r="AU27" s="475"/>
      <c r="AV27" s="475"/>
      <c r="AW27" s="475"/>
      <c r="AX27" s="475"/>
      <c r="AY27" s="525">
        <v>0</v>
      </c>
    </row>
    <row s="10446" customFormat="1" customHeight="1" ht="18.75" hidden="1">
      <c r="A28" s="1464"/>
      <c r="B28" s="1464"/>
      <c r="C28" s="1464"/>
      <c r="D28" s="1464"/>
      <c r="E28" s="1464"/>
      <c r="F28" s="1464"/>
      <c r="G28" s="1464"/>
      <c r="H28" s="1464"/>
      <c r="I28" s="1464"/>
      <c r="J28" s="1464"/>
      <c r="K28" s="1464"/>
      <c r="L28" s="1465"/>
      <c r="M28" s="1464"/>
      <c r="N28" s="1464"/>
      <c r="O28" s="1464"/>
      <c r="S28" s="3106" t="s">
        <v>508</v>
      </c>
      <c r="T28" s="3106"/>
      <c r="U28" s="1468"/>
      <c r="V28" s="3107" t="str">
        <f>IF(TITLE_DATE_PR_CHANGE="",IF(TITLE_DATE_PR="","",TITLE_DATE_PR),TITLE_DATE_PR_CHANGE)</f>
        <v/>
      </c>
      <c r="W28" s="3107"/>
      <c r="X28" s="3107"/>
      <c r="Y28" s="3107"/>
      <c r="Z28" s="3107"/>
      <c r="AA28" s="3107"/>
      <c r="AB28" s="3107"/>
      <c r="AC28" s="3107"/>
      <c r="AD28" s="3107"/>
      <c r="AE28" s="3107"/>
      <c r="AF28" s="434"/>
      <c r="AG28" s="3107" t="str">
        <f>IF(TITLE_DATE_PR_CHANGE="",IF(TITLE_DATE_PR="","",TITLE_DATE_PR),TITLE_DATE_PR_CHANGE)</f>
        <v/>
      </c>
      <c r="AH28" s="3107"/>
      <c r="AI28" s="3107"/>
      <c r="AJ28" s="3107"/>
      <c r="AK28" s="3107"/>
      <c r="AL28" s="3107"/>
      <c r="AM28" s="3107"/>
      <c r="AN28" s="3107"/>
      <c r="AO28" s="3107"/>
      <c r="AP28" s="3107"/>
      <c r="AQ28" s="434"/>
      <c r="AR28" s="434"/>
      <c r="AS28" s="388"/>
      <c r="AT28" s="475"/>
      <c r="AU28" s="475"/>
      <c r="AV28" s="475"/>
      <c r="AW28" s="475"/>
      <c r="AX28" s="475"/>
      <c r="AY28" s="525">
        <v>0</v>
      </c>
    </row>
    <row s="10446" customFormat="1" customHeight="1" ht="18.75" hidden="1">
      <c r="A29" s="1464"/>
      <c r="B29" s="1464"/>
      <c r="C29" s="1464"/>
      <c r="D29" s="1464"/>
      <c r="E29" s="1464"/>
      <c r="F29" s="1464"/>
      <c r="G29" s="1464"/>
      <c r="H29" s="1464"/>
      <c r="I29" s="1464"/>
      <c r="J29" s="1464"/>
      <c r="K29" s="1464"/>
      <c r="L29" s="1465"/>
      <c r="M29" s="1464"/>
      <c r="N29" s="1464"/>
      <c r="O29" s="1464"/>
      <c r="S29" s="3106" t="s">
        <v>509</v>
      </c>
      <c r="T29" s="3106"/>
      <c r="U29" s="1468"/>
      <c r="V29" s="3108" t="str">
        <f>IF(TITLE_NUMBER_PR_CHANGE="",IF(TITLE_NUMBER_PR="","",TITLE_NUMBER_PR),TITLE_NUMBER_PR_CHANGE)</f>
        <v/>
      </c>
      <c r="W29" s="3108"/>
      <c r="X29" s="3108"/>
      <c r="Y29" s="3108"/>
      <c r="Z29" s="3108"/>
      <c r="AA29" s="3108"/>
      <c r="AB29" s="3108"/>
      <c r="AC29" s="3108"/>
      <c r="AD29" s="3108"/>
      <c r="AE29" s="3108"/>
      <c r="AF29" s="434"/>
      <c r="AG29" s="3108" t="str">
        <f>IF(TITLE_NUMBER_PR_CHANGE="",IF(TITLE_NUMBER_PR="","",TITLE_NUMBER_PR),TITLE_NUMBER_PR_CHANGE)</f>
        <v/>
      </c>
      <c r="AH29" s="3108"/>
      <c r="AI29" s="3108"/>
      <c r="AJ29" s="3108"/>
      <c r="AK29" s="3108"/>
      <c r="AL29" s="3108"/>
      <c r="AM29" s="3108"/>
      <c r="AN29" s="3108"/>
      <c r="AO29" s="3108"/>
      <c r="AP29" s="3108"/>
      <c r="AQ29" s="434"/>
      <c r="AR29" s="434"/>
      <c r="AS29" s="388"/>
      <c r="AT29" s="475"/>
      <c r="AU29" s="475"/>
      <c r="AV29" s="475"/>
      <c r="AW29" s="475"/>
      <c r="AX29" s="475"/>
      <c r="AY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42</v>
      </c>
      <c r="T30" s="3106"/>
      <c r="U30" s="1468"/>
      <c r="V30" s="3108" t="str">
        <f>IF(TITLE_IST_PUB_CHANGE="",IF(TITLE_IST_PUB="","",TITLE_IST_PUB),TITLE_IST_PUB_CHANGE)</f>
        <v/>
      </c>
      <c r="W30" s="3108"/>
      <c r="X30" s="3108"/>
      <c r="Y30" s="3108"/>
      <c r="Z30" s="3108"/>
      <c r="AA30" s="3108"/>
      <c r="AB30" s="3108"/>
      <c r="AC30" s="3108"/>
      <c r="AD30" s="3108"/>
      <c r="AE30" s="3108"/>
      <c r="AF30" s="434"/>
      <c r="AG30" s="3108" t="str">
        <f>IF(TITLE_IST_PUB_CHANGE="",IF(TITLE_IST_PUB="","",TITLE_IST_PUB),TITLE_IST_PUB_CHANGE)</f>
        <v/>
      </c>
      <c r="AH30" s="3108"/>
      <c r="AI30" s="3108"/>
      <c r="AJ30" s="3108"/>
      <c r="AK30" s="3108"/>
      <c r="AL30" s="3108"/>
      <c r="AM30" s="3108"/>
      <c r="AN30" s="3108"/>
      <c r="AO30" s="3108"/>
      <c r="AP30" s="3108"/>
      <c r="AQ30" s="434"/>
      <c r="AR30" s="434"/>
      <c r="AS30" s="388"/>
      <c r="AT30" s="475"/>
      <c r="AU30" s="475"/>
      <c r="AV30" s="475"/>
      <c r="AW30" s="475"/>
      <c r="AX30" s="475"/>
      <c r="AY30" s="525">
        <v>0</v>
      </c>
    </row>
    <row customHeight="1" ht="14.25" hidden="1">
      <c r="Q31" s="483"/>
      <c r="R31" s="483"/>
      <c r="S31" s="1371"/>
      <c r="T31" s="470"/>
      <c r="U31" s="47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616"/>
      <c r="AY31" s="1251">
        <v>0</v>
      </c>
    </row>
    <row s="10446" customFormat="1" customHeight="1" ht="18.75" hidden="1">
      <c r="A32" s="1464"/>
      <c r="B32" s="1464"/>
      <c r="C32" s="1464"/>
      <c r="D32" s="1464"/>
      <c r="E32" s="1464"/>
      <c r="F32" s="1464"/>
      <c r="G32" s="1464"/>
      <c r="H32" s="1464"/>
      <c r="I32" s="1464"/>
      <c r="J32" s="1464"/>
      <c r="K32" s="1464"/>
      <c r="L32" s="1465"/>
      <c r="M32" s="1464"/>
      <c r="N32" s="1464"/>
      <c r="O32" s="1464"/>
      <c r="S32" s="3106" t="s">
        <v>510</v>
      </c>
      <c r="T32" s="3106"/>
      <c r="U32" s="1468"/>
      <c r="V32" s="3107" t="str">
        <f>IF(TITLE_DATE_PR_CHANGE="",IF(TITLE_DATE_PR="","",TITLE_DATE_PR),TITLE_DATE_PR_CHANGE)</f>
        <v/>
      </c>
      <c r="W32" s="3107"/>
      <c r="X32" s="3107"/>
      <c r="Y32" s="3107"/>
      <c r="Z32" s="3107"/>
      <c r="AA32" s="3107"/>
      <c r="AB32" s="3107"/>
      <c r="AC32" s="3107"/>
      <c r="AD32" s="3107"/>
      <c r="AE32" s="3107"/>
      <c r="AF32" s="434"/>
      <c r="AG32" s="3107" t="str">
        <f>IF(TITLE_DATE_PR_CHANGE="",IF(TITLE_DATE_PR="","",TITLE_DATE_PR),TITLE_DATE_PR_CHANGE)</f>
        <v/>
      </c>
      <c r="AH32" s="3107"/>
      <c r="AI32" s="3107"/>
      <c r="AJ32" s="3107"/>
      <c r="AK32" s="3107"/>
      <c r="AL32" s="3107"/>
      <c r="AM32" s="3107"/>
      <c r="AN32" s="3107"/>
      <c r="AO32" s="3107"/>
      <c r="AP32" s="3107"/>
      <c r="AQ32" s="434"/>
      <c r="AR32" s="434"/>
      <c r="AS32" s="388"/>
      <c r="AT32" s="475"/>
      <c r="AU32" s="475"/>
      <c r="AV32" s="475"/>
      <c r="AW32" s="475"/>
      <c r="AX32" s="475"/>
      <c r="AY32" s="525">
        <v>0</v>
      </c>
    </row>
    <row s="10446" customFormat="1" customHeight="1" ht="18.75" hidden="1">
      <c r="A33" s="1464"/>
      <c r="B33" s="1464"/>
      <c r="C33" s="1464"/>
      <c r="D33" s="1464"/>
      <c r="E33" s="1464"/>
      <c r="F33" s="1464"/>
      <c r="G33" s="1464"/>
      <c r="H33" s="1464"/>
      <c r="I33" s="1464"/>
      <c r="J33" s="1464"/>
      <c r="K33" s="1464"/>
      <c r="L33" s="1465"/>
      <c r="M33" s="1464"/>
      <c r="N33" s="1464"/>
      <c r="O33" s="1464"/>
      <c r="S33" s="3106" t="s">
        <v>511</v>
      </c>
      <c r="T33" s="3106"/>
      <c r="U33" s="1468"/>
      <c r="V33" s="3108" t="str">
        <f>IF(TITLE_NUMBER_PR_CHANGE="",IF(TITLE_NUMBER_PR="","",TITLE_NUMBER_PR),TITLE_NUMBER_PR_CHANGE)</f>
        <v/>
      </c>
      <c r="W33" s="3108"/>
      <c r="X33" s="3108"/>
      <c r="Y33" s="3108"/>
      <c r="Z33" s="3108"/>
      <c r="AA33" s="3108"/>
      <c r="AB33" s="3108"/>
      <c r="AC33" s="3108"/>
      <c r="AD33" s="3108"/>
      <c r="AE33" s="3108"/>
      <c r="AF33" s="434"/>
      <c r="AG33" s="3108" t="str">
        <f>IF(TITLE_NUMBER_PR_CHANGE="",IF(TITLE_NUMBER_PR="","",TITLE_NUMBER_PR),TITLE_NUMBER_PR_CHANGE)</f>
        <v/>
      </c>
      <c r="AH33" s="3108"/>
      <c r="AI33" s="3108"/>
      <c r="AJ33" s="3108"/>
      <c r="AK33" s="3108"/>
      <c r="AL33" s="3108"/>
      <c r="AM33" s="3108"/>
      <c r="AN33" s="3108"/>
      <c r="AO33" s="3108"/>
      <c r="AP33" s="3108"/>
      <c r="AQ33" s="434"/>
      <c r="AR33" s="434"/>
      <c r="AS33" s="388"/>
      <c r="AT33" s="475"/>
      <c r="AU33" s="475"/>
      <c r="AV33" s="475"/>
      <c r="AW33" s="475"/>
      <c r="AX33" s="475"/>
      <c r="AY33" s="525">
        <v>0</v>
      </c>
    </row>
    <row s="10446" customFormat="1" customHeight="1" ht="1.05">
      <c r="A34" s="1464"/>
      <c r="B34" s="1464"/>
      <c r="C34" s="1464"/>
      <c r="D34" s="1464"/>
      <c r="E34" s="1464"/>
      <c r="F34" s="1464"/>
      <c r="G34" s="1464"/>
      <c r="H34" s="1464"/>
      <c r="I34" s="1464"/>
      <c r="J34" s="1464"/>
      <c r="K34" s="1464"/>
      <c r="L34" s="1465"/>
      <c r="M34" s="1464"/>
      <c r="N34" s="1464"/>
      <c r="O34" s="1464"/>
      <c r="S34" s="431"/>
      <c r="T34" s="431"/>
      <c r="U34" s="1584"/>
      <c r="V34" s="434"/>
      <c r="W34" s="1731"/>
      <c r="X34" s="1731"/>
      <c r="Y34" s="1731"/>
      <c r="Z34" s="1731"/>
      <c r="AA34" s="1731"/>
      <c r="AB34" s="1731"/>
      <c r="AC34" s="434"/>
      <c r="AD34" s="434"/>
      <c r="AE34" s="434"/>
      <c r="AF34" s="386" t="s">
        <v>512</v>
      </c>
      <c r="AG34" s="434"/>
      <c r="AH34" s="1731"/>
      <c r="AI34" s="1731"/>
      <c r="AJ34" s="1731"/>
      <c r="AK34" s="1731"/>
      <c r="AL34" s="1731"/>
      <c r="AM34" s="434"/>
      <c r="AN34" s="434"/>
      <c r="AO34" s="434"/>
      <c r="AP34" s="434"/>
      <c r="AQ34" s="386" t="s">
        <v>512</v>
      </c>
      <c r="AT34" s="475"/>
      <c r="AU34" s="475"/>
      <c r="AV34" s="475"/>
      <c r="AW34" s="475"/>
      <c r="AX34" s="475"/>
      <c r="AY34" s="525">
        <v>1</v>
      </c>
    </row>
    <row customHeight="1" ht="14.699999999999998">
      <c r="Q35" s="483"/>
      <c r="R35" s="483"/>
      <c r="S35" s="1371"/>
      <c r="T35" s="470"/>
      <c r="U35" s="1340"/>
      <c r="V35" s="3127"/>
      <c r="W35" s="3127"/>
      <c r="X35" s="3127"/>
      <c r="Y35" s="3127"/>
      <c r="Z35" s="3127"/>
      <c r="AA35" s="3127"/>
      <c r="AB35" s="3127"/>
      <c r="AC35" s="3127"/>
      <c r="AD35" s="3127"/>
      <c r="AE35" s="3127"/>
      <c r="AF35" s="3127"/>
      <c r="AG35" s="3127"/>
      <c r="AH35" s="3127"/>
      <c r="AI35" s="3127"/>
      <c r="AJ35" s="3127"/>
      <c r="AK35" s="3127"/>
      <c r="AL35" s="3127"/>
      <c r="AM35" s="3127"/>
      <c r="AN35" s="3127"/>
      <c r="AO35" s="3127"/>
      <c r="AP35" s="3127"/>
      <c r="AQ35" s="3127"/>
      <c r="AY35" s="1251">
        <v>14</v>
      </c>
    </row>
    <row customHeight="1" ht="14.699999999999998">
      <c r="Q36" s="483"/>
      <c r="R36" s="483"/>
      <c r="S36" s="2978" t="s">
        <v>385</v>
      </c>
      <c r="T36" s="2978"/>
      <c r="U36" s="2978"/>
      <c r="V36" s="2978"/>
      <c r="W36" s="2978"/>
      <c r="X36" s="2978"/>
      <c r="Y36" s="2978"/>
      <c r="Z36" s="2978"/>
      <c r="AA36" s="2978"/>
      <c r="AB36" s="2978"/>
      <c r="AC36" s="2978"/>
      <c r="AD36" s="2978"/>
      <c r="AE36" s="2978"/>
      <c r="AF36" s="2978"/>
      <c r="AG36" s="2978"/>
      <c r="AH36" s="2978"/>
      <c r="AI36" s="2978"/>
      <c r="AJ36" s="2978"/>
      <c r="AK36" s="2978"/>
      <c r="AL36" s="2978"/>
      <c r="AM36" s="2978"/>
      <c r="AN36" s="2978"/>
      <c r="AO36" s="2978"/>
      <c r="AP36" s="2978"/>
      <c r="AQ36" s="2978"/>
      <c r="AR36" s="2978"/>
      <c r="AS36" s="2978" t="s">
        <v>386</v>
      </c>
      <c r="AY36" s="1251">
        <v>14</v>
      </c>
    </row>
    <row customHeight="1" ht="14.699999999999998">
      <c r="Q37" s="483"/>
      <c r="R37" s="483"/>
      <c r="S37" s="3128" t="s">
        <v>88</v>
      </c>
      <c r="T37" s="3077" t="s">
        <v>513</v>
      </c>
      <c r="U37" s="409"/>
      <c r="V37" s="3129" t="s">
        <v>514</v>
      </c>
      <c r="W37" s="3145"/>
      <c r="X37" s="3145"/>
      <c r="Y37" s="3145"/>
      <c r="Z37" s="3145"/>
      <c r="AA37" s="3145"/>
      <c r="AB37" s="3145"/>
      <c r="AC37" s="3130"/>
      <c r="AD37" s="3130"/>
      <c r="AE37" s="3131"/>
      <c r="AF37" s="3132" t="s">
        <v>515</v>
      </c>
      <c r="AG37" s="3129" t="s">
        <v>514</v>
      </c>
      <c r="AH37" s="3130"/>
      <c r="AI37" s="3130"/>
      <c r="AJ37" s="3130"/>
      <c r="AK37" s="3130"/>
      <c r="AL37" s="3130"/>
      <c r="AM37" s="3130"/>
      <c r="AN37" s="3130"/>
      <c r="AO37" s="3130"/>
      <c r="AP37" s="3131"/>
      <c r="AQ37" s="3132" t="s">
        <v>516</v>
      </c>
      <c r="AR37" s="3135" t="s">
        <v>517</v>
      </c>
      <c r="AS37" s="2978"/>
      <c r="AY37" s="1251">
        <v>14</v>
      </c>
    </row>
    <row customHeight="1" ht="19.95">
      <c r="Q38" s="483"/>
      <c r="R38" s="483"/>
      <c r="S38" s="3128"/>
      <c r="T38" s="3077"/>
      <c r="U38" s="1131"/>
      <c r="V38" s="2978" t="s">
        <v>617</v>
      </c>
      <c r="W38" s="3199" t="s">
        <v>618</v>
      </c>
      <c r="X38" s="3199"/>
      <c r="Y38" s="3199"/>
      <c r="Z38" s="3199" t="s">
        <v>619</v>
      </c>
      <c r="AA38" s="3199"/>
      <c r="AB38" s="3199"/>
      <c r="AC38" s="3048" t="s">
        <v>521</v>
      </c>
      <c r="AD38" s="3157"/>
      <c r="AE38" s="3049"/>
      <c r="AF38" s="3133"/>
      <c r="AG38" s="2978" t="s">
        <v>617</v>
      </c>
      <c r="AH38" s="3199" t="s">
        <v>618</v>
      </c>
      <c r="AI38" s="3199"/>
      <c r="AJ38" s="3199"/>
      <c r="AK38" s="3199" t="s">
        <v>619</v>
      </c>
      <c r="AL38" s="3199"/>
      <c r="AM38" s="3199"/>
      <c r="AN38" s="3048" t="s">
        <v>521</v>
      </c>
      <c r="AO38" s="3157"/>
      <c r="AP38" s="3049"/>
      <c r="AQ38" s="3133"/>
      <c r="AR38" s="3136"/>
      <c r="AS38" s="2978"/>
      <c r="AY38" s="1251">
        <v>19</v>
      </c>
    </row>
    <row s="10232" customFormat="1" customHeight="1" ht="19.95">
      <c r="A39" s="1462"/>
      <c r="B39" s="1462"/>
      <c r="C39" s="1462"/>
      <c r="D39" s="1462"/>
      <c r="E39" s="1462"/>
      <c r="F39" s="1462"/>
      <c r="G39" s="1462"/>
      <c r="H39" s="1462"/>
      <c r="I39" s="1462"/>
      <c r="J39" s="1462"/>
      <c r="K39" s="1462"/>
      <c r="L39" s="2042"/>
      <c r="M39" s="1458"/>
      <c r="N39" s="1458"/>
      <c r="O39" s="1458"/>
      <c r="P39" s="2056"/>
      <c r="Q39" s="483"/>
      <c r="R39" s="483"/>
      <c r="S39" s="3128"/>
      <c r="T39" s="3077"/>
      <c r="U39" s="1131"/>
      <c r="V39" s="2978"/>
      <c r="W39" s="3199" t="s">
        <v>620</v>
      </c>
      <c r="X39" s="3199" t="s">
        <v>621</v>
      </c>
      <c r="Y39" s="3199"/>
      <c r="Z39" s="3199" t="s">
        <v>622</v>
      </c>
      <c r="AA39" s="3199" t="s">
        <v>621</v>
      </c>
      <c r="AB39" s="3199"/>
      <c r="AC39" s="3053"/>
      <c r="AD39" s="3158"/>
      <c r="AE39" s="3054"/>
      <c r="AF39" s="3133"/>
      <c r="AG39" s="2978"/>
      <c r="AH39" s="3199" t="s">
        <v>620</v>
      </c>
      <c r="AI39" s="3199" t="s">
        <v>621</v>
      </c>
      <c r="AJ39" s="3199"/>
      <c r="AK39" s="3199" t="s">
        <v>622</v>
      </c>
      <c r="AL39" s="3199" t="s">
        <v>621</v>
      </c>
      <c r="AM39" s="3199"/>
      <c r="AN39" s="3053"/>
      <c r="AO39" s="3158"/>
      <c r="AP39" s="3054"/>
      <c r="AQ39" s="3133"/>
      <c r="AR39" s="3136"/>
      <c r="AS39" s="2978"/>
      <c r="AT39" s="1732"/>
      <c r="AU39" s="1732"/>
      <c r="AV39" s="1732"/>
      <c r="AW39" s="1732"/>
      <c r="AX39" s="1732"/>
      <c r="AY39" s="1727">
        <v>19</v>
      </c>
    </row>
    <row customHeight="1" ht="61.949999999999996">
      <c r="A40" s="1466"/>
      <c r="B40" s="1466" t="s">
        <v>222</v>
      </c>
      <c r="C40" s="1466" t="s">
        <v>223</v>
      </c>
      <c r="D40" s="1466" t="s">
        <v>224</v>
      </c>
      <c r="E40" s="1460" t="s">
        <v>522</v>
      </c>
      <c r="F40" s="1460" t="s">
        <v>523</v>
      </c>
      <c r="G40" s="1460" t="s">
        <v>524</v>
      </c>
      <c r="H40" s="1460"/>
      <c r="I40" s="1460" t="s">
        <v>575</v>
      </c>
      <c r="J40" s="1460" t="s">
        <v>527</v>
      </c>
      <c r="K40" s="1460" t="s">
        <v>576</v>
      </c>
      <c r="L40" s="1460" t="s">
        <v>503</v>
      </c>
      <c r="Q40" s="483"/>
      <c r="R40" s="483"/>
      <c r="S40" s="3128"/>
      <c r="T40" s="3077"/>
      <c r="U40" s="410"/>
      <c r="V40" s="2978"/>
      <c r="W40" s="3199"/>
      <c r="X40" s="2074" t="s">
        <v>623</v>
      </c>
      <c r="Y40" s="2074" t="s">
        <v>624</v>
      </c>
      <c r="Z40" s="3199"/>
      <c r="AA40" s="2074" t="s">
        <v>625</v>
      </c>
      <c r="AB40" s="2074" t="s">
        <v>626</v>
      </c>
      <c r="AC40" s="1585" t="s">
        <v>531</v>
      </c>
      <c r="AD40" s="3082" t="s">
        <v>532</v>
      </c>
      <c r="AE40" s="3095"/>
      <c r="AF40" s="3134"/>
      <c r="AG40" s="2978"/>
      <c r="AH40" s="3199"/>
      <c r="AI40" s="2074" t="s">
        <v>623</v>
      </c>
      <c r="AJ40" s="2074" t="s">
        <v>624</v>
      </c>
      <c r="AK40" s="3199"/>
      <c r="AL40" s="2074" t="s">
        <v>625</v>
      </c>
      <c r="AM40" s="2074" t="s">
        <v>626</v>
      </c>
      <c r="AN40" s="1585" t="s">
        <v>531</v>
      </c>
      <c r="AO40" s="3082" t="s">
        <v>532</v>
      </c>
      <c r="AP40" s="3095"/>
      <c r="AQ40" s="3134"/>
      <c r="AR40" s="3137"/>
      <c r="AS40" s="2978"/>
      <c r="AY40" s="1251">
        <v>59</v>
      </c>
    </row>
    <row s="10851" customFormat="1" customHeight="1" ht="11.25" hidden="1">
      <c r="A41" s="1466"/>
      <c r="B41" s="1466"/>
      <c r="C41" s="1466"/>
      <c r="D41" s="1466"/>
      <c r="E41" s="1466"/>
      <c r="F41" s="1466"/>
      <c r="G41" s="1466"/>
      <c r="H41" s="1466"/>
      <c r="I41" s="1466"/>
      <c r="J41" s="1466"/>
      <c r="K41" s="1466"/>
      <c r="L41" s="1460"/>
      <c r="M41" s="1458"/>
      <c r="N41" s="1458"/>
      <c r="O41" s="1458"/>
      <c r="P41" s="1342"/>
      <c r="Q41" s="1343"/>
      <c r="R41" s="1350">
        <v>1</v>
      </c>
      <c r="S41" s="1373" t="s">
        <v>144</v>
      </c>
      <c r="T41" s="1351" t="s">
        <v>102</v>
      </c>
      <c r="U41" s="1341" t="str">
        <f>OFFSET(U41,0,-1)</f>
        <v>2</v>
      </c>
      <c r="V41" s="1578">
        <f>OFFSET(V41,0,-1)+1</f>
        <v>3</v>
      </c>
      <c r="W41" s="1437"/>
      <c r="X41" s="1437"/>
      <c r="Y41" s="1437"/>
      <c r="Z41" s="1437"/>
      <c r="AA41" s="1437"/>
      <c r="AB41" s="1437"/>
      <c r="AC41" s="1578">
        <f>OFFSET(AC41,0,-1)+1</f>
        <v>1</v>
      </c>
      <c r="AD41" s="3126">
        <f>OFFSET(AD41,0,-1)+1</f>
        <v>2</v>
      </c>
      <c r="AE41" s="3126"/>
      <c r="AF41" s="1578">
        <f>OFFSET(AF41,0,-2)+1</f>
        <v>3</v>
      </c>
      <c r="AG41" s="1578">
        <f>OFFSET(AG41,0,-1)+1</f>
        <v>4</v>
      </c>
      <c r="AH41" s="2047"/>
      <c r="AI41" s="2047"/>
      <c r="AJ41" s="2047"/>
      <c r="AK41" s="2047"/>
      <c r="AL41" s="2047"/>
      <c r="AM41" s="1578">
        <f>OFFSET(AM41,0,-1)+1</f>
        <v>1</v>
      </c>
      <c r="AN41" s="1578">
        <f>OFFSET(AN41,0,-1)+1</f>
        <v>2</v>
      </c>
      <c r="AO41" s="3126">
        <f>OFFSET(AO41,0,-1)+1</f>
        <v>3</v>
      </c>
      <c r="AP41" s="3126"/>
      <c r="AQ41" s="1578">
        <f>OFFSET(AQ41,0,-2)+1</f>
        <v>4</v>
      </c>
      <c r="AR41" s="1341">
        <f>OFFSET(AR41,0,-1)</f>
        <v>4</v>
      </c>
      <c r="AS41" s="1578">
        <f>OFFSET(AS41,0,-1)+1</f>
        <v>5</v>
      </c>
      <c r="AT41" s="618"/>
      <c r="AU41" s="618"/>
      <c r="AV41" s="618"/>
      <c r="AW41" s="618"/>
      <c r="AX41" s="618"/>
      <c r="AY41" s="603">
        <v>0</v>
      </c>
    </row>
    <row customHeight="1" ht="24">
      <c r="A42" s="1459" t="s">
        <v>336</v>
      </c>
      <c r="B42" s="1459"/>
      <c r="C42" s="1459"/>
      <c r="D42" s="1459"/>
      <c r="E42" s="3115">
        <v>1</v>
      </c>
      <c r="F42" s="1459"/>
      <c r="G42" s="1459"/>
      <c r="H42" s="1459"/>
      <c r="I42" s="1459"/>
      <c r="J42" s="1459"/>
      <c r="K42" s="1459"/>
      <c r="L42" s="1460"/>
      <c r="M42" s="1461"/>
      <c r="N42" s="1461"/>
      <c r="O42" s="1461"/>
      <c r="P42" s="468"/>
      <c r="Q42" s="467"/>
      <c r="R42" s="462"/>
      <c r="S42" s="1589">
        <f>INDEX(PT_DIFFERENTIATION_NUM_NTAR,MATCH(A42,PT_DIFFERENTIATION_NTAR_ID,0))</f>
        <v>0</v>
      </c>
      <c r="T42" s="406" t="s">
        <v>210</v>
      </c>
      <c r="U42" s="408"/>
      <c r="V42" s="3109"/>
      <c r="W42" s="3110"/>
      <c r="X42" s="3110"/>
      <c r="Y42" s="3110"/>
      <c r="Z42" s="3110"/>
      <c r="AA42" s="3110"/>
      <c r="AB42" s="3110"/>
      <c r="AC42" s="3110"/>
      <c r="AD42" s="3110"/>
      <c r="AE42" s="3110"/>
      <c r="AF42" s="3111"/>
      <c r="AG42" s="3109" t="str">
        <f>INDEX(PT_DIFFERENTIATION_NTAR,MATCH(A42,PT_DIFFERENTIATION_NTAR_ID,0))</f>
        <v/>
      </c>
      <c r="AH42" s="3110"/>
      <c r="AI42" s="3110"/>
      <c r="AJ42" s="3110"/>
      <c r="AK42" s="3110"/>
      <c r="AL42" s="3110"/>
      <c r="AM42" s="3110"/>
      <c r="AN42" s="3110"/>
      <c r="AO42" s="3110"/>
      <c r="AP42" s="3110"/>
      <c r="AQ42" s="3110"/>
      <c r="AR42" s="3111"/>
      <c r="AS42"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07"/>
      <c r="AV42" s="607" t="str">
        <f>IF(T42="","",T42)</f>
        <v>Наименование тарифа</v>
      </c>
      <c r="AW42" s="607"/>
      <c r="AX42" s="607"/>
      <c r="AY42" s="1251">
        <v>23</v>
      </c>
    </row>
    <row customHeight="1" ht="24">
      <c r="A43" s="1459" t="s">
        <v>336</v>
      </c>
      <c r="B43" s="1459" t="s">
        <v>337</v>
      </c>
      <c r="C43" s="1459"/>
      <c r="D43" s="1459"/>
      <c r="E43" s="3116"/>
      <c r="F43" s="3115">
        <v>1</v>
      </c>
      <c r="G43" s="1459"/>
      <c r="H43" s="1459"/>
      <c r="I43" s="1459"/>
      <c r="J43" s="1459"/>
      <c r="K43" s="1459"/>
      <c r="L43" s="1460"/>
      <c r="M43" s="1461"/>
      <c r="N43" s="1461"/>
      <c r="O43" s="1461"/>
      <c r="P43" s="1583"/>
      <c r="Q43" s="459"/>
      <c r="R43" s="460"/>
      <c r="S43" s="1589" t="str">
        <f>INDEX(PT_DIFFERENTIATION_NUM_TER,MATCH(B43,PT_DIFFERENTIATION_TER_ID,0))</f>
        <v>.</v>
      </c>
      <c r="T43" s="416" t="s">
        <v>482</v>
      </c>
      <c r="U43" s="408"/>
      <c r="V43" s="3109"/>
      <c r="W43" s="3110"/>
      <c r="X43" s="3110"/>
      <c r="Y43" s="3110"/>
      <c r="Z43" s="3110"/>
      <c r="AA43" s="3110"/>
      <c r="AB43" s="3110"/>
      <c r="AC43" s="3110"/>
      <c r="AD43" s="3110"/>
      <c r="AE43" s="3110"/>
      <c r="AF43" s="3111"/>
      <c r="AG43" s="3109" t="str">
        <f>INDEX(PT_DIFFERENTIATION_TER,MATCH(B43,PT_DIFFERENTIATION_TER_ID,0))</f>
        <v/>
      </c>
      <c r="AH43" s="3110"/>
      <c r="AI43" s="3110"/>
      <c r="AJ43" s="3110"/>
      <c r="AK43" s="3110"/>
      <c r="AL43" s="3110"/>
      <c r="AM43" s="3110"/>
      <c r="AN43" s="3110"/>
      <c r="AO43" s="3110"/>
      <c r="AP43" s="3110"/>
      <c r="AQ43" s="3110"/>
      <c r="AR43" s="3111"/>
      <c r="AS43" s="1354" t="s">
        <v>483</v>
      </c>
      <c r="AU43" s="607"/>
      <c r="AV43" s="607" t="str">
        <f>IF(T43="","",T43)</f>
        <v>Территория действия тарифа</v>
      </c>
      <c r="AW43" s="607"/>
      <c r="AX43" s="607"/>
      <c r="AY43" s="1251">
        <v>23</v>
      </c>
    </row>
    <row customHeight="1" ht="24">
      <c r="A44" s="1459" t="s">
        <v>336</v>
      </c>
      <c r="B44" s="1459" t="s">
        <v>337</v>
      </c>
      <c r="C44" s="1459" t="s">
        <v>338</v>
      </c>
      <c r="D44" s="1459"/>
      <c r="E44" s="3116"/>
      <c r="F44" s="3116"/>
      <c r="G44" s="3115">
        <v>1</v>
      </c>
      <c r="H44" s="1459"/>
      <c r="I44" s="1459"/>
      <c r="J44" s="1459"/>
      <c r="K44" s="1459"/>
      <c r="L44" s="1460"/>
      <c r="M44" s="1461"/>
      <c r="N44" s="1461"/>
      <c r="O44" s="1461"/>
      <c r="P44" s="461"/>
      <c r="Q44" s="459"/>
      <c r="R44" s="460"/>
      <c r="S44" s="1589" t="str">
        <f>INDEX(PT_DIFFERENTIATION_NUM_CS,MATCH(C44,PT_DIFFERENTIATION_CS_ID,0))</f>
        <v>..</v>
      </c>
      <c r="T44" s="417" t="s">
        <v>615</v>
      </c>
      <c r="U44" s="408"/>
      <c r="V44" s="3109"/>
      <c r="W44" s="3110"/>
      <c r="X44" s="3110"/>
      <c r="Y44" s="3110"/>
      <c r="Z44" s="3110"/>
      <c r="AA44" s="3110"/>
      <c r="AB44" s="3110"/>
      <c r="AC44" s="3110"/>
      <c r="AD44" s="3110"/>
      <c r="AE44" s="3110"/>
      <c r="AF44" s="3111"/>
      <c r="AG44" s="3109" t="str">
        <f>INDEX(PT_DIFFERENTIATION_CS,MATCH(C44,PT_DIFFERENTIATION_CS_ID,0))</f>
        <v/>
      </c>
      <c r="AH44" s="3110"/>
      <c r="AI44" s="3110"/>
      <c r="AJ44" s="3110"/>
      <c r="AK44" s="3110"/>
      <c r="AL44" s="3110"/>
      <c r="AM44" s="3110"/>
      <c r="AN44" s="3110"/>
      <c r="AO44" s="3110"/>
      <c r="AP44" s="3110"/>
      <c r="AQ44" s="3110"/>
      <c r="AR44" s="3111"/>
      <c r="AS44" s="1354" t="s">
        <v>616</v>
      </c>
      <c r="AU44" s="607"/>
      <c r="AV44" s="607" t="str">
        <f>IF(T44="","",T44)</f>
        <v>Наименование централизованной системы горячего водоснабжения</v>
      </c>
      <c r="AW44" s="607"/>
      <c r="AX44" s="607"/>
      <c r="AY44" s="1251">
        <v>23</v>
      </c>
    </row>
    <row customHeight="1" ht="24">
      <c r="A45" s="1459" t="s">
        <v>336</v>
      </c>
      <c r="B45" s="1459" t="s">
        <v>337</v>
      </c>
      <c r="C45" s="1459" t="s">
        <v>338</v>
      </c>
      <c r="D45" s="1459" t="s">
        <v>627</v>
      </c>
      <c r="E45" s="3116"/>
      <c r="F45" s="3116"/>
      <c r="G45" s="3116"/>
      <c r="H45" s="3116"/>
      <c r="I45" s="3117" t="str">
        <f>S44&amp;".1"</f>
        <v>...1</v>
      </c>
      <c r="J45" s="1459"/>
      <c r="K45" s="1459"/>
      <c r="L45" s="1460"/>
      <c r="P45" s="3119">
        <v>1</v>
      </c>
      <c r="Q45" s="1577"/>
      <c r="R45" s="463"/>
      <c r="S45" s="1589" t="str">
        <f>$I45</f>
        <v>...1</v>
      </c>
      <c r="T45" s="393" t="s">
        <v>568</v>
      </c>
      <c r="U45" s="408"/>
      <c r="V45" s="3183"/>
      <c r="W45" s="3184"/>
      <c r="X45" s="3184"/>
      <c r="Y45" s="3184"/>
      <c r="Z45" s="3184"/>
      <c r="AA45" s="3184"/>
      <c r="AB45" s="3184"/>
      <c r="AC45" s="3184"/>
      <c r="AD45" s="3184"/>
      <c r="AE45" s="3184"/>
      <c r="AF45" s="3185"/>
      <c r="AG45" s="3186"/>
      <c r="AH45" s="3187"/>
      <c r="AI45" s="3187"/>
      <c r="AJ45" s="3187"/>
      <c r="AK45" s="3187"/>
      <c r="AL45" s="3187"/>
      <c r="AM45" s="3187"/>
      <c r="AN45" s="3187"/>
      <c r="AO45" s="3187"/>
      <c r="AP45" s="3187"/>
      <c r="AQ45" s="3187"/>
      <c r="AR45" s="3188"/>
      <c r="AS45" s="1354" t="s">
        <v>569</v>
      </c>
      <c r="AU45" s="607"/>
      <c r="AV45" s="607" t="str">
        <f>IF(T45="","",T45)</f>
        <v>Наименование признака дифференциации</v>
      </c>
      <c r="AW45" s="607"/>
      <c r="AX45" s="607"/>
      <c r="AY45" s="1251">
        <v>23</v>
      </c>
    </row>
    <row customHeight="1" ht="24">
      <c r="A46" s="1459" t="s">
        <v>336</v>
      </c>
      <c r="B46" s="1459" t="s">
        <v>337</v>
      </c>
      <c r="C46" s="1459" t="s">
        <v>338</v>
      </c>
      <c r="D46" s="1459" t="s">
        <v>627</v>
      </c>
      <c r="E46" s="3116"/>
      <c r="F46" s="3116"/>
      <c r="G46" s="3116"/>
      <c r="H46" s="3116"/>
      <c r="I46" s="3118"/>
      <c r="J46" s="3117" t="str">
        <f>I45&amp;".1"</f>
        <v>...1.1</v>
      </c>
      <c r="K46" s="1459"/>
      <c r="L46" s="1460" t="s">
        <v>491</v>
      </c>
      <c r="P46" s="3119"/>
      <c r="Q46" s="3119">
        <v>1</v>
      </c>
      <c r="R46" s="464"/>
      <c r="S46" s="1589" t="str">
        <f>$J46</f>
        <v>...1.1</v>
      </c>
      <c r="T46" s="394" t="s">
        <v>492</v>
      </c>
      <c r="U46" s="408"/>
      <c r="V46" s="3103"/>
      <c r="W46" s="3104"/>
      <c r="X46" s="3104"/>
      <c r="Y46" s="3104"/>
      <c r="Z46" s="3104"/>
      <c r="AA46" s="3104"/>
      <c r="AB46" s="3104"/>
      <c r="AC46" s="3104"/>
      <c r="AD46" s="3104"/>
      <c r="AE46" s="3104"/>
      <c r="AF46" s="3105"/>
      <c r="AG46" s="3103"/>
      <c r="AH46" s="3104"/>
      <c r="AI46" s="3104"/>
      <c r="AJ46" s="3104"/>
      <c r="AK46" s="3104"/>
      <c r="AL46" s="3104"/>
      <c r="AM46" s="3104"/>
      <c r="AN46" s="3104"/>
      <c r="AO46" s="3104"/>
      <c r="AP46" s="3104"/>
      <c r="AQ46" s="3104"/>
      <c r="AR46" s="3105"/>
      <c r="AS46" s="1403" t="s">
        <v>570</v>
      </c>
      <c r="AU46" s="607"/>
      <c r="AV46" s="607" t="str">
        <f>IF(T46="","",T46)</f>
        <v>Группа потребителей</v>
      </c>
      <c r="AW46" s="607"/>
      <c r="AX46" s="607"/>
      <c r="AY46" s="1251">
        <v>23</v>
      </c>
    </row>
    <row customHeight="1" ht="24">
      <c r="A47" s="1459" t="s">
        <v>336</v>
      </c>
      <c r="B47" s="1459" t="s">
        <v>337</v>
      </c>
      <c r="C47" s="1459" t="s">
        <v>338</v>
      </c>
      <c r="D47" s="1459" t="s">
        <v>627</v>
      </c>
      <c r="E47" s="3116"/>
      <c r="F47" s="3116"/>
      <c r="G47" s="3116"/>
      <c r="H47" s="3116"/>
      <c r="I47" s="3118"/>
      <c r="J47" s="3118"/>
      <c r="K47" s="3117" t="str">
        <f>J46&amp;".1"</f>
        <v>...1.1.1</v>
      </c>
      <c r="L47" s="1460"/>
      <c r="P47" s="3119"/>
      <c r="Q47" s="3119"/>
      <c r="R47" s="464">
        <v>1</v>
      </c>
      <c r="S47" s="1589" t="str">
        <f>$K47</f>
        <v>...1.1.1</v>
      </c>
      <c r="T47" s="1533"/>
      <c r="U47" s="408"/>
      <c r="V47" s="858"/>
      <c r="W47" s="858"/>
      <c r="X47" s="858"/>
      <c r="Y47" s="858"/>
      <c r="Z47" s="858"/>
      <c r="AA47" s="858"/>
      <c r="AB47" s="858"/>
      <c r="AC47" s="3113"/>
      <c r="AD47" s="3112" t="s">
        <v>62</v>
      </c>
      <c r="AE47" s="3113"/>
      <c r="AF47" s="3112" t="s">
        <v>62</v>
      </c>
      <c r="AG47" s="858"/>
      <c r="AH47" s="858"/>
      <c r="AI47" s="858"/>
      <c r="AJ47" s="858"/>
      <c r="AK47" s="858"/>
      <c r="AL47" s="858"/>
      <c r="AM47" s="858"/>
      <c r="AN47" s="3120"/>
      <c r="AO47" s="2989" t="s">
        <v>62</v>
      </c>
      <c r="AP47" s="3122"/>
      <c r="AQ47" s="2989" t="s">
        <v>19</v>
      </c>
      <c r="AR47" s="1534"/>
      <c r="AS47"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18">
        <f>STRCHECKDATE(V48:AR48)</f>
      </c>
      <c r="AU47" s="607"/>
      <c r="AV47" s="607" t="str">
        <f>IF(T47="","",T47)</f>
        <v/>
      </c>
      <c r="AW47" s="607"/>
      <c r="AX47" s="607"/>
      <c r="AY47" s="1251">
        <v>23</v>
      </c>
    </row>
    <row customHeight="1" ht="14.25" hidden="1">
      <c r="A48" s="1459" t="s">
        <v>336</v>
      </c>
      <c r="B48" s="1459" t="s">
        <v>337</v>
      </c>
      <c r="C48" s="1459" t="s">
        <v>338</v>
      </c>
      <c r="D48" s="1459" t="s">
        <v>627</v>
      </c>
      <c r="E48" s="3116"/>
      <c r="F48" s="3116"/>
      <c r="G48" s="3116"/>
      <c r="H48" s="3116"/>
      <c r="I48" s="3118"/>
      <c r="J48" s="3118"/>
      <c r="K48" s="3117"/>
      <c r="L48" s="1460"/>
      <c r="P48" s="3119"/>
      <c r="Q48" s="3119"/>
      <c r="R48" s="464"/>
      <c r="S48" s="1586"/>
      <c r="T48" s="408"/>
      <c r="U48" s="408"/>
      <c r="V48" s="1456"/>
      <c r="W48" s="1456"/>
      <c r="X48" s="1456"/>
      <c r="Y48" s="1456"/>
      <c r="Z48" s="1456"/>
      <c r="AA48" s="1456"/>
      <c r="AB48" s="1456"/>
      <c r="AC48" s="3112"/>
      <c r="AD48" s="3112"/>
      <c r="AE48" s="3112"/>
      <c r="AF48" s="3112"/>
      <c r="AG48" s="433"/>
      <c r="AH48" s="433"/>
      <c r="AI48" s="433"/>
      <c r="AJ48" s="433"/>
      <c r="AK48" s="433"/>
      <c r="AL48" s="433"/>
      <c r="AM48" s="433"/>
      <c r="AN48" s="3121"/>
      <c r="AO48" s="2989"/>
      <c r="AP48" s="3123"/>
      <c r="AQ48" s="2989"/>
      <c r="AR48" s="1535"/>
      <c r="AS48" s="3189"/>
      <c r="AU48" s="607"/>
      <c r="AV48" s="607" t="str">
        <f>IF(T48="","",T48)</f>
        <v/>
      </c>
      <c r="AW48" s="607"/>
      <c r="AX48" s="607"/>
      <c r="AY48" s="1251">
        <v>0</v>
      </c>
    </row>
    <row customHeight="1" ht="21">
      <c r="A49" s="1459" t="s">
        <v>336</v>
      </c>
      <c r="B49" s="1459" t="s">
        <v>337</v>
      </c>
      <c r="C49" s="1459" t="s">
        <v>338</v>
      </c>
      <c r="D49" s="1459" t="s">
        <v>627</v>
      </c>
      <c r="E49" s="3116"/>
      <c r="F49" s="3116"/>
      <c r="G49" s="3116"/>
      <c r="H49" s="3116"/>
      <c r="I49" s="3118"/>
      <c r="J49" s="3117"/>
      <c r="K49" s="1459"/>
      <c r="L49" s="1460"/>
      <c r="P49" s="3119"/>
      <c r="Q49" s="3119"/>
      <c r="R49" s="463"/>
      <c r="S49" s="1374"/>
      <c r="T49" s="395" t="s">
        <v>571</v>
      </c>
      <c r="U49" s="474"/>
      <c r="V49" s="474"/>
      <c r="W49" s="707"/>
      <c r="X49" s="707"/>
      <c r="Y49" s="707"/>
      <c r="Z49" s="707"/>
      <c r="AA49" s="707"/>
      <c r="AB49" s="707"/>
      <c r="AC49" s="474"/>
      <c r="AD49" s="474"/>
      <c r="AE49" s="474"/>
      <c r="AF49" s="474"/>
      <c r="AG49" s="474"/>
      <c r="AH49" s="707"/>
      <c r="AI49" s="707"/>
      <c r="AJ49" s="707"/>
      <c r="AK49" s="707"/>
      <c r="AL49" s="707"/>
      <c r="AM49" s="474"/>
      <c r="AN49" s="474"/>
      <c r="AO49" s="474"/>
      <c r="AP49" s="474"/>
      <c r="AQ49" s="474"/>
      <c r="AR49" s="474"/>
      <c r="AS49" s="1354" t="s">
        <v>572</v>
      </c>
      <c r="AU49" s="607"/>
      <c r="AV49" s="607" t="str">
        <f>IF(T49="","",T49)</f>
        <v>Добавить значение признака дифференциации</v>
      </c>
      <c r="AW49" s="607"/>
      <c r="AX49" s="607"/>
      <c r="AY49" s="1251">
        <v>20</v>
      </c>
    </row>
    <row customHeight="1" ht="22.049999999999997">
      <c r="A50" s="1459" t="s">
        <v>336</v>
      </c>
      <c r="B50" s="1459" t="s">
        <v>337</v>
      </c>
      <c r="C50" s="1459" t="s">
        <v>338</v>
      </c>
      <c r="D50" s="1459" t="s">
        <v>627</v>
      </c>
      <c r="E50" s="3116"/>
      <c r="F50" s="3116"/>
      <c r="G50" s="3116"/>
      <c r="H50" s="3116"/>
      <c r="I50" s="3117"/>
      <c r="J50" s="1459"/>
      <c r="K50" s="1459"/>
      <c r="L50" s="1460"/>
      <c r="P50" s="3119"/>
      <c r="Q50" s="1577"/>
      <c r="R50" s="463"/>
      <c r="S50" s="1374"/>
      <c r="T50" s="472" t="s">
        <v>497</v>
      </c>
      <c r="U50" s="474"/>
      <c r="V50" s="474"/>
      <c r="W50" s="707"/>
      <c r="X50" s="707"/>
      <c r="Y50" s="707"/>
      <c r="Z50" s="707"/>
      <c r="AA50" s="707"/>
      <c r="AB50" s="707"/>
      <c r="AC50" s="474"/>
      <c r="AD50" s="474"/>
      <c r="AE50" s="474"/>
      <c r="AF50" s="473"/>
      <c r="AG50" s="474"/>
      <c r="AH50" s="707"/>
      <c r="AI50" s="707"/>
      <c r="AJ50" s="707"/>
      <c r="AK50" s="707"/>
      <c r="AL50" s="707"/>
      <c r="AM50" s="474"/>
      <c r="AN50" s="474"/>
      <c r="AO50" s="474"/>
      <c r="AP50" s="474"/>
      <c r="AQ50" s="473"/>
      <c r="AR50" s="474"/>
      <c r="AS50" s="1536"/>
      <c r="AU50" s="607"/>
      <c r="AV50" s="607" t="str">
        <f>IF(T50="","",T50)</f>
        <v>Добавить группу потребителей</v>
      </c>
      <c r="AW50" s="607"/>
      <c r="AX50" s="607"/>
      <c r="AY50" s="1251">
        <v>21</v>
      </c>
    </row>
    <row customHeight="1" ht="22.049999999999997">
      <c r="A51" s="1459" t="s">
        <v>336</v>
      </c>
      <c r="B51" s="1459" t="s">
        <v>337</v>
      </c>
      <c r="C51" s="1459" t="s">
        <v>338</v>
      </c>
      <c r="D51" s="1459" t="s">
        <v>627</v>
      </c>
      <c r="E51" s="3116"/>
      <c r="F51" s="3116"/>
      <c r="G51" s="3116"/>
      <c r="H51" s="3115"/>
      <c r="I51" s="1459"/>
      <c r="J51" s="1459"/>
      <c r="K51" s="1459"/>
      <c r="L51" s="1460"/>
      <c r="M51" s="1461"/>
      <c r="N51" s="1461"/>
      <c r="O51" s="644"/>
      <c r="P51" s="467"/>
      <c r="Q51" s="482"/>
      <c r="R51" s="462"/>
      <c r="S51" s="1374"/>
      <c r="T51" s="479" t="s">
        <v>573</v>
      </c>
      <c r="U51" s="474"/>
      <c r="V51" s="474"/>
      <c r="W51" s="707"/>
      <c r="X51" s="707"/>
      <c r="Y51" s="707"/>
      <c r="Z51" s="707"/>
      <c r="AA51" s="707"/>
      <c r="AB51" s="707"/>
      <c r="AC51" s="474"/>
      <c r="AD51" s="474"/>
      <c r="AE51" s="474"/>
      <c r="AF51" s="473"/>
      <c r="AG51" s="474"/>
      <c r="AH51" s="707"/>
      <c r="AI51" s="707"/>
      <c r="AJ51" s="707"/>
      <c r="AK51" s="707"/>
      <c r="AL51" s="707"/>
      <c r="AM51" s="474"/>
      <c r="AN51" s="474"/>
      <c r="AO51" s="474"/>
      <c r="AP51" s="474"/>
      <c r="AQ51" s="473"/>
      <c r="AR51" s="474"/>
      <c r="AS51" s="411"/>
      <c r="AU51" s="607"/>
      <c r="AV51" s="607" t="str">
        <f>IF(T51="","",T51)</f>
        <v>Добавить наименование признака дифференциации</v>
      </c>
      <c r="AW51" s="607"/>
      <c r="AX51" s="607"/>
      <c r="AY51" s="1251">
        <v>21</v>
      </c>
    </row>
    <row s="10307" customFormat="1" customHeight="1" ht="14.25" hidden="1">
      <c r="A52" s="1439" t="s">
        <v>336</v>
      </c>
      <c r="B52" s="1439" t="s">
        <v>337</v>
      </c>
      <c r="C52" s="1410"/>
      <c r="D52" s="1410"/>
      <c r="E52" s="3116"/>
      <c r="F52" s="3115"/>
      <c r="G52" s="1410"/>
      <c r="H52" s="1410"/>
      <c r="I52" s="1410"/>
      <c r="J52" s="1410"/>
      <c r="K52" s="1410"/>
      <c r="L52" s="1590"/>
      <c r="M52" s="1417"/>
      <c r="N52" s="1417"/>
      <c r="P52" s="1412"/>
      <c r="Q52" s="1413"/>
      <c r="R52" s="1412"/>
      <c r="S52" s="1418"/>
      <c r="T52" s="1421" t="s">
        <v>500</v>
      </c>
      <c r="U52" s="1420"/>
      <c r="V52" s="1420"/>
      <c r="W52" s="1420"/>
      <c r="X52" s="1420"/>
      <c r="Y52" s="1420"/>
      <c r="Z52" s="1420"/>
      <c r="AA52" s="1420"/>
      <c r="AB52" s="1420"/>
      <c r="AC52" s="1420"/>
      <c r="AD52" s="1420"/>
      <c r="AE52" s="1420"/>
      <c r="AF52" s="1420"/>
      <c r="AG52" s="1420"/>
      <c r="AH52" s="1420"/>
      <c r="AI52" s="1420"/>
      <c r="AJ52" s="1420"/>
      <c r="AK52" s="1420"/>
      <c r="AL52" s="1420"/>
      <c r="AM52" s="1420"/>
      <c r="AN52" s="1420"/>
      <c r="AO52" s="1420"/>
      <c r="AP52" s="1420"/>
      <c r="AQ52" s="1420"/>
      <c r="AR52" s="1420"/>
      <c r="AS52" s="1420"/>
      <c r="AU52" s="890"/>
      <c r="AV52" s="890" t="str">
        <f>IF(T52="","",T52)</f>
        <v>Добавить централизованную систему для дифференциации</v>
      </c>
      <c r="AW52" s="890"/>
      <c r="AX52" s="890"/>
      <c r="AY52" s="625">
        <v>0</v>
      </c>
    </row>
    <row s="10307" customFormat="1" customHeight="1" ht="14.25" hidden="1">
      <c r="A53" s="1439" t="s">
        <v>336</v>
      </c>
      <c r="B53" s="1439"/>
      <c r="C53" s="1439"/>
      <c r="D53" s="1439"/>
      <c r="E53" s="3115"/>
      <c r="F53" s="1439"/>
      <c r="G53" s="1439"/>
      <c r="H53" s="1439"/>
      <c r="I53" s="1439"/>
      <c r="J53" s="1439"/>
      <c r="K53" s="1439"/>
      <c r="L53" s="1442"/>
      <c r="M53" s="1417"/>
      <c r="N53" s="1417"/>
      <c r="O53" s="625"/>
      <c r="P53" s="487"/>
      <c r="Q53" s="1440"/>
      <c r="R53" s="487"/>
      <c r="S53" s="1418"/>
      <c r="T53" s="1421" t="s">
        <v>501</v>
      </c>
      <c r="U53" s="1420"/>
      <c r="V53" s="1420"/>
      <c r="W53" s="1420"/>
      <c r="X53" s="1420"/>
      <c r="Y53" s="1420"/>
      <c r="Z53" s="1420"/>
      <c r="AA53" s="1420"/>
      <c r="AB53" s="1420"/>
      <c r="AC53" s="1420"/>
      <c r="AD53" s="1420"/>
      <c r="AE53" s="1420"/>
      <c r="AF53" s="1420"/>
      <c r="AG53" s="1420"/>
      <c r="AH53" s="1420"/>
      <c r="AI53" s="1420"/>
      <c r="AJ53" s="1420"/>
      <c r="AK53" s="1420"/>
      <c r="AL53" s="1420"/>
      <c r="AM53" s="1420"/>
      <c r="AN53" s="1420"/>
      <c r="AO53" s="1420"/>
      <c r="AP53" s="1420"/>
      <c r="AQ53" s="1420"/>
      <c r="AR53" s="1420"/>
      <c r="AS53" s="1420"/>
      <c r="AU53" s="607"/>
      <c r="AV53" s="607" t="str">
        <f>IF(T53="","",T53)</f>
        <v>Добавить территорию для дифференциации</v>
      </c>
      <c r="AW53" s="607"/>
      <c r="AX53" s="607"/>
      <c r="AY53" s="618">
        <v>0</v>
      </c>
    </row>
    <row s="10307" customFormat="1" customHeight="1" ht="14.25" hidden="1">
      <c r="A54" s="1410"/>
      <c r="B54" s="1410"/>
      <c r="C54" s="1410"/>
      <c r="D54" s="1410"/>
      <c r="E54" s="1439"/>
      <c r="F54" s="1410"/>
      <c r="G54" s="1410"/>
      <c r="H54" s="1410"/>
      <c r="I54" s="1410"/>
      <c r="J54" s="1410"/>
      <c r="K54" s="1410"/>
      <c r="L54" s="1590"/>
      <c r="M54" s="1417"/>
      <c r="N54" s="1417"/>
      <c r="P54" s="1412"/>
      <c r="Q54" s="1413"/>
      <c r="R54" s="1412"/>
      <c r="S54" s="1418"/>
      <c r="T54" s="1421" t="s">
        <v>533</v>
      </c>
      <c r="U54" s="1420"/>
      <c r="V54" s="1420"/>
      <c r="W54" s="1420"/>
      <c r="X54" s="1420"/>
      <c r="Y54" s="1420"/>
      <c r="Z54" s="1420"/>
      <c r="AA54" s="1420"/>
      <c r="AB54" s="1420"/>
      <c r="AC54" s="1420"/>
      <c r="AD54" s="1420"/>
      <c r="AE54" s="1420"/>
      <c r="AF54" s="1420"/>
      <c r="AG54" s="1420"/>
      <c r="AH54" s="1420"/>
      <c r="AI54" s="1420"/>
      <c r="AJ54" s="1420"/>
      <c r="AK54" s="1420"/>
      <c r="AL54" s="1420"/>
      <c r="AM54" s="1420"/>
      <c r="AN54" s="1420"/>
      <c r="AO54" s="1420"/>
      <c r="AP54" s="1420"/>
      <c r="AQ54" s="1420"/>
      <c r="AR54" s="1420"/>
      <c r="AS54" s="1420"/>
      <c r="AU54" s="890"/>
      <c r="AV54" s="890" t="str">
        <f>IF(T54="","",T54)</f>
        <v>Добавить наименование тарифа</v>
      </c>
      <c r="AW54" s="890"/>
      <c r="AX54" s="890"/>
      <c r="AY54" s="625">
        <v>0</v>
      </c>
    </row>
    <row customHeight="1" ht="11.549999999999999">
      <c r="M55" s="1256"/>
      <c r="N55" s="1256"/>
      <c r="O55" s="644"/>
      <c r="P55" s="1251"/>
      <c r="Q55" s="1251"/>
      <c r="R55" s="1251"/>
      <c r="S55" s="1251"/>
      <c r="AT55" s="1251"/>
      <c r="AU55" s="1251"/>
      <c r="AV55" s="1251"/>
      <c r="AW55" s="1251"/>
      <c r="AX55" s="1251"/>
      <c r="AY55" s="1251">
        <v>11</v>
      </c>
    </row>
    <row customHeight="1" ht="14.699999999999998">
      <c r="O56" s="644"/>
      <c r="S56" s="1349"/>
      <c r="T56" s="3114"/>
      <c r="U56" s="3114"/>
      <c r="V56" s="3114"/>
      <c r="W56" s="3114"/>
      <c r="X56" s="3114"/>
      <c r="Y56" s="3114"/>
      <c r="Z56" s="3114"/>
      <c r="AA56" s="3114"/>
      <c r="AB56" s="3114"/>
      <c r="AC56" s="3114"/>
      <c r="AD56" s="3114"/>
      <c r="AE56" s="3114"/>
      <c r="AF56" s="3114"/>
      <c r="AG56" s="3114"/>
      <c r="AH56" s="3114"/>
      <c r="AI56" s="3114"/>
      <c r="AJ56" s="3114"/>
      <c r="AK56" s="3114"/>
      <c r="AL56" s="3114"/>
      <c r="AM56" s="3114"/>
      <c r="AN56" s="3114"/>
      <c r="AO56" s="3114"/>
      <c r="AP56" s="3114"/>
      <c r="AQ56" s="3114"/>
      <c r="AR56" s="3114"/>
      <c r="AS56" s="3114"/>
      <c r="AY56" s="1251">
        <v>14</v>
      </c>
    </row>
    <row customHeight="1" ht="14.699999999999998">
      <c r="O57" s="644"/>
      <c r="AY57" s="1251">
        <v>14</v>
      </c>
    </row>
    <row customHeight="1" ht="14.699999999999998">
      <c r="O58" s="644"/>
      <c r="S58" s="1349"/>
      <c r="T58" s="3114"/>
      <c r="U58" s="3114"/>
      <c r="V58" s="3114"/>
      <c r="W58" s="3114"/>
      <c r="X58" s="3114"/>
      <c r="Y58" s="3114"/>
      <c r="Z58" s="3114"/>
      <c r="AA58" s="3114"/>
      <c r="AB58" s="3114"/>
      <c r="AC58" s="3114"/>
      <c r="AD58" s="3114"/>
      <c r="AE58" s="3114"/>
      <c r="AF58" s="3114"/>
      <c r="AG58" s="3114"/>
      <c r="AH58" s="3114"/>
      <c r="AI58" s="3114"/>
      <c r="AJ58" s="3114"/>
      <c r="AK58" s="3114"/>
      <c r="AL58" s="3114"/>
      <c r="AM58" s="3114"/>
      <c r="AN58" s="3114"/>
      <c r="AO58" s="3114"/>
      <c r="AP58" s="3114"/>
      <c r="AQ58" s="3114"/>
      <c r="AR58" s="3114"/>
      <c r="AS58" s="3114"/>
      <c r="AY58" s="1251">
        <v>14</v>
      </c>
    </row>
    <row customHeight="1" ht="22.5" hidden="1">
      <c r="A59" s="1256" t="s">
        <v>82</v>
      </c>
      <c r="B59" s="1256">
        <v>0</v>
      </c>
      <c r="C59" s="1256">
        <v>0</v>
      </c>
      <c r="D59" s="1256">
        <v>0</v>
      </c>
      <c r="E59" s="1256">
        <v>0</v>
      </c>
      <c r="F59" s="1256">
        <v>0</v>
      </c>
      <c r="G59" s="1256">
        <v>0</v>
      </c>
      <c r="H59" s="1256">
        <v>0</v>
      </c>
      <c r="I59" s="1256">
        <v>0</v>
      </c>
      <c r="J59" s="1256">
        <v>0</v>
      </c>
      <c r="K59" s="1256">
        <v>0</v>
      </c>
      <c r="L59" s="1574">
        <v>0</v>
      </c>
      <c r="M59" s="1458">
        <v>0</v>
      </c>
      <c r="N59" s="1458">
        <v>0</v>
      </c>
      <c r="O59" s="1458">
        <v>0</v>
      </c>
      <c r="P59" s="1569">
        <v>3</v>
      </c>
      <c r="Q59" s="452">
        <v>3</v>
      </c>
      <c r="R59" s="452">
        <v>3</v>
      </c>
      <c r="S59" s="688">
        <v>12</v>
      </c>
      <c r="T59" s="1251">
        <v>35</v>
      </c>
      <c r="U59" s="1251">
        <v>0</v>
      </c>
      <c r="V59" s="1251">
        <v>0</v>
      </c>
      <c r="W59" s="1727">
        <v>0</v>
      </c>
      <c r="X59" s="1727">
        <v>0</v>
      </c>
      <c r="Y59" s="1727">
        <v>0</v>
      </c>
      <c r="Z59" s="1727">
        <v>0</v>
      </c>
      <c r="AA59" s="1727">
        <v>0</v>
      </c>
      <c r="AB59" s="1727">
        <v>0</v>
      </c>
      <c r="AC59" s="1251">
        <v>0</v>
      </c>
      <c r="AD59" s="1251">
        <v>0</v>
      </c>
      <c r="AE59" s="1251">
        <v>0</v>
      </c>
      <c r="AF59" s="1251">
        <v>0</v>
      </c>
      <c r="AG59" s="1251">
        <v>19</v>
      </c>
      <c r="AH59" s="1727">
        <v>19</v>
      </c>
      <c r="AI59" s="1727">
        <v>19</v>
      </c>
      <c r="AJ59" s="1727">
        <v>19</v>
      </c>
      <c r="AK59" s="1727">
        <v>19</v>
      </c>
      <c r="AL59" s="1727">
        <v>19</v>
      </c>
      <c r="AM59" s="1251">
        <v>19</v>
      </c>
      <c r="AN59" s="1251">
        <v>11</v>
      </c>
      <c r="AO59" s="1251">
        <v>3</v>
      </c>
      <c r="AP59" s="1251">
        <v>11</v>
      </c>
      <c r="AQ59" s="1251">
        <v>0</v>
      </c>
      <c r="AR59" s="1251">
        <v>4</v>
      </c>
      <c r="AS59" s="1251">
        <v>115</v>
      </c>
      <c r="AT59" s="618">
        <v>10</v>
      </c>
      <c r="AU59" s="618">
        <v>10</v>
      </c>
      <c r="AV59" s="618">
        <v>10</v>
      </c>
      <c r="AW59" s="618">
        <v>10</v>
      </c>
      <c r="AX59" s="618">
        <v>10</v>
      </c>
      <c r="AY59" s="1251">
        <v>23</v>
      </c>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EE738-9F4A-203C-B9BF-F06C35E8C8A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4.140625" hidden="1" customWidth="1"/>
    <col min="10" max="10" style="10306" width="9.8515625" hidden="1" customWidth="1"/>
    <col min="11" max="11" style="10306" width="14.7109375" hidden="1" customWidth="1"/>
    <col min="12" max="12" style="11079" width="19.140625" hidden="1" customWidth="1"/>
    <col min="13" max="14" style="11080" width="12.28125" hidden="1" customWidth="1"/>
    <col min="15" max="15" style="11080" width="23.421875" hidden="1" customWidth="1"/>
    <col min="16" max="16" style="11081" width="3.00390625" customWidth="1"/>
    <col min="17" max="18" style="11082" width="3.00390625" customWidth="1"/>
    <col min="19" max="19" style="11083" width="12.00390625" customWidth="1"/>
    <col min="20" max="20" style="10232" width="35.00390625" customWidth="1"/>
    <col min="21" max="21" style="10232" width="0.140625" customWidth="1"/>
    <col min="22" max="28" style="10232" width="19.7109375" hidden="1" customWidth="1"/>
    <col min="29" max="29" style="10232" width="11.7109375" hidden="1" customWidth="1"/>
    <col min="30" max="30" style="10232" width="3.7109375" hidden="1" customWidth="1"/>
    <col min="31" max="31" style="10232" width="11.7109375" hidden="1" customWidth="1"/>
    <col min="32" max="32" style="10232" width="8.57421875" hidden="1" customWidth="1"/>
    <col min="33" max="33" style="10232" width="19.7109375" customWidth="1"/>
    <col min="34" max="39" style="10232" width="19.00390625" customWidth="1"/>
    <col min="40" max="40" style="10232" width="11.00390625" customWidth="1"/>
    <col min="41" max="41" style="10232" width="3.7109375" customWidth="1"/>
    <col min="42" max="42" style="10232" width="11.00390625" customWidth="1"/>
    <col min="43" max="43" style="10232" width="8.57421875" hidden="1" customWidth="1"/>
    <col min="44" max="44" style="10232" width="4.00390625" customWidth="1"/>
    <col min="45" max="45" style="10232" width="115.00390625" customWidth="1"/>
    <col min="46" max="50" style="10307" width="10.00390625" customWidth="1"/>
    <col min="51" max="51" style="10232" width="10.57421875" hidden="1"/>
  </cols>
  <sheetData>
    <row customHeight="1" ht="22.5" hidden="1">
      <c r="AB1" s="435"/>
      <c r="AC1" s="435"/>
      <c r="AM1" s="435"/>
      <c r="AN1" s="435"/>
      <c r="AY1" s="1251" t="s">
        <v>14</v>
      </c>
    </row>
    <row customHeight="1" ht="23.25" hidden="1">
      <c r="A2" s="1459"/>
      <c r="B2" s="1459"/>
      <c r="C2" s="1459"/>
      <c r="D2" s="1459"/>
      <c r="E2" s="3115">
        <v>1</v>
      </c>
      <c r="F2" s="1459"/>
      <c r="G2" s="1459"/>
      <c r="H2" s="1459"/>
      <c r="I2" s="1459"/>
      <c r="J2" s="1459"/>
      <c r="K2" s="1459"/>
      <c r="L2" s="1460"/>
      <c r="M2" s="1461"/>
      <c r="N2" s="1461"/>
      <c r="O2" s="1461"/>
      <c r="P2" s="468"/>
      <c r="Q2" s="467"/>
      <c r="R2" s="462"/>
      <c r="S2" s="1589">
        <f>INDEX(PT_DIFFERENTIATION_NUM_NTAR,MATCH(A2,PT_DIFFERENTIATION_NTAR_ID,0))</f>
      </c>
      <c r="T2" s="406" t="s">
        <v>210</v>
      </c>
      <c r="U2" s="408"/>
      <c r="V2" s="3109"/>
      <c r="W2" s="3110"/>
      <c r="X2" s="3110"/>
      <c r="Y2" s="3110"/>
      <c r="Z2" s="3110"/>
      <c r="AA2" s="3110"/>
      <c r="AB2" s="3110"/>
      <c r="AC2" s="3110"/>
      <c r="AD2" s="3110"/>
      <c r="AE2" s="3110"/>
      <c r="AF2" s="3111"/>
      <c r="AG2" s="3109">
        <f>INDEX(PT_DIFFERENTIATION_NTAR,MATCH(A2,PT_DIFFERENTIATION_NTAR_ID,0))</f>
      </c>
      <c r="AH2" s="3110"/>
      <c r="AI2" s="3110"/>
      <c r="AJ2" s="3110"/>
      <c r="AK2" s="3110"/>
      <c r="AL2" s="3110"/>
      <c r="AM2" s="3110"/>
      <c r="AN2" s="3110"/>
      <c r="AO2" s="3110"/>
      <c r="AP2" s="3110"/>
      <c r="AQ2" s="3110"/>
      <c r="AR2" s="3111"/>
      <c r="AS2"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07"/>
      <c r="AV2" s="607" t="str">
        <f>IF(T2="","",T2)</f>
        <v>Наименование тарифа</v>
      </c>
      <c r="AW2" s="607"/>
      <c r="AX2" s="607"/>
      <c r="AY2" s="1251">
        <v>0</v>
      </c>
    </row>
    <row customHeight="1" ht="23.25" hidden="1">
      <c r="A3" s="1459"/>
      <c r="B3" s="1459"/>
      <c r="C3" s="1459"/>
      <c r="D3" s="1459"/>
      <c r="E3" s="3116"/>
      <c r="F3" s="3115">
        <v>1</v>
      </c>
      <c r="G3" s="1459"/>
      <c r="H3" s="1459"/>
      <c r="I3" s="1459"/>
      <c r="J3" s="1459"/>
      <c r="K3" s="1459"/>
      <c r="L3" s="1460"/>
      <c r="M3" s="1461"/>
      <c r="N3" s="1461"/>
      <c r="O3" s="1461"/>
      <c r="P3" s="1583"/>
      <c r="Q3" s="459"/>
      <c r="R3" s="460"/>
      <c r="S3" s="1589">
        <f>INDEX(PT_DIFFERENTIATION_NUM_TER,MATCH(B3,PT_DIFFERENTIATION_TER_ID,0))</f>
      </c>
      <c r="T3" s="416" t="s">
        <v>482</v>
      </c>
      <c r="U3" s="408"/>
      <c r="V3" s="3109"/>
      <c r="W3" s="3110"/>
      <c r="X3" s="3110"/>
      <c r="Y3" s="3110"/>
      <c r="Z3" s="3110"/>
      <c r="AA3" s="3110"/>
      <c r="AB3" s="3110"/>
      <c r="AC3" s="3110"/>
      <c r="AD3" s="3110"/>
      <c r="AE3" s="3110"/>
      <c r="AF3" s="3111"/>
      <c r="AG3" s="3109">
        <f>INDEX(PT_DIFFERENTIATION_TER,MATCH(B3,PT_DIFFERENTIATION_TER_ID,0))</f>
      </c>
      <c r="AH3" s="3110"/>
      <c r="AI3" s="3110"/>
      <c r="AJ3" s="3110"/>
      <c r="AK3" s="3110"/>
      <c r="AL3" s="3110"/>
      <c r="AM3" s="3110"/>
      <c r="AN3" s="3110"/>
      <c r="AO3" s="3110"/>
      <c r="AP3" s="3110"/>
      <c r="AQ3" s="3110"/>
      <c r="AR3" s="3111"/>
      <c r="AS3" s="1354" t="s">
        <v>483</v>
      </c>
      <c r="AU3" s="607"/>
      <c r="AV3" s="607" t="str">
        <f>IF(T3="","",T3)</f>
        <v>Территория действия тарифа</v>
      </c>
      <c r="AW3" s="607"/>
      <c r="AX3" s="607"/>
      <c r="AY3" s="1251">
        <v>0</v>
      </c>
    </row>
    <row customHeight="1" ht="23.25" hidden="1">
      <c r="A4" s="1459"/>
      <c r="B4" s="1459"/>
      <c r="C4" s="1459"/>
      <c r="D4" s="1459"/>
      <c r="E4" s="3116"/>
      <c r="F4" s="3116"/>
      <c r="G4" s="3115">
        <v>1</v>
      </c>
      <c r="H4" s="1459"/>
      <c r="I4" s="1459"/>
      <c r="J4" s="1459"/>
      <c r="K4" s="1459"/>
      <c r="L4" s="1460"/>
      <c r="M4" s="1461"/>
      <c r="N4" s="1461"/>
      <c r="O4" s="1461"/>
      <c r="P4" s="461"/>
      <c r="Q4" s="459"/>
      <c r="R4" s="460"/>
      <c r="S4" s="1589">
        <f>INDEX(PT_DIFFERENTIATION_NUM_CS,MATCH(C4,PT_DIFFERENTIATION_CS_ID,0))</f>
      </c>
      <c r="T4" s="417" t="s">
        <v>615</v>
      </c>
      <c r="U4" s="408"/>
      <c r="V4" s="3109"/>
      <c r="W4" s="3110"/>
      <c r="X4" s="3110"/>
      <c r="Y4" s="3110"/>
      <c r="Z4" s="3110"/>
      <c r="AA4" s="3110"/>
      <c r="AB4" s="3110"/>
      <c r="AC4" s="3110"/>
      <c r="AD4" s="3110"/>
      <c r="AE4" s="3110"/>
      <c r="AF4" s="3111"/>
      <c r="AG4" s="3109">
        <f>INDEX(PT_DIFFERENTIATION_CS,MATCH(C4,PT_DIFFERENTIATION_CS_ID,0))</f>
      </c>
      <c r="AH4" s="3110"/>
      <c r="AI4" s="3110"/>
      <c r="AJ4" s="3110"/>
      <c r="AK4" s="3110"/>
      <c r="AL4" s="3110"/>
      <c r="AM4" s="3110"/>
      <c r="AN4" s="3110"/>
      <c r="AO4" s="3110"/>
      <c r="AP4" s="3110"/>
      <c r="AQ4" s="3110"/>
      <c r="AR4" s="3111"/>
      <c r="AS4" s="1354" t="s">
        <v>616</v>
      </c>
      <c r="AU4" s="607"/>
      <c r="AV4" s="607" t="str">
        <f>IF(T4="","",T4)</f>
        <v>Наименование централизованной системы горячего водоснабжения</v>
      </c>
      <c r="AW4" s="607"/>
      <c r="AX4" s="607"/>
      <c r="AY4" s="1251">
        <v>0</v>
      </c>
    </row>
    <row customHeight="1" ht="23.25" hidden="1">
      <c r="A5" s="1459"/>
      <c r="B5" s="1459"/>
      <c r="C5" s="1459"/>
      <c r="D5" s="1459"/>
      <c r="E5" s="3116"/>
      <c r="F5" s="3116"/>
      <c r="G5" s="3116"/>
      <c r="H5" s="3116"/>
      <c r="I5" s="3117">
        <f>S4&amp;".1"</f>
      </c>
      <c r="J5" s="1459"/>
      <c r="K5" s="1459"/>
      <c r="L5" s="1460"/>
      <c r="P5" s="3119">
        <v>1</v>
      </c>
      <c r="Q5" s="1577"/>
      <c r="R5" s="463"/>
      <c r="S5" s="1589">
        <f>$I5</f>
      </c>
      <c r="T5" s="393" t="s">
        <v>568</v>
      </c>
      <c r="U5" s="408"/>
      <c r="V5" s="3183"/>
      <c r="W5" s="3184"/>
      <c r="X5" s="3184"/>
      <c r="Y5" s="3184"/>
      <c r="Z5" s="3184"/>
      <c r="AA5" s="3184"/>
      <c r="AB5" s="3184"/>
      <c r="AC5" s="3184"/>
      <c r="AD5" s="3184"/>
      <c r="AE5" s="3184"/>
      <c r="AF5" s="3185"/>
      <c r="AG5" s="3186"/>
      <c r="AH5" s="3187"/>
      <c r="AI5" s="3187"/>
      <c r="AJ5" s="3187"/>
      <c r="AK5" s="3187"/>
      <c r="AL5" s="3187"/>
      <c r="AM5" s="3187"/>
      <c r="AN5" s="3187"/>
      <c r="AO5" s="3187"/>
      <c r="AP5" s="3187"/>
      <c r="AQ5" s="3187"/>
      <c r="AR5" s="3188"/>
      <c r="AS5" s="1354" t="s">
        <v>569</v>
      </c>
      <c r="AU5" s="607"/>
      <c r="AV5" s="607" t="str">
        <f>IF(T5="","",T5)</f>
        <v>Наименование признака дифференциации</v>
      </c>
      <c r="AW5" s="607"/>
      <c r="AX5" s="607"/>
      <c r="AY5" s="1251">
        <v>0</v>
      </c>
    </row>
    <row customHeight="1" ht="23.25" hidden="1">
      <c r="A6" s="1459"/>
      <c r="B6" s="1459"/>
      <c r="C6" s="1459"/>
      <c r="D6" s="1459"/>
      <c r="E6" s="3116"/>
      <c r="F6" s="3116"/>
      <c r="G6" s="3116"/>
      <c r="H6" s="3116"/>
      <c r="I6" s="3118"/>
      <c r="J6" s="3117">
        <f>I5&amp;".1"</f>
      </c>
      <c r="K6" s="1459"/>
      <c r="L6" s="1460" t="s">
        <v>491</v>
      </c>
      <c r="P6" s="3119"/>
      <c r="Q6" s="3119">
        <v>1</v>
      </c>
      <c r="R6" s="464"/>
      <c r="S6" s="1589">
        <f>$J6</f>
      </c>
      <c r="T6" s="394" t="s">
        <v>492</v>
      </c>
      <c r="U6" s="408"/>
      <c r="V6" s="3103"/>
      <c r="W6" s="3104"/>
      <c r="X6" s="3104"/>
      <c r="Y6" s="3104"/>
      <c r="Z6" s="3104"/>
      <c r="AA6" s="3104"/>
      <c r="AB6" s="3104"/>
      <c r="AC6" s="3104"/>
      <c r="AD6" s="3104"/>
      <c r="AE6" s="3104"/>
      <c r="AF6" s="3105"/>
      <c r="AG6" s="3103"/>
      <c r="AH6" s="3104"/>
      <c r="AI6" s="3104"/>
      <c r="AJ6" s="3104"/>
      <c r="AK6" s="3104"/>
      <c r="AL6" s="3104"/>
      <c r="AM6" s="3104"/>
      <c r="AN6" s="3104"/>
      <c r="AO6" s="3104"/>
      <c r="AP6" s="3104"/>
      <c r="AQ6" s="3104"/>
      <c r="AR6" s="3105"/>
      <c r="AS6" s="1403" t="s">
        <v>570</v>
      </c>
      <c r="AU6" s="607"/>
      <c r="AV6" s="607" t="str">
        <f>IF(T6="","",T6)</f>
        <v>Группа потребителей</v>
      </c>
      <c r="AW6" s="607"/>
      <c r="AX6" s="607"/>
      <c r="AY6" s="1251">
        <v>0</v>
      </c>
    </row>
    <row customHeight="1" ht="23.25" hidden="1">
      <c r="A7" s="1459"/>
      <c r="B7" s="1459"/>
      <c r="C7" s="1459"/>
      <c r="D7" s="1459"/>
      <c r="E7" s="3116"/>
      <c r="F7" s="3116"/>
      <c r="G7" s="3116"/>
      <c r="H7" s="3116"/>
      <c r="I7" s="3118"/>
      <c r="J7" s="3118"/>
      <c r="K7" s="3117">
        <f>J6&amp;".1"</f>
      </c>
      <c r="L7" s="1460"/>
      <c r="P7" s="3119"/>
      <c r="Q7" s="3119"/>
      <c r="R7" s="464">
        <v>1</v>
      </c>
      <c r="S7" s="1589">
        <f>$K7</f>
      </c>
      <c r="T7" s="1533"/>
      <c r="U7" s="408"/>
      <c r="V7" s="858"/>
      <c r="W7" s="858"/>
      <c r="X7" s="858"/>
      <c r="Y7" s="858"/>
      <c r="Z7" s="858"/>
      <c r="AA7" s="858"/>
      <c r="AB7" s="1353"/>
      <c r="AC7" s="3120"/>
      <c r="AD7" s="2989" t="s">
        <v>62</v>
      </c>
      <c r="AE7" s="3120"/>
      <c r="AF7" s="2989" t="s">
        <v>62</v>
      </c>
      <c r="AG7" s="858"/>
      <c r="AH7" s="858"/>
      <c r="AI7" s="858"/>
      <c r="AJ7" s="858"/>
      <c r="AK7" s="858"/>
      <c r="AL7" s="858"/>
      <c r="AM7" s="1353"/>
      <c r="AN7" s="3120"/>
      <c r="AO7" s="2989" t="s">
        <v>62</v>
      </c>
      <c r="AP7" s="3122"/>
      <c r="AQ7" s="2989" t="s">
        <v>62</v>
      </c>
      <c r="AR7" s="1534"/>
      <c r="AS7"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18">
        <f>STRCHECKDATE(V8:AR8)</f>
      </c>
      <c r="AU7" s="607"/>
      <c r="AV7" s="607" t="str">
        <f>IF(T7="","",T7)</f>
        <v/>
      </c>
      <c r="AW7" s="607"/>
      <c r="AX7" s="607"/>
      <c r="AY7" s="1251">
        <v>0</v>
      </c>
    </row>
    <row customHeight="1" ht="14.25" hidden="1">
      <c r="A8" s="1459"/>
      <c r="B8" s="1459"/>
      <c r="C8" s="1459"/>
      <c r="D8" s="1459"/>
      <c r="E8" s="3116"/>
      <c r="F8" s="3116"/>
      <c r="G8" s="3116"/>
      <c r="H8" s="3116"/>
      <c r="I8" s="3118"/>
      <c r="J8" s="3118"/>
      <c r="K8" s="3117"/>
      <c r="L8" s="1460"/>
      <c r="P8" s="3119"/>
      <c r="Q8" s="3119"/>
      <c r="R8" s="464"/>
      <c r="S8" s="1586"/>
      <c r="T8" s="408"/>
      <c r="U8" s="408"/>
      <c r="V8" s="433"/>
      <c r="W8" s="433"/>
      <c r="X8" s="433"/>
      <c r="Y8" s="433"/>
      <c r="Z8" s="433"/>
      <c r="AA8" s="433"/>
      <c r="AB8" s="436" t="str">
        <f>AC7&amp;"-"&amp;AE7</f>
        <v>-</v>
      </c>
      <c r="AC8" s="3121"/>
      <c r="AD8" s="2989"/>
      <c r="AE8" s="3121"/>
      <c r="AF8" s="2989"/>
      <c r="AG8" s="433"/>
      <c r="AH8" s="433"/>
      <c r="AI8" s="433"/>
      <c r="AJ8" s="433"/>
      <c r="AK8" s="433"/>
      <c r="AL8" s="433"/>
      <c r="AM8" s="436" t="str">
        <f>AN7&amp;"-"&amp;AP7</f>
        <v>-</v>
      </c>
      <c r="AN8" s="3121"/>
      <c r="AO8" s="2989"/>
      <c r="AP8" s="3123"/>
      <c r="AQ8" s="2989"/>
      <c r="AR8" s="1535"/>
      <c r="AS8" s="3189"/>
      <c r="AU8" s="607"/>
      <c r="AV8" s="607" t="str">
        <f>IF(T8="","",T8)</f>
        <v/>
      </c>
      <c r="AW8" s="607"/>
      <c r="AX8" s="607"/>
      <c r="AY8" s="1251">
        <v>0</v>
      </c>
    </row>
    <row customHeight="1" ht="21" hidden="1">
      <c r="A9" s="1459"/>
      <c r="B9" s="1459"/>
      <c r="C9" s="1459"/>
      <c r="D9" s="1459"/>
      <c r="E9" s="3116"/>
      <c r="F9" s="3116"/>
      <c r="G9" s="3116"/>
      <c r="H9" s="3116"/>
      <c r="I9" s="3118"/>
      <c r="J9" s="3117"/>
      <c r="K9" s="1459"/>
      <c r="L9" s="1460"/>
      <c r="P9" s="3119"/>
      <c r="Q9" s="3119"/>
      <c r="R9" s="463"/>
      <c r="S9" s="1374"/>
      <c r="T9" s="395" t="s">
        <v>571</v>
      </c>
      <c r="U9" s="474"/>
      <c r="V9" s="474"/>
      <c r="W9" s="707"/>
      <c r="X9" s="707"/>
      <c r="Y9" s="707"/>
      <c r="Z9" s="707"/>
      <c r="AA9" s="707"/>
      <c r="AB9" s="474"/>
      <c r="AC9" s="474"/>
      <c r="AD9" s="474"/>
      <c r="AE9" s="474"/>
      <c r="AF9" s="474"/>
      <c r="AG9" s="474"/>
      <c r="AH9" s="707"/>
      <c r="AI9" s="707"/>
      <c r="AJ9" s="707"/>
      <c r="AK9" s="707"/>
      <c r="AL9" s="707"/>
      <c r="AM9" s="474"/>
      <c r="AN9" s="474"/>
      <c r="AO9" s="474"/>
      <c r="AP9" s="474"/>
      <c r="AQ9" s="474"/>
      <c r="AR9" s="474"/>
      <c r="AS9" s="1354" t="s">
        <v>572</v>
      </c>
      <c r="AU9" s="607"/>
      <c r="AV9" s="607" t="str">
        <f>IF(T9="","",T9)</f>
        <v>Добавить значение признака дифференциации</v>
      </c>
      <c r="AW9" s="607"/>
      <c r="AX9" s="607"/>
      <c r="AY9" s="1251">
        <v>0</v>
      </c>
    </row>
    <row customHeight="1" ht="21" hidden="1">
      <c r="A10" s="1459"/>
      <c r="B10" s="1459"/>
      <c r="C10" s="1459"/>
      <c r="D10" s="1459"/>
      <c r="E10" s="3116"/>
      <c r="F10" s="3116"/>
      <c r="G10" s="3116"/>
      <c r="H10" s="3116"/>
      <c r="I10" s="3117"/>
      <c r="J10" s="1459"/>
      <c r="K10" s="1459"/>
      <c r="L10" s="1460"/>
      <c r="P10" s="3119"/>
      <c r="Q10" s="1577"/>
      <c r="R10" s="463"/>
      <c r="S10" s="1374"/>
      <c r="T10" s="472" t="s">
        <v>497</v>
      </c>
      <c r="U10" s="474"/>
      <c r="V10" s="474"/>
      <c r="W10" s="707"/>
      <c r="X10" s="707"/>
      <c r="Y10" s="707"/>
      <c r="Z10" s="707"/>
      <c r="AA10" s="707"/>
      <c r="AB10" s="474"/>
      <c r="AC10" s="474"/>
      <c r="AD10" s="474"/>
      <c r="AE10" s="474"/>
      <c r="AF10" s="473"/>
      <c r="AG10" s="474"/>
      <c r="AH10" s="707"/>
      <c r="AI10" s="707"/>
      <c r="AJ10" s="707"/>
      <c r="AK10" s="707"/>
      <c r="AL10" s="707"/>
      <c r="AM10" s="474"/>
      <c r="AN10" s="474"/>
      <c r="AO10" s="474"/>
      <c r="AP10" s="474"/>
      <c r="AQ10" s="473"/>
      <c r="AR10" s="474"/>
      <c r="AS10" s="1536"/>
      <c r="AU10" s="607"/>
      <c r="AV10" s="607" t="str">
        <f>IF(T10="","",T10)</f>
        <v>Добавить группу потребителей</v>
      </c>
      <c r="AW10" s="607"/>
      <c r="AX10" s="607"/>
      <c r="AY10" s="1251">
        <v>0</v>
      </c>
    </row>
    <row customHeight="1" ht="21" hidden="1">
      <c r="A11" s="1459"/>
      <c r="B11" s="1459"/>
      <c r="C11" s="1459"/>
      <c r="D11" s="1459"/>
      <c r="E11" s="3116"/>
      <c r="F11" s="3116"/>
      <c r="G11" s="3116"/>
      <c r="H11" s="3115"/>
      <c r="I11" s="1459"/>
      <c r="J11" s="1459"/>
      <c r="K11" s="1459"/>
      <c r="L11" s="1460"/>
      <c r="M11" s="1461"/>
      <c r="N11" s="1461"/>
      <c r="O11" s="644"/>
      <c r="P11" s="467"/>
      <c r="Q11" s="482"/>
      <c r="R11" s="462"/>
      <c r="S11" s="1374"/>
      <c r="T11" s="479" t="s">
        <v>573</v>
      </c>
      <c r="U11" s="474"/>
      <c r="V11" s="474"/>
      <c r="W11" s="707"/>
      <c r="X11" s="707"/>
      <c r="Y11" s="707"/>
      <c r="Z11" s="707"/>
      <c r="AA11" s="707"/>
      <c r="AB11" s="474"/>
      <c r="AC11" s="474"/>
      <c r="AD11" s="474"/>
      <c r="AE11" s="474"/>
      <c r="AF11" s="473"/>
      <c r="AG11" s="474"/>
      <c r="AH11" s="707"/>
      <c r="AI11" s="707"/>
      <c r="AJ11" s="707"/>
      <c r="AK11" s="707"/>
      <c r="AL11" s="707"/>
      <c r="AM11" s="474"/>
      <c r="AN11" s="474"/>
      <c r="AO11" s="474"/>
      <c r="AP11" s="474"/>
      <c r="AQ11" s="473"/>
      <c r="AR11" s="474"/>
      <c r="AS11" s="411"/>
      <c r="AU11" s="607"/>
      <c r="AV11" s="607" t="str">
        <f>IF(T11="","",T11)</f>
        <v>Добавить наименование признака дифференциации</v>
      </c>
      <c r="AW11" s="607"/>
      <c r="AX11" s="607"/>
      <c r="AY11" s="1251">
        <v>0</v>
      </c>
    </row>
    <row s="10307" customFormat="1" customHeight="1" ht="14.25" hidden="1">
      <c r="A12" s="1439"/>
      <c r="B12" s="1439"/>
      <c r="C12" s="1410"/>
      <c r="D12" s="1410"/>
      <c r="E12" s="3116"/>
      <c r="F12" s="3115"/>
      <c r="G12" s="1410"/>
      <c r="H12" s="1410"/>
      <c r="I12" s="1410"/>
      <c r="J12" s="1410"/>
      <c r="K12" s="1410"/>
      <c r="L12" s="1590"/>
      <c r="M12" s="1417"/>
      <c r="N12" s="1417"/>
      <c r="P12" s="1412"/>
      <c r="Q12" s="1413"/>
      <c r="R12" s="1412"/>
      <c r="S12" s="1418"/>
      <c r="T12" s="1421" t="s">
        <v>500</v>
      </c>
      <c r="U12" s="1420"/>
      <c r="V12" s="1420"/>
      <c r="W12" s="1420"/>
      <c r="X12" s="1420"/>
      <c r="Y12" s="1420"/>
      <c r="Z12" s="1420"/>
      <c r="AA12" s="1420"/>
      <c r="AB12" s="1420"/>
      <c r="AC12" s="1420"/>
      <c r="AD12" s="1420"/>
      <c r="AE12" s="1420"/>
      <c r="AF12" s="1420"/>
      <c r="AG12" s="1420"/>
      <c r="AH12" s="1420"/>
      <c r="AI12" s="1420"/>
      <c r="AJ12" s="1420"/>
      <c r="AK12" s="1420"/>
      <c r="AL12" s="1420"/>
      <c r="AM12" s="1420"/>
      <c r="AN12" s="1420"/>
      <c r="AO12" s="1420"/>
      <c r="AP12" s="1420"/>
      <c r="AQ12" s="1420"/>
      <c r="AR12" s="1420"/>
      <c r="AS12" s="1420"/>
      <c r="AU12" s="890"/>
      <c r="AV12" s="890" t="str">
        <f>IF(T12="","",T12)</f>
        <v>Добавить централизованную систему для дифференциации</v>
      </c>
      <c r="AW12" s="890"/>
      <c r="AX12" s="890"/>
      <c r="AY12" s="625">
        <v>0</v>
      </c>
    </row>
    <row s="10307" customFormat="1" customHeight="1" ht="14.25" hidden="1">
      <c r="A13" s="1439"/>
      <c r="B13" s="1439"/>
      <c r="C13" s="1439"/>
      <c r="D13" s="1439"/>
      <c r="E13" s="3115"/>
      <c r="F13" s="1439"/>
      <c r="G13" s="1439"/>
      <c r="H13" s="1439"/>
      <c r="I13" s="1439"/>
      <c r="J13" s="1439"/>
      <c r="K13" s="1439"/>
      <c r="L13" s="1442"/>
      <c r="M13" s="1417"/>
      <c r="N13" s="1417"/>
      <c r="O13" s="625"/>
      <c r="P13" s="487"/>
      <c r="Q13" s="1440"/>
      <c r="R13" s="487"/>
      <c r="S13" s="1418"/>
      <c r="T13" s="1421" t="s">
        <v>501</v>
      </c>
      <c r="U13" s="1420"/>
      <c r="V13" s="1420"/>
      <c r="W13" s="1420"/>
      <c r="X13" s="1420"/>
      <c r="Y13" s="1420"/>
      <c r="Z13" s="1420"/>
      <c r="AA13" s="1420"/>
      <c r="AB13" s="1420"/>
      <c r="AC13" s="1420"/>
      <c r="AD13" s="1420"/>
      <c r="AE13" s="1420"/>
      <c r="AF13" s="1420"/>
      <c r="AG13" s="1420"/>
      <c r="AH13" s="1420"/>
      <c r="AI13" s="1420"/>
      <c r="AJ13" s="1420"/>
      <c r="AK13" s="1420"/>
      <c r="AL13" s="1420"/>
      <c r="AM13" s="1420"/>
      <c r="AN13" s="1420"/>
      <c r="AO13" s="1420"/>
      <c r="AP13" s="1420"/>
      <c r="AQ13" s="1420"/>
      <c r="AR13" s="1420"/>
      <c r="AS13" s="1420"/>
      <c r="AU13" s="607"/>
      <c r="AV13" s="607" t="str">
        <f>IF(T13="","",T13)</f>
        <v>Добавить территорию для дифференциации</v>
      </c>
      <c r="AW13" s="607"/>
      <c r="AX13" s="607"/>
      <c r="AY13" s="618">
        <v>0</v>
      </c>
    </row>
    <row customHeight="1" ht="14.25" hidden="1">
      <c r="AF14" s="435"/>
      <c r="AQ14" s="435"/>
      <c r="AY14" s="1251">
        <v>0</v>
      </c>
    </row>
    <row customHeight="1" ht="14.25" hidden="1">
      <c r="AG15" s="1456"/>
      <c r="AH15" s="1456"/>
      <c r="AI15" s="1456"/>
      <c r="AJ15" s="1456"/>
      <c r="AK15" s="1456"/>
      <c r="AL15" s="1456"/>
      <c r="AM15" s="1457"/>
      <c r="AN15" s="3113"/>
      <c r="AO15" s="3112" t="s">
        <v>62</v>
      </c>
      <c r="AP15" s="3113"/>
      <c r="AQ15" s="3112" t="s">
        <v>62</v>
      </c>
      <c r="AY15" s="1251">
        <v>0</v>
      </c>
    </row>
    <row customHeight="1" ht="14.25" hidden="1">
      <c r="AG16" s="1456"/>
      <c r="AH16" s="1456"/>
      <c r="AI16" s="1456"/>
      <c r="AJ16" s="1456"/>
      <c r="AK16" s="1456"/>
      <c r="AL16" s="1456"/>
      <c r="AM16" s="436" t="str">
        <f>AN15&amp;"-"&amp;AP15</f>
        <v>-</v>
      </c>
      <c r="AN16" s="3112"/>
      <c r="AO16" s="3112"/>
      <c r="AP16" s="3112"/>
      <c r="AQ16" s="3112"/>
      <c r="AY16" s="1251">
        <v>0</v>
      </c>
    </row>
    <row customHeight="1" ht="14.25" hidden="1">
      <c r="AQ17" s="435"/>
      <c r="AY17" s="1251">
        <v>0</v>
      </c>
    </row>
    <row s="10306" customFormat="1" customHeight="1" ht="22.5" hidden="1">
      <c r="L18" s="1574"/>
      <c r="M18" s="1458"/>
      <c r="N18" s="1458"/>
      <c r="O18" s="1463" t="s">
        <v>502</v>
      </c>
      <c r="P18" s="1458"/>
      <c r="Q18" s="1467"/>
      <c r="R18" s="1467"/>
      <c r="S18" s="836"/>
      <c r="AC18" s="1463"/>
      <c r="AE18" s="1463"/>
      <c r="AN18" s="1463"/>
      <c r="AP18" s="1463"/>
      <c r="AT18" s="618"/>
      <c r="AU18" s="618"/>
      <c r="AV18" s="618"/>
      <c r="AW18" s="618"/>
      <c r="AX18" s="618"/>
      <c r="AY18" s="1256">
        <v>0</v>
      </c>
    </row>
    <row s="10306" customFormat="1" customHeight="1" ht="14.25" hidden="1">
      <c r="L19" s="1574"/>
      <c r="M19" s="1458"/>
      <c r="N19" s="1458"/>
      <c r="O19" s="1458"/>
      <c r="P19" s="1458"/>
      <c r="Q19" s="1467"/>
      <c r="R19" s="1467"/>
      <c r="S19" s="836"/>
      <c r="AT19" s="618"/>
      <c r="AU19" s="618"/>
      <c r="AV19" s="618"/>
      <c r="AW19" s="618"/>
      <c r="AX19" s="618"/>
      <c r="AY19" s="1256">
        <v>0</v>
      </c>
    </row>
    <row s="10306" customFormat="1" customHeight="1" ht="12" hidden="1">
      <c r="L20" s="1574"/>
      <c r="M20" s="1458"/>
      <c r="N20" s="1458"/>
      <c r="O20" s="1460" t="s">
        <v>503</v>
      </c>
      <c r="P20" s="1458"/>
      <c r="Q20" s="1538"/>
      <c r="R20" s="1538"/>
      <c r="S20" s="836"/>
      <c r="T20" s="1256" t="s">
        <v>504</v>
      </c>
      <c r="AD20" s="294" t="s">
        <v>505</v>
      </c>
      <c r="AF20" s="294" t="s">
        <v>506</v>
      </c>
      <c r="AG20" s="1256" t="s">
        <v>504</v>
      </c>
      <c r="AO20" s="294" t="s">
        <v>507</v>
      </c>
      <c r="AQ20" s="294" t="s">
        <v>506</v>
      </c>
      <c r="AY20" s="1256">
        <v>0</v>
      </c>
    </row>
    <row customHeight="1" ht="14.25" hidden="1">
      <c r="O21" s="1460"/>
      <c r="AY21" s="1251">
        <v>0</v>
      </c>
    </row>
    <row customHeight="1" ht="14.25" hidden="1">
      <c r="O22" s="1460"/>
      <c r="AY22" s="1251">
        <v>0</v>
      </c>
    </row>
    <row customHeight="1" ht="14.699999999999998">
      <c r="Q23" s="483"/>
      <c r="R23" s="483"/>
      <c r="S23" s="1371"/>
      <c r="T23" s="470"/>
      <c r="U23" s="470"/>
      <c r="V23" s="616"/>
      <c r="AB23" s="616"/>
      <c r="AC23" s="616"/>
      <c r="AD23" s="616"/>
      <c r="AE23" s="616"/>
      <c r="AF23" s="616"/>
      <c r="AG23" s="616"/>
      <c r="AM23" s="616"/>
      <c r="AN23" s="616"/>
      <c r="AO23" s="616"/>
      <c r="AP23" s="616"/>
      <c r="AQ23" s="616"/>
      <c r="AY23" s="1251">
        <v>14</v>
      </c>
    </row>
    <row customHeight="1" ht="26.25">
      <c r="Q24" s="483"/>
      <c r="R24" s="483"/>
      <c r="S24" s="309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096"/>
      <c r="U24" s="3096"/>
      <c r="V24" s="3096"/>
      <c r="W24" s="3096"/>
      <c r="X24" s="3096"/>
      <c r="Y24" s="3096"/>
      <c r="Z24" s="3096"/>
      <c r="AA24" s="3096"/>
      <c r="AB24" s="3096"/>
      <c r="AC24" s="3096"/>
      <c r="AD24" s="3096"/>
      <c r="AE24" s="3096"/>
      <c r="AF24" s="3096"/>
      <c r="AG24" s="3096"/>
      <c r="AH24" s="3096"/>
      <c r="AI24" s="3096"/>
      <c r="AJ24" s="3096"/>
      <c r="AK24" s="3096"/>
      <c r="AL24" s="3096"/>
      <c r="AM24" s="3096"/>
      <c r="AN24" s="3096"/>
      <c r="AO24" s="3096"/>
      <c r="AP24" s="3096"/>
      <c r="AQ24" s="1339"/>
      <c r="AY24" s="1251">
        <v>25</v>
      </c>
    </row>
    <row customHeight="1" ht="14.699999999999998">
      <c r="Q25" s="483"/>
      <c r="R25" s="483"/>
      <c r="S25" s="3069" t="str">
        <f>IF(org=0,"Не определено",org)</f>
        <v>АО "ДГК"</v>
      </c>
      <c r="T25" s="3069"/>
      <c r="U25" s="3069"/>
      <c r="V25" s="3069"/>
      <c r="W25" s="3069"/>
      <c r="X25" s="3069"/>
      <c r="Y25" s="3069"/>
      <c r="Z25" s="3069"/>
      <c r="AA25" s="3069"/>
      <c r="AB25" s="3069"/>
      <c r="AC25" s="3069"/>
      <c r="AD25" s="3069"/>
      <c r="AE25" s="3069"/>
      <c r="AF25" s="3069"/>
      <c r="AG25" s="3069"/>
      <c r="AH25" s="3069"/>
      <c r="AI25" s="3069"/>
      <c r="AJ25" s="3069"/>
      <c r="AK25" s="3069"/>
      <c r="AL25" s="3069"/>
      <c r="AM25" s="3069"/>
      <c r="AN25" s="3069"/>
      <c r="AO25" s="3069"/>
      <c r="AP25" s="3069"/>
      <c r="AQ25" s="1339"/>
      <c r="AY25" s="1251">
        <v>14</v>
      </c>
    </row>
    <row customHeight="1" ht="14.25" hidden="1">
      <c r="Q26" s="483"/>
      <c r="R26" s="483"/>
      <c r="S26" s="1371"/>
      <c r="T26" s="470"/>
      <c r="U26" s="47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616"/>
      <c r="AY26" s="1251">
        <v>0</v>
      </c>
    </row>
    <row s="10446" customFormat="1" customHeight="1" ht="25.5" hidden="1">
      <c r="A27" s="1464"/>
      <c r="B27" s="1464"/>
      <c r="C27" s="1464"/>
      <c r="D27" s="1464"/>
      <c r="E27" s="1464"/>
      <c r="F27" s="1464"/>
      <c r="G27" s="1464"/>
      <c r="H27" s="1464"/>
      <c r="I27" s="1464"/>
      <c r="J27" s="1464"/>
      <c r="K27" s="1464"/>
      <c r="L27" s="1465"/>
      <c r="M27" s="1464"/>
      <c r="N27" s="1464"/>
      <c r="O27" s="1464"/>
      <c r="S27" s="3106" t="s">
        <v>41</v>
      </c>
      <c r="T27" s="3106"/>
      <c r="U27" s="1468"/>
      <c r="V27" s="3108" t="str">
        <f>IF(TITLE_NAME_OR_PR_CHANGE="",IF(TITLE_NAME_OR_PR="","",TITLE_NAME_OR_PR),TITLE_NAME_OR_PR_CHANGE)</f>
        <v/>
      </c>
      <c r="W27" s="3108"/>
      <c r="X27" s="3108"/>
      <c r="Y27" s="3108"/>
      <c r="Z27" s="3108"/>
      <c r="AA27" s="3108"/>
      <c r="AB27" s="3108"/>
      <c r="AC27" s="3108"/>
      <c r="AD27" s="3108"/>
      <c r="AE27" s="3108"/>
      <c r="AF27" s="434"/>
      <c r="AG27" s="3108" t="str">
        <f>IF(TITLE_NAME_OR_PR_CHANGE="",IF(TITLE_NAME_OR_PR="","",TITLE_NAME_OR_PR),TITLE_NAME_OR_PR_CHANGE)</f>
        <v/>
      </c>
      <c r="AH27" s="3108"/>
      <c r="AI27" s="3108"/>
      <c r="AJ27" s="3108"/>
      <c r="AK27" s="3108"/>
      <c r="AL27" s="3108"/>
      <c r="AM27" s="3108"/>
      <c r="AN27" s="3108"/>
      <c r="AO27" s="3108"/>
      <c r="AP27" s="3108"/>
      <c r="AQ27" s="434"/>
      <c r="AR27" s="434"/>
      <c r="AS27" s="388"/>
      <c r="AT27" s="475"/>
      <c r="AU27" s="475"/>
      <c r="AV27" s="475"/>
      <c r="AW27" s="475"/>
      <c r="AX27" s="475"/>
      <c r="AY27" s="525">
        <v>0</v>
      </c>
    </row>
    <row s="10446" customFormat="1" customHeight="1" ht="18.75" hidden="1">
      <c r="A28" s="1464"/>
      <c r="B28" s="1464"/>
      <c r="C28" s="1464"/>
      <c r="D28" s="1464"/>
      <c r="E28" s="1464"/>
      <c r="F28" s="1464"/>
      <c r="G28" s="1464"/>
      <c r="H28" s="1464"/>
      <c r="I28" s="1464"/>
      <c r="J28" s="1464"/>
      <c r="K28" s="1464"/>
      <c r="L28" s="1465"/>
      <c r="M28" s="1464"/>
      <c r="N28" s="1464"/>
      <c r="O28" s="1464"/>
      <c r="S28" s="3106" t="s">
        <v>508</v>
      </c>
      <c r="T28" s="3106"/>
      <c r="U28" s="1468"/>
      <c r="V28" s="3107" t="str">
        <f>IF(TITLE_DATE_PR_CHANGE="",IF(TITLE_DATE_PR="","",TITLE_DATE_PR),TITLE_DATE_PR_CHANGE)</f>
        <v/>
      </c>
      <c r="W28" s="3107"/>
      <c r="X28" s="3107"/>
      <c r="Y28" s="3107"/>
      <c r="Z28" s="3107"/>
      <c r="AA28" s="3107"/>
      <c r="AB28" s="3107"/>
      <c r="AC28" s="3107"/>
      <c r="AD28" s="3107"/>
      <c r="AE28" s="3107"/>
      <c r="AF28" s="434"/>
      <c r="AG28" s="3107" t="str">
        <f>IF(TITLE_DATE_PR_CHANGE="",IF(TITLE_DATE_PR="","",TITLE_DATE_PR),TITLE_DATE_PR_CHANGE)</f>
        <v/>
      </c>
      <c r="AH28" s="3107"/>
      <c r="AI28" s="3107"/>
      <c r="AJ28" s="3107"/>
      <c r="AK28" s="3107"/>
      <c r="AL28" s="3107"/>
      <c r="AM28" s="3107"/>
      <c r="AN28" s="3107"/>
      <c r="AO28" s="3107"/>
      <c r="AP28" s="3107"/>
      <c r="AQ28" s="434"/>
      <c r="AR28" s="434"/>
      <c r="AS28" s="388"/>
      <c r="AT28" s="475"/>
      <c r="AU28" s="475"/>
      <c r="AV28" s="475"/>
      <c r="AW28" s="475"/>
      <c r="AX28" s="475"/>
      <c r="AY28" s="525">
        <v>0</v>
      </c>
    </row>
    <row s="10446" customFormat="1" customHeight="1" ht="18.75" hidden="1">
      <c r="A29" s="1464"/>
      <c r="B29" s="1464"/>
      <c r="C29" s="1464"/>
      <c r="D29" s="1464"/>
      <c r="E29" s="1464"/>
      <c r="F29" s="1464"/>
      <c r="G29" s="1464"/>
      <c r="H29" s="1464"/>
      <c r="I29" s="1464"/>
      <c r="J29" s="1464"/>
      <c r="K29" s="1464"/>
      <c r="L29" s="1465"/>
      <c r="M29" s="1464"/>
      <c r="N29" s="1464"/>
      <c r="O29" s="1464"/>
      <c r="S29" s="3106" t="s">
        <v>509</v>
      </c>
      <c r="T29" s="3106"/>
      <c r="U29" s="1468"/>
      <c r="V29" s="3108" t="str">
        <f>IF(TITLE_NUMBER_PR_CHANGE="",IF(TITLE_NUMBER_PR="","",TITLE_NUMBER_PR),TITLE_NUMBER_PR_CHANGE)</f>
        <v/>
      </c>
      <c r="W29" s="3108"/>
      <c r="X29" s="3108"/>
      <c r="Y29" s="3108"/>
      <c r="Z29" s="3108"/>
      <c r="AA29" s="3108"/>
      <c r="AB29" s="3108"/>
      <c r="AC29" s="3108"/>
      <c r="AD29" s="3108"/>
      <c r="AE29" s="3108"/>
      <c r="AF29" s="434"/>
      <c r="AG29" s="3108" t="str">
        <f>IF(TITLE_NUMBER_PR_CHANGE="",IF(TITLE_NUMBER_PR="","",TITLE_NUMBER_PR),TITLE_NUMBER_PR_CHANGE)</f>
        <v/>
      </c>
      <c r="AH29" s="3108"/>
      <c r="AI29" s="3108"/>
      <c r="AJ29" s="3108"/>
      <c r="AK29" s="3108"/>
      <c r="AL29" s="3108"/>
      <c r="AM29" s="3108"/>
      <c r="AN29" s="3108"/>
      <c r="AO29" s="3108"/>
      <c r="AP29" s="3108"/>
      <c r="AQ29" s="434"/>
      <c r="AR29" s="434"/>
      <c r="AS29" s="388"/>
      <c r="AT29" s="475"/>
      <c r="AU29" s="475"/>
      <c r="AV29" s="475"/>
      <c r="AW29" s="475"/>
      <c r="AX29" s="475"/>
      <c r="AY29" s="525">
        <v>0</v>
      </c>
    </row>
    <row s="10446" customFormat="1" customHeight="1" ht="18.75" hidden="1">
      <c r="A30" s="1464"/>
      <c r="B30" s="1464"/>
      <c r="C30" s="1464"/>
      <c r="D30" s="1464"/>
      <c r="E30" s="1464"/>
      <c r="F30" s="1464"/>
      <c r="G30" s="1464"/>
      <c r="H30" s="1464"/>
      <c r="I30" s="1464"/>
      <c r="J30" s="1464"/>
      <c r="K30" s="1464"/>
      <c r="L30" s="1465"/>
      <c r="M30" s="1464"/>
      <c r="N30" s="1464"/>
      <c r="O30" s="1464"/>
      <c r="S30" s="3106" t="s">
        <v>42</v>
      </c>
      <c r="T30" s="3106"/>
      <c r="U30" s="1468"/>
      <c r="V30" s="3108" t="str">
        <f>IF(TITLE_IST_PUB_CHANGE="",IF(TITLE_IST_PUB="","",TITLE_IST_PUB),TITLE_IST_PUB_CHANGE)</f>
        <v/>
      </c>
      <c r="W30" s="3108"/>
      <c r="X30" s="3108"/>
      <c r="Y30" s="3108"/>
      <c r="Z30" s="3108"/>
      <c r="AA30" s="3108"/>
      <c r="AB30" s="3108"/>
      <c r="AC30" s="3108"/>
      <c r="AD30" s="3108"/>
      <c r="AE30" s="3108"/>
      <c r="AF30" s="434"/>
      <c r="AG30" s="3108" t="str">
        <f>IF(TITLE_IST_PUB_CHANGE="",IF(TITLE_IST_PUB="","",TITLE_IST_PUB),TITLE_IST_PUB_CHANGE)</f>
        <v/>
      </c>
      <c r="AH30" s="3108"/>
      <c r="AI30" s="3108"/>
      <c r="AJ30" s="3108"/>
      <c r="AK30" s="3108"/>
      <c r="AL30" s="3108"/>
      <c r="AM30" s="3108"/>
      <c r="AN30" s="3108"/>
      <c r="AO30" s="3108"/>
      <c r="AP30" s="3108"/>
      <c r="AQ30" s="434"/>
      <c r="AR30" s="434"/>
      <c r="AS30" s="388"/>
      <c r="AT30" s="475"/>
      <c r="AU30" s="475"/>
      <c r="AV30" s="475"/>
      <c r="AW30" s="475"/>
      <c r="AX30" s="475"/>
      <c r="AY30" s="525">
        <v>0</v>
      </c>
    </row>
    <row customHeight="1" ht="14.25" hidden="1">
      <c r="Q31" s="483"/>
      <c r="R31" s="483"/>
      <c r="S31" s="1371"/>
      <c r="T31" s="470"/>
      <c r="U31" s="47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616"/>
      <c r="AY31" s="1251">
        <v>0</v>
      </c>
    </row>
    <row s="10446" customFormat="1" customHeight="1" ht="18.75" hidden="1">
      <c r="A32" s="1464"/>
      <c r="B32" s="1464"/>
      <c r="C32" s="1464"/>
      <c r="D32" s="1464"/>
      <c r="E32" s="1464"/>
      <c r="F32" s="1464"/>
      <c r="G32" s="1464"/>
      <c r="H32" s="1464"/>
      <c r="I32" s="1464"/>
      <c r="J32" s="1464"/>
      <c r="K32" s="1464"/>
      <c r="L32" s="1465"/>
      <c r="M32" s="1464"/>
      <c r="N32" s="1464"/>
      <c r="O32" s="1464"/>
      <c r="S32" s="3106" t="s">
        <v>510</v>
      </c>
      <c r="T32" s="3106"/>
      <c r="U32" s="1468"/>
      <c r="V32" s="3107" t="str">
        <f>IF(TITLE_DATE_PR_CHANGE="",IF(TITLE_DATE_PR="","",TITLE_DATE_PR),TITLE_DATE_PR_CHANGE)</f>
        <v/>
      </c>
      <c r="W32" s="3107"/>
      <c r="X32" s="3107"/>
      <c r="Y32" s="3107"/>
      <c r="Z32" s="3107"/>
      <c r="AA32" s="3107"/>
      <c r="AB32" s="3107"/>
      <c r="AC32" s="3107"/>
      <c r="AD32" s="3107"/>
      <c r="AE32" s="3107"/>
      <c r="AF32" s="434"/>
      <c r="AG32" s="3107" t="str">
        <f>IF(TITLE_DATE_PR_CHANGE="",IF(TITLE_DATE_PR="","",TITLE_DATE_PR),TITLE_DATE_PR_CHANGE)</f>
        <v/>
      </c>
      <c r="AH32" s="3107"/>
      <c r="AI32" s="3107"/>
      <c r="AJ32" s="3107"/>
      <c r="AK32" s="3107"/>
      <c r="AL32" s="3107"/>
      <c r="AM32" s="3107"/>
      <c r="AN32" s="3107"/>
      <c r="AO32" s="3107"/>
      <c r="AP32" s="3107"/>
      <c r="AQ32" s="434"/>
      <c r="AR32" s="434"/>
      <c r="AS32" s="388"/>
      <c r="AT32" s="475"/>
      <c r="AU32" s="475"/>
      <c r="AV32" s="475"/>
      <c r="AW32" s="475"/>
      <c r="AX32" s="475"/>
      <c r="AY32" s="525">
        <v>0</v>
      </c>
    </row>
    <row s="10446" customFormat="1" customHeight="1" ht="18.75" hidden="1">
      <c r="A33" s="1464"/>
      <c r="B33" s="1464"/>
      <c r="C33" s="1464"/>
      <c r="D33" s="1464"/>
      <c r="E33" s="1464"/>
      <c r="F33" s="1464"/>
      <c r="G33" s="1464"/>
      <c r="H33" s="1464"/>
      <c r="I33" s="1464"/>
      <c r="J33" s="1464"/>
      <c r="K33" s="1464"/>
      <c r="L33" s="1465"/>
      <c r="M33" s="1464"/>
      <c r="N33" s="1464"/>
      <c r="O33" s="1464"/>
      <c r="S33" s="3106" t="s">
        <v>511</v>
      </c>
      <c r="T33" s="3106"/>
      <c r="U33" s="1468"/>
      <c r="V33" s="3108" t="str">
        <f>IF(TITLE_NUMBER_PR_CHANGE="",IF(TITLE_NUMBER_PR="","",TITLE_NUMBER_PR),TITLE_NUMBER_PR_CHANGE)</f>
        <v/>
      </c>
      <c r="W33" s="3108"/>
      <c r="X33" s="3108"/>
      <c r="Y33" s="3108"/>
      <c r="Z33" s="3108"/>
      <c r="AA33" s="3108"/>
      <c r="AB33" s="3108"/>
      <c r="AC33" s="3108"/>
      <c r="AD33" s="3108"/>
      <c r="AE33" s="3108"/>
      <c r="AF33" s="434"/>
      <c r="AG33" s="3108" t="str">
        <f>IF(TITLE_NUMBER_PR_CHANGE="",IF(TITLE_NUMBER_PR="","",TITLE_NUMBER_PR),TITLE_NUMBER_PR_CHANGE)</f>
        <v/>
      </c>
      <c r="AH33" s="3108"/>
      <c r="AI33" s="3108"/>
      <c r="AJ33" s="3108"/>
      <c r="AK33" s="3108"/>
      <c r="AL33" s="3108"/>
      <c r="AM33" s="3108"/>
      <c r="AN33" s="3108"/>
      <c r="AO33" s="3108"/>
      <c r="AP33" s="3108"/>
      <c r="AQ33" s="434"/>
      <c r="AR33" s="434"/>
      <c r="AS33" s="388"/>
      <c r="AT33" s="475"/>
      <c r="AU33" s="475"/>
      <c r="AV33" s="475"/>
      <c r="AW33" s="475"/>
      <c r="AX33" s="475"/>
      <c r="AY33" s="525">
        <v>0</v>
      </c>
    </row>
    <row s="10446" customFormat="1" customHeight="1" ht="1.05">
      <c r="A34" s="1464"/>
      <c r="B34" s="1464"/>
      <c r="C34" s="1464"/>
      <c r="D34" s="1464"/>
      <c r="E34" s="1464"/>
      <c r="F34" s="1464"/>
      <c r="G34" s="1464"/>
      <c r="H34" s="1464"/>
      <c r="I34" s="1464"/>
      <c r="J34" s="1464"/>
      <c r="K34" s="1464"/>
      <c r="L34" s="1465"/>
      <c r="M34" s="1464"/>
      <c r="N34" s="1464"/>
      <c r="O34" s="1464"/>
      <c r="S34" s="431"/>
      <c r="T34" s="431"/>
      <c r="U34" s="1584"/>
      <c r="V34" s="434"/>
      <c r="W34" s="1731"/>
      <c r="X34" s="1731"/>
      <c r="Y34" s="1731"/>
      <c r="Z34" s="1731"/>
      <c r="AA34" s="1731"/>
      <c r="AB34" s="434"/>
      <c r="AC34" s="434"/>
      <c r="AD34" s="434"/>
      <c r="AE34" s="434"/>
      <c r="AF34" s="386" t="s">
        <v>512</v>
      </c>
      <c r="AG34" s="434"/>
      <c r="AH34" s="1731"/>
      <c r="AI34" s="1731"/>
      <c r="AJ34" s="1731"/>
      <c r="AK34" s="1731"/>
      <c r="AL34" s="1731"/>
      <c r="AM34" s="434"/>
      <c r="AN34" s="434"/>
      <c r="AO34" s="434"/>
      <c r="AP34" s="434"/>
      <c r="AQ34" s="386" t="s">
        <v>512</v>
      </c>
      <c r="AT34" s="475"/>
      <c r="AU34" s="475"/>
      <c r="AV34" s="475"/>
      <c r="AW34" s="475"/>
      <c r="AX34" s="475"/>
      <c r="AY34" s="525">
        <v>1</v>
      </c>
    </row>
    <row customHeight="1" ht="14.699999999999998">
      <c r="Q35" s="483"/>
      <c r="R35" s="483"/>
      <c r="S35" s="1371"/>
      <c r="T35" s="470"/>
      <c r="U35" s="1340"/>
      <c r="V35" s="3127"/>
      <c r="W35" s="3127"/>
      <c r="X35" s="3127"/>
      <c r="Y35" s="3127"/>
      <c r="Z35" s="3127"/>
      <c r="AA35" s="3127"/>
      <c r="AB35" s="3127"/>
      <c r="AC35" s="3127"/>
      <c r="AD35" s="3127"/>
      <c r="AE35" s="3127"/>
      <c r="AF35" s="3127"/>
      <c r="AG35" s="3127"/>
      <c r="AH35" s="3127"/>
      <c r="AI35" s="3127"/>
      <c r="AJ35" s="3127"/>
      <c r="AK35" s="3127"/>
      <c r="AL35" s="3127"/>
      <c r="AM35" s="3127"/>
      <c r="AN35" s="3127"/>
      <c r="AO35" s="3127"/>
      <c r="AP35" s="3127"/>
      <c r="AQ35" s="3127"/>
      <c r="AY35" s="1251">
        <v>14</v>
      </c>
    </row>
    <row customHeight="1" ht="14.699999999999998">
      <c r="Q36" s="483"/>
      <c r="R36" s="483"/>
      <c r="S36" s="2978" t="s">
        <v>385</v>
      </c>
      <c r="T36" s="2978"/>
      <c r="U36" s="2978"/>
      <c r="V36" s="2978"/>
      <c r="W36" s="2978"/>
      <c r="X36" s="2978"/>
      <c r="Y36" s="2978"/>
      <c r="Z36" s="2978"/>
      <c r="AA36" s="2978"/>
      <c r="AB36" s="2978"/>
      <c r="AC36" s="2978"/>
      <c r="AD36" s="2978"/>
      <c r="AE36" s="2978"/>
      <c r="AF36" s="2978"/>
      <c r="AG36" s="2978"/>
      <c r="AH36" s="2978"/>
      <c r="AI36" s="2978"/>
      <c r="AJ36" s="2978"/>
      <c r="AK36" s="2978"/>
      <c r="AL36" s="2978"/>
      <c r="AM36" s="2978"/>
      <c r="AN36" s="2978"/>
      <c r="AO36" s="2978"/>
      <c r="AP36" s="2978"/>
      <c r="AQ36" s="2978"/>
      <c r="AR36" s="2978"/>
      <c r="AS36" s="2978" t="s">
        <v>386</v>
      </c>
      <c r="AY36" s="1251">
        <v>14</v>
      </c>
    </row>
    <row customHeight="1" ht="14.699999999999998">
      <c r="Q37" s="483"/>
      <c r="R37" s="483"/>
      <c r="S37" s="3128" t="s">
        <v>88</v>
      </c>
      <c r="T37" s="3077" t="s">
        <v>513</v>
      </c>
      <c r="U37" s="409"/>
      <c r="V37" s="3129" t="s">
        <v>514</v>
      </c>
      <c r="W37" s="3130"/>
      <c r="X37" s="3130"/>
      <c r="Y37" s="3130"/>
      <c r="Z37" s="3130"/>
      <c r="AA37" s="3130"/>
      <c r="AB37" s="3130"/>
      <c r="AC37" s="3130"/>
      <c r="AD37" s="3130"/>
      <c r="AE37" s="3131"/>
      <c r="AF37" s="3132" t="s">
        <v>515</v>
      </c>
      <c r="AG37" s="3129" t="s">
        <v>514</v>
      </c>
      <c r="AH37" s="3130"/>
      <c r="AI37" s="3130"/>
      <c r="AJ37" s="3130"/>
      <c r="AK37" s="3130"/>
      <c r="AL37" s="3130"/>
      <c r="AM37" s="3130"/>
      <c r="AN37" s="3130"/>
      <c r="AO37" s="3130"/>
      <c r="AP37" s="3131"/>
      <c r="AQ37" s="3132" t="s">
        <v>516</v>
      </c>
      <c r="AR37" s="3135" t="s">
        <v>517</v>
      </c>
      <c r="AS37" s="2978"/>
      <c r="AY37" s="1251">
        <v>14</v>
      </c>
    </row>
    <row s="10232" customFormat="1" customHeight="1" ht="19.95">
      <c r="A38" s="1462"/>
      <c r="B38" s="1462"/>
      <c r="C38" s="1462"/>
      <c r="D38" s="1462"/>
      <c r="E38" s="1462"/>
      <c r="F38" s="1462"/>
      <c r="G38" s="1462"/>
      <c r="H38" s="1462"/>
      <c r="I38" s="1462"/>
      <c r="J38" s="1462"/>
      <c r="K38" s="1462"/>
      <c r="L38" s="2071"/>
      <c r="M38" s="1458"/>
      <c r="N38" s="1458"/>
      <c r="O38" s="1458"/>
      <c r="P38" s="2072"/>
      <c r="Q38" s="483"/>
      <c r="R38" s="483"/>
      <c r="S38" s="3128"/>
      <c r="T38" s="3077"/>
      <c r="U38" s="1131"/>
      <c r="V38" s="2978" t="s">
        <v>617</v>
      </c>
      <c r="W38" s="3199" t="s">
        <v>618</v>
      </c>
      <c r="X38" s="3199"/>
      <c r="Y38" s="3199"/>
      <c r="Z38" s="3199" t="s">
        <v>619</v>
      </c>
      <c r="AA38" s="3199"/>
      <c r="AB38" s="3199"/>
      <c r="AC38" s="3048" t="s">
        <v>521</v>
      </c>
      <c r="AD38" s="3157"/>
      <c r="AE38" s="3049"/>
      <c r="AF38" s="3133"/>
      <c r="AG38" s="2978" t="s">
        <v>617</v>
      </c>
      <c r="AH38" s="3199" t="s">
        <v>618</v>
      </c>
      <c r="AI38" s="3199"/>
      <c r="AJ38" s="3199"/>
      <c r="AK38" s="3199" t="s">
        <v>619</v>
      </c>
      <c r="AL38" s="3199"/>
      <c r="AM38" s="3199"/>
      <c r="AN38" s="3048" t="s">
        <v>521</v>
      </c>
      <c r="AO38" s="3157"/>
      <c r="AP38" s="3049"/>
      <c r="AQ38" s="3133"/>
      <c r="AR38" s="3136"/>
      <c r="AS38" s="2978"/>
      <c r="AT38" s="1732"/>
      <c r="AU38" s="1732"/>
      <c r="AV38" s="1732"/>
      <c r="AW38" s="1732"/>
      <c r="AX38" s="1732"/>
      <c r="AY38" s="1727">
        <v>19</v>
      </c>
    </row>
    <row customHeight="1" ht="19.95">
      <c r="Q39" s="483"/>
      <c r="R39" s="483"/>
      <c r="S39" s="3128"/>
      <c r="T39" s="3077"/>
      <c r="U39" s="1131"/>
      <c r="V39" s="2978"/>
      <c r="W39" s="3199" t="s">
        <v>620</v>
      </c>
      <c r="X39" s="3199" t="s">
        <v>621</v>
      </c>
      <c r="Y39" s="3199"/>
      <c r="Z39" s="3199" t="s">
        <v>622</v>
      </c>
      <c r="AA39" s="3199" t="s">
        <v>621</v>
      </c>
      <c r="AB39" s="3199"/>
      <c r="AC39" s="3053"/>
      <c r="AD39" s="3158"/>
      <c r="AE39" s="3054"/>
      <c r="AF39" s="3133"/>
      <c r="AG39" s="2978"/>
      <c r="AH39" s="3199" t="s">
        <v>620</v>
      </c>
      <c r="AI39" s="3199" t="s">
        <v>621</v>
      </c>
      <c r="AJ39" s="3199"/>
      <c r="AK39" s="3199" t="s">
        <v>622</v>
      </c>
      <c r="AL39" s="3199" t="s">
        <v>621</v>
      </c>
      <c r="AM39" s="3199"/>
      <c r="AN39" s="3053"/>
      <c r="AO39" s="3158"/>
      <c r="AP39" s="3054"/>
      <c r="AQ39" s="3133"/>
      <c r="AR39" s="3136"/>
      <c r="AS39" s="2978"/>
      <c r="AY39" s="1251">
        <v>19</v>
      </c>
    </row>
    <row customHeight="1" ht="61.949999999999996">
      <c r="A40" s="1466"/>
      <c r="B40" s="1466" t="s">
        <v>222</v>
      </c>
      <c r="C40" s="1466" t="s">
        <v>223</v>
      </c>
      <c r="D40" s="1466" t="s">
        <v>224</v>
      </c>
      <c r="E40" s="1460" t="s">
        <v>522</v>
      </c>
      <c r="F40" s="1460" t="s">
        <v>523</v>
      </c>
      <c r="G40" s="1460" t="s">
        <v>524</v>
      </c>
      <c r="H40" s="1460"/>
      <c r="I40" s="1460" t="s">
        <v>575</v>
      </c>
      <c r="J40" s="1460" t="s">
        <v>527</v>
      </c>
      <c r="K40" s="1460" t="s">
        <v>576</v>
      </c>
      <c r="L40" s="1460" t="s">
        <v>503</v>
      </c>
      <c r="Q40" s="483"/>
      <c r="R40" s="483"/>
      <c r="S40" s="3128"/>
      <c r="T40" s="3077"/>
      <c r="U40" s="410"/>
      <c r="V40" s="2978"/>
      <c r="W40" s="3199"/>
      <c r="X40" s="2074" t="s">
        <v>623</v>
      </c>
      <c r="Y40" s="2074" t="s">
        <v>624</v>
      </c>
      <c r="Z40" s="3199"/>
      <c r="AA40" s="2074" t="s">
        <v>625</v>
      </c>
      <c r="AB40" s="2074" t="s">
        <v>626</v>
      </c>
      <c r="AC40" s="1585" t="s">
        <v>531</v>
      </c>
      <c r="AD40" s="3082" t="s">
        <v>532</v>
      </c>
      <c r="AE40" s="3095"/>
      <c r="AF40" s="3134"/>
      <c r="AG40" s="2978"/>
      <c r="AH40" s="3199"/>
      <c r="AI40" s="2074" t="s">
        <v>623</v>
      </c>
      <c r="AJ40" s="2074" t="s">
        <v>624</v>
      </c>
      <c r="AK40" s="3199"/>
      <c r="AL40" s="2074" t="s">
        <v>625</v>
      </c>
      <c r="AM40" s="2074" t="s">
        <v>626</v>
      </c>
      <c r="AN40" s="1585" t="s">
        <v>531</v>
      </c>
      <c r="AO40" s="3082" t="s">
        <v>532</v>
      </c>
      <c r="AP40" s="3095"/>
      <c r="AQ40" s="3134"/>
      <c r="AR40" s="3137"/>
      <c r="AS40" s="2978"/>
      <c r="AY40" s="1251">
        <v>59</v>
      </c>
    </row>
    <row s="10851" customFormat="1" customHeight="1" ht="11.25" hidden="1">
      <c r="A41" s="1466"/>
      <c r="B41" s="1466"/>
      <c r="C41" s="1466"/>
      <c r="D41" s="1466"/>
      <c r="E41" s="1466"/>
      <c r="F41" s="1466"/>
      <c r="G41" s="1466"/>
      <c r="H41" s="1466"/>
      <c r="I41" s="1466"/>
      <c r="J41" s="1466"/>
      <c r="K41" s="1466"/>
      <c r="L41" s="1460"/>
      <c r="M41" s="1458"/>
      <c r="N41" s="1458"/>
      <c r="O41" s="1458"/>
      <c r="P41" s="1342"/>
      <c r="Q41" s="1343"/>
      <c r="R41" s="1350">
        <v>1</v>
      </c>
      <c r="S41" s="1373" t="s">
        <v>144</v>
      </c>
      <c r="T41" s="1351" t="s">
        <v>102</v>
      </c>
      <c r="U41" s="1341" t="str">
        <f>OFFSET(U41,0,-1)</f>
        <v>2</v>
      </c>
      <c r="V41" s="1578">
        <f>OFFSET(V41,0,-1)+1</f>
        <v>3</v>
      </c>
      <c r="W41" s="2070"/>
      <c r="X41" s="2070"/>
      <c r="Y41" s="2070"/>
      <c r="Z41" s="2070"/>
      <c r="AA41" s="2070"/>
      <c r="AB41" s="1578">
        <f>OFFSET(AB41,0,-1)+1</f>
        <v>1</v>
      </c>
      <c r="AC41" s="1578">
        <f>OFFSET(AC41,0,-1)+1</f>
        <v>2</v>
      </c>
      <c r="AD41" s="3126">
        <f>OFFSET(AD41,0,-1)+1</f>
        <v>3</v>
      </c>
      <c r="AE41" s="3126"/>
      <c r="AF41" s="1578">
        <f>OFFSET(AF41,0,-2)+1</f>
        <v>4</v>
      </c>
      <c r="AG41" s="1578">
        <f>OFFSET(AG41,0,-1)+1</f>
        <v>5</v>
      </c>
      <c r="AH41" s="2070"/>
      <c r="AI41" s="2070"/>
      <c r="AJ41" s="2070"/>
      <c r="AK41" s="2070"/>
      <c r="AL41" s="2070"/>
      <c r="AM41" s="1578">
        <f>OFFSET(AM41,0,-1)+1</f>
        <v>1</v>
      </c>
      <c r="AN41" s="1578">
        <f>OFFSET(AN41,0,-1)+1</f>
        <v>2</v>
      </c>
      <c r="AO41" s="3126">
        <f>OFFSET(AO41,0,-1)+1</f>
        <v>3</v>
      </c>
      <c r="AP41" s="3126"/>
      <c r="AQ41" s="1578">
        <f>OFFSET(AQ41,0,-2)+1</f>
        <v>4</v>
      </c>
      <c r="AR41" s="1341">
        <f>OFFSET(AR41,0,-1)</f>
        <v>4</v>
      </c>
      <c r="AS41" s="1578">
        <f>OFFSET(AS41,0,-1)+1</f>
        <v>5</v>
      </c>
      <c r="AT41" s="618"/>
      <c r="AU41" s="618"/>
      <c r="AV41" s="618"/>
      <c r="AW41" s="618"/>
      <c r="AX41" s="618"/>
      <c r="AY41" s="603">
        <v>0</v>
      </c>
    </row>
    <row customHeight="1" ht="24">
      <c r="A42" s="1459" t="s">
        <v>341</v>
      </c>
      <c r="B42" s="1459"/>
      <c r="C42" s="1459"/>
      <c r="D42" s="1459"/>
      <c r="E42" s="3115">
        <v>1</v>
      </c>
      <c r="F42" s="1459"/>
      <c r="G42" s="1459"/>
      <c r="H42" s="1459"/>
      <c r="I42" s="1459"/>
      <c r="J42" s="1459"/>
      <c r="K42" s="1459"/>
      <c r="L42" s="1460"/>
      <c r="M42" s="1461"/>
      <c r="N42" s="1461"/>
      <c r="O42" s="1461"/>
      <c r="P42" s="468"/>
      <c r="Q42" s="467"/>
      <c r="R42" s="462"/>
      <c r="S42" s="1589">
        <f>INDEX(PT_DIFFERENTIATION_NUM_NTAR,MATCH(A42,PT_DIFFERENTIATION_NTAR_ID,0))</f>
        <v>0</v>
      </c>
      <c r="T42" s="406" t="s">
        <v>210</v>
      </c>
      <c r="U42" s="408"/>
      <c r="V42" s="3109"/>
      <c r="W42" s="3110"/>
      <c r="X42" s="3110"/>
      <c r="Y42" s="3110"/>
      <c r="Z42" s="3110"/>
      <c r="AA42" s="3110"/>
      <c r="AB42" s="3110"/>
      <c r="AC42" s="3110"/>
      <c r="AD42" s="3110"/>
      <c r="AE42" s="3110"/>
      <c r="AF42" s="3111"/>
      <c r="AG42" s="3109" t="str">
        <f>INDEX(PT_DIFFERENTIATION_NTAR,MATCH(A42,PT_DIFFERENTIATION_NTAR_ID,0))</f>
        <v/>
      </c>
      <c r="AH42" s="3110"/>
      <c r="AI42" s="3110"/>
      <c r="AJ42" s="3110"/>
      <c r="AK42" s="3110"/>
      <c r="AL42" s="3110"/>
      <c r="AM42" s="3110"/>
      <c r="AN42" s="3110"/>
      <c r="AO42" s="3110"/>
      <c r="AP42" s="3110"/>
      <c r="AQ42" s="3110"/>
      <c r="AR42" s="3111"/>
      <c r="AS42"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07"/>
      <c r="AV42" s="607" t="str">
        <f>IF(T42="","",T42)</f>
        <v>Наименование тарифа</v>
      </c>
      <c r="AW42" s="607"/>
      <c r="AX42" s="607"/>
      <c r="AY42" s="1251">
        <v>23</v>
      </c>
    </row>
    <row customHeight="1" ht="24">
      <c r="A43" s="1459" t="s">
        <v>341</v>
      </c>
      <c r="B43" s="1459" t="s">
        <v>342</v>
      </c>
      <c r="C43" s="1459"/>
      <c r="D43" s="1459"/>
      <c r="E43" s="3116"/>
      <c r="F43" s="3115">
        <v>1</v>
      </c>
      <c r="G43" s="1459"/>
      <c r="H43" s="1459"/>
      <c r="I43" s="1459"/>
      <c r="J43" s="1459"/>
      <c r="K43" s="1459"/>
      <c r="L43" s="1460"/>
      <c r="M43" s="1461"/>
      <c r="N43" s="1461"/>
      <c r="O43" s="1461"/>
      <c r="P43" s="1583"/>
      <c r="Q43" s="459"/>
      <c r="R43" s="460"/>
      <c r="S43" s="1589" t="str">
        <f>INDEX(PT_DIFFERENTIATION_NUM_TER,MATCH(B43,PT_DIFFERENTIATION_TER_ID,0))</f>
        <v>.</v>
      </c>
      <c r="T43" s="416" t="s">
        <v>482</v>
      </c>
      <c r="U43" s="408"/>
      <c r="V43" s="3109"/>
      <c r="W43" s="3110"/>
      <c r="X43" s="3110"/>
      <c r="Y43" s="3110"/>
      <c r="Z43" s="3110"/>
      <c r="AA43" s="3110"/>
      <c r="AB43" s="3110"/>
      <c r="AC43" s="3110"/>
      <c r="AD43" s="3110"/>
      <c r="AE43" s="3110"/>
      <c r="AF43" s="3111"/>
      <c r="AG43" s="3109" t="str">
        <f>INDEX(PT_DIFFERENTIATION_TER,MATCH(B43,PT_DIFFERENTIATION_TER_ID,0))</f>
        <v/>
      </c>
      <c r="AH43" s="3110"/>
      <c r="AI43" s="3110"/>
      <c r="AJ43" s="3110"/>
      <c r="AK43" s="3110"/>
      <c r="AL43" s="3110"/>
      <c r="AM43" s="3110"/>
      <c r="AN43" s="3110"/>
      <c r="AO43" s="3110"/>
      <c r="AP43" s="3110"/>
      <c r="AQ43" s="3110"/>
      <c r="AR43" s="3111"/>
      <c r="AS43" s="1354" t="s">
        <v>483</v>
      </c>
      <c r="AU43" s="607"/>
      <c r="AV43" s="607" t="str">
        <f>IF(T43="","",T43)</f>
        <v>Территория действия тарифа</v>
      </c>
      <c r="AW43" s="607"/>
      <c r="AX43" s="607"/>
      <c r="AY43" s="1251">
        <v>23</v>
      </c>
    </row>
    <row customHeight="1" ht="24">
      <c r="A44" s="1459" t="s">
        <v>341</v>
      </c>
      <c r="B44" s="1459" t="s">
        <v>342</v>
      </c>
      <c r="C44" s="1459" t="s">
        <v>343</v>
      </c>
      <c r="D44" s="1459"/>
      <c r="E44" s="3116"/>
      <c r="F44" s="3116"/>
      <c r="G44" s="3115">
        <v>1</v>
      </c>
      <c r="H44" s="1459"/>
      <c r="I44" s="1459"/>
      <c r="J44" s="1459"/>
      <c r="K44" s="1459"/>
      <c r="L44" s="1460"/>
      <c r="M44" s="1461"/>
      <c r="N44" s="1461"/>
      <c r="O44" s="1461"/>
      <c r="P44" s="461"/>
      <c r="Q44" s="459"/>
      <c r="R44" s="460"/>
      <c r="S44" s="1589" t="str">
        <f>INDEX(PT_DIFFERENTIATION_NUM_CS,MATCH(C44,PT_DIFFERENTIATION_CS_ID,0))</f>
        <v>..</v>
      </c>
      <c r="T44" s="417" t="s">
        <v>615</v>
      </c>
      <c r="U44" s="408"/>
      <c r="V44" s="3109"/>
      <c r="W44" s="3110"/>
      <c r="X44" s="3110"/>
      <c r="Y44" s="3110"/>
      <c r="Z44" s="3110"/>
      <c r="AA44" s="3110"/>
      <c r="AB44" s="3110"/>
      <c r="AC44" s="3110"/>
      <c r="AD44" s="3110"/>
      <c r="AE44" s="3110"/>
      <c r="AF44" s="3111"/>
      <c r="AG44" s="3109" t="str">
        <f>INDEX(PT_DIFFERENTIATION_CS,MATCH(C44,PT_DIFFERENTIATION_CS_ID,0))</f>
        <v/>
      </c>
      <c r="AH44" s="3110"/>
      <c r="AI44" s="3110"/>
      <c r="AJ44" s="3110"/>
      <c r="AK44" s="3110"/>
      <c r="AL44" s="3110"/>
      <c r="AM44" s="3110"/>
      <c r="AN44" s="3110"/>
      <c r="AO44" s="3110"/>
      <c r="AP44" s="3110"/>
      <c r="AQ44" s="3110"/>
      <c r="AR44" s="3111"/>
      <c r="AS44" s="1354" t="s">
        <v>616</v>
      </c>
      <c r="AU44" s="607"/>
      <c r="AV44" s="607" t="str">
        <f>IF(T44="","",T44)</f>
        <v>Наименование централизованной системы горячего водоснабжения</v>
      </c>
      <c r="AW44" s="607"/>
      <c r="AX44" s="607"/>
      <c r="AY44" s="1251">
        <v>23</v>
      </c>
    </row>
    <row customHeight="1" ht="24">
      <c r="A45" s="1459" t="s">
        <v>341</v>
      </c>
      <c r="B45" s="1459" t="s">
        <v>342</v>
      </c>
      <c r="C45" s="1459" t="s">
        <v>343</v>
      </c>
      <c r="D45" s="1459" t="s">
        <v>628</v>
      </c>
      <c r="E45" s="3116"/>
      <c r="F45" s="3116"/>
      <c r="G45" s="3116"/>
      <c r="H45" s="3116"/>
      <c r="I45" s="3117" t="str">
        <f>S44&amp;".1"</f>
        <v>...1</v>
      </c>
      <c r="J45" s="1459"/>
      <c r="K45" s="1459"/>
      <c r="L45" s="1460"/>
      <c r="P45" s="3119">
        <v>1</v>
      </c>
      <c r="Q45" s="1577"/>
      <c r="R45" s="463"/>
      <c r="S45" s="1589" t="str">
        <f>$I45</f>
        <v>...1</v>
      </c>
      <c r="T45" s="393" t="s">
        <v>568</v>
      </c>
      <c r="U45" s="408"/>
      <c r="V45" s="3183"/>
      <c r="W45" s="3184"/>
      <c r="X45" s="3184"/>
      <c r="Y45" s="3184"/>
      <c r="Z45" s="3184"/>
      <c r="AA45" s="3184"/>
      <c r="AB45" s="3184"/>
      <c r="AC45" s="3184"/>
      <c r="AD45" s="3184"/>
      <c r="AE45" s="3184"/>
      <c r="AF45" s="3185"/>
      <c r="AG45" s="3186"/>
      <c r="AH45" s="3187"/>
      <c r="AI45" s="3187"/>
      <c r="AJ45" s="3187"/>
      <c r="AK45" s="3187"/>
      <c r="AL45" s="3187"/>
      <c r="AM45" s="3187"/>
      <c r="AN45" s="3187"/>
      <c r="AO45" s="3187"/>
      <c r="AP45" s="3187"/>
      <c r="AQ45" s="3187"/>
      <c r="AR45" s="3188"/>
      <c r="AS45" s="1354" t="s">
        <v>569</v>
      </c>
      <c r="AU45" s="607"/>
      <c r="AV45" s="607" t="str">
        <f>IF(T45="","",T45)</f>
        <v>Наименование признака дифференциации</v>
      </c>
      <c r="AW45" s="607"/>
      <c r="AX45" s="607"/>
      <c r="AY45" s="1251">
        <v>23</v>
      </c>
    </row>
    <row customHeight="1" ht="24">
      <c r="A46" s="1459" t="s">
        <v>341</v>
      </c>
      <c r="B46" s="1459" t="s">
        <v>342</v>
      </c>
      <c r="C46" s="1459" t="s">
        <v>343</v>
      </c>
      <c r="D46" s="1459" t="s">
        <v>628</v>
      </c>
      <c r="E46" s="3116"/>
      <c r="F46" s="3116"/>
      <c r="G46" s="3116"/>
      <c r="H46" s="3116"/>
      <c r="I46" s="3118"/>
      <c r="J46" s="3117" t="str">
        <f>I45&amp;".1"</f>
        <v>...1.1</v>
      </c>
      <c r="K46" s="1459"/>
      <c r="L46" s="1460" t="s">
        <v>491</v>
      </c>
      <c r="P46" s="3119"/>
      <c r="Q46" s="3119">
        <v>1</v>
      </c>
      <c r="R46" s="464"/>
      <c r="S46" s="1589" t="str">
        <f>$J46</f>
        <v>...1.1</v>
      </c>
      <c r="T46" s="394" t="s">
        <v>492</v>
      </c>
      <c r="U46" s="408"/>
      <c r="V46" s="3103"/>
      <c r="W46" s="3104"/>
      <c r="X46" s="3104"/>
      <c r="Y46" s="3104"/>
      <c r="Z46" s="3104"/>
      <c r="AA46" s="3104"/>
      <c r="AB46" s="3104"/>
      <c r="AC46" s="3104"/>
      <c r="AD46" s="3104"/>
      <c r="AE46" s="3104"/>
      <c r="AF46" s="3105"/>
      <c r="AG46" s="3103"/>
      <c r="AH46" s="3104"/>
      <c r="AI46" s="3104"/>
      <c r="AJ46" s="3104"/>
      <c r="AK46" s="3104"/>
      <c r="AL46" s="3104"/>
      <c r="AM46" s="3104"/>
      <c r="AN46" s="3104"/>
      <c r="AO46" s="3104"/>
      <c r="AP46" s="3104"/>
      <c r="AQ46" s="3104"/>
      <c r="AR46" s="3105"/>
      <c r="AS46" s="1403" t="s">
        <v>570</v>
      </c>
      <c r="AU46" s="607"/>
      <c r="AV46" s="607" t="str">
        <f>IF(T46="","",T46)</f>
        <v>Группа потребителей</v>
      </c>
      <c r="AW46" s="607"/>
      <c r="AX46" s="607"/>
      <c r="AY46" s="1251">
        <v>23</v>
      </c>
    </row>
    <row customHeight="1" ht="24">
      <c r="A47" s="1459" t="s">
        <v>341</v>
      </c>
      <c r="B47" s="1459" t="s">
        <v>342</v>
      </c>
      <c r="C47" s="1459" t="s">
        <v>343</v>
      </c>
      <c r="D47" s="1459" t="s">
        <v>628</v>
      </c>
      <c r="E47" s="3116"/>
      <c r="F47" s="3116"/>
      <c r="G47" s="3116"/>
      <c r="H47" s="3116"/>
      <c r="I47" s="3118"/>
      <c r="J47" s="3118"/>
      <c r="K47" s="3117" t="str">
        <f>J46&amp;".1"</f>
        <v>...1.1.1</v>
      </c>
      <c r="L47" s="1460"/>
      <c r="P47" s="3119"/>
      <c r="Q47" s="3119"/>
      <c r="R47" s="464">
        <v>1</v>
      </c>
      <c r="S47" s="1589" t="str">
        <f>$K47</f>
        <v>...1.1.1</v>
      </c>
      <c r="T47" s="1533"/>
      <c r="U47" s="408"/>
      <c r="V47" s="1456"/>
      <c r="W47" s="1456"/>
      <c r="X47" s="1456"/>
      <c r="Y47" s="1456"/>
      <c r="Z47" s="1456"/>
      <c r="AA47" s="1456"/>
      <c r="AB47" s="1457"/>
      <c r="AC47" s="3113"/>
      <c r="AD47" s="3112" t="s">
        <v>62</v>
      </c>
      <c r="AE47" s="3113"/>
      <c r="AF47" s="3112" t="s">
        <v>62</v>
      </c>
      <c r="AG47" s="858"/>
      <c r="AH47" s="858"/>
      <c r="AI47" s="858"/>
      <c r="AJ47" s="858"/>
      <c r="AK47" s="858"/>
      <c r="AL47" s="858"/>
      <c r="AM47" s="1353"/>
      <c r="AN47" s="3120"/>
      <c r="AO47" s="2989" t="s">
        <v>62</v>
      </c>
      <c r="AP47" s="3122"/>
      <c r="AQ47" s="2989" t="s">
        <v>19</v>
      </c>
      <c r="AR47" s="1534"/>
      <c r="AS47" s="31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18">
        <f>STRCHECKDATE(V48:AR48)</f>
      </c>
      <c r="AU47" s="607"/>
      <c r="AV47" s="607" t="str">
        <f>IF(T47="","",T47)</f>
        <v/>
      </c>
      <c r="AW47" s="607"/>
      <c r="AX47" s="607"/>
      <c r="AY47" s="1251">
        <v>23</v>
      </c>
    </row>
    <row customHeight="1" ht="14.25" hidden="1">
      <c r="A48" s="1459" t="s">
        <v>341</v>
      </c>
      <c r="B48" s="1459" t="s">
        <v>342</v>
      </c>
      <c r="C48" s="1459" t="s">
        <v>343</v>
      </c>
      <c r="D48" s="1459" t="s">
        <v>628</v>
      </c>
      <c r="E48" s="3116"/>
      <c r="F48" s="3116"/>
      <c r="G48" s="3116"/>
      <c r="H48" s="3116"/>
      <c r="I48" s="3118"/>
      <c r="J48" s="3118"/>
      <c r="K48" s="3117"/>
      <c r="L48" s="1460"/>
      <c r="P48" s="3119"/>
      <c r="Q48" s="3119"/>
      <c r="R48" s="464"/>
      <c r="S48" s="1586"/>
      <c r="T48" s="408"/>
      <c r="U48" s="408"/>
      <c r="V48" s="1456"/>
      <c r="W48" s="1456"/>
      <c r="X48" s="1456"/>
      <c r="Y48" s="1456"/>
      <c r="Z48" s="1456"/>
      <c r="AA48" s="1456"/>
      <c r="AB48" s="436" t="str">
        <f>AC47&amp;"-"&amp;AE47</f>
        <v>-</v>
      </c>
      <c r="AC48" s="3112"/>
      <c r="AD48" s="3112"/>
      <c r="AE48" s="3112"/>
      <c r="AF48" s="3112"/>
      <c r="AG48" s="433"/>
      <c r="AH48" s="433"/>
      <c r="AI48" s="433"/>
      <c r="AJ48" s="433"/>
      <c r="AK48" s="433"/>
      <c r="AL48" s="433"/>
      <c r="AM48" s="436" t="str">
        <f>AN47&amp;"-"&amp;AP47</f>
        <v>-</v>
      </c>
      <c r="AN48" s="3121"/>
      <c r="AO48" s="2989"/>
      <c r="AP48" s="3123"/>
      <c r="AQ48" s="2989"/>
      <c r="AR48" s="1535"/>
      <c r="AS48" s="3189"/>
      <c r="AU48" s="607"/>
      <c r="AV48" s="607" t="str">
        <f>IF(T48="","",T48)</f>
        <v/>
      </c>
      <c r="AW48" s="607"/>
      <c r="AX48" s="607"/>
      <c r="AY48" s="1251">
        <v>0</v>
      </c>
    </row>
    <row customHeight="1" ht="21">
      <c r="A49" s="1459" t="s">
        <v>341</v>
      </c>
      <c r="B49" s="1459" t="s">
        <v>342</v>
      </c>
      <c r="C49" s="1459" t="s">
        <v>343</v>
      </c>
      <c r="D49" s="1459" t="s">
        <v>628</v>
      </c>
      <c r="E49" s="3116"/>
      <c r="F49" s="3116"/>
      <c r="G49" s="3116"/>
      <c r="H49" s="3116"/>
      <c r="I49" s="3118"/>
      <c r="J49" s="3117"/>
      <c r="K49" s="1459"/>
      <c r="L49" s="1460"/>
      <c r="P49" s="3119"/>
      <c r="Q49" s="3119"/>
      <c r="R49" s="463"/>
      <c r="S49" s="1374"/>
      <c r="T49" s="395" t="s">
        <v>571</v>
      </c>
      <c r="U49" s="474"/>
      <c r="V49" s="474"/>
      <c r="W49" s="707"/>
      <c r="X49" s="707"/>
      <c r="Y49" s="707"/>
      <c r="Z49" s="707"/>
      <c r="AA49" s="707"/>
      <c r="AB49" s="474"/>
      <c r="AC49" s="474"/>
      <c r="AD49" s="474"/>
      <c r="AE49" s="474"/>
      <c r="AF49" s="474"/>
      <c r="AG49" s="474"/>
      <c r="AH49" s="707"/>
      <c r="AI49" s="707"/>
      <c r="AJ49" s="707"/>
      <c r="AK49" s="707"/>
      <c r="AL49" s="707"/>
      <c r="AM49" s="474"/>
      <c r="AN49" s="474"/>
      <c r="AO49" s="474"/>
      <c r="AP49" s="474"/>
      <c r="AQ49" s="474"/>
      <c r="AR49" s="474"/>
      <c r="AS49" s="1354" t="s">
        <v>572</v>
      </c>
      <c r="AU49" s="607"/>
      <c r="AV49" s="607" t="str">
        <f>IF(T49="","",T49)</f>
        <v>Добавить значение признака дифференциации</v>
      </c>
      <c r="AW49" s="607"/>
      <c r="AX49" s="607"/>
      <c r="AY49" s="1251">
        <v>20</v>
      </c>
    </row>
    <row customHeight="1" ht="22.049999999999997">
      <c r="A50" s="1459" t="s">
        <v>341</v>
      </c>
      <c r="B50" s="1459" t="s">
        <v>342</v>
      </c>
      <c r="C50" s="1459" t="s">
        <v>343</v>
      </c>
      <c r="D50" s="1459" t="s">
        <v>628</v>
      </c>
      <c r="E50" s="3116"/>
      <c r="F50" s="3116"/>
      <c r="G50" s="3116"/>
      <c r="H50" s="3116"/>
      <c r="I50" s="3117"/>
      <c r="J50" s="1459"/>
      <c r="K50" s="1459"/>
      <c r="L50" s="1460"/>
      <c r="P50" s="3119"/>
      <c r="Q50" s="1577"/>
      <c r="R50" s="463"/>
      <c r="S50" s="1374"/>
      <c r="T50" s="472" t="s">
        <v>497</v>
      </c>
      <c r="U50" s="474"/>
      <c r="V50" s="474"/>
      <c r="W50" s="707"/>
      <c r="X50" s="707"/>
      <c r="Y50" s="707"/>
      <c r="Z50" s="707"/>
      <c r="AA50" s="707"/>
      <c r="AB50" s="474"/>
      <c r="AC50" s="474"/>
      <c r="AD50" s="474"/>
      <c r="AE50" s="474"/>
      <c r="AF50" s="473"/>
      <c r="AG50" s="474"/>
      <c r="AH50" s="707"/>
      <c r="AI50" s="707"/>
      <c r="AJ50" s="707"/>
      <c r="AK50" s="707"/>
      <c r="AL50" s="707"/>
      <c r="AM50" s="474"/>
      <c r="AN50" s="474"/>
      <c r="AO50" s="474"/>
      <c r="AP50" s="474"/>
      <c r="AQ50" s="473"/>
      <c r="AR50" s="474"/>
      <c r="AS50" s="1536"/>
      <c r="AU50" s="607"/>
      <c r="AV50" s="607" t="str">
        <f>IF(T50="","",T50)</f>
        <v>Добавить группу потребителей</v>
      </c>
      <c r="AW50" s="607"/>
      <c r="AX50" s="607"/>
      <c r="AY50" s="1251">
        <v>21</v>
      </c>
    </row>
    <row customHeight="1" ht="22.049999999999997">
      <c r="A51" s="1459" t="s">
        <v>341</v>
      </c>
      <c r="B51" s="1459" t="s">
        <v>342</v>
      </c>
      <c r="C51" s="1459" t="s">
        <v>343</v>
      </c>
      <c r="D51" s="1459" t="s">
        <v>628</v>
      </c>
      <c r="E51" s="3116"/>
      <c r="F51" s="3116"/>
      <c r="G51" s="3116"/>
      <c r="H51" s="3115"/>
      <c r="I51" s="1459"/>
      <c r="J51" s="1459"/>
      <c r="K51" s="1459"/>
      <c r="L51" s="1460"/>
      <c r="M51" s="1461"/>
      <c r="N51" s="1461"/>
      <c r="O51" s="644"/>
      <c r="P51" s="467"/>
      <c r="Q51" s="482"/>
      <c r="R51" s="462"/>
      <c r="S51" s="1374"/>
      <c r="T51" s="479" t="s">
        <v>573</v>
      </c>
      <c r="U51" s="474"/>
      <c r="V51" s="474"/>
      <c r="W51" s="707"/>
      <c r="X51" s="707"/>
      <c r="Y51" s="707"/>
      <c r="Z51" s="707"/>
      <c r="AA51" s="707"/>
      <c r="AB51" s="474"/>
      <c r="AC51" s="474"/>
      <c r="AD51" s="474"/>
      <c r="AE51" s="474"/>
      <c r="AF51" s="473"/>
      <c r="AG51" s="474"/>
      <c r="AH51" s="707"/>
      <c r="AI51" s="707"/>
      <c r="AJ51" s="707"/>
      <c r="AK51" s="707"/>
      <c r="AL51" s="707"/>
      <c r="AM51" s="474"/>
      <c r="AN51" s="474"/>
      <c r="AO51" s="474"/>
      <c r="AP51" s="474"/>
      <c r="AQ51" s="473"/>
      <c r="AR51" s="474"/>
      <c r="AS51" s="411"/>
      <c r="AU51" s="607"/>
      <c r="AV51" s="607" t="str">
        <f>IF(T51="","",T51)</f>
        <v>Добавить наименование признака дифференциации</v>
      </c>
      <c r="AW51" s="607"/>
      <c r="AX51" s="607"/>
      <c r="AY51" s="1251">
        <v>21</v>
      </c>
    </row>
    <row s="10307" customFormat="1" customHeight="1" ht="14.25" hidden="1">
      <c r="A52" s="1439" t="s">
        <v>341</v>
      </c>
      <c r="B52" s="1439" t="s">
        <v>342</v>
      </c>
      <c r="C52" s="1410"/>
      <c r="D52" s="1410"/>
      <c r="E52" s="3116"/>
      <c r="F52" s="3115"/>
      <c r="G52" s="1410"/>
      <c r="H52" s="1410"/>
      <c r="I52" s="1410"/>
      <c r="J52" s="1410"/>
      <c r="K52" s="1410"/>
      <c r="L52" s="1590"/>
      <c r="M52" s="1417"/>
      <c r="N52" s="1417"/>
      <c r="P52" s="1412"/>
      <c r="Q52" s="1413"/>
      <c r="R52" s="1412"/>
      <c r="S52" s="1418"/>
      <c r="T52" s="1421" t="s">
        <v>500</v>
      </c>
      <c r="U52" s="1420"/>
      <c r="V52" s="1420"/>
      <c r="W52" s="1420"/>
      <c r="X52" s="1420"/>
      <c r="Y52" s="1420"/>
      <c r="Z52" s="1420"/>
      <c r="AA52" s="1420"/>
      <c r="AB52" s="1420"/>
      <c r="AC52" s="1420"/>
      <c r="AD52" s="1420"/>
      <c r="AE52" s="1420"/>
      <c r="AF52" s="1420"/>
      <c r="AG52" s="1420"/>
      <c r="AH52" s="1420"/>
      <c r="AI52" s="1420"/>
      <c r="AJ52" s="1420"/>
      <c r="AK52" s="1420"/>
      <c r="AL52" s="1420"/>
      <c r="AM52" s="1420"/>
      <c r="AN52" s="1420"/>
      <c r="AO52" s="1420"/>
      <c r="AP52" s="1420"/>
      <c r="AQ52" s="1420"/>
      <c r="AR52" s="1420"/>
      <c r="AS52" s="1420"/>
      <c r="AU52" s="890"/>
      <c r="AV52" s="890" t="str">
        <f>IF(T52="","",T52)</f>
        <v>Добавить централизованную систему для дифференциации</v>
      </c>
      <c r="AW52" s="890"/>
      <c r="AX52" s="890"/>
      <c r="AY52" s="625">
        <v>0</v>
      </c>
    </row>
    <row s="10307" customFormat="1" customHeight="1" ht="14.25" hidden="1">
      <c r="A53" s="1439" t="s">
        <v>341</v>
      </c>
      <c r="B53" s="1439"/>
      <c r="C53" s="1439"/>
      <c r="D53" s="1439"/>
      <c r="E53" s="3115"/>
      <c r="F53" s="1439"/>
      <c r="G53" s="1439"/>
      <c r="H53" s="1439"/>
      <c r="I53" s="1439"/>
      <c r="J53" s="1439"/>
      <c r="K53" s="1439"/>
      <c r="L53" s="1442"/>
      <c r="M53" s="1417"/>
      <c r="N53" s="1417"/>
      <c r="O53" s="625"/>
      <c r="P53" s="487"/>
      <c r="Q53" s="1440"/>
      <c r="R53" s="487"/>
      <c r="S53" s="1418"/>
      <c r="T53" s="1421" t="s">
        <v>501</v>
      </c>
      <c r="U53" s="1420"/>
      <c r="V53" s="1420"/>
      <c r="W53" s="1420"/>
      <c r="X53" s="1420"/>
      <c r="Y53" s="1420"/>
      <c r="Z53" s="1420"/>
      <c r="AA53" s="1420"/>
      <c r="AB53" s="1420"/>
      <c r="AC53" s="1420"/>
      <c r="AD53" s="1420"/>
      <c r="AE53" s="1420"/>
      <c r="AF53" s="1420"/>
      <c r="AG53" s="1420"/>
      <c r="AH53" s="1420"/>
      <c r="AI53" s="1420"/>
      <c r="AJ53" s="1420"/>
      <c r="AK53" s="1420"/>
      <c r="AL53" s="1420"/>
      <c r="AM53" s="1420"/>
      <c r="AN53" s="1420"/>
      <c r="AO53" s="1420"/>
      <c r="AP53" s="1420"/>
      <c r="AQ53" s="1420"/>
      <c r="AR53" s="1420"/>
      <c r="AS53" s="1420"/>
      <c r="AU53" s="607"/>
      <c r="AV53" s="607" t="str">
        <f>IF(T53="","",T53)</f>
        <v>Добавить территорию для дифференциации</v>
      </c>
      <c r="AW53" s="607"/>
      <c r="AX53" s="607"/>
      <c r="AY53" s="618">
        <v>0</v>
      </c>
    </row>
    <row s="10307" customFormat="1" customHeight="1" ht="14.25" hidden="1">
      <c r="A54" s="1410"/>
      <c r="B54" s="1410"/>
      <c r="C54" s="1410"/>
      <c r="D54" s="1410"/>
      <c r="E54" s="1439"/>
      <c r="F54" s="1410"/>
      <c r="G54" s="1410"/>
      <c r="H54" s="1410"/>
      <c r="I54" s="1410"/>
      <c r="J54" s="1410"/>
      <c r="K54" s="1410"/>
      <c r="L54" s="1590"/>
      <c r="M54" s="1417"/>
      <c r="N54" s="1417"/>
      <c r="P54" s="1412"/>
      <c r="Q54" s="1413"/>
      <c r="R54" s="1412"/>
      <c r="S54" s="1418"/>
      <c r="T54" s="1421" t="s">
        <v>533</v>
      </c>
      <c r="U54" s="1420"/>
      <c r="V54" s="1420"/>
      <c r="W54" s="1420"/>
      <c r="X54" s="1420"/>
      <c r="Y54" s="1420"/>
      <c r="Z54" s="1420"/>
      <c r="AA54" s="1420"/>
      <c r="AB54" s="1420"/>
      <c r="AC54" s="1420"/>
      <c r="AD54" s="1420"/>
      <c r="AE54" s="1420"/>
      <c r="AF54" s="1420"/>
      <c r="AG54" s="1420"/>
      <c r="AH54" s="1420"/>
      <c r="AI54" s="1420"/>
      <c r="AJ54" s="1420"/>
      <c r="AK54" s="1420"/>
      <c r="AL54" s="1420"/>
      <c r="AM54" s="1420"/>
      <c r="AN54" s="1420"/>
      <c r="AO54" s="1420"/>
      <c r="AP54" s="1420"/>
      <c r="AQ54" s="1420"/>
      <c r="AR54" s="1420"/>
      <c r="AS54" s="1420"/>
      <c r="AU54" s="890"/>
      <c r="AV54" s="890" t="str">
        <f>IF(T54="","",T54)</f>
        <v>Добавить наименование тарифа</v>
      </c>
      <c r="AW54" s="890"/>
      <c r="AX54" s="890"/>
      <c r="AY54" s="625">
        <v>0</v>
      </c>
    </row>
    <row customHeight="1" ht="11.549999999999999">
      <c r="M55" s="1256"/>
      <c r="N55" s="1256"/>
      <c r="O55" s="644"/>
      <c r="P55" s="1251"/>
      <c r="Q55" s="1251"/>
      <c r="R55" s="1251"/>
      <c r="S55" s="1251"/>
      <c r="AT55" s="1251"/>
      <c r="AU55" s="1251"/>
      <c r="AV55" s="1251"/>
      <c r="AW55" s="1251"/>
      <c r="AX55" s="1251"/>
      <c r="AY55" s="1251">
        <v>11</v>
      </c>
    </row>
    <row customHeight="1" ht="14.699999999999998">
      <c r="O56" s="644"/>
      <c r="S56" s="1349"/>
      <c r="T56" s="3114"/>
      <c r="U56" s="3114"/>
      <c r="V56" s="3114"/>
      <c r="W56" s="3114"/>
      <c r="X56" s="3114"/>
      <c r="Y56" s="3114"/>
      <c r="Z56" s="3114"/>
      <c r="AA56" s="3114"/>
      <c r="AB56" s="3114"/>
      <c r="AC56" s="3114"/>
      <c r="AD56" s="3114"/>
      <c r="AE56" s="3114"/>
      <c r="AF56" s="3114"/>
      <c r="AG56" s="3114"/>
      <c r="AH56" s="3114"/>
      <c r="AI56" s="3114"/>
      <c r="AJ56" s="3114"/>
      <c r="AK56" s="3114"/>
      <c r="AL56" s="3114"/>
      <c r="AM56" s="3114"/>
      <c r="AN56" s="3114"/>
      <c r="AO56" s="3114"/>
      <c r="AP56" s="3114"/>
      <c r="AQ56" s="3114"/>
      <c r="AR56" s="3114"/>
      <c r="AS56" s="3114"/>
      <c r="AY56" s="1251">
        <v>14</v>
      </c>
    </row>
    <row customHeight="1" ht="14.699999999999998">
      <c r="O57" s="644"/>
      <c r="AY57" s="1251">
        <v>14</v>
      </c>
    </row>
    <row customHeight="1" ht="14.699999999999998">
      <c r="O58" s="644"/>
      <c r="S58" s="1349"/>
      <c r="T58" s="3114"/>
      <c r="U58" s="3114"/>
      <c r="V58" s="3114"/>
      <c r="W58" s="3114"/>
      <c r="X58" s="3114"/>
      <c r="Y58" s="3114"/>
      <c r="Z58" s="3114"/>
      <c r="AA58" s="3114"/>
      <c r="AB58" s="3114"/>
      <c r="AC58" s="3114"/>
      <c r="AD58" s="3114"/>
      <c r="AE58" s="3114"/>
      <c r="AF58" s="3114"/>
      <c r="AG58" s="3114"/>
      <c r="AH58" s="3114"/>
      <c r="AI58" s="3114"/>
      <c r="AJ58" s="3114"/>
      <c r="AK58" s="3114"/>
      <c r="AL58" s="3114"/>
      <c r="AM58" s="3114"/>
      <c r="AN58" s="3114"/>
      <c r="AO58" s="3114"/>
      <c r="AP58" s="3114"/>
      <c r="AQ58" s="3114"/>
      <c r="AR58" s="3114"/>
      <c r="AS58" s="3114"/>
      <c r="AY58" s="1251">
        <v>14</v>
      </c>
    </row>
    <row customHeight="1" ht="22.5" hidden="1">
      <c r="A59" s="1256" t="s">
        <v>82</v>
      </c>
      <c r="B59" s="1256">
        <v>0</v>
      </c>
      <c r="C59" s="1256">
        <v>0</v>
      </c>
      <c r="D59" s="1256">
        <v>0</v>
      </c>
      <c r="E59" s="1256">
        <v>0</v>
      </c>
      <c r="F59" s="1256">
        <v>0</v>
      </c>
      <c r="G59" s="1256">
        <v>0</v>
      </c>
      <c r="H59" s="1256">
        <v>0</v>
      </c>
      <c r="I59" s="1256">
        <v>0</v>
      </c>
      <c r="J59" s="1256">
        <v>0</v>
      </c>
      <c r="K59" s="1256">
        <v>0</v>
      </c>
      <c r="L59" s="1574">
        <v>0</v>
      </c>
      <c r="M59" s="1458">
        <v>0</v>
      </c>
      <c r="N59" s="1458">
        <v>0</v>
      </c>
      <c r="O59" s="1458">
        <v>0</v>
      </c>
      <c r="P59" s="1569">
        <v>3</v>
      </c>
      <c r="Q59" s="452">
        <v>3</v>
      </c>
      <c r="R59" s="452">
        <v>3</v>
      </c>
      <c r="S59" s="688">
        <v>12</v>
      </c>
      <c r="T59" s="1251">
        <v>35</v>
      </c>
      <c r="U59" s="1251">
        <v>0</v>
      </c>
      <c r="V59" s="1251">
        <v>0</v>
      </c>
      <c r="W59" s="1727">
        <v>0</v>
      </c>
      <c r="X59" s="1727">
        <v>0</v>
      </c>
      <c r="Y59" s="1727">
        <v>0</v>
      </c>
      <c r="Z59" s="1727">
        <v>0</v>
      </c>
      <c r="AA59" s="1727">
        <v>0</v>
      </c>
      <c r="AB59" s="1251">
        <v>0</v>
      </c>
      <c r="AC59" s="1251">
        <v>0</v>
      </c>
      <c r="AD59" s="1251">
        <v>0</v>
      </c>
      <c r="AE59" s="1251">
        <v>0</v>
      </c>
      <c r="AF59" s="1251">
        <v>0</v>
      </c>
      <c r="AG59" s="1251">
        <v>19</v>
      </c>
      <c r="AH59" s="1727">
        <v>19</v>
      </c>
      <c r="AI59" s="1727">
        <v>19</v>
      </c>
      <c r="AJ59" s="1727">
        <v>19</v>
      </c>
      <c r="AK59" s="1727">
        <v>19</v>
      </c>
      <c r="AL59" s="1727">
        <v>19</v>
      </c>
      <c r="AM59" s="1251">
        <v>19</v>
      </c>
      <c r="AN59" s="1251">
        <v>11</v>
      </c>
      <c r="AO59" s="1251">
        <v>3</v>
      </c>
      <c r="AP59" s="1251">
        <v>11</v>
      </c>
      <c r="AQ59" s="1251">
        <v>0</v>
      </c>
      <c r="AR59" s="1251">
        <v>4</v>
      </c>
      <c r="AS59" s="1251">
        <v>115</v>
      </c>
      <c r="AT59" s="618">
        <v>10</v>
      </c>
      <c r="AU59" s="618">
        <v>10</v>
      </c>
      <c r="AV59" s="618">
        <v>10</v>
      </c>
      <c r="AW59" s="618">
        <v>10</v>
      </c>
      <c r="AX59" s="618">
        <v>10</v>
      </c>
      <c r="AY59" s="1251">
        <v>23</v>
      </c>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B99DF-4A12-B449-F64E-ED0BCAA6B4C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306" width="11.57421875" hidden="1" customWidth="1"/>
    <col min="2" max="2" style="10306" width="11.00390625" hidden="1" customWidth="1"/>
    <col min="3" max="3" style="10306" width="10.57421875" hidden="1"/>
    <col min="4" max="4" style="10306" width="12.8515625" hidden="1" customWidth="1"/>
    <col min="5" max="5" style="10306" width="10.00390625" hidden="1" customWidth="1"/>
    <col min="6" max="6" style="10306" width="8.7109375" hidden="1" customWidth="1"/>
    <col min="7" max="7" style="10306" width="7.57421875" hidden="1" customWidth="1"/>
    <col min="8" max="8" style="10306" width="11.421875" hidden="1" customWidth="1"/>
    <col min="9" max="9" style="10306" width="12.00390625" hidden="1" customWidth="1"/>
    <col min="10" max="10" style="10306" width="9.8515625" hidden="1" customWidth="1"/>
    <col min="11" max="11" style="10306" width="11.421875" hidden="1" customWidth="1"/>
    <col min="12" max="12" style="11079" width="19.140625" hidden="1" customWidth="1"/>
    <col min="13" max="14" style="11080" width="12.28125" hidden="1" customWidth="1"/>
    <col min="15" max="15" style="11080" width="23.421875" hidden="1" customWidth="1"/>
    <col min="16" max="16" style="11080" width="3.7109375" hidden="1" customWidth="1"/>
    <col min="17" max="17" style="11245" width="3.7109375" hidden="1" customWidth="1"/>
    <col min="18" max="18" style="11082" width="3.00390625" customWidth="1"/>
    <col min="19" max="19" style="11083" width="12.00390625" customWidth="1"/>
    <col min="20" max="20" style="10232" width="31.00390625" customWidth="1"/>
    <col min="21" max="21" style="10232" width="0.140625" customWidth="1"/>
    <col min="22" max="25" style="10232" width="21.7109375" hidden="1" customWidth="1"/>
    <col min="26" max="26" style="10232" width="11.7109375" hidden="1" customWidth="1"/>
    <col min="27" max="27" style="10232" width="3.7109375" hidden="1" customWidth="1"/>
    <col min="28" max="28" style="10232" width="11.7109375" hidden="1" customWidth="1"/>
    <col min="29" max="29" style="10232" width="8.57421875" hidden="1" customWidth="1"/>
    <col min="30" max="30" style="10232" width="3.7109375" customWidth="1"/>
    <col min="31" max="32" style="10232" width="3.00390625" customWidth="1"/>
    <col min="33" max="33" style="10232" width="24.00390625" customWidth="1"/>
    <col min="34" max="34" style="10232" width="3.7109375" customWidth="1"/>
    <col min="35" max="36" style="10232" width="3.00390625" customWidth="1"/>
    <col min="37" max="37" style="10232" width="24.00390625" customWidth="1"/>
    <col min="38" max="38" style="10232" width="3.7109375" customWidth="1"/>
    <col min="39" max="40" style="10232" width="3.00390625" customWidth="1"/>
    <col min="41" max="41" style="10232" width="18.00390625" customWidth="1"/>
    <col min="42" max="42" style="10232" width="3.7109375" customWidth="1"/>
    <col min="43" max="44" style="10232" width="3.00390625" customWidth="1"/>
    <col min="45" max="45" style="10232" width="18.00390625" customWidth="1"/>
    <col min="46" max="49" style="10232" width="21.00390625" customWidth="1"/>
    <col min="50" max="50" style="10232" width="11.00390625" customWidth="1"/>
    <col min="51" max="51" style="10232" width="3.7109375" customWidth="1"/>
    <col min="52" max="52" style="10232" width="11.00390625" customWidth="1"/>
    <col min="53" max="53" style="10232" width="8.57421875" hidden="1" customWidth="1"/>
    <col min="54" max="54" style="10232" width="4.00390625" customWidth="1"/>
    <col min="55" max="55" style="10232" width="115.00390625" customWidth="1"/>
    <col min="56" max="60" style="10307" width="10.00390625" customWidth="1"/>
    <col min="61" max="61" style="10232" width="10.57421875" hidden="1"/>
  </cols>
  <sheetData>
    <row customHeight="1" ht="22.5" hidden="1">
      <c r="W1" s="435"/>
      <c r="Y1" s="435"/>
      <c r="Z1" s="435"/>
      <c r="AW1" s="435"/>
      <c r="AX1" s="435"/>
      <c r="BI1" s="1251" t="s">
        <v>14</v>
      </c>
    </row>
    <row customHeight="1" ht="21" hidden="1">
      <c r="A2" s="1459"/>
      <c r="B2" s="1459"/>
      <c r="C2" s="1459"/>
      <c r="D2" s="1459"/>
      <c r="E2" s="3115">
        <v>1</v>
      </c>
      <c r="F2" s="1459"/>
      <c r="G2" s="1459"/>
      <c r="H2" s="1459"/>
      <c r="I2" s="1459"/>
      <c r="J2" s="1459"/>
      <c r="K2" s="1459"/>
      <c r="L2" s="1460"/>
      <c r="M2" s="1461"/>
      <c r="N2" s="1461"/>
      <c r="O2" s="1461"/>
      <c r="P2" s="1505"/>
      <c r="Q2" s="974"/>
      <c r="R2" s="462"/>
      <c r="S2" s="1589">
        <f>INDEX(PT_DIFFERENTIATION_NUM_NTAR,MATCH(A2,PT_DIFFERENTIATION_NTAR_ID,0))</f>
      </c>
      <c r="T2" s="406" t="s">
        <v>210</v>
      </c>
      <c r="U2" s="408"/>
      <c r="V2" s="3110"/>
      <c r="W2" s="3110"/>
      <c r="X2" s="3110"/>
      <c r="Y2" s="3110"/>
      <c r="Z2" s="3110"/>
      <c r="AA2" s="3110"/>
      <c r="AB2" s="3110"/>
      <c r="AC2" s="3111"/>
      <c r="AD2" s="3109">
        <f>INDEX(PT_DIFFERENTIATION_NTAR,MATCH(A2,PT_DIFFERENTIATION_NTAR_ID,0))</f>
      </c>
      <c r="AE2" s="3110"/>
      <c r="AF2" s="3110"/>
      <c r="AG2" s="3110"/>
      <c r="AH2" s="3110"/>
      <c r="AI2" s="3110"/>
      <c r="AJ2" s="3110"/>
      <c r="AK2" s="3110"/>
      <c r="AL2" s="3110"/>
      <c r="AM2" s="3110"/>
      <c r="AN2" s="3110"/>
      <c r="AO2" s="3110"/>
      <c r="AP2" s="3110"/>
      <c r="AQ2" s="3110"/>
      <c r="AR2" s="3110"/>
      <c r="AS2" s="3110"/>
      <c r="AT2" s="3110"/>
      <c r="AU2" s="3110"/>
      <c r="AV2" s="3110"/>
      <c r="AW2" s="3110"/>
      <c r="AX2" s="3110"/>
      <c r="AY2" s="3110"/>
      <c r="AZ2" s="3110"/>
      <c r="BA2" s="3110"/>
      <c r="BB2" s="3111"/>
      <c r="BC2"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7"/>
      <c r="BF2" s="607" t="str">
        <f>IF(T2="","",T2)</f>
        <v>Наименование тарифа</v>
      </c>
      <c r="BG2" s="607"/>
      <c r="BH2" s="607"/>
      <c r="BI2" s="1251">
        <v>0</v>
      </c>
    </row>
    <row customHeight="1" ht="21" hidden="1">
      <c r="A3" s="1459"/>
      <c r="B3" s="1459"/>
      <c r="C3" s="1459"/>
      <c r="D3" s="1459"/>
      <c r="E3" s="3116"/>
      <c r="F3" s="3115">
        <v>1</v>
      </c>
      <c r="G3" s="1459"/>
      <c r="H3" s="1459"/>
      <c r="I3" s="1459"/>
      <c r="J3" s="1459"/>
      <c r="K3" s="1459"/>
      <c r="L3" s="1460"/>
      <c r="M3" s="1461"/>
      <c r="N3" s="1461"/>
      <c r="O3" s="1461"/>
      <c r="P3" s="1506"/>
      <c r="Q3" s="1507"/>
      <c r="R3" s="460"/>
      <c r="S3" s="1589">
        <f>INDEX(PT_DIFFERENTIATION_NUM_TER,MATCH(B3,PT_DIFFERENTIATION_TER_ID,0))</f>
      </c>
      <c r="T3" s="416" t="s">
        <v>482</v>
      </c>
      <c r="U3" s="408"/>
      <c r="V3" s="3110"/>
      <c r="W3" s="3110"/>
      <c r="X3" s="3110"/>
      <c r="Y3" s="3110"/>
      <c r="Z3" s="3110"/>
      <c r="AA3" s="3110"/>
      <c r="AB3" s="3110"/>
      <c r="AC3" s="3111"/>
      <c r="AD3" s="3109">
        <f>INDEX(PT_DIFFERENTIATION_TER,MATCH(B3,PT_DIFFERENTIATION_TER_ID,0))</f>
      </c>
      <c r="AE3" s="3110"/>
      <c r="AF3" s="3110"/>
      <c r="AG3" s="3110"/>
      <c r="AH3" s="3110"/>
      <c r="AI3" s="3110"/>
      <c r="AJ3" s="3110"/>
      <c r="AK3" s="3110"/>
      <c r="AL3" s="3110"/>
      <c r="AM3" s="3110"/>
      <c r="AN3" s="3110"/>
      <c r="AO3" s="3110"/>
      <c r="AP3" s="3110"/>
      <c r="AQ3" s="3110"/>
      <c r="AR3" s="3110"/>
      <c r="AS3" s="3110"/>
      <c r="AT3" s="3110"/>
      <c r="AU3" s="3110"/>
      <c r="AV3" s="3110"/>
      <c r="AW3" s="3110"/>
      <c r="AX3" s="3110"/>
      <c r="AY3" s="3110"/>
      <c r="AZ3" s="3110"/>
      <c r="BA3" s="3110"/>
      <c r="BB3" s="3111"/>
      <c r="BC3" s="1354" t="s">
        <v>483</v>
      </c>
      <c r="BE3" s="607"/>
      <c r="BF3" s="607" t="str">
        <f>IF(T3="","",T3)</f>
        <v>Территория действия тарифа</v>
      </c>
      <c r="BG3" s="607"/>
      <c r="BH3" s="607"/>
      <c r="BI3" s="1251">
        <v>0</v>
      </c>
    </row>
    <row customHeight="1" ht="33.75" hidden="1">
      <c r="A4" s="1459"/>
      <c r="B4" s="1459"/>
      <c r="C4" s="1459"/>
      <c r="D4" s="1459"/>
      <c r="E4" s="3116"/>
      <c r="F4" s="3116"/>
      <c r="G4" s="3115">
        <v>1</v>
      </c>
      <c r="H4" s="1459"/>
      <c r="I4" s="1459"/>
      <c r="J4" s="1459"/>
      <c r="K4" s="1459"/>
      <c r="L4" s="1460"/>
      <c r="M4" s="1461"/>
      <c r="N4" s="1461"/>
      <c r="O4" s="1461"/>
      <c r="P4" s="1508"/>
      <c r="Q4" s="1507"/>
      <c r="R4" s="460"/>
      <c r="S4" s="1589">
        <f>INDEX(PT_DIFFERENTIATION_NUM_CS,MATCH(C4,PT_DIFFERENTIATION_CS_ID,0))</f>
      </c>
      <c r="T4" s="417" t="s">
        <v>615</v>
      </c>
      <c r="U4" s="408"/>
      <c r="V4" s="3110"/>
      <c r="W4" s="3110"/>
      <c r="X4" s="3110"/>
      <c r="Y4" s="3110"/>
      <c r="Z4" s="3110"/>
      <c r="AA4" s="3110"/>
      <c r="AB4" s="3110"/>
      <c r="AC4" s="3111"/>
      <c r="AD4" s="3109">
        <f>INDEX(PT_DIFFERENTIATION_CS,MATCH(C4,PT_DIFFERENTIATION_CS_ID,0))</f>
      </c>
      <c r="AE4" s="3110"/>
      <c r="AF4" s="3110"/>
      <c r="AG4" s="3110"/>
      <c r="AH4" s="3110"/>
      <c r="AI4" s="3110"/>
      <c r="AJ4" s="3110"/>
      <c r="AK4" s="3110"/>
      <c r="AL4" s="3110"/>
      <c r="AM4" s="3110"/>
      <c r="AN4" s="3110"/>
      <c r="AO4" s="3110"/>
      <c r="AP4" s="3110"/>
      <c r="AQ4" s="3110"/>
      <c r="AR4" s="3110"/>
      <c r="AS4" s="3110"/>
      <c r="AT4" s="3110"/>
      <c r="AU4" s="3110"/>
      <c r="AV4" s="3110"/>
      <c r="AW4" s="3110"/>
      <c r="AX4" s="3110"/>
      <c r="AY4" s="3110"/>
      <c r="AZ4" s="3110"/>
      <c r="BA4" s="3110"/>
      <c r="BB4" s="3111"/>
      <c r="BC4" s="1354" t="s">
        <v>616</v>
      </c>
      <c r="BE4" s="607"/>
      <c r="BF4" s="607" t="str">
        <f>IF(T4="","",T4)</f>
        <v>Наименование централизованной системы горячего водоснабжения</v>
      </c>
      <c r="BG4" s="607"/>
      <c r="BH4" s="607"/>
      <c r="BI4" s="1251">
        <v>0</v>
      </c>
    </row>
    <row s="10307" customFormat="1" customHeight="1" ht="14.25" hidden="1">
      <c r="A5" s="1439"/>
      <c r="B5" s="1439"/>
      <c r="C5" s="1439"/>
      <c r="D5" s="1439"/>
      <c r="E5" s="3116"/>
      <c r="F5" s="3116"/>
      <c r="G5" s="3116"/>
      <c r="H5" s="3115">
        <v>1</v>
      </c>
      <c r="I5" s="1439"/>
      <c r="J5" s="1439"/>
      <c r="K5" s="1439"/>
      <c r="L5" s="1442"/>
      <c r="M5" s="1411"/>
      <c r="N5" s="1411"/>
      <c r="O5" s="1411"/>
      <c r="P5" s="1593"/>
      <c r="Q5" s="1594"/>
      <c r="R5" s="464"/>
      <c r="S5" s="1142"/>
      <c r="T5" s="1595"/>
      <c r="U5" s="1480"/>
      <c r="V5" s="3147"/>
      <c r="W5" s="3147"/>
      <c r="X5" s="3147"/>
      <c r="Y5" s="3147"/>
      <c r="Z5" s="3147"/>
      <c r="AA5" s="3147"/>
      <c r="AB5" s="3147"/>
      <c r="AC5" s="3148"/>
      <c r="AD5" s="3146"/>
      <c r="AE5" s="3147"/>
      <c r="AF5" s="3147"/>
      <c r="AG5" s="3147"/>
      <c r="AH5" s="3147"/>
      <c r="AI5" s="3147"/>
      <c r="AJ5" s="3147"/>
      <c r="AK5" s="3147"/>
      <c r="AL5" s="3147"/>
      <c r="AM5" s="3147"/>
      <c r="AN5" s="3147"/>
      <c r="AO5" s="3147"/>
      <c r="AP5" s="3147"/>
      <c r="AQ5" s="3147"/>
      <c r="AR5" s="3147"/>
      <c r="AS5" s="3147"/>
      <c r="AT5" s="3147"/>
      <c r="AU5" s="3147"/>
      <c r="AV5" s="3147"/>
      <c r="AW5" s="3147"/>
      <c r="AX5" s="3147"/>
      <c r="AY5" s="3147"/>
      <c r="AZ5" s="3147"/>
      <c r="BA5" s="3147"/>
      <c r="BB5" s="3148"/>
      <c r="BC5" s="1481" t="s">
        <v>487</v>
      </c>
      <c r="BE5" s="607"/>
      <c r="BF5" s="607" t="str">
        <f>IF(T5="","",T5)</f>
        <v/>
      </c>
      <c r="BG5" s="607"/>
      <c r="BH5" s="607"/>
      <c r="BI5" s="618">
        <v>0</v>
      </c>
    </row>
    <row s="10307" customFormat="1" customHeight="1" ht="14.25" hidden="1">
      <c r="A6" s="1439"/>
      <c r="B6" s="1439"/>
      <c r="C6" s="1439"/>
      <c r="D6" s="1439"/>
      <c r="E6" s="3116"/>
      <c r="F6" s="3116"/>
      <c r="G6" s="3116"/>
      <c r="H6" s="3116"/>
      <c r="I6" s="3117" t="str">
        <f>S5&amp;".1"</f>
        <v>.1</v>
      </c>
      <c r="J6" s="1439"/>
      <c r="K6" s="1439"/>
      <c r="L6" s="1442" t="s">
        <v>488</v>
      </c>
      <c r="M6" s="617"/>
      <c r="N6" s="617"/>
      <c r="O6" s="617"/>
      <c r="P6" s="3119">
        <v>1</v>
      </c>
      <c r="Q6" s="1577"/>
      <c r="R6" s="463"/>
      <c r="S6" s="1142"/>
      <c r="T6" s="1479"/>
      <c r="U6" s="1480"/>
      <c r="V6" s="3147"/>
      <c r="W6" s="3147"/>
      <c r="X6" s="3147"/>
      <c r="Y6" s="3147"/>
      <c r="Z6" s="3147"/>
      <c r="AA6" s="3147"/>
      <c r="AB6" s="3147"/>
      <c r="AC6" s="3148"/>
      <c r="AD6" s="3146"/>
      <c r="AE6" s="3147"/>
      <c r="AF6" s="3147"/>
      <c r="AG6" s="3147"/>
      <c r="AH6" s="3147"/>
      <c r="AI6" s="3147"/>
      <c r="AJ6" s="3147"/>
      <c r="AK6" s="3147"/>
      <c r="AL6" s="3147"/>
      <c r="AM6" s="3147"/>
      <c r="AN6" s="3147"/>
      <c r="AO6" s="3147"/>
      <c r="AP6" s="3147"/>
      <c r="AQ6" s="3147"/>
      <c r="AR6" s="3147"/>
      <c r="AS6" s="3147"/>
      <c r="AT6" s="3147"/>
      <c r="AU6" s="3147"/>
      <c r="AV6" s="3147"/>
      <c r="AW6" s="3147"/>
      <c r="AX6" s="3147"/>
      <c r="AY6" s="3147"/>
      <c r="AZ6" s="3147"/>
      <c r="BA6" s="3147"/>
      <c r="BB6" s="3148"/>
      <c r="BC6" s="1481"/>
      <c r="BE6" s="607"/>
      <c r="BF6" s="607" t="str">
        <f>IF(T6="","",T6)</f>
        <v/>
      </c>
      <c r="BG6" s="607"/>
      <c r="BH6" s="607"/>
      <c r="BI6" s="618">
        <v>0</v>
      </c>
    </row>
    <row s="10307" customFormat="1" customHeight="1" ht="14.25" hidden="1">
      <c r="A7" s="1439"/>
      <c r="B7" s="1439"/>
      <c r="C7" s="1439"/>
      <c r="D7" s="1439"/>
      <c r="E7" s="3116"/>
      <c r="F7" s="3116"/>
      <c r="G7" s="3116"/>
      <c r="H7" s="3116"/>
      <c r="I7" s="3118"/>
      <c r="J7" s="3117" t="str">
        <f>S5&amp;".1"</f>
        <v>.1</v>
      </c>
      <c r="K7" s="1439"/>
      <c r="L7" s="1442"/>
      <c r="M7" s="617"/>
      <c r="N7" s="617"/>
      <c r="O7" s="617"/>
      <c r="P7" s="3119"/>
      <c r="Q7" s="3119">
        <v>1</v>
      </c>
      <c r="R7" s="464"/>
      <c r="S7" s="1142"/>
      <c r="T7" s="1495"/>
      <c r="U7" s="1480"/>
      <c r="V7" s="3147"/>
      <c r="W7" s="3147"/>
      <c r="X7" s="3147"/>
      <c r="Y7" s="3147"/>
      <c r="Z7" s="3147"/>
      <c r="AA7" s="3147"/>
      <c r="AB7" s="3147"/>
      <c r="AC7" s="3148"/>
      <c r="AD7" s="3146"/>
      <c r="AE7" s="3147"/>
      <c r="AF7" s="3147"/>
      <c r="AG7" s="3147"/>
      <c r="AH7" s="3147"/>
      <c r="AI7" s="3147"/>
      <c r="AJ7" s="3147"/>
      <c r="AK7" s="3147"/>
      <c r="AL7" s="3147"/>
      <c r="AM7" s="3147"/>
      <c r="AN7" s="3147"/>
      <c r="AO7" s="3147"/>
      <c r="AP7" s="3147"/>
      <c r="AQ7" s="3147"/>
      <c r="AR7" s="3147"/>
      <c r="AS7" s="3147"/>
      <c r="AT7" s="3147"/>
      <c r="AU7" s="3147"/>
      <c r="AV7" s="3147"/>
      <c r="AW7" s="3147"/>
      <c r="AX7" s="3147"/>
      <c r="AY7" s="3147"/>
      <c r="AZ7" s="3147"/>
      <c r="BA7" s="3147"/>
      <c r="BB7" s="3148"/>
      <c r="BC7" s="1481"/>
      <c r="BE7" s="607"/>
      <c r="BF7" s="607" t="str">
        <f>IF(T7="","",T7)</f>
        <v/>
      </c>
      <c r="BG7" s="607"/>
      <c r="BH7" s="607"/>
      <c r="BI7" s="618">
        <v>0</v>
      </c>
    </row>
    <row customHeight="1" ht="11.25" hidden="1">
      <c r="A8" s="1459"/>
      <c r="B8" s="1459"/>
      <c r="C8" s="1459"/>
      <c r="D8" s="1459"/>
      <c r="E8" s="3116"/>
      <c r="F8" s="3116"/>
      <c r="G8" s="3116"/>
      <c r="H8" s="3116"/>
      <c r="I8" s="3118"/>
      <c r="J8" s="3118"/>
      <c r="K8" s="3117">
        <f>S4&amp;".1"</f>
      </c>
      <c r="L8" s="1460"/>
      <c r="P8" s="3119"/>
      <c r="Q8" s="3119"/>
      <c r="R8" s="3175">
        <v>1</v>
      </c>
      <c r="S8" s="3172">
        <f>$K8</f>
      </c>
      <c r="T8" s="3192"/>
      <c r="U8" s="408"/>
      <c r="V8" s="858"/>
      <c r="W8" s="1353"/>
      <c r="X8" s="858"/>
      <c r="Y8" s="1353"/>
      <c r="Z8" s="1830"/>
      <c r="AA8" s="1565" t="s">
        <v>62</v>
      </c>
      <c r="AB8" s="1830"/>
      <c r="AC8" s="1565" t="s">
        <v>62</v>
      </c>
      <c r="AD8" s="3060" t="s">
        <v>62</v>
      </c>
      <c r="AE8" s="3168"/>
      <c r="AF8" s="3073">
        <v>1</v>
      </c>
      <c r="AG8" s="3191"/>
      <c r="AH8" s="2989" t="s">
        <v>62</v>
      </c>
      <c r="AI8" s="3168"/>
      <c r="AJ8" s="3073">
        <v>1</v>
      </c>
      <c r="AK8" s="3182" t="s">
        <v>22</v>
      </c>
      <c r="AL8" s="2989" t="s">
        <v>62</v>
      </c>
      <c r="AM8" s="3048"/>
      <c r="AN8" s="3073">
        <v>1</v>
      </c>
      <c r="AO8" s="3195"/>
      <c r="AP8" s="3196" t="s">
        <v>62</v>
      </c>
      <c r="AQ8" s="419"/>
      <c r="AR8" s="1582">
        <v>1</v>
      </c>
      <c r="AS8" s="1588" t="s">
        <v>22</v>
      </c>
      <c r="AT8" s="858"/>
      <c r="AU8" s="1353"/>
      <c r="AV8" s="858"/>
      <c r="AW8" s="1353"/>
      <c r="AX8" s="1830"/>
      <c r="AY8" s="1565" t="s">
        <v>62</v>
      </c>
      <c r="AZ8" s="1830"/>
      <c r="BA8" s="1565" t="s">
        <v>62</v>
      </c>
      <c r="BB8" s="1444"/>
      <c r="BC8" s="3138" t="s">
        <v>586</v>
      </c>
      <c r="BE8" s="607"/>
      <c r="BF8" s="607" t="str">
        <f>IF(T8="","",T8)</f>
        <v/>
      </c>
      <c r="BG8" s="607"/>
      <c r="BH8" s="607"/>
      <c r="BI8" s="1251">
        <v>0</v>
      </c>
    </row>
    <row customHeight="1" ht="11.25" hidden="1">
      <c r="A9" s="1459"/>
      <c r="B9" s="1459"/>
      <c r="C9" s="1459"/>
      <c r="D9" s="1459"/>
      <c r="E9" s="3116"/>
      <c r="F9" s="3116"/>
      <c r="G9" s="3116"/>
      <c r="H9" s="3116"/>
      <c r="I9" s="3118"/>
      <c r="J9" s="3118"/>
      <c r="K9" s="3117"/>
      <c r="L9" s="1460"/>
      <c r="P9" s="3119"/>
      <c r="Q9" s="3119"/>
      <c r="R9" s="3175"/>
      <c r="S9" s="3173"/>
      <c r="T9" s="3193"/>
      <c r="U9" s="408"/>
      <c r="V9" s="1489"/>
      <c r="W9" s="1592"/>
      <c r="X9" s="1489"/>
      <c r="Y9" s="1592"/>
      <c r="Z9" s="1489"/>
      <c r="AA9" s="1489"/>
      <c r="AB9" s="1489"/>
      <c r="AC9" s="1489"/>
      <c r="AD9" s="3061"/>
      <c r="AE9" s="3168"/>
      <c r="AF9" s="3073"/>
      <c r="AG9" s="3191"/>
      <c r="AH9" s="2989"/>
      <c r="AI9" s="3168"/>
      <c r="AJ9" s="3073"/>
      <c r="AK9" s="3182"/>
      <c r="AL9" s="2989"/>
      <c r="AM9" s="3053"/>
      <c r="AN9" s="3073"/>
      <c r="AO9" s="3195"/>
      <c r="AP9" s="3197"/>
      <c r="AQ9" s="424"/>
      <c r="AR9" s="523"/>
      <c r="AS9" s="523" t="s">
        <v>587</v>
      </c>
      <c r="AT9" s="1489"/>
      <c r="AU9" s="1592"/>
      <c r="AV9" s="1489"/>
      <c r="AW9" s="1592"/>
      <c r="AX9" s="1489"/>
      <c r="AY9" s="1489"/>
      <c r="AZ9" s="1489"/>
      <c r="BA9" s="1489"/>
      <c r="BB9" s="1493"/>
      <c r="BC9" s="3139"/>
      <c r="BE9" s="607"/>
      <c r="BF9" s="607"/>
      <c r="BG9" s="607"/>
      <c r="BH9" s="607"/>
      <c r="BI9" s="1251">
        <v>0</v>
      </c>
    </row>
    <row customHeight="1" ht="11.25" hidden="1">
      <c r="A10" s="1459"/>
      <c r="B10" s="1459"/>
      <c r="C10" s="1459"/>
      <c r="D10" s="1459"/>
      <c r="E10" s="3116"/>
      <c r="F10" s="3116"/>
      <c r="G10" s="3116"/>
      <c r="H10" s="3116"/>
      <c r="I10" s="3118"/>
      <c r="J10" s="3118"/>
      <c r="K10" s="3117"/>
      <c r="L10" s="1460"/>
      <c r="P10" s="3119"/>
      <c r="Q10" s="3119"/>
      <c r="R10" s="3175"/>
      <c r="S10" s="3173"/>
      <c r="T10" s="3193"/>
      <c r="U10" s="408"/>
      <c r="V10" s="1489"/>
      <c r="W10" s="1592"/>
      <c r="X10" s="1489"/>
      <c r="Y10" s="1592"/>
      <c r="Z10" s="1489"/>
      <c r="AA10" s="1489"/>
      <c r="AB10" s="1489"/>
      <c r="AC10" s="1489"/>
      <c r="AD10" s="3061"/>
      <c r="AE10" s="3168"/>
      <c r="AF10" s="3073"/>
      <c r="AG10" s="3191"/>
      <c r="AH10" s="2989"/>
      <c r="AI10" s="3168"/>
      <c r="AJ10" s="3073"/>
      <c r="AK10" s="3182"/>
      <c r="AL10" s="2989"/>
      <c r="AM10" s="424"/>
      <c r="AN10" s="1596"/>
      <c r="AO10" s="1596" t="s">
        <v>588</v>
      </c>
      <c r="AP10" s="523"/>
      <c r="AQ10" s="523"/>
      <c r="AR10" s="523"/>
      <c r="AS10" s="1489"/>
      <c r="AT10" s="1489"/>
      <c r="AU10" s="1592"/>
      <c r="AV10" s="1489"/>
      <c r="AW10" s="1592"/>
      <c r="AX10" s="1489"/>
      <c r="AY10" s="1489"/>
      <c r="AZ10" s="1489"/>
      <c r="BA10" s="1489"/>
      <c r="BB10" s="1493"/>
      <c r="BC10" s="3139"/>
      <c r="BE10" s="607"/>
      <c r="BF10" s="607"/>
      <c r="BG10" s="607"/>
      <c r="BH10" s="607"/>
      <c r="BI10" s="1251">
        <v>0</v>
      </c>
    </row>
    <row customHeight="1" ht="11.25" hidden="1">
      <c r="A11" s="1459"/>
      <c r="B11" s="1459"/>
      <c r="C11" s="1459"/>
      <c r="D11" s="1459"/>
      <c r="E11" s="3116"/>
      <c r="F11" s="3116"/>
      <c r="G11" s="3116"/>
      <c r="H11" s="3116"/>
      <c r="I11" s="3118"/>
      <c r="J11" s="3118"/>
      <c r="K11" s="3117"/>
      <c r="L11" s="1460"/>
      <c r="P11" s="3119"/>
      <c r="Q11" s="3119"/>
      <c r="R11" s="3175"/>
      <c r="S11" s="3173"/>
      <c r="T11" s="3193"/>
      <c r="U11" s="408"/>
      <c r="V11" s="1489"/>
      <c r="W11" s="1592"/>
      <c r="X11" s="1489"/>
      <c r="Y11" s="1592"/>
      <c r="Z11" s="1489"/>
      <c r="AA11" s="1489"/>
      <c r="AB11" s="1489"/>
      <c r="AC11" s="1489"/>
      <c r="AD11" s="3061"/>
      <c r="AE11" s="3168"/>
      <c r="AF11" s="3073"/>
      <c r="AG11" s="3191"/>
      <c r="AH11" s="2989"/>
      <c r="AI11" s="402"/>
      <c r="AJ11" s="522"/>
      <c r="AK11" s="421" t="s">
        <v>589</v>
      </c>
      <c r="AL11" s="1489"/>
      <c r="AM11" s="1489"/>
      <c r="AN11" s="1489"/>
      <c r="AO11" s="1489"/>
      <c r="AP11" s="1489"/>
      <c r="AQ11" s="1489"/>
      <c r="AR11" s="1489"/>
      <c r="AS11" s="1489"/>
      <c r="AT11" s="1489"/>
      <c r="AU11" s="1592"/>
      <c r="AV11" s="1489"/>
      <c r="AW11" s="1592"/>
      <c r="AX11" s="1489"/>
      <c r="AY11" s="1489"/>
      <c r="AZ11" s="1489"/>
      <c r="BA11" s="1489"/>
      <c r="BB11" s="1493"/>
      <c r="BC11" s="3139"/>
      <c r="BE11" s="607"/>
      <c r="BF11" s="607"/>
      <c r="BG11" s="607"/>
      <c r="BH11" s="607"/>
      <c r="BI11" s="1251">
        <v>0</v>
      </c>
    </row>
    <row customHeight="1" ht="11.25" hidden="1">
      <c r="A12" s="1459"/>
      <c r="B12" s="1459"/>
      <c r="C12" s="1459"/>
      <c r="D12" s="1459"/>
      <c r="E12" s="3116"/>
      <c r="F12" s="3116"/>
      <c r="G12" s="3116"/>
      <c r="H12" s="3116"/>
      <c r="I12" s="3118"/>
      <c r="J12" s="3118"/>
      <c r="K12" s="3117"/>
      <c r="L12" s="1460"/>
      <c r="P12" s="3119"/>
      <c r="Q12" s="3119"/>
      <c r="R12" s="3175"/>
      <c r="S12" s="3174"/>
      <c r="T12" s="3194"/>
      <c r="U12" s="408"/>
      <c r="V12" s="1489"/>
      <c r="W12" s="1490" t="str">
        <f>Z8&amp;"-"&amp;AB8</f>
        <v>-</v>
      </c>
      <c r="X12" s="1489"/>
      <c r="Y12" s="1490" t="str">
        <f>AB8&amp;"-"&amp;AD8</f>
        <v>-да</v>
      </c>
      <c r="Z12" s="1489"/>
      <c r="AA12" s="1489"/>
      <c r="AB12" s="1489"/>
      <c r="AC12" s="1489"/>
      <c r="AD12" s="2994"/>
      <c r="AE12" s="420"/>
      <c r="AF12" s="422"/>
      <c r="AG12" s="523" t="s">
        <v>590</v>
      </c>
      <c r="AH12" s="1489"/>
      <c r="AI12" s="1489"/>
      <c r="AJ12" s="1489"/>
      <c r="AK12" s="1489"/>
      <c r="AL12" s="1489"/>
      <c r="AM12" s="1489"/>
      <c r="AN12" s="1489"/>
      <c r="AO12" s="1489"/>
      <c r="AP12" s="1489"/>
      <c r="AQ12" s="1489"/>
      <c r="AR12" s="1489"/>
      <c r="AS12" s="1489"/>
      <c r="AT12" s="1489"/>
      <c r="AU12" s="1490" t="str">
        <f>AX8&amp;"-"&amp;AZ8</f>
        <v>-</v>
      </c>
      <c r="AV12" s="1489"/>
      <c r="AW12" s="1490" t="str">
        <f>AZ8&amp;"-"&amp;BB8</f>
        <v>-</v>
      </c>
      <c r="AX12" s="1489"/>
      <c r="AY12" s="1489"/>
      <c r="AZ12" s="1489"/>
      <c r="BA12" s="1489"/>
      <c r="BB12" s="1492" t="str">
        <f>BE8&amp;"-"&amp;BG8</f>
        <v>-</v>
      </c>
      <c r="BC12" s="3139"/>
      <c r="BE12" s="607"/>
      <c r="BF12" s="607" t="str">
        <f>IF(T12="","",T12)</f>
        <v/>
      </c>
      <c r="BG12" s="607"/>
      <c r="BH12" s="607"/>
      <c r="BI12" s="1251">
        <v>0</v>
      </c>
    </row>
    <row customHeight="1" ht="11.25" hidden="1">
      <c r="A13" s="1459"/>
      <c r="B13" s="1459"/>
      <c r="C13" s="1459"/>
      <c r="D13" s="1459"/>
      <c r="E13" s="3116"/>
      <c r="F13" s="3116"/>
      <c r="G13" s="3116"/>
      <c r="H13" s="3116"/>
      <c r="I13" s="3118"/>
      <c r="J13" s="3117"/>
      <c r="K13" s="1459"/>
      <c r="L13" s="1460"/>
      <c r="P13" s="3119"/>
      <c r="Q13" s="3119"/>
      <c r="R13" s="463"/>
      <c r="S13" s="1374"/>
      <c r="T13" s="395" t="s">
        <v>553</v>
      </c>
      <c r="U13" s="474"/>
      <c r="V13" s="474"/>
      <c r="W13" s="474"/>
      <c r="X13" s="474"/>
      <c r="Y13" s="474"/>
      <c r="Z13" s="474"/>
      <c r="AA13" s="474"/>
      <c r="AB13" s="474"/>
      <c r="AC13" s="474"/>
      <c r="AD13" s="1601"/>
      <c r="AE13" s="474"/>
      <c r="AF13" s="474"/>
      <c r="AG13" s="474"/>
      <c r="AH13" s="474"/>
      <c r="AI13" s="474"/>
      <c r="AJ13" s="474"/>
      <c r="AK13" s="474"/>
      <c r="AL13" s="474"/>
      <c r="AM13" s="474"/>
      <c r="AN13" s="474"/>
      <c r="AO13" s="474"/>
      <c r="AP13" s="474"/>
      <c r="AQ13" s="474"/>
      <c r="AR13" s="474"/>
      <c r="AS13" s="474"/>
      <c r="AT13" s="474"/>
      <c r="AU13" s="474"/>
      <c r="AV13" s="474"/>
      <c r="AW13" s="474"/>
      <c r="AX13" s="474"/>
      <c r="AY13" s="474"/>
      <c r="AZ13" s="474"/>
      <c r="BA13" s="474"/>
      <c r="BB13" s="432"/>
      <c r="BC13" s="3140"/>
      <c r="BE13" s="607"/>
      <c r="BF13" s="607" t="str">
        <f>IF(T13="","",T13)</f>
        <v>Добавить строку</v>
      </c>
      <c r="BG13" s="607"/>
      <c r="BH13" s="607"/>
      <c r="BI13" s="1251">
        <v>0</v>
      </c>
    </row>
    <row s="10307" customFormat="1" customHeight="1" ht="14.25" hidden="1">
      <c r="A14" s="1439"/>
      <c r="B14" s="1439"/>
      <c r="C14" s="1439"/>
      <c r="D14" s="1439"/>
      <c r="E14" s="3116"/>
      <c r="F14" s="3116"/>
      <c r="G14" s="3116"/>
      <c r="H14" s="3116"/>
      <c r="I14" s="3117"/>
      <c r="J14" s="1439"/>
      <c r="K14" s="1439"/>
      <c r="L14" s="1442"/>
      <c r="M14" s="617"/>
      <c r="N14" s="617"/>
      <c r="O14" s="617"/>
      <c r="P14" s="3119"/>
      <c r="Q14" s="1577"/>
      <c r="R14" s="463"/>
      <c r="S14" s="1482"/>
      <c r="T14" s="1483"/>
      <c r="U14" s="1484"/>
      <c r="V14" s="1484"/>
      <c r="W14" s="1484"/>
      <c r="X14" s="1484"/>
      <c r="Y14" s="1484"/>
      <c r="Z14" s="1484"/>
      <c r="AA14" s="1484"/>
      <c r="AB14" s="1484"/>
      <c r="AC14" s="1484"/>
      <c r="AD14" s="1484"/>
      <c r="AE14" s="1484"/>
      <c r="AF14" s="1484"/>
      <c r="AG14" s="1484"/>
      <c r="AH14" s="1484"/>
      <c r="AI14" s="1484"/>
      <c r="AJ14" s="1484"/>
      <c r="AK14" s="1484"/>
      <c r="AL14" s="1484"/>
      <c r="AM14" s="1484"/>
      <c r="AN14" s="1484"/>
      <c r="AO14" s="1484"/>
      <c r="AP14" s="1484"/>
      <c r="AQ14" s="1484"/>
      <c r="AR14" s="1484"/>
      <c r="AS14" s="1484"/>
      <c r="AT14" s="1484"/>
      <c r="AU14" s="1484"/>
      <c r="AV14" s="1484"/>
      <c r="AW14" s="1484"/>
      <c r="AX14" s="1484"/>
      <c r="AY14" s="1484"/>
      <c r="AZ14" s="1484"/>
      <c r="BA14" s="1484"/>
      <c r="BB14" s="1484"/>
      <c r="BC14" s="1485"/>
      <c r="BE14" s="607"/>
      <c r="BF14" s="607" t="str">
        <f>IF(T14="","",T14)</f>
        <v/>
      </c>
      <c r="BG14" s="607"/>
      <c r="BH14" s="607"/>
      <c r="BI14" s="618">
        <v>0</v>
      </c>
    </row>
    <row s="10307" customFormat="1" customHeight="1" ht="14.25" hidden="1">
      <c r="A15" s="1439"/>
      <c r="B15" s="1439"/>
      <c r="C15" s="1439"/>
      <c r="D15" s="1439"/>
      <c r="E15" s="3116"/>
      <c r="F15" s="3116"/>
      <c r="G15" s="3116"/>
      <c r="H15" s="3115"/>
      <c r="I15" s="1439"/>
      <c r="J15" s="1439"/>
      <c r="K15" s="1439"/>
      <c r="L15" s="1442"/>
      <c r="M15" s="1411"/>
      <c r="N15" s="1411"/>
      <c r="O15" s="625"/>
      <c r="P15" s="487"/>
      <c r="Q15" s="1440"/>
      <c r="R15" s="1497"/>
      <c r="S15" s="1482"/>
      <c r="T15" s="1483"/>
      <c r="U15" s="1484"/>
      <c r="V15" s="1484"/>
      <c r="W15" s="1484"/>
      <c r="X15" s="1484"/>
      <c r="Y15" s="1484"/>
      <c r="Z15" s="1484"/>
      <c r="AA15" s="1484"/>
      <c r="AB15" s="1484"/>
      <c r="AC15" s="1484"/>
      <c r="AD15" s="1484"/>
      <c r="AE15" s="1484"/>
      <c r="AF15" s="1484"/>
      <c r="AG15" s="1484"/>
      <c r="AH15" s="1484"/>
      <c r="AI15" s="1484"/>
      <c r="AJ15" s="1484"/>
      <c r="AK15" s="1484"/>
      <c r="AL15" s="1484"/>
      <c r="AM15" s="1484"/>
      <c r="AN15" s="1484"/>
      <c r="AO15" s="1484"/>
      <c r="AP15" s="1484"/>
      <c r="AQ15" s="1484"/>
      <c r="AR15" s="1484"/>
      <c r="AS15" s="1484"/>
      <c r="AT15" s="1484"/>
      <c r="AU15" s="1484"/>
      <c r="AV15" s="1484"/>
      <c r="AW15" s="1484"/>
      <c r="AX15" s="1484"/>
      <c r="AY15" s="1484"/>
      <c r="AZ15" s="1484"/>
      <c r="BA15" s="1484"/>
      <c r="BB15" s="1484"/>
      <c r="BC15" s="1485"/>
      <c r="BE15" s="607"/>
      <c r="BF15" s="607" t="str">
        <f>IF(T15="","",T15)</f>
        <v/>
      </c>
      <c r="BG15" s="607"/>
      <c r="BH15" s="607"/>
      <c r="BI15" s="618">
        <v>0</v>
      </c>
    </row>
    <row s="10307" customFormat="1" customHeight="1" ht="14.25" hidden="1">
      <c r="A16" s="1439"/>
      <c r="B16" s="1439"/>
      <c r="C16" s="1439"/>
      <c r="D16" s="1410"/>
      <c r="E16" s="3116"/>
      <c r="F16" s="3116"/>
      <c r="G16" s="3115"/>
      <c r="H16" s="1410"/>
      <c r="I16" s="1410"/>
      <c r="J16" s="1410"/>
      <c r="K16" s="1410"/>
      <c r="L16" s="1590"/>
      <c r="M16" s="1411"/>
      <c r="N16" s="1411"/>
      <c r="P16" s="1412"/>
      <c r="Q16" s="1413"/>
      <c r="R16" s="1412"/>
      <c r="S16" s="1418"/>
      <c r="T16" s="1421"/>
      <c r="U16" s="1420"/>
      <c r="V16" s="1420"/>
      <c r="W16" s="1420"/>
      <c r="X16" s="1420"/>
      <c r="Y16" s="1420"/>
      <c r="Z16" s="1420"/>
      <c r="AA16" s="1420"/>
      <c r="AB16" s="1420"/>
      <c r="AC16" s="1420"/>
      <c r="AD16" s="1420"/>
      <c r="AE16" s="1420"/>
      <c r="AF16" s="1420"/>
      <c r="AG16" s="1420"/>
      <c r="AH16" s="1420"/>
      <c r="AI16" s="1420"/>
      <c r="AJ16" s="1420"/>
      <c r="AK16" s="1420"/>
      <c r="AL16" s="1420"/>
      <c r="AM16" s="1420"/>
      <c r="AN16" s="1420"/>
      <c r="AO16" s="1420"/>
      <c r="AP16" s="1420"/>
      <c r="AQ16" s="1420"/>
      <c r="AR16" s="1420"/>
      <c r="AS16" s="1420"/>
      <c r="AT16" s="1420"/>
      <c r="AU16" s="1420"/>
      <c r="AV16" s="1420"/>
      <c r="AW16" s="1420"/>
      <c r="AX16" s="1420"/>
      <c r="AY16" s="1420"/>
      <c r="AZ16" s="1420"/>
      <c r="BA16" s="1420"/>
      <c r="BB16" s="1420"/>
      <c r="BC16" s="1420"/>
      <c r="BE16" s="890"/>
      <c r="BF16" s="890" t="str">
        <f>IF(T16="","",T16)</f>
        <v/>
      </c>
      <c r="BG16" s="890"/>
      <c r="BH16" s="890"/>
      <c r="BI16" s="625">
        <v>0</v>
      </c>
    </row>
    <row s="10307" customFormat="1" customHeight="1" ht="14.25" hidden="1">
      <c r="A17" s="1439"/>
      <c r="B17" s="1439"/>
      <c r="C17" s="1410"/>
      <c r="D17" s="1410"/>
      <c r="E17" s="3116"/>
      <c r="F17" s="3115"/>
      <c r="G17" s="1410"/>
      <c r="H17" s="1410"/>
      <c r="I17" s="1410"/>
      <c r="J17" s="1410"/>
      <c r="K17" s="1410"/>
      <c r="L17" s="1590"/>
      <c r="M17" s="1417"/>
      <c r="N17" s="1417"/>
      <c r="P17" s="1412"/>
      <c r="Q17" s="1413"/>
      <c r="R17" s="1412"/>
      <c r="S17" s="1418"/>
      <c r="T17" s="1421" t="s">
        <v>500</v>
      </c>
      <c r="U17" s="1420"/>
      <c r="V17" s="1420"/>
      <c r="W17" s="1420"/>
      <c r="X17" s="1420"/>
      <c r="Y17" s="1420"/>
      <c r="Z17" s="1420"/>
      <c r="AA17" s="1420"/>
      <c r="AB17" s="1420"/>
      <c r="AC17" s="1420"/>
      <c r="AD17" s="1420"/>
      <c r="AE17" s="1420"/>
      <c r="AF17" s="1420"/>
      <c r="AG17" s="1420"/>
      <c r="AH17" s="1420"/>
      <c r="AI17" s="1420"/>
      <c r="AJ17" s="1420"/>
      <c r="AK17" s="1420"/>
      <c r="AL17" s="1420"/>
      <c r="AM17" s="1420"/>
      <c r="AN17" s="1420"/>
      <c r="AO17" s="1420"/>
      <c r="AP17" s="1420"/>
      <c r="AQ17" s="1420"/>
      <c r="AR17" s="1420"/>
      <c r="AS17" s="1420"/>
      <c r="AT17" s="1420"/>
      <c r="AU17" s="1420"/>
      <c r="AV17" s="1420"/>
      <c r="AW17" s="1420"/>
      <c r="AX17" s="1420"/>
      <c r="AY17" s="1420"/>
      <c r="AZ17" s="1420"/>
      <c r="BA17" s="1420"/>
      <c r="BB17" s="1420"/>
      <c r="BC17" s="1420"/>
      <c r="BE17" s="890"/>
      <c r="BF17" s="890" t="str">
        <f>IF(T17="","",T17)</f>
        <v>Добавить централизованную систему для дифференциации</v>
      </c>
      <c r="BG17" s="890"/>
      <c r="BH17" s="890"/>
      <c r="BI17" s="625">
        <v>0</v>
      </c>
    </row>
    <row s="10307" customFormat="1" customHeight="1" ht="14.25" hidden="1">
      <c r="A18" s="1439"/>
      <c r="B18" s="1439"/>
      <c r="C18" s="1439"/>
      <c r="D18" s="1439"/>
      <c r="E18" s="3115"/>
      <c r="F18" s="1439"/>
      <c r="G18" s="1439"/>
      <c r="H18" s="1439"/>
      <c r="I18" s="1439"/>
      <c r="J18" s="1439"/>
      <c r="K18" s="1439"/>
      <c r="L18" s="1442"/>
      <c r="M18" s="1417"/>
      <c r="N18" s="1417"/>
      <c r="O18" s="625"/>
      <c r="P18" s="487"/>
      <c r="Q18" s="1440"/>
      <c r="R18" s="487"/>
      <c r="S18" s="1418"/>
      <c r="T18" s="1421" t="s">
        <v>501</v>
      </c>
      <c r="U18" s="1420"/>
      <c r="V18" s="1420"/>
      <c r="W18" s="1420"/>
      <c r="X18" s="1420"/>
      <c r="Y18" s="1420"/>
      <c r="Z18" s="1420"/>
      <c r="AA18" s="1420"/>
      <c r="AB18" s="1420"/>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E18" s="607"/>
      <c r="BF18" s="607" t="str">
        <f>IF(T18="","",T18)</f>
        <v>Добавить территорию для дифференциации</v>
      </c>
      <c r="BG18" s="607"/>
      <c r="BH18" s="607"/>
      <c r="BI18" s="618">
        <v>0</v>
      </c>
    </row>
    <row customHeight="1" ht="14.25" hidden="1">
      <c r="AC19" s="435"/>
      <c r="BA19" s="435"/>
      <c r="BI19" s="1251">
        <v>0</v>
      </c>
    </row>
    <row customHeight="1" ht="14.25" hidden="1">
      <c r="AD20" s="1420" t="s">
        <v>19</v>
      </c>
      <c r="AE20" s="1597"/>
      <c r="AF20" s="655">
        <v>1</v>
      </c>
      <c r="AG20" s="1598"/>
      <c r="AH20" s="1420" t="s">
        <v>19</v>
      </c>
      <c r="AI20" s="1597"/>
      <c r="AJ20" s="655">
        <v>1</v>
      </c>
      <c r="AK20" s="1598"/>
      <c r="AL20" s="1420" t="s">
        <v>19</v>
      </c>
      <c r="AM20" s="1599"/>
      <c r="AN20" s="655">
        <v>1</v>
      </c>
      <c r="AO20" s="1600"/>
      <c r="AP20" s="1420" t="s">
        <v>19</v>
      </c>
      <c r="AQ20" s="1599"/>
      <c r="AR20" s="655">
        <v>1</v>
      </c>
      <c r="AS20" s="1600"/>
      <c r="AT20" s="433"/>
      <c r="AU20" s="491"/>
      <c r="AV20" s="433"/>
      <c r="AW20" s="491"/>
      <c r="AX20" s="1832"/>
      <c r="AY20" s="1581" t="s">
        <v>62</v>
      </c>
      <c r="AZ20" s="1832"/>
      <c r="BA20" s="1581" t="s">
        <v>62</v>
      </c>
      <c r="BI20" s="1251">
        <v>0</v>
      </c>
    </row>
    <row customHeight="1" ht="14.25" hidden="1">
      <c r="BD21" s="603"/>
      <c r="BE21" s="603"/>
      <c r="BF21" s="603"/>
      <c r="BG21" s="603"/>
      <c r="BH21" s="603"/>
      <c r="BI21" s="1251">
        <v>0</v>
      </c>
    </row>
    <row customHeight="1" ht="14.25" hidden="1">
      <c r="O22" s="1463" t="s">
        <v>502</v>
      </c>
      <c r="Z22" s="1441"/>
      <c r="AB22" s="1441"/>
      <c r="AC22" s="435"/>
      <c r="AX22" s="1441"/>
      <c r="AZ22" s="1441"/>
      <c r="BA22" s="435"/>
      <c r="BD22" s="603"/>
      <c r="BE22" s="603"/>
      <c r="BF22" s="603"/>
      <c r="BG22" s="603"/>
      <c r="BH22" s="603"/>
      <c r="BI22" s="1251">
        <v>0</v>
      </c>
    </row>
    <row customHeight="1" ht="14.25" hidden="1">
      <c r="AC23" s="435"/>
      <c r="BA23" s="435"/>
      <c r="BD23" s="603"/>
      <c r="BE23" s="603"/>
      <c r="BF23" s="603"/>
      <c r="BG23" s="603"/>
      <c r="BH23" s="603"/>
      <c r="BI23" s="1251">
        <v>0</v>
      </c>
    </row>
    <row s="11218" customFormat="1" customHeight="1" ht="14.25" hidden="1">
      <c r="M24" s="1604"/>
      <c r="N24" s="1604"/>
      <c r="O24" s="1605" t="s">
        <v>503</v>
      </c>
      <c r="P24" s="1604"/>
      <c r="Q24" s="1606"/>
      <c r="R24" s="1606"/>
      <c r="AA24" s="1603" t="s">
        <v>505</v>
      </c>
      <c r="AC24" s="1603" t="s">
        <v>506</v>
      </c>
      <c r="AD24" s="1603" t="s">
        <v>554</v>
      </c>
      <c r="AH24" s="1603" t="s">
        <v>554</v>
      </c>
      <c r="AK24" s="1603" t="s">
        <v>591</v>
      </c>
      <c r="AL24" s="1603" t="s">
        <v>554</v>
      </c>
      <c r="AP24" s="1603" t="s">
        <v>554</v>
      </c>
      <c r="AY24" s="1603" t="s">
        <v>505</v>
      </c>
      <c r="BA24" s="1603" t="s">
        <v>506</v>
      </c>
      <c r="BD24" s="1607"/>
      <c r="BE24" s="1607"/>
      <c r="BF24" s="1607"/>
      <c r="BG24" s="1607"/>
      <c r="BH24" s="1607"/>
      <c r="BI24" s="1603">
        <v>0</v>
      </c>
    </row>
    <row customHeight="1" ht="14.25" hidden="1">
      <c r="O25" s="1460"/>
      <c r="BD25" s="603"/>
      <c r="BE25" s="603"/>
      <c r="BF25" s="603"/>
      <c r="BG25" s="603"/>
      <c r="BH25" s="603"/>
      <c r="BI25" s="1251">
        <v>0</v>
      </c>
    </row>
    <row customHeight="1" ht="14.25" hidden="1">
      <c r="O26" s="1460"/>
      <c r="BD26" s="603"/>
      <c r="BE26" s="603"/>
      <c r="BF26" s="603"/>
      <c r="BG26" s="603"/>
      <c r="BH26" s="603"/>
      <c r="BI26" s="1251">
        <v>0</v>
      </c>
    </row>
    <row customHeight="1" ht="14.699999999999998">
      <c r="Q27" s="399"/>
      <c r="R27" s="483"/>
      <c r="S27" s="1371"/>
      <c r="T27" s="470"/>
      <c r="U27" s="470"/>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6"/>
      <c r="AZ27" s="616"/>
      <c r="BA27" s="616"/>
      <c r="BI27" s="1251">
        <v>14</v>
      </c>
    </row>
    <row customHeight="1" ht="14.699999999999998">
      <c r="Q28" s="399"/>
      <c r="R28" s="483"/>
      <c r="S28" s="309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096"/>
      <c r="U28" s="3096"/>
      <c r="V28" s="3096"/>
      <c r="W28" s="3096"/>
      <c r="X28" s="3096"/>
      <c r="Y28" s="3096"/>
      <c r="Z28" s="3096"/>
      <c r="AA28" s="3096"/>
      <c r="AB28" s="3096"/>
      <c r="AC28" s="3096"/>
      <c r="AD28" s="3096"/>
      <c r="AE28" s="3096"/>
      <c r="AF28" s="3096"/>
      <c r="AG28" s="3096"/>
      <c r="AH28" s="3096"/>
      <c r="AI28" s="3096"/>
      <c r="AJ28" s="3096"/>
      <c r="AK28" s="3096"/>
      <c r="AL28" s="3096"/>
      <c r="AM28" s="3096"/>
      <c r="AN28" s="3096"/>
      <c r="AO28" s="3096"/>
      <c r="AP28" s="3096"/>
      <c r="AQ28" s="3096"/>
      <c r="AR28" s="3096"/>
      <c r="AS28" s="3096"/>
      <c r="AT28" s="3096"/>
      <c r="AU28" s="3096"/>
      <c r="AV28" s="3096"/>
      <c r="AW28" s="3096"/>
      <c r="AX28" s="3096"/>
      <c r="AY28" s="3096"/>
      <c r="AZ28" s="3096"/>
      <c r="BA28" s="1339"/>
      <c r="BI28" s="1251">
        <v>14</v>
      </c>
    </row>
    <row customHeight="1" ht="14.699999999999998">
      <c r="Q29" s="399"/>
      <c r="R29" s="483"/>
      <c r="S29" s="3069" t="str">
        <f>IF(org=0,"Не определено",org)</f>
        <v>АО "ДГК"</v>
      </c>
      <c r="T29" s="3069"/>
      <c r="U29" s="3069"/>
      <c r="V29" s="3069"/>
      <c r="W29" s="3069"/>
      <c r="X29" s="3069"/>
      <c r="Y29" s="3069"/>
      <c r="Z29" s="3069"/>
      <c r="AA29" s="3069"/>
      <c r="AB29" s="3069"/>
      <c r="AC29" s="3069"/>
      <c r="AD29" s="3069"/>
      <c r="AE29" s="3069"/>
      <c r="AF29" s="3069"/>
      <c r="AG29" s="3069"/>
      <c r="AH29" s="3069"/>
      <c r="AI29" s="3069"/>
      <c r="AJ29" s="3069"/>
      <c r="AK29" s="3069"/>
      <c r="AL29" s="3069"/>
      <c r="AM29" s="3069"/>
      <c r="AN29" s="3069"/>
      <c r="AO29" s="3069"/>
      <c r="AP29" s="3069"/>
      <c r="AQ29" s="3069"/>
      <c r="AR29" s="3069"/>
      <c r="AS29" s="3069"/>
      <c r="AT29" s="3069"/>
      <c r="AU29" s="3069"/>
      <c r="AV29" s="3069"/>
      <c r="AW29" s="3069"/>
      <c r="AX29" s="3069"/>
      <c r="AY29" s="3069"/>
      <c r="AZ29" s="3069"/>
      <c r="BA29" s="1339"/>
      <c r="BI29" s="1251">
        <v>14</v>
      </c>
    </row>
    <row customHeight="1" ht="14.25" hidden="1">
      <c r="Q30" s="399"/>
      <c r="R30" s="483"/>
      <c r="S30" s="1371"/>
      <c r="T30" s="470"/>
      <c r="U30" s="47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0"/>
      <c r="AZ30" s="430"/>
      <c r="BA30" s="430"/>
      <c r="BB30" s="616"/>
      <c r="BI30" s="1251">
        <v>0</v>
      </c>
    </row>
    <row s="10446" customFormat="1" customHeight="1" ht="25.5" hidden="1">
      <c r="A31" s="1464"/>
      <c r="B31" s="1464"/>
      <c r="C31" s="1464"/>
      <c r="D31" s="1464"/>
      <c r="E31" s="1464"/>
      <c r="F31" s="1464"/>
      <c r="G31" s="1464"/>
      <c r="H31" s="1464"/>
      <c r="I31" s="1464"/>
      <c r="J31" s="1464"/>
      <c r="K31" s="1464"/>
      <c r="L31" s="1465"/>
      <c r="M31" s="1464"/>
      <c r="N31" s="1464"/>
      <c r="O31" s="1464"/>
      <c r="P31" s="1464"/>
      <c r="Q31" s="1464"/>
      <c r="S31" s="3106" t="s">
        <v>41</v>
      </c>
      <c r="T31" s="3106"/>
      <c r="U31" s="1468"/>
      <c r="V31" s="3108" t="str">
        <f>IF(TITLE_NAME_OR_PR_CHANGE="",IF(TITLE_NAME_OR_PR="","",TITLE_NAME_OR_PR),TITLE_NAME_OR_PR_CHANGE)</f>
        <v/>
      </c>
      <c r="W31" s="3108"/>
      <c r="X31" s="3108"/>
      <c r="Y31" s="3108"/>
      <c r="Z31" s="3108"/>
      <c r="AA31" s="3108"/>
      <c r="AB31" s="3108"/>
      <c r="AC31" s="434"/>
      <c r="AD31" s="3108" t="str">
        <f>IF(TITLE_NAME_OR_PR_CHANGE="",IF(TITLE_NAME_OR_PR="","",TITLE_NAME_OR_PR),TITLE_NAME_OR_PR_CHANGE)</f>
        <v/>
      </c>
      <c r="AE31" s="3108"/>
      <c r="AF31" s="3108"/>
      <c r="AG31" s="3108"/>
      <c r="AH31" s="3108"/>
      <c r="AI31" s="3108"/>
      <c r="AJ31" s="3108"/>
      <c r="AK31" s="3108"/>
      <c r="AL31" s="3108"/>
      <c r="AM31" s="3108"/>
      <c r="AN31" s="3108"/>
      <c r="AO31" s="3108"/>
      <c r="AP31" s="3108"/>
      <c r="AQ31" s="3108"/>
      <c r="AR31" s="3108"/>
      <c r="AS31" s="3108"/>
      <c r="AT31" s="3108"/>
      <c r="AU31" s="3108"/>
      <c r="AV31" s="3108"/>
      <c r="AW31" s="3108"/>
      <c r="AX31" s="3108"/>
      <c r="AY31" s="3108"/>
      <c r="AZ31" s="3108"/>
      <c r="BA31" s="434"/>
      <c r="BB31" s="434"/>
      <c r="BC31" s="388"/>
      <c r="BD31" s="475"/>
      <c r="BE31" s="475"/>
      <c r="BF31" s="475"/>
      <c r="BG31" s="475"/>
      <c r="BH31" s="475"/>
      <c r="BI31" s="525">
        <v>0</v>
      </c>
    </row>
    <row s="10446" customFormat="1" customHeight="1" ht="18.75" hidden="1">
      <c r="A32" s="1464"/>
      <c r="B32" s="1464"/>
      <c r="C32" s="1464"/>
      <c r="D32" s="1464"/>
      <c r="E32" s="1464"/>
      <c r="F32" s="1464"/>
      <c r="G32" s="1464"/>
      <c r="H32" s="1464"/>
      <c r="I32" s="1464"/>
      <c r="J32" s="1464"/>
      <c r="K32" s="1464"/>
      <c r="L32" s="1465"/>
      <c r="M32" s="1464"/>
      <c r="N32" s="1464"/>
      <c r="O32" s="1464"/>
      <c r="P32" s="1464"/>
      <c r="Q32" s="1464"/>
      <c r="S32" s="3106" t="s">
        <v>508</v>
      </c>
      <c r="T32" s="3106"/>
      <c r="U32" s="1468"/>
      <c r="V32" s="3107" t="str">
        <f>IF(TITLE_DATE_PR_CHANGE="",IF(TITLE_DATE_PR="","",TITLE_DATE_PR),TITLE_DATE_PR_CHANGE)</f>
        <v/>
      </c>
      <c r="W32" s="3107"/>
      <c r="X32" s="3107"/>
      <c r="Y32" s="3107"/>
      <c r="Z32" s="3107"/>
      <c r="AA32" s="3107"/>
      <c r="AB32" s="3107"/>
      <c r="AC32" s="434"/>
      <c r="AD32" s="3107" t="str">
        <f>IF(TITLE_DATE_PR_CHANGE="",IF(TITLE_DATE_PR="","",TITLE_DATE_PR),TITLE_DATE_PR_CHANGE)</f>
        <v/>
      </c>
      <c r="AE32" s="3107"/>
      <c r="AF32" s="3107"/>
      <c r="AG32" s="3107"/>
      <c r="AH32" s="3107"/>
      <c r="AI32" s="3107"/>
      <c r="AJ32" s="3107"/>
      <c r="AK32" s="3107"/>
      <c r="AL32" s="3107"/>
      <c r="AM32" s="3107"/>
      <c r="AN32" s="3107"/>
      <c r="AO32" s="3107"/>
      <c r="AP32" s="3107"/>
      <c r="AQ32" s="3107"/>
      <c r="AR32" s="3107"/>
      <c r="AS32" s="3107"/>
      <c r="AT32" s="3107"/>
      <c r="AU32" s="3107"/>
      <c r="AV32" s="3107"/>
      <c r="AW32" s="3107"/>
      <c r="AX32" s="3107"/>
      <c r="AY32" s="3107"/>
      <c r="AZ32" s="3107"/>
      <c r="BA32" s="434"/>
      <c r="BB32" s="434"/>
      <c r="BC32" s="388"/>
      <c r="BD32" s="475"/>
      <c r="BE32" s="475"/>
      <c r="BF32" s="475"/>
      <c r="BG32" s="475"/>
      <c r="BH32" s="475"/>
      <c r="BI32" s="525">
        <v>0</v>
      </c>
    </row>
    <row s="10446" customFormat="1" customHeight="1" ht="18.75" hidden="1">
      <c r="A33" s="1464"/>
      <c r="B33" s="1464"/>
      <c r="C33" s="1464"/>
      <c r="D33" s="1464"/>
      <c r="E33" s="1464"/>
      <c r="F33" s="1464"/>
      <c r="G33" s="1464"/>
      <c r="H33" s="1464"/>
      <c r="I33" s="1464"/>
      <c r="J33" s="1464"/>
      <c r="K33" s="1464"/>
      <c r="L33" s="1465"/>
      <c r="M33" s="1464"/>
      <c r="N33" s="1464"/>
      <c r="O33" s="1464"/>
      <c r="P33" s="1464"/>
      <c r="Q33" s="1464"/>
      <c r="S33" s="3106" t="s">
        <v>509</v>
      </c>
      <c r="T33" s="3106"/>
      <c r="U33" s="1468"/>
      <c r="V33" s="3108" t="str">
        <f>IF(TITLE_NUMBER_PR_CHANGE="",IF(TITLE_NUMBER_PR="","",TITLE_NUMBER_PR),TITLE_NUMBER_PR_CHANGE)</f>
        <v/>
      </c>
      <c r="W33" s="3108"/>
      <c r="X33" s="3108"/>
      <c r="Y33" s="3108"/>
      <c r="Z33" s="3108"/>
      <c r="AA33" s="3108"/>
      <c r="AB33" s="3108"/>
      <c r="AC33" s="434"/>
      <c r="AD33" s="3108" t="str">
        <f>IF(TITLE_NUMBER_PR_CHANGE="",IF(TITLE_NUMBER_PR="","",TITLE_NUMBER_PR),TITLE_NUMBER_PR_CHANGE)</f>
        <v/>
      </c>
      <c r="AE33" s="3108"/>
      <c r="AF33" s="3108"/>
      <c r="AG33" s="3108"/>
      <c r="AH33" s="3108"/>
      <c r="AI33" s="3108"/>
      <c r="AJ33" s="3108"/>
      <c r="AK33" s="3108"/>
      <c r="AL33" s="3108"/>
      <c r="AM33" s="3108"/>
      <c r="AN33" s="3108"/>
      <c r="AO33" s="3108"/>
      <c r="AP33" s="3108"/>
      <c r="AQ33" s="3108"/>
      <c r="AR33" s="3108"/>
      <c r="AS33" s="3108"/>
      <c r="AT33" s="3108"/>
      <c r="AU33" s="3108"/>
      <c r="AV33" s="3108"/>
      <c r="AW33" s="3108"/>
      <c r="AX33" s="3108"/>
      <c r="AY33" s="3108"/>
      <c r="AZ33" s="3108"/>
      <c r="BA33" s="434"/>
      <c r="BB33" s="434"/>
      <c r="BC33" s="388"/>
      <c r="BD33" s="475"/>
      <c r="BE33" s="475"/>
      <c r="BF33" s="475"/>
      <c r="BG33" s="475"/>
      <c r="BH33" s="475"/>
      <c r="BI33" s="525">
        <v>0</v>
      </c>
    </row>
    <row s="10446" customFormat="1" customHeight="1" ht="18.75" hidden="1">
      <c r="A34" s="1464"/>
      <c r="B34" s="1464"/>
      <c r="C34" s="1464"/>
      <c r="D34" s="1464"/>
      <c r="E34" s="1464"/>
      <c r="F34" s="1464"/>
      <c r="G34" s="1464"/>
      <c r="H34" s="1464"/>
      <c r="I34" s="1464"/>
      <c r="J34" s="1464"/>
      <c r="K34" s="1464"/>
      <c r="L34" s="1465"/>
      <c r="M34" s="1464"/>
      <c r="N34" s="1464"/>
      <c r="O34" s="1464"/>
      <c r="P34" s="1464"/>
      <c r="Q34" s="1464"/>
      <c r="S34" s="3106" t="s">
        <v>42</v>
      </c>
      <c r="T34" s="3106"/>
      <c r="U34" s="1468"/>
      <c r="V34" s="3108" t="str">
        <f>IF(TITLE_IST_PUB_CHANGE="",IF(TITLE_IST_PUB="","",TITLE_IST_PUB),TITLE_IST_PUB_CHANGE)</f>
        <v/>
      </c>
      <c r="W34" s="3108"/>
      <c r="X34" s="3108"/>
      <c r="Y34" s="3108"/>
      <c r="Z34" s="3108"/>
      <c r="AA34" s="3108"/>
      <c r="AB34" s="3108"/>
      <c r="AC34" s="434"/>
      <c r="AD34" s="3108" t="str">
        <f>IF(TITLE_IST_PUB_CHANGE="",IF(TITLE_IST_PUB="","",TITLE_IST_PUB),TITLE_IST_PUB_CHANGE)</f>
        <v/>
      </c>
      <c r="AE34" s="3108"/>
      <c r="AF34" s="3108"/>
      <c r="AG34" s="3108"/>
      <c r="AH34" s="3108"/>
      <c r="AI34" s="3108"/>
      <c r="AJ34" s="3108"/>
      <c r="AK34" s="3108"/>
      <c r="AL34" s="3108"/>
      <c r="AM34" s="3108"/>
      <c r="AN34" s="3108"/>
      <c r="AO34" s="3108"/>
      <c r="AP34" s="3108"/>
      <c r="AQ34" s="3108"/>
      <c r="AR34" s="3108"/>
      <c r="AS34" s="3108"/>
      <c r="AT34" s="3108"/>
      <c r="AU34" s="3108"/>
      <c r="AV34" s="3108"/>
      <c r="AW34" s="3108"/>
      <c r="AX34" s="3108"/>
      <c r="AY34" s="3108"/>
      <c r="AZ34" s="3108"/>
      <c r="BA34" s="434"/>
      <c r="BB34" s="434"/>
      <c r="BC34" s="388"/>
      <c r="BD34" s="475"/>
      <c r="BE34" s="475"/>
      <c r="BF34" s="475"/>
      <c r="BG34" s="475"/>
      <c r="BH34" s="475"/>
      <c r="BI34" s="525">
        <v>0</v>
      </c>
    </row>
    <row customHeight="1" ht="14.25" hidden="1">
      <c r="Q35" s="399"/>
      <c r="R35" s="483"/>
      <c r="S35" s="1371"/>
      <c r="T35" s="470"/>
      <c r="U35" s="47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0"/>
      <c r="AT35" s="430"/>
      <c r="AU35" s="430"/>
      <c r="AV35" s="430"/>
      <c r="AW35" s="430"/>
      <c r="AX35" s="430"/>
      <c r="AY35" s="430"/>
      <c r="AZ35" s="430"/>
      <c r="BA35" s="430"/>
      <c r="BB35" s="616"/>
      <c r="BI35" s="1251">
        <v>0</v>
      </c>
    </row>
    <row s="10446" customFormat="1" customHeight="1" ht="18.75" hidden="1">
      <c r="A36" s="1464"/>
      <c r="B36" s="1464"/>
      <c r="C36" s="1464"/>
      <c r="D36" s="1464"/>
      <c r="E36" s="1464"/>
      <c r="F36" s="1464"/>
      <c r="G36" s="1464"/>
      <c r="H36" s="1464"/>
      <c r="I36" s="1464"/>
      <c r="J36" s="1464"/>
      <c r="K36" s="1464"/>
      <c r="L36" s="1465"/>
      <c r="M36" s="1464"/>
      <c r="N36" s="1464"/>
      <c r="O36" s="1464"/>
      <c r="P36" s="1464"/>
      <c r="Q36" s="1464"/>
      <c r="S36" s="3106" t="s">
        <v>508</v>
      </c>
      <c r="T36" s="3106"/>
      <c r="U36" s="1468"/>
      <c r="V36" s="3107" t="str">
        <f>IF(TITLE_DATE_PR_CHANGE="",IF(TITLE_DATE_PR="","",TITLE_DATE_PR),TITLE_DATE_PR_CHANGE)</f>
        <v/>
      </c>
      <c r="W36" s="3107"/>
      <c r="X36" s="3107"/>
      <c r="Y36" s="3107"/>
      <c r="Z36" s="3107"/>
      <c r="AA36" s="3107"/>
      <c r="AB36" s="3107"/>
      <c r="AC36" s="434"/>
      <c r="AD36" s="3107" t="str">
        <f>IF(TITLE_DATE_PR_CHANGE="",IF(TITLE_DATE_PR="","",TITLE_DATE_PR),TITLE_DATE_PR_CHANGE)</f>
        <v/>
      </c>
      <c r="AE36" s="3107"/>
      <c r="AF36" s="3107"/>
      <c r="AG36" s="3107"/>
      <c r="AH36" s="3107"/>
      <c r="AI36" s="3107"/>
      <c r="AJ36" s="3107"/>
      <c r="AK36" s="3107"/>
      <c r="AL36" s="3107"/>
      <c r="AM36" s="3107"/>
      <c r="AN36" s="3107"/>
      <c r="AO36" s="3107"/>
      <c r="AP36" s="3107"/>
      <c r="AQ36" s="3107"/>
      <c r="AR36" s="3107"/>
      <c r="AS36" s="3107"/>
      <c r="AT36" s="3107"/>
      <c r="AU36" s="3107"/>
      <c r="AV36" s="3107"/>
      <c r="AW36" s="3107"/>
      <c r="AX36" s="3107"/>
      <c r="AY36" s="3107"/>
      <c r="AZ36" s="3107"/>
      <c r="BA36" s="434"/>
      <c r="BB36" s="434"/>
      <c r="BC36" s="388"/>
      <c r="BD36" s="475"/>
      <c r="BE36" s="475"/>
      <c r="BF36" s="475"/>
      <c r="BG36" s="475"/>
      <c r="BH36" s="475"/>
      <c r="BI36" s="525">
        <v>0</v>
      </c>
    </row>
    <row s="10446" customFormat="1" customHeight="1" ht="18.75" hidden="1">
      <c r="A37" s="1464"/>
      <c r="B37" s="1464"/>
      <c r="C37" s="1464"/>
      <c r="D37" s="1464"/>
      <c r="E37" s="1464"/>
      <c r="F37" s="1464"/>
      <c r="G37" s="1464"/>
      <c r="H37" s="1464"/>
      <c r="I37" s="1464"/>
      <c r="J37" s="1464"/>
      <c r="K37" s="1464"/>
      <c r="L37" s="1465"/>
      <c r="M37" s="1464"/>
      <c r="N37" s="1464"/>
      <c r="O37" s="1464"/>
      <c r="P37" s="1464"/>
      <c r="Q37" s="1464"/>
      <c r="S37" s="3106" t="s">
        <v>509</v>
      </c>
      <c r="T37" s="3106"/>
      <c r="U37" s="1468"/>
      <c r="V37" s="3108" t="str">
        <f>IF(TITLE_NUMBER_PR_CHANGE="",IF(TITLE_NUMBER_PR="","",TITLE_NUMBER_PR),TITLE_NUMBER_PR_CHANGE)</f>
        <v/>
      </c>
      <c r="W37" s="3108"/>
      <c r="X37" s="3108"/>
      <c r="Y37" s="3108"/>
      <c r="Z37" s="3108"/>
      <c r="AA37" s="3108"/>
      <c r="AB37" s="3108"/>
      <c r="AC37" s="434"/>
      <c r="AD37" s="3108" t="str">
        <f>IF(TITLE_NUMBER_PR_CHANGE="",IF(TITLE_NUMBER_PR="","",TITLE_NUMBER_PR),TITLE_NUMBER_PR_CHANGE)</f>
        <v/>
      </c>
      <c r="AE37" s="3108"/>
      <c r="AF37" s="3108"/>
      <c r="AG37" s="3108"/>
      <c r="AH37" s="3108"/>
      <c r="AI37" s="3108"/>
      <c r="AJ37" s="3108"/>
      <c r="AK37" s="3108"/>
      <c r="AL37" s="3108"/>
      <c r="AM37" s="3108"/>
      <c r="AN37" s="3108"/>
      <c r="AO37" s="3108"/>
      <c r="AP37" s="3108"/>
      <c r="AQ37" s="3108"/>
      <c r="AR37" s="3108"/>
      <c r="AS37" s="3108"/>
      <c r="AT37" s="3108"/>
      <c r="AU37" s="3108"/>
      <c r="AV37" s="3108"/>
      <c r="AW37" s="3108"/>
      <c r="AX37" s="3108"/>
      <c r="AY37" s="3108"/>
      <c r="AZ37" s="3108"/>
      <c r="BA37" s="434"/>
      <c r="BB37" s="434"/>
      <c r="BC37" s="388"/>
      <c r="BD37" s="475"/>
      <c r="BE37" s="475"/>
      <c r="BF37" s="475"/>
      <c r="BG37" s="475"/>
      <c r="BH37" s="475"/>
      <c r="BI37" s="525">
        <v>0</v>
      </c>
    </row>
    <row s="10446" customFormat="1" customHeight="1" ht="14.25" hidden="1">
      <c r="A38" s="1464"/>
      <c r="B38" s="1464"/>
      <c r="C38" s="1464"/>
      <c r="D38" s="1464"/>
      <c r="E38" s="1464"/>
      <c r="F38" s="1464"/>
      <c r="G38" s="1464"/>
      <c r="H38" s="1464"/>
      <c r="I38" s="1464"/>
      <c r="J38" s="1464"/>
      <c r="K38" s="1464"/>
      <c r="L38" s="1465"/>
      <c r="M38" s="1464"/>
      <c r="N38" s="1464"/>
      <c r="O38" s="1464"/>
      <c r="P38" s="1464"/>
      <c r="Q38" s="1464"/>
      <c r="S38" s="431"/>
      <c r="T38" s="431"/>
      <c r="U38" s="1584"/>
      <c r="V38" s="434"/>
      <c r="W38" s="434"/>
      <c r="X38" s="434"/>
      <c r="Y38" s="434"/>
      <c r="Z38" s="434"/>
      <c r="AA38" s="434"/>
      <c r="AB38" s="434"/>
      <c r="AC38" s="386" t="s">
        <v>512</v>
      </c>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386" t="s">
        <v>512</v>
      </c>
      <c r="BD38" s="475"/>
      <c r="BE38" s="475"/>
      <c r="BF38" s="475"/>
      <c r="BG38" s="475"/>
      <c r="BH38" s="475"/>
      <c r="BI38" s="525">
        <v>0</v>
      </c>
    </row>
    <row customHeight="1" ht="14.699999999999998">
      <c r="Q39" s="399"/>
      <c r="R39" s="483"/>
      <c r="S39" s="1371"/>
      <c r="T39" s="470"/>
      <c r="U39" s="1340"/>
      <c r="V39" s="3127"/>
      <c r="W39" s="3127"/>
      <c r="X39" s="3127"/>
      <c r="Y39" s="3127"/>
      <c r="Z39" s="3127"/>
      <c r="AA39" s="3127"/>
      <c r="AB39" s="3127"/>
      <c r="AC39" s="3127"/>
      <c r="AD39" s="3127"/>
      <c r="AE39" s="3127"/>
      <c r="AF39" s="3127"/>
      <c r="AG39" s="3127"/>
      <c r="AH39" s="3127"/>
      <c r="AI39" s="3127"/>
      <c r="AJ39" s="3127"/>
      <c r="AK39" s="3127"/>
      <c r="AL39" s="3127"/>
      <c r="AM39" s="3127"/>
      <c r="AN39" s="3127"/>
      <c r="AO39" s="3127"/>
      <c r="AP39" s="3127"/>
      <c r="AQ39" s="3127"/>
      <c r="AR39" s="3127"/>
      <c r="AS39" s="3127"/>
      <c r="AT39" s="3127"/>
      <c r="AU39" s="3127"/>
      <c r="AV39" s="3127"/>
      <c r="AW39" s="3127"/>
      <c r="AX39" s="3127"/>
      <c r="AY39" s="3127"/>
      <c r="AZ39" s="3127"/>
      <c r="BA39" s="3127"/>
      <c r="BI39" s="1251">
        <v>14</v>
      </c>
    </row>
    <row customHeight="1" ht="14.699999999999998">
      <c r="Q40" s="399"/>
      <c r="R40" s="483"/>
      <c r="S40" s="2978" t="s">
        <v>385</v>
      </c>
      <c r="T40" s="2978"/>
      <c r="U40" s="2978"/>
      <c r="V40" s="2978"/>
      <c r="W40" s="2978"/>
      <c r="X40" s="2978"/>
      <c r="Y40" s="2978"/>
      <c r="Z40" s="2978"/>
      <c r="AA40" s="2978"/>
      <c r="AB40" s="2978"/>
      <c r="AC40" s="2978"/>
      <c r="AD40" s="2978"/>
      <c r="AE40" s="2978"/>
      <c r="AF40" s="2978"/>
      <c r="AG40" s="2978"/>
      <c r="AH40" s="2978"/>
      <c r="AI40" s="2978"/>
      <c r="AJ40" s="2978"/>
      <c r="AK40" s="2978"/>
      <c r="AL40" s="2978"/>
      <c r="AM40" s="2978"/>
      <c r="AN40" s="2978"/>
      <c r="AO40" s="2978"/>
      <c r="AP40" s="2978"/>
      <c r="AQ40" s="2978"/>
      <c r="AR40" s="2978"/>
      <c r="AS40" s="2978"/>
      <c r="AT40" s="2978"/>
      <c r="AU40" s="2978"/>
      <c r="AV40" s="2978"/>
      <c r="AW40" s="2978"/>
      <c r="AX40" s="2978"/>
      <c r="AY40" s="2978"/>
      <c r="AZ40" s="2978"/>
      <c r="BA40" s="2978"/>
      <c r="BB40" s="2978"/>
      <c r="BC40" s="2978" t="s">
        <v>386</v>
      </c>
      <c r="BI40" s="1251">
        <v>14</v>
      </c>
    </row>
    <row customHeight="1" ht="14.699999999999998">
      <c r="Q41" s="399"/>
      <c r="R41" s="483"/>
      <c r="S41" s="3128" t="s">
        <v>88</v>
      </c>
      <c r="T41" s="3077" t="s">
        <v>592</v>
      </c>
      <c r="U41" s="409"/>
      <c r="V41" s="3129" t="s">
        <v>514</v>
      </c>
      <c r="W41" s="3130"/>
      <c r="X41" s="3130"/>
      <c r="Y41" s="3130"/>
      <c r="Z41" s="3130"/>
      <c r="AA41" s="3130"/>
      <c r="AB41" s="3131"/>
      <c r="AC41" s="3132" t="s">
        <v>515</v>
      </c>
      <c r="AD41" s="3161" t="s">
        <v>593</v>
      </c>
      <c r="AE41" s="3145"/>
      <c r="AF41" s="3145"/>
      <c r="AG41" s="3162"/>
      <c r="AH41" s="3161" t="s">
        <v>594</v>
      </c>
      <c r="AI41" s="3145"/>
      <c r="AJ41" s="3145"/>
      <c r="AK41" s="3162"/>
      <c r="AL41" s="3161" t="s">
        <v>595</v>
      </c>
      <c r="AM41" s="3145"/>
      <c r="AN41" s="3145"/>
      <c r="AO41" s="3162"/>
      <c r="AP41" s="3161" t="s">
        <v>596</v>
      </c>
      <c r="AQ41" s="3145"/>
      <c r="AR41" s="3145"/>
      <c r="AS41" s="3162"/>
      <c r="AT41" s="3129" t="s">
        <v>514</v>
      </c>
      <c r="AU41" s="3130"/>
      <c r="AV41" s="3130"/>
      <c r="AW41" s="3130"/>
      <c r="AX41" s="3130"/>
      <c r="AY41" s="3130"/>
      <c r="AZ41" s="3131"/>
      <c r="BA41" s="3132" t="s">
        <v>515</v>
      </c>
      <c r="BB41" s="3135" t="s">
        <v>517</v>
      </c>
      <c r="BC41" s="2978"/>
      <c r="BI41" s="1251">
        <v>14</v>
      </c>
    </row>
    <row customHeight="1" ht="35.699999999999996">
      <c r="Q42" s="399"/>
      <c r="R42" s="483"/>
      <c r="S42" s="3128"/>
      <c r="T42" s="3077"/>
      <c r="U42" s="1131"/>
      <c r="V42" s="3048" t="s">
        <v>597</v>
      </c>
      <c r="W42" s="3049"/>
      <c r="X42" s="3048" t="s">
        <v>598</v>
      </c>
      <c r="Y42" s="3049"/>
      <c r="Z42" s="3048" t="s">
        <v>599</v>
      </c>
      <c r="AA42" s="3157"/>
      <c r="AB42" s="3049"/>
      <c r="AC42" s="3133"/>
      <c r="AD42" s="3163"/>
      <c r="AE42" s="3164"/>
      <c r="AF42" s="3164"/>
      <c r="AG42" s="3176"/>
      <c r="AH42" s="3163"/>
      <c r="AI42" s="3164"/>
      <c r="AJ42" s="3164"/>
      <c r="AK42" s="3176"/>
      <c r="AL42" s="3163"/>
      <c r="AM42" s="3164"/>
      <c r="AN42" s="3164"/>
      <c r="AO42" s="3176"/>
      <c r="AP42" s="3163"/>
      <c r="AQ42" s="3164"/>
      <c r="AR42" s="3164"/>
      <c r="AS42" s="3176"/>
      <c r="AT42" s="3048" t="s">
        <v>597</v>
      </c>
      <c r="AU42" s="3049"/>
      <c r="AV42" s="3048" t="s">
        <v>598</v>
      </c>
      <c r="AW42" s="3049"/>
      <c r="AX42" s="3048" t="s">
        <v>599</v>
      </c>
      <c r="AY42" s="3157"/>
      <c r="AZ42" s="3049"/>
      <c r="BA42" s="3133"/>
      <c r="BB42" s="3136"/>
      <c r="BC42" s="2978"/>
      <c r="BI42" s="1251">
        <v>34</v>
      </c>
    </row>
    <row customHeight="1" ht="14.699999999999998">
      <c r="Q43" s="399"/>
      <c r="R43" s="483"/>
      <c r="S43" s="3128"/>
      <c r="T43" s="3077"/>
      <c r="U43" s="1131"/>
      <c r="V43" s="3053"/>
      <c r="W43" s="3054"/>
      <c r="X43" s="3053"/>
      <c r="Y43" s="3054"/>
      <c r="Z43" s="3053"/>
      <c r="AA43" s="3158"/>
      <c r="AB43" s="3054"/>
      <c r="AC43" s="3133"/>
      <c r="AD43" s="3163"/>
      <c r="AE43" s="3164"/>
      <c r="AF43" s="3164"/>
      <c r="AG43" s="3176"/>
      <c r="AH43" s="3163"/>
      <c r="AI43" s="3164"/>
      <c r="AJ43" s="3164"/>
      <c r="AK43" s="3176"/>
      <c r="AL43" s="3163"/>
      <c r="AM43" s="3164"/>
      <c r="AN43" s="3164"/>
      <c r="AO43" s="3176"/>
      <c r="AP43" s="3163"/>
      <c r="AQ43" s="3164"/>
      <c r="AR43" s="3164"/>
      <c r="AS43" s="3176"/>
      <c r="AT43" s="3053"/>
      <c r="AU43" s="3054"/>
      <c r="AV43" s="3053"/>
      <c r="AW43" s="3054"/>
      <c r="AX43" s="3053"/>
      <c r="AY43" s="3158"/>
      <c r="AZ43" s="3054"/>
      <c r="BA43" s="3133"/>
      <c r="BB43" s="3136"/>
      <c r="BC43" s="2978"/>
      <c r="BI43" s="1251">
        <v>14</v>
      </c>
    </row>
    <row customHeight="1" ht="14.699999999999998">
      <c r="A44" s="1466"/>
      <c r="B44" s="1466" t="s">
        <v>222</v>
      </c>
      <c r="C44" s="1466" t="s">
        <v>223</v>
      </c>
      <c r="D44" s="1466" t="s">
        <v>224</v>
      </c>
      <c r="E44" s="1460" t="s">
        <v>522</v>
      </c>
      <c r="F44" s="1460" t="s">
        <v>523</v>
      </c>
      <c r="G44" s="1460" t="s">
        <v>524</v>
      </c>
      <c r="H44" s="1460" t="s">
        <v>525</v>
      </c>
      <c r="I44" s="1460" t="s">
        <v>526</v>
      </c>
      <c r="J44" s="1460" t="s">
        <v>527</v>
      </c>
      <c r="K44" s="1460" t="s">
        <v>528</v>
      </c>
      <c r="L44" s="1460" t="s">
        <v>503</v>
      </c>
      <c r="Q44" s="399"/>
      <c r="R44" s="483"/>
      <c r="S44" s="3128"/>
      <c r="T44" s="3077"/>
      <c r="U44" s="410"/>
      <c r="V44" s="1575" t="s">
        <v>563</v>
      </c>
      <c r="W44" s="1575" t="s">
        <v>564</v>
      </c>
      <c r="X44" s="1575" t="s">
        <v>563</v>
      </c>
      <c r="Y44" s="1575" t="s">
        <v>564</v>
      </c>
      <c r="Z44" s="1585" t="s">
        <v>531</v>
      </c>
      <c r="AA44" s="3082" t="s">
        <v>532</v>
      </c>
      <c r="AB44" s="3095"/>
      <c r="AC44" s="3134"/>
      <c r="AD44" s="3165"/>
      <c r="AE44" s="3166"/>
      <c r="AF44" s="3166"/>
      <c r="AG44" s="3167"/>
      <c r="AH44" s="3165"/>
      <c r="AI44" s="3166"/>
      <c r="AJ44" s="3166"/>
      <c r="AK44" s="3167"/>
      <c r="AL44" s="3165"/>
      <c r="AM44" s="3166"/>
      <c r="AN44" s="3166"/>
      <c r="AO44" s="3167"/>
      <c r="AP44" s="3165"/>
      <c r="AQ44" s="3166"/>
      <c r="AR44" s="3166"/>
      <c r="AS44" s="3167"/>
      <c r="AT44" s="1575" t="s">
        <v>563</v>
      </c>
      <c r="AU44" s="1575" t="s">
        <v>564</v>
      </c>
      <c r="AV44" s="1575" t="s">
        <v>563</v>
      </c>
      <c r="AW44" s="1575" t="s">
        <v>564</v>
      </c>
      <c r="AX44" s="1585" t="s">
        <v>531</v>
      </c>
      <c r="AY44" s="3082" t="s">
        <v>532</v>
      </c>
      <c r="AZ44" s="3095"/>
      <c r="BA44" s="3134"/>
      <c r="BB44" s="3137"/>
      <c r="BC44" s="2978"/>
      <c r="BI44" s="1251">
        <v>14</v>
      </c>
    </row>
    <row s="10851" customFormat="1" customHeight="1" ht="14.25" hidden="1">
      <c r="A45" s="1466"/>
      <c r="B45" s="1466"/>
      <c r="C45" s="1466"/>
      <c r="D45" s="1466"/>
      <c r="E45" s="1466"/>
      <c r="F45" s="1466"/>
      <c r="G45" s="1466"/>
      <c r="H45" s="1466"/>
      <c r="I45" s="1466"/>
      <c r="J45" s="1466"/>
      <c r="K45" s="1466"/>
      <c r="L45" s="1460"/>
      <c r="M45" s="1458"/>
      <c r="N45" s="1458"/>
      <c r="O45" s="1458"/>
      <c r="P45" s="617"/>
      <c r="Q45" s="1350"/>
      <c r="R45" s="1350">
        <v>1</v>
      </c>
      <c r="S45" s="1373" t="s">
        <v>144</v>
      </c>
      <c r="T45" s="1351" t="s">
        <v>102</v>
      </c>
      <c r="U45" s="1341" t="str">
        <f>OFFSET(U45,0,-1)</f>
        <v>2</v>
      </c>
      <c r="V45" s="1578">
        <f>OFFSET(V45,0,-1)+1</f>
        <v>3</v>
      </c>
      <c r="W45" s="1578">
        <f>OFFSET(W45,0,-1)+1</f>
        <v>4</v>
      </c>
      <c r="X45" s="1578">
        <f>OFFSET(X45,0,-1)+1</f>
        <v>5</v>
      </c>
      <c r="Y45" s="1578">
        <f>OFFSET(Y45,0,-1)+1</f>
        <v>6</v>
      </c>
      <c r="Z45" s="1578">
        <f>OFFSET(Z45,0,-1)+1</f>
        <v>7</v>
      </c>
      <c r="AA45" s="3126">
        <f>OFFSET(AA45,0,-1)+1</f>
        <v>8</v>
      </c>
      <c r="AB45" s="3126"/>
      <c r="AC45" s="1578">
        <f>OFFSET(AC45,0,-2)+1</f>
        <v>9</v>
      </c>
      <c r="AD45" s="1578">
        <f>OFFSET(AD45,0,-1)+1</f>
        <v>10</v>
      </c>
      <c r="AE45" s="1578"/>
      <c r="AF45" s="1578"/>
      <c r="AG45" s="1578"/>
      <c r="AH45" s="1578"/>
      <c r="AI45" s="1578"/>
      <c r="AJ45" s="1578"/>
      <c r="AK45" s="1578"/>
      <c r="AL45" s="1578"/>
      <c r="AM45" s="1578"/>
      <c r="AN45" s="1578"/>
      <c r="AO45" s="1578"/>
      <c r="AP45" s="1578"/>
      <c r="AQ45" s="1578"/>
      <c r="AR45" s="1578"/>
      <c r="AS45" s="1578"/>
      <c r="AT45" s="1578"/>
      <c r="AU45" s="1578"/>
      <c r="AV45" s="1578"/>
      <c r="AW45" s="1578">
        <f>OFFSET(AW45,0,-1)+1</f>
        <v>1</v>
      </c>
      <c r="AX45" s="1578">
        <f>OFFSET(AX45,0,-1)+1</f>
        <v>2</v>
      </c>
      <c r="AY45" s="3126">
        <f>OFFSET(AY45,0,-1)+1</f>
        <v>3</v>
      </c>
      <c r="AZ45" s="3126"/>
      <c r="BA45" s="1578">
        <f>OFFSET(BA45,0,-2)+1</f>
        <v>4</v>
      </c>
      <c r="BB45" s="1341">
        <f>OFFSET(BB45,0,-1)</f>
        <v>4</v>
      </c>
      <c r="BC45" s="1578">
        <f>OFFSET(BC45,0,-1)+1</f>
        <v>5</v>
      </c>
      <c r="BD45" s="618"/>
      <c r="BE45" s="618"/>
      <c r="BF45" s="618"/>
      <c r="BG45" s="618"/>
      <c r="BH45" s="618"/>
      <c r="BI45" s="603">
        <v>0</v>
      </c>
    </row>
    <row customHeight="1" ht="22.049999999999997">
      <c r="A46" s="1459" t="s">
        <v>346</v>
      </c>
      <c r="B46" s="1459"/>
      <c r="C46" s="1459"/>
      <c r="D46" s="1459"/>
      <c r="E46" s="3115">
        <v>1</v>
      </c>
      <c r="F46" s="1459"/>
      <c r="G46" s="1459"/>
      <c r="H46" s="1459"/>
      <c r="I46" s="1459"/>
      <c r="J46" s="1459"/>
      <c r="K46" s="1459"/>
      <c r="L46" s="1460"/>
      <c r="M46" s="1461"/>
      <c r="N46" s="1461"/>
      <c r="O46" s="1461"/>
      <c r="P46" s="1505"/>
      <c r="Q46" s="974"/>
      <c r="R46" s="462"/>
      <c r="S46" s="1589">
        <f>INDEX(PT_DIFFERENTIATION_NUM_NTAR,MATCH(A46,PT_DIFFERENTIATION_NTAR_ID,0))</f>
        <v>0</v>
      </c>
      <c r="T46" s="406" t="s">
        <v>210</v>
      </c>
      <c r="U46" s="408"/>
      <c r="V46" s="3110"/>
      <c r="W46" s="3110"/>
      <c r="X46" s="3110"/>
      <c r="Y46" s="3110"/>
      <c r="Z46" s="3110"/>
      <c r="AA46" s="3110"/>
      <c r="AB46" s="3110"/>
      <c r="AC46" s="3111"/>
      <c r="AD46" s="3109" t="str">
        <f>INDEX(PT_DIFFERENTIATION_NTAR,MATCH(A46,PT_DIFFERENTIATION_NTAR_ID,0))</f>
        <v/>
      </c>
      <c r="AE46" s="3110"/>
      <c r="AF46" s="3110"/>
      <c r="AG46" s="3110"/>
      <c r="AH46" s="3110"/>
      <c r="AI46" s="3110"/>
      <c r="AJ46" s="3110"/>
      <c r="AK46" s="3110"/>
      <c r="AL46" s="3110"/>
      <c r="AM46" s="3110"/>
      <c r="AN46" s="3110"/>
      <c r="AO46" s="3110"/>
      <c r="AP46" s="3110"/>
      <c r="AQ46" s="3110"/>
      <c r="AR46" s="3110"/>
      <c r="AS46" s="3110"/>
      <c r="AT46" s="3110"/>
      <c r="AU46" s="3110"/>
      <c r="AV46" s="3110"/>
      <c r="AW46" s="3110"/>
      <c r="AX46" s="3110"/>
      <c r="AY46" s="3110"/>
      <c r="AZ46" s="3110"/>
      <c r="BA46" s="3110"/>
      <c r="BB46" s="3111"/>
      <c r="BC46" s="13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7"/>
      <c r="BF46" s="607" t="str">
        <f>IF(T46="","",T46)</f>
        <v>Наименование тарифа</v>
      </c>
      <c r="BG46" s="607"/>
      <c r="BH46" s="607"/>
      <c r="BI46" s="1251">
        <v>21</v>
      </c>
    </row>
    <row customHeight="1" ht="22.049999999999997">
      <c r="A47" s="1459" t="s">
        <v>346</v>
      </c>
      <c r="B47" s="1459" t="s">
        <v>347</v>
      </c>
      <c r="C47" s="1459"/>
      <c r="D47" s="1459"/>
      <c r="E47" s="3116"/>
      <c r="F47" s="3115">
        <v>1</v>
      </c>
      <c r="G47" s="1459"/>
      <c r="H47" s="1459"/>
      <c r="I47" s="1459"/>
      <c r="J47" s="1459"/>
      <c r="K47" s="1459"/>
      <c r="L47" s="1460"/>
      <c r="M47" s="1461"/>
      <c r="N47" s="1461"/>
      <c r="O47" s="1461"/>
      <c r="P47" s="1506"/>
      <c r="Q47" s="1507"/>
      <c r="R47" s="460"/>
      <c r="S47" s="1589" t="str">
        <f>INDEX(PT_DIFFERENTIATION_NUM_TER,MATCH(B47,PT_DIFFERENTIATION_TER_ID,0))</f>
        <v>.</v>
      </c>
      <c r="T47" s="416" t="s">
        <v>482</v>
      </c>
      <c r="U47" s="408"/>
      <c r="V47" s="3110"/>
      <c r="W47" s="3110"/>
      <c r="X47" s="3110"/>
      <c r="Y47" s="3110"/>
      <c r="Z47" s="3110"/>
      <c r="AA47" s="3110"/>
      <c r="AB47" s="3110"/>
      <c r="AC47" s="3111"/>
      <c r="AD47" s="3109" t="str">
        <f>INDEX(PT_DIFFERENTIATION_TER,MATCH(B47,PT_DIFFERENTIATION_TER_ID,0))</f>
        <v/>
      </c>
      <c r="AE47" s="3110"/>
      <c r="AF47" s="3110"/>
      <c r="AG47" s="3110"/>
      <c r="AH47" s="3110"/>
      <c r="AI47" s="3110"/>
      <c r="AJ47" s="3110"/>
      <c r="AK47" s="3110"/>
      <c r="AL47" s="3110"/>
      <c r="AM47" s="3110"/>
      <c r="AN47" s="3110"/>
      <c r="AO47" s="3110"/>
      <c r="AP47" s="3110"/>
      <c r="AQ47" s="3110"/>
      <c r="AR47" s="3110"/>
      <c r="AS47" s="3110"/>
      <c r="AT47" s="3110"/>
      <c r="AU47" s="3110"/>
      <c r="AV47" s="3110"/>
      <c r="AW47" s="3110"/>
      <c r="AX47" s="3110"/>
      <c r="AY47" s="3110"/>
      <c r="AZ47" s="3110"/>
      <c r="BA47" s="3110"/>
      <c r="BB47" s="3111"/>
      <c r="BC47" s="1354" t="s">
        <v>483</v>
      </c>
      <c r="BE47" s="607"/>
      <c r="BF47" s="607" t="str">
        <f>IF(T47="","",T47)</f>
        <v>Территория действия тарифа</v>
      </c>
      <c r="BG47" s="607"/>
      <c r="BH47" s="607"/>
      <c r="BI47" s="1251">
        <v>21</v>
      </c>
    </row>
    <row customHeight="1" ht="35.699999999999996">
      <c r="A48" s="1459" t="s">
        <v>346</v>
      </c>
      <c r="B48" s="1459" t="s">
        <v>347</v>
      </c>
      <c r="C48" s="1459" t="s">
        <v>348</v>
      </c>
      <c r="D48" s="1459"/>
      <c r="E48" s="3116"/>
      <c r="F48" s="3116"/>
      <c r="G48" s="3115">
        <v>1</v>
      </c>
      <c r="H48" s="1459"/>
      <c r="I48" s="1459"/>
      <c r="J48" s="1459"/>
      <c r="K48" s="1459"/>
      <c r="L48" s="1460"/>
      <c r="M48" s="1461"/>
      <c r="N48" s="1461"/>
      <c r="O48" s="1461"/>
      <c r="P48" s="1508"/>
      <c r="Q48" s="1507"/>
      <c r="R48" s="460"/>
      <c r="S48" s="1589" t="str">
        <f>INDEX(PT_DIFFERENTIATION_NUM_CS,MATCH(C48,PT_DIFFERENTIATION_CS_ID,0))</f>
        <v>..</v>
      </c>
      <c r="T48" s="417" t="s">
        <v>615</v>
      </c>
      <c r="U48" s="408"/>
      <c r="V48" s="3110"/>
      <c r="W48" s="3110"/>
      <c r="X48" s="3110"/>
      <c r="Y48" s="3110"/>
      <c r="Z48" s="3110"/>
      <c r="AA48" s="3110"/>
      <c r="AB48" s="3110"/>
      <c r="AC48" s="3111"/>
      <c r="AD48" s="3109" t="str">
        <f>INDEX(PT_DIFFERENTIATION_CS,MATCH(C48,PT_DIFFERENTIATION_CS_ID,0))</f>
        <v/>
      </c>
      <c r="AE48" s="3110"/>
      <c r="AF48" s="3110"/>
      <c r="AG48" s="3110"/>
      <c r="AH48" s="3110"/>
      <c r="AI48" s="3110"/>
      <c r="AJ48" s="3110"/>
      <c r="AK48" s="3110"/>
      <c r="AL48" s="3110"/>
      <c r="AM48" s="3110"/>
      <c r="AN48" s="3110"/>
      <c r="AO48" s="3110"/>
      <c r="AP48" s="3110"/>
      <c r="AQ48" s="3110"/>
      <c r="AR48" s="3110"/>
      <c r="AS48" s="3110"/>
      <c r="AT48" s="3110"/>
      <c r="AU48" s="3110"/>
      <c r="AV48" s="3110"/>
      <c r="AW48" s="3110"/>
      <c r="AX48" s="3110"/>
      <c r="AY48" s="3110"/>
      <c r="AZ48" s="3110"/>
      <c r="BA48" s="3110"/>
      <c r="BB48" s="3111"/>
      <c r="BC48" s="1354" t="s">
        <v>616</v>
      </c>
      <c r="BE48" s="607"/>
      <c r="BF48" s="607" t="str">
        <f>IF(T48="","",T48)</f>
        <v>Наименование централизованной системы горячего водоснабжения</v>
      </c>
      <c r="BG48" s="607"/>
      <c r="BH48" s="607"/>
      <c r="BI48" s="1251">
        <v>34</v>
      </c>
    </row>
    <row s="10307" customFormat="1" customHeight="1" ht="14.25" hidden="1">
      <c r="A49" s="1439" t="s">
        <v>346</v>
      </c>
      <c r="B49" s="1439" t="s">
        <v>347</v>
      </c>
      <c r="C49" s="1439" t="s">
        <v>348</v>
      </c>
      <c r="D49" s="1439" t="s">
        <v>629</v>
      </c>
      <c r="E49" s="3116"/>
      <c r="F49" s="3116"/>
      <c r="G49" s="3116"/>
      <c r="H49" s="3115">
        <v>1</v>
      </c>
      <c r="I49" s="1439"/>
      <c r="J49" s="1439"/>
      <c r="K49" s="1439"/>
      <c r="L49" s="1442"/>
      <c r="M49" s="1411"/>
      <c r="N49" s="1411"/>
      <c r="O49" s="1411"/>
      <c r="P49" s="1593"/>
      <c r="Q49" s="1594"/>
      <c r="R49" s="464"/>
      <c r="S49" s="1142"/>
      <c r="T49" s="1595"/>
      <c r="U49" s="1480"/>
      <c r="V49" s="3147"/>
      <c r="W49" s="3147"/>
      <c r="X49" s="3147"/>
      <c r="Y49" s="3147"/>
      <c r="Z49" s="3147"/>
      <c r="AA49" s="3147"/>
      <c r="AB49" s="3147"/>
      <c r="AC49" s="3148"/>
      <c r="AD49" s="3146"/>
      <c r="AE49" s="3147"/>
      <c r="AF49" s="3147"/>
      <c r="AG49" s="3147"/>
      <c r="AH49" s="3147"/>
      <c r="AI49" s="3147"/>
      <c r="AJ49" s="3147"/>
      <c r="AK49" s="3147"/>
      <c r="AL49" s="3147"/>
      <c r="AM49" s="3147"/>
      <c r="AN49" s="3147"/>
      <c r="AO49" s="3147"/>
      <c r="AP49" s="3147"/>
      <c r="AQ49" s="3147"/>
      <c r="AR49" s="3147"/>
      <c r="AS49" s="3147"/>
      <c r="AT49" s="3147"/>
      <c r="AU49" s="3147"/>
      <c r="AV49" s="3147"/>
      <c r="AW49" s="3147"/>
      <c r="AX49" s="3147"/>
      <c r="AY49" s="3147"/>
      <c r="AZ49" s="3147"/>
      <c r="BA49" s="3147"/>
      <c r="BB49" s="3148"/>
      <c r="BC49" s="1481" t="s">
        <v>487</v>
      </c>
      <c r="BE49" s="607"/>
      <c r="BF49" s="607" t="str">
        <f>IF(T49="","",T49)</f>
        <v/>
      </c>
      <c r="BG49" s="607"/>
      <c r="BH49" s="607"/>
      <c r="BI49" s="618">
        <v>0</v>
      </c>
    </row>
    <row s="10307" customFormat="1" customHeight="1" ht="14.25" hidden="1">
      <c r="A50" s="1439" t="s">
        <v>346</v>
      </c>
      <c r="B50" s="1439" t="s">
        <v>347</v>
      </c>
      <c r="C50" s="1439" t="s">
        <v>348</v>
      </c>
      <c r="D50" s="1439" t="s">
        <v>629</v>
      </c>
      <c r="E50" s="3116"/>
      <c r="F50" s="3116"/>
      <c r="G50" s="3116"/>
      <c r="H50" s="3116"/>
      <c r="I50" s="3117" t="str">
        <f>S49&amp;".1"</f>
        <v>.1</v>
      </c>
      <c r="J50" s="1439"/>
      <c r="K50" s="1439"/>
      <c r="L50" s="1442" t="s">
        <v>488</v>
      </c>
      <c r="M50" s="617"/>
      <c r="N50" s="617"/>
      <c r="O50" s="617"/>
      <c r="P50" s="3119">
        <v>1</v>
      </c>
      <c r="Q50" s="1577"/>
      <c r="R50" s="463"/>
      <c r="S50" s="1142"/>
      <c r="T50" s="1479"/>
      <c r="U50" s="1480"/>
      <c r="V50" s="3147"/>
      <c r="W50" s="3147"/>
      <c r="X50" s="3147"/>
      <c r="Y50" s="3147"/>
      <c r="Z50" s="3147"/>
      <c r="AA50" s="3147"/>
      <c r="AB50" s="3147"/>
      <c r="AC50" s="3148"/>
      <c r="AD50" s="3146"/>
      <c r="AE50" s="3147"/>
      <c r="AF50" s="3147"/>
      <c r="AG50" s="3147"/>
      <c r="AH50" s="3147"/>
      <c r="AI50" s="3147"/>
      <c r="AJ50" s="3147"/>
      <c r="AK50" s="3147"/>
      <c r="AL50" s="3147"/>
      <c r="AM50" s="3147"/>
      <c r="AN50" s="3147"/>
      <c r="AO50" s="3147"/>
      <c r="AP50" s="3147"/>
      <c r="AQ50" s="3147"/>
      <c r="AR50" s="3147"/>
      <c r="AS50" s="3147"/>
      <c r="AT50" s="3147"/>
      <c r="AU50" s="3147"/>
      <c r="AV50" s="3147"/>
      <c r="AW50" s="3147"/>
      <c r="AX50" s="3147"/>
      <c r="AY50" s="3147"/>
      <c r="AZ50" s="3147"/>
      <c r="BA50" s="3147"/>
      <c r="BB50" s="3148"/>
      <c r="BC50" s="1481"/>
      <c r="BE50" s="607"/>
      <c r="BF50" s="607" t="str">
        <f>IF(T50="","",T50)</f>
        <v/>
      </c>
      <c r="BG50" s="607"/>
      <c r="BH50" s="607"/>
      <c r="BI50" s="618">
        <v>0</v>
      </c>
    </row>
    <row s="10307" customFormat="1" customHeight="1" ht="14.25" hidden="1">
      <c r="A51" s="1439" t="s">
        <v>346</v>
      </c>
      <c r="B51" s="1439" t="s">
        <v>347</v>
      </c>
      <c r="C51" s="1439" t="s">
        <v>348</v>
      </c>
      <c r="D51" s="1439" t="s">
        <v>629</v>
      </c>
      <c r="E51" s="3116"/>
      <c r="F51" s="3116"/>
      <c r="G51" s="3116"/>
      <c r="H51" s="3116"/>
      <c r="I51" s="3118"/>
      <c r="J51" s="3117" t="str">
        <f>S49&amp;".1"</f>
        <v>.1</v>
      </c>
      <c r="K51" s="1439"/>
      <c r="L51" s="1442"/>
      <c r="M51" s="617"/>
      <c r="N51" s="617"/>
      <c r="O51" s="617"/>
      <c r="P51" s="3119"/>
      <c r="Q51" s="3119">
        <v>1</v>
      </c>
      <c r="R51" s="464"/>
      <c r="S51" s="1142"/>
      <c r="T51" s="1495"/>
      <c r="U51" s="1480"/>
      <c r="V51" s="3147"/>
      <c r="W51" s="3147"/>
      <c r="X51" s="3147"/>
      <c r="Y51" s="3147"/>
      <c r="Z51" s="3147"/>
      <c r="AA51" s="3147"/>
      <c r="AB51" s="3147"/>
      <c r="AC51" s="3148"/>
      <c r="AD51" s="3146"/>
      <c r="AE51" s="3147"/>
      <c r="AF51" s="3147"/>
      <c r="AG51" s="3147"/>
      <c r="AH51" s="3147"/>
      <c r="AI51" s="3147"/>
      <c r="AJ51" s="3147"/>
      <c r="AK51" s="3147"/>
      <c r="AL51" s="3147"/>
      <c r="AM51" s="3147"/>
      <c r="AN51" s="3198"/>
      <c r="AO51" s="3198"/>
      <c r="AP51" s="3147"/>
      <c r="AQ51" s="3147"/>
      <c r="AR51" s="3147"/>
      <c r="AS51" s="3147"/>
      <c r="AT51" s="3147"/>
      <c r="AU51" s="3147"/>
      <c r="AV51" s="3147"/>
      <c r="AW51" s="3147"/>
      <c r="AX51" s="3147"/>
      <c r="AY51" s="3147"/>
      <c r="AZ51" s="3147"/>
      <c r="BA51" s="3147"/>
      <c r="BB51" s="3148"/>
      <c r="BC51" s="1481"/>
      <c r="BE51" s="607"/>
      <c r="BF51" s="607" t="str">
        <f>IF(T51="","",T51)</f>
        <v/>
      </c>
      <c r="BG51" s="607"/>
      <c r="BH51" s="607"/>
      <c r="BI51" s="618">
        <v>0</v>
      </c>
    </row>
    <row customHeight="1" ht="11.549999999999999">
      <c r="A52" s="1459" t="s">
        <v>346</v>
      </c>
      <c r="B52" s="1459" t="s">
        <v>347</v>
      </c>
      <c r="C52" s="1459" t="s">
        <v>348</v>
      </c>
      <c r="D52" s="1459" t="s">
        <v>629</v>
      </c>
      <c r="E52" s="3116"/>
      <c r="F52" s="3116"/>
      <c r="G52" s="3116"/>
      <c r="H52" s="3116"/>
      <c r="I52" s="3118"/>
      <c r="J52" s="3118"/>
      <c r="K52" s="3117" t="str">
        <f>S48&amp;".1"</f>
        <v>...1</v>
      </c>
      <c r="L52" s="1460"/>
      <c r="P52" s="3119"/>
      <c r="Q52" s="3119"/>
      <c r="R52" s="464">
        <v>1</v>
      </c>
      <c r="S52" s="3172" t="str">
        <f>$K52</f>
        <v>...1</v>
      </c>
      <c r="T52" s="3192"/>
      <c r="U52" s="408"/>
      <c r="V52" s="858"/>
      <c r="W52" s="1353"/>
      <c r="X52" s="858"/>
      <c r="Y52" s="1353"/>
      <c r="Z52" s="1830"/>
      <c r="AA52" s="1565" t="s">
        <v>62</v>
      </c>
      <c r="AB52" s="1830"/>
      <c r="AC52" s="1565" t="s">
        <v>62</v>
      </c>
      <c r="AD52" s="3060" t="s">
        <v>62</v>
      </c>
      <c r="AE52" s="3168"/>
      <c r="AF52" s="3073">
        <v>1</v>
      </c>
      <c r="AG52" s="3191"/>
      <c r="AH52" s="2989" t="s">
        <v>62</v>
      </c>
      <c r="AI52" s="3168"/>
      <c r="AJ52" s="3073">
        <v>1</v>
      </c>
      <c r="AK52" s="3182" t="s">
        <v>22</v>
      </c>
      <c r="AL52" s="2989" t="s">
        <v>62</v>
      </c>
      <c r="AM52" s="3048"/>
      <c r="AN52" s="3073">
        <v>1</v>
      </c>
      <c r="AO52" s="3195"/>
      <c r="AP52" s="3196" t="s">
        <v>62</v>
      </c>
      <c r="AQ52" s="419"/>
      <c r="AR52" s="1582">
        <v>1</v>
      </c>
      <c r="AS52" s="1588" t="s">
        <v>22</v>
      </c>
      <c r="AT52" s="858"/>
      <c r="AU52" s="1353"/>
      <c r="AV52" s="858"/>
      <c r="AW52" s="1353"/>
      <c r="AX52" s="1830"/>
      <c r="AY52" s="1565" t="s">
        <v>62</v>
      </c>
      <c r="AZ52" s="1830"/>
      <c r="BA52" s="1565" t="s">
        <v>62</v>
      </c>
      <c r="BB52" s="1444"/>
      <c r="BC52" s="3138" t="s">
        <v>586</v>
      </c>
      <c r="BE52" s="607"/>
      <c r="BF52" s="607" t="str">
        <f>IF(T52="","",T52)</f>
        <v/>
      </c>
      <c r="BG52" s="607"/>
      <c r="BH52" s="607"/>
      <c r="BI52" s="1251">
        <v>11</v>
      </c>
    </row>
    <row customHeight="1" ht="11.549999999999999">
      <c r="A53" s="1459"/>
      <c r="B53" s="1459"/>
      <c r="C53" s="1459"/>
      <c r="D53" s="1459"/>
      <c r="E53" s="3116"/>
      <c r="F53" s="3116"/>
      <c r="G53" s="3116"/>
      <c r="H53" s="3116"/>
      <c r="I53" s="3118"/>
      <c r="J53" s="3118"/>
      <c r="K53" s="3117"/>
      <c r="L53" s="1460"/>
      <c r="P53" s="3119"/>
      <c r="Q53" s="3119"/>
      <c r="R53" s="464"/>
      <c r="S53" s="3173"/>
      <c r="T53" s="3193"/>
      <c r="U53" s="408"/>
      <c r="V53" s="1489"/>
      <c r="W53" s="1592"/>
      <c r="X53" s="1489"/>
      <c r="Y53" s="1592"/>
      <c r="Z53" s="1489"/>
      <c r="AA53" s="1489"/>
      <c r="AB53" s="1489"/>
      <c r="AC53" s="1489"/>
      <c r="AD53" s="3061"/>
      <c r="AE53" s="3168"/>
      <c r="AF53" s="3073"/>
      <c r="AG53" s="3191"/>
      <c r="AH53" s="2989"/>
      <c r="AI53" s="3168"/>
      <c r="AJ53" s="3073"/>
      <c r="AK53" s="3182"/>
      <c r="AL53" s="2989"/>
      <c r="AM53" s="3053"/>
      <c r="AN53" s="3073"/>
      <c r="AO53" s="3195"/>
      <c r="AP53" s="3197"/>
      <c r="AQ53" s="424"/>
      <c r="AR53" s="523"/>
      <c r="AS53" s="523" t="s">
        <v>587</v>
      </c>
      <c r="AT53" s="1489"/>
      <c r="AU53" s="1592"/>
      <c r="AV53" s="1489"/>
      <c r="AW53" s="1592"/>
      <c r="AX53" s="1489"/>
      <c r="AY53" s="1489"/>
      <c r="AZ53" s="1489"/>
      <c r="BA53" s="1489"/>
      <c r="BB53" s="1493"/>
      <c r="BC53" s="3139"/>
      <c r="BE53" s="607"/>
      <c r="BF53" s="607"/>
      <c r="BG53" s="607"/>
      <c r="BH53" s="607"/>
      <c r="BI53" s="1251">
        <v>11</v>
      </c>
    </row>
    <row customHeight="1" ht="11.549999999999999">
      <c r="A54" s="1459" t="s">
        <v>346</v>
      </c>
      <c r="B54" s="1459"/>
      <c r="C54" s="1459"/>
      <c r="D54" s="1459"/>
      <c r="E54" s="3116"/>
      <c r="F54" s="3116"/>
      <c r="G54" s="3116"/>
      <c r="H54" s="3116"/>
      <c r="I54" s="3118"/>
      <c r="J54" s="3118"/>
      <c r="K54" s="3117"/>
      <c r="L54" s="1460"/>
      <c r="P54" s="3119"/>
      <c r="Q54" s="3119"/>
      <c r="R54" s="464"/>
      <c r="S54" s="3173"/>
      <c r="T54" s="3193"/>
      <c r="U54" s="408"/>
      <c r="V54" s="1489"/>
      <c r="W54" s="1592"/>
      <c r="X54" s="1489"/>
      <c r="Y54" s="1592"/>
      <c r="Z54" s="1489"/>
      <c r="AA54" s="1489"/>
      <c r="AB54" s="1489"/>
      <c r="AC54" s="1489"/>
      <c r="AD54" s="3061"/>
      <c r="AE54" s="3168"/>
      <c r="AF54" s="3073"/>
      <c r="AG54" s="3191"/>
      <c r="AH54" s="2989"/>
      <c r="AI54" s="3168"/>
      <c r="AJ54" s="3073"/>
      <c r="AK54" s="3182"/>
      <c r="AL54" s="2989"/>
      <c r="AM54" s="424"/>
      <c r="AN54" s="1596"/>
      <c r="AO54" s="1596" t="s">
        <v>588</v>
      </c>
      <c r="AP54" s="523"/>
      <c r="AQ54" s="523"/>
      <c r="AR54" s="523"/>
      <c r="AS54" s="1489"/>
      <c r="AT54" s="1489"/>
      <c r="AU54" s="1592"/>
      <c r="AV54" s="1489"/>
      <c r="AW54" s="1592"/>
      <c r="AX54" s="1489"/>
      <c r="AY54" s="1489"/>
      <c r="AZ54" s="1489"/>
      <c r="BA54" s="1489"/>
      <c r="BB54" s="1493"/>
      <c r="BC54" s="3139"/>
      <c r="BE54" s="607"/>
      <c r="BF54" s="607"/>
      <c r="BG54" s="607"/>
      <c r="BH54" s="607"/>
      <c r="BI54" s="1251">
        <v>11</v>
      </c>
    </row>
    <row customHeight="1" ht="11.549999999999999">
      <c r="A55" s="1459" t="s">
        <v>346</v>
      </c>
      <c r="B55" s="1459"/>
      <c r="C55" s="1459"/>
      <c r="D55" s="1459"/>
      <c r="E55" s="3116"/>
      <c r="F55" s="3116"/>
      <c r="G55" s="3116"/>
      <c r="H55" s="3116"/>
      <c r="I55" s="3118"/>
      <c r="J55" s="3118"/>
      <c r="K55" s="3117"/>
      <c r="L55" s="1460"/>
      <c r="P55" s="3119"/>
      <c r="Q55" s="3119"/>
      <c r="R55" s="464"/>
      <c r="S55" s="3173"/>
      <c r="T55" s="3193"/>
      <c r="U55" s="408"/>
      <c r="V55" s="1489"/>
      <c r="W55" s="1592"/>
      <c r="X55" s="1489"/>
      <c r="Y55" s="1592"/>
      <c r="Z55" s="1489"/>
      <c r="AA55" s="1489"/>
      <c r="AB55" s="1489"/>
      <c r="AC55" s="1489"/>
      <c r="AD55" s="3061"/>
      <c r="AE55" s="3168"/>
      <c r="AF55" s="3073"/>
      <c r="AG55" s="3191"/>
      <c r="AH55" s="2989"/>
      <c r="AI55" s="402"/>
      <c r="AJ55" s="522"/>
      <c r="AK55" s="421" t="s">
        <v>589</v>
      </c>
      <c r="AL55" s="1489"/>
      <c r="AM55" s="1489"/>
      <c r="AN55" s="1489"/>
      <c r="AO55" s="1489"/>
      <c r="AP55" s="1489"/>
      <c r="AQ55" s="1489"/>
      <c r="AR55" s="1489"/>
      <c r="AS55" s="1489"/>
      <c r="AT55" s="1489"/>
      <c r="AU55" s="1592"/>
      <c r="AV55" s="1489"/>
      <c r="AW55" s="1592"/>
      <c r="AX55" s="1489"/>
      <c r="AY55" s="1489"/>
      <c r="AZ55" s="1489"/>
      <c r="BA55" s="1489"/>
      <c r="BB55" s="1493"/>
      <c r="BC55" s="3139"/>
      <c r="BE55" s="607"/>
      <c r="BF55" s="607"/>
      <c r="BG55" s="607"/>
      <c r="BH55" s="607"/>
      <c r="BI55" s="1251">
        <v>11</v>
      </c>
    </row>
    <row customHeight="1" ht="11.549999999999999">
      <c r="A56" s="1459" t="s">
        <v>346</v>
      </c>
      <c r="B56" s="1459" t="s">
        <v>347</v>
      </c>
      <c r="C56" s="1459" t="s">
        <v>348</v>
      </c>
      <c r="D56" s="1459" t="s">
        <v>629</v>
      </c>
      <c r="E56" s="3116"/>
      <c r="F56" s="3116"/>
      <c r="G56" s="3116"/>
      <c r="H56" s="3116"/>
      <c r="I56" s="3118"/>
      <c r="J56" s="3118"/>
      <c r="K56" s="3117"/>
      <c r="L56" s="1460"/>
      <c r="P56" s="3119"/>
      <c r="Q56" s="3119"/>
      <c r="R56" s="464"/>
      <c r="S56" s="3174"/>
      <c r="T56" s="3194"/>
      <c r="U56" s="408"/>
      <c r="V56" s="1489"/>
      <c r="W56" s="1490" t="str">
        <f>Z52&amp;"-"&amp;AB52</f>
        <v>-</v>
      </c>
      <c r="X56" s="1489"/>
      <c r="Y56" s="1490" t="str">
        <f>AB52&amp;"-"&amp;AD52</f>
        <v>-да</v>
      </c>
      <c r="Z56" s="1489"/>
      <c r="AA56" s="1489"/>
      <c r="AB56" s="1489"/>
      <c r="AC56" s="1489"/>
      <c r="AD56" s="2994"/>
      <c r="AE56" s="420"/>
      <c r="AF56" s="422"/>
      <c r="AG56" s="523" t="s">
        <v>590</v>
      </c>
      <c r="AH56" s="1489"/>
      <c r="AI56" s="1489"/>
      <c r="AJ56" s="1489"/>
      <c r="AK56" s="1489"/>
      <c r="AL56" s="1489"/>
      <c r="AM56" s="1489"/>
      <c r="AN56" s="1489"/>
      <c r="AO56" s="1489"/>
      <c r="AP56" s="1489"/>
      <c r="AQ56" s="1489"/>
      <c r="AR56" s="1489"/>
      <c r="AS56" s="1489"/>
      <c r="AT56" s="1489"/>
      <c r="AU56" s="1490" t="str">
        <f>AX52&amp;"-"&amp;AZ52</f>
        <v>-</v>
      </c>
      <c r="AV56" s="1489"/>
      <c r="AW56" s="1490" t="str">
        <f>AZ52&amp;"-"&amp;BB52</f>
        <v>-</v>
      </c>
      <c r="AX56" s="1489"/>
      <c r="AY56" s="1489"/>
      <c r="AZ56" s="1489"/>
      <c r="BA56" s="1489"/>
      <c r="BB56" s="1492" t="str">
        <f>BE52&amp;"-"&amp;BG52</f>
        <v>-</v>
      </c>
      <c r="BC56" s="3139"/>
      <c r="BE56" s="607"/>
      <c r="BF56" s="607" t="str">
        <f>IF(T56="","",T56)</f>
        <v/>
      </c>
      <c r="BG56" s="607"/>
      <c r="BH56" s="607"/>
      <c r="BI56" s="1251">
        <v>11</v>
      </c>
    </row>
    <row customHeight="1" ht="11.549999999999999">
      <c r="A57" s="1459" t="s">
        <v>346</v>
      </c>
      <c r="B57" s="1459" t="s">
        <v>347</v>
      </c>
      <c r="C57" s="1459" t="s">
        <v>348</v>
      </c>
      <c r="D57" s="1459" t="s">
        <v>629</v>
      </c>
      <c r="E57" s="3116"/>
      <c r="F57" s="3116"/>
      <c r="G57" s="3116"/>
      <c r="H57" s="3116"/>
      <c r="I57" s="3118"/>
      <c r="J57" s="3117"/>
      <c r="K57" s="1459"/>
      <c r="L57" s="1460"/>
      <c r="P57" s="3119"/>
      <c r="Q57" s="3119"/>
      <c r="R57" s="463"/>
      <c r="S57" s="1374"/>
      <c r="T57" s="395" t="s">
        <v>553</v>
      </c>
      <c r="U57" s="474"/>
      <c r="V57" s="474"/>
      <c r="W57" s="474"/>
      <c r="X57" s="474"/>
      <c r="Y57" s="474"/>
      <c r="Z57" s="474"/>
      <c r="AA57" s="474"/>
      <c r="AB57" s="474"/>
      <c r="AC57" s="432"/>
      <c r="AD57" s="1601"/>
      <c r="AE57" s="474"/>
      <c r="AF57" s="474"/>
      <c r="AG57" s="474"/>
      <c r="AH57" s="474"/>
      <c r="AI57" s="474"/>
      <c r="AJ57" s="474"/>
      <c r="AK57" s="474"/>
      <c r="AL57" s="474"/>
      <c r="AM57" s="474"/>
      <c r="AN57" s="474"/>
      <c r="AO57" s="474"/>
      <c r="AP57" s="474"/>
      <c r="AQ57" s="474"/>
      <c r="AR57" s="474"/>
      <c r="AS57" s="474"/>
      <c r="AT57" s="474"/>
      <c r="AU57" s="474"/>
      <c r="AV57" s="474"/>
      <c r="AW57" s="474"/>
      <c r="AX57" s="474"/>
      <c r="AY57" s="474"/>
      <c r="AZ57" s="474"/>
      <c r="BA57" s="474"/>
      <c r="BB57" s="432"/>
      <c r="BC57" s="3140"/>
      <c r="BE57" s="607"/>
      <c r="BF57" s="607" t="str">
        <f>IF(T57="","",T57)</f>
        <v>Добавить строку</v>
      </c>
      <c r="BG57" s="607"/>
      <c r="BH57" s="607"/>
      <c r="BI57" s="1251">
        <v>11</v>
      </c>
    </row>
    <row s="10307" customFormat="1" customHeight="1" ht="14.25" hidden="1">
      <c r="A58" s="1439" t="s">
        <v>346</v>
      </c>
      <c r="B58" s="1439" t="s">
        <v>347</v>
      </c>
      <c r="C58" s="1439" t="s">
        <v>348</v>
      </c>
      <c r="D58" s="1439" t="s">
        <v>629</v>
      </c>
      <c r="E58" s="3116"/>
      <c r="F58" s="3116"/>
      <c r="G58" s="3116"/>
      <c r="H58" s="3116"/>
      <c r="I58" s="3117"/>
      <c r="J58" s="1439"/>
      <c r="K58" s="1439"/>
      <c r="L58" s="1442"/>
      <c r="M58" s="617"/>
      <c r="N58" s="617"/>
      <c r="O58" s="617"/>
      <c r="P58" s="3119"/>
      <c r="Q58" s="1577"/>
      <c r="R58" s="463"/>
      <c r="S58" s="1482"/>
      <c r="T58" s="1483"/>
      <c r="U58" s="1484"/>
      <c r="V58" s="1484"/>
      <c r="W58" s="1484"/>
      <c r="X58" s="1484"/>
      <c r="Y58" s="1484"/>
      <c r="Z58" s="1484"/>
      <c r="AA58" s="1484"/>
      <c r="AB58" s="1484"/>
      <c r="AC58" s="1484"/>
      <c r="AD58" s="1484"/>
      <c r="AE58" s="1484"/>
      <c r="AF58" s="1484"/>
      <c r="AG58" s="1484"/>
      <c r="AH58" s="1484"/>
      <c r="AI58" s="1484"/>
      <c r="AJ58" s="1484"/>
      <c r="AK58" s="1484"/>
      <c r="AL58" s="1484"/>
      <c r="AM58" s="1484"/>
      <c r="AN58" s="1484"/>
      <c r="AO58" s="1484"/>
      <c r="AP58" s="1484"/>
      <c r="AQ58" s="1484"/>
      <c r="AR58" s="1484"/>
      <c r="AS58" s="1484"/>
      <c r="AT58" s="1484"/>
      <c r="AU58" s="1484"/>
      <c r="AV58" s="1484"/>
      <c r="AW58" s="1484"/>
      <c r="AX58" s="1484"/>
      <c r="AY58" s="1484"/>
      <c r="AZ58" s="1484"/>
      <c r="BA58" s="1484"/>
      <c r="BB58" s="1484"/>
      <c r="BC58" s="1485"/>
      <c r="BE58" s="607"/>
      <c r="BF58" s="607" t="str">
        <f>IF(T58="","",T58)</f>
        <v/>
      </c>
      <c r="BG58" s="607"/>
      <c r="BH58" s="607"/>
      <c r="BI58" s="618">
        <v>0</v>
      </c>
    </row>
    <row s="10307" customFormat="1" customHeight="1" ht="14.25" hidden="1">
      <c r="A59" s="1439" t="s">
        <v>346</v>
      </c>
      <c r="B59" s="1439" t="s">
        <v>347</v>
      </c>
      <c r="C59" s="1439" t="s">
        <v>348</v>
      </c>
      <c r="D59" s="1439" t="s">
        <v>629</v>
      </c>
      <c r="E59" s="3116"/>
      <c r="F59" s="3116"/>
      <c r="G59" s="3116"/>
      <c r="H59" s="3115"/>
      <c r="I59" s="1439"/>
      <c r="J59" s="1439"/>
      <c r="K59" s="1439"/>
      <c r="L59" s="1442"/>
      <c r="M59" s="1411"/>
      <c r="N59" s="1411"/>
      <c r="O59" s="625"/>
      <c r="P59" s="487"/>
      <c r="Q59" s="1440"/>
      <c r="R59" s="1497"/>
      <c r="S59" s="1482"/>
      <c r="T59" s="1483"/>
      <c r="U59" s="1484"/>
      <c r="V59" s="1484"/>
      <c r="W59" s="1484"/>
      <c r="X59" s="1484"/>
      <c r="Y59" s="1484"/>
      <c r="Z59" s="1484"/>
      <c r="AA59" s="1484"/>
      <c r="AB59" s="1484"/>
      <c r="AC59" s="1484"/>
      <c r="AD59" s="1484"/>
      <c r="AE59" s="1484"/>
      <c r="AF59" s="1484"/>
      <c r="AG59" s="1484"/>
      <c r="AH59" s="1484"/>
      <c r="AI59" s="1484"/>
      <c r="AJ59" s="1484"/>
      <c r="AK59" s="1484"/>
      <c r="AL59" s="1484"/>
      <c r="AM59" s="1484"/>
      <c r="AN59" s="1484"/>
      <c r="AO59" s="1484"/>
      <c r="AP59" s="1484"/>
      <c r="AQ59" s="1484"/>
      <c r="AR59" s="1484"/>
      <c r="AS59" s="1484"/>
      <c r="AT59" s="1484"/>
      <c r="AU59" s="1484"/>
      <c r="AV59" s="1484"/>
      <c r="AW59" s="1484"/>
      <c r="AX59" s="1484"/>
      <c r="AY59" s="1484"/>
      <c r="AZ59" s="1484"/>
      <c r="BA59" s="1484"/>
      <c r="BB59" s="1484"/>
      <c r="BC59" s="1485"/>
      <c r="BE59" s="607"/>
      <c r="BF59" s="607" t="str">
        <f>IF(T59="","",T59)</f>
        <v/>
      </c>
      <c r="BG59" s="607"/>
      <c r="BH59" s="607"/>
      <c r="BI59" s="618">
        <v>0</v>
      </c>
    </row>
    <row s="10307" customFormat="1" customHeight="1" ht="14.25" hidden="1">
      <c r="A60" s="1439" t="s">
        <v>346</v>
      </c>
      <c r="B60" s="1439" t="s">
        <v>347</v>
      </c>
      <c r="C60" s="1439" t="s">
        <v>348</v>
      </c>
      <c r="D60" s="1410"/>
      <c r="E60" s="3116"/>
      <c r="F60" s="3116"/>
      <c r="G60" s="3115"/>
      <c r="H60" s="1410"/>
      <c r="I60" s="1410"/>
      <c r="J60" s="1410"/>
      <c r="K60" s="1410"/>
      <c r="L60" s="1590"/>
      <c r="M60" s="1411"/>
      <c r="N60" s="1411"/>
      <c r="P60" s="1412"/>
      <c r="Q60" s="1413"/>
      <c r="R60" s="1412"/>
      <c r="S60" s="1418"/>
      <c r="T60" s="1421"/>
      <c r="U60" s="1420"/>
      <c r="V60" s="1420"/>
      <c r="W60" s="1420"/>
      <c r="X60" s="1420"/>
      <c r="Y60" s="1420"/>
      <c r="Z60" s="1420"/>
      <c r="AA60" s="1420"/>
      <c r="AB60" s="1420"/>
      <c r="AC60" s="1420"/>
      <c r="AD60" s="1420"/>
      <c r="AE60" s="1420"/>
      <c r="AF60" s="1420"/>
      <c r="AG60" s="1420"/>
      <c r="AH60" s="1420"/>
      <c r="AI60" s="1420"/>
      <c r="AJ60" s="1420"/>
      <c r="AK60" s="1420"/>
      <c r="AL60" s="1420"/>
      <c r="AM60" s="1420"/>
      <c r="AN60" s="1420"/>
      <c r="AO60" s="1420"/>
      <c r="AP60" s="1420"/>
      <c r="AQ60" s="1420"/>
      <c r="AR60" s="1420"/>
      <c r="AS60" s="1420"/>
      <c r="AT60" s="1420"/>
      <c r="AU60" s="1420"/>
      <c r="AV60" s="1420"/>
      <c r="AW60" s="1420"/>
      <c r="AX60" s="1420"/>
      <c r="AY60" s="1420"/>
      <c r="AZ60" s="1420"/>
      <c r="BA60" s="1420"/>
      <c r="BB60" s="1420"/>
      <c r="BC60" s="1420"/>
      <c r="BE60" s="890"/>
      <c r="BF60" s="890" t="str">
        <f>IF(T60="","",T60)</f>
        <v/>
      </c>
      <c r="BG60" s="890"/>
      <c r="BH60" s="890"/>
      <c r="BI60" s="625">
        <v>0</v>
      </c>
    </row>
    <row s="10307" customFormat="1" customHeight="1" ht="14.25" hidden="1">
      <c r="A61" s="1439" t="s">
        <v>346</v>
      </c>
      <c r="B61" s="1439" t="s">
        <v>347</v>
      </c>
      <c r="C61" s="1410"/>
      <c r="D61" s="1410"/>
      <c r="E61" s="3116"/>
      <c r="F61" s="3115"/>
      <c r="G61" s="1410"/>
      <c r="H61" s="1410"/>
      <c r="I61" s="1410"/>
      <c r="J61" s="1410"/>
      <c r="K61" s="1410"/>
      <c r="L61" s="1590"/>
      <c r="M61" s="1417"/>
      <c r="N61" s="1417"/>
      <c r="P61" s="1412"/>
      <c r="Q61" s="1413"/>
      <c r="R61" s="1412"/>
      <c r="S61" s="1418"/>
      <c r="T61" s="1421" t="s">
        <v>500</v>
      </c>
      <c r="U61" s="1420"/>
      <c r="V61" s="1420"/>
      <c r="W61" s="1420"/>
      <c r="X61" s="1420"/>
      <c r="Y61" s="1420"/>
      <c r="Z61" s="1420"/>
      <c r="AA61" s="1420"/>
      <c r="AB61" s="1420"/>
      <c r="AC61" s="1420"/>
      <c r="AD61" s="1420"/>
      <c r="AE61" s="1420"/>
      <c r="AF61" s="1420"/>
      <c r="AG61" s="1420"/>
      <c r="AH61" s="1420"/>
      <c r="AI61" s="1420"/>
      <c r="AJ61" s="1420"/>
      <c r="AK61" s="1420"/>
      <c r="AL61" s="1420"/>
      <c r="AM61" s="1420"/>
      <c r="AN61" s="1420"/>
      <c r="AO61" s="1420"/>
      <c r="AP61" s="1420"/>
      <c r="AQ61" s="1420"/>
      <c r="AR61" s="1420"/>
      <c r="AS61" s="1420"/>
      <c r="AT61" s="1420"/>
      <c r="AU61" s="1420"/>
      <c r="AV61" s="1420"/>
      <c r="AW61" s="1420"/>
      <c r="AX61" s="1420"/>
      <c r="AY61" s="1420"/>
      <c r="AZ61" s="1420"/>
      <c r="BA61" s="1420"/>
      <c r="BB61" s="1420"/>
      <c r="BC61" s="1420"/>
      <c r="BE61" s="890"/>
      <c r="BF61" s="890" t="str">
        <f>IF(T61="","",T61)</f>
        <v>Добавить централизованную систему для дифференциации</v>
      </c>
      <c r="BG61" s="890"/>
      <c r="BH61" s="890"/>
      <c r="BI61" s="625">
        <v>0</v>
      </c>
    </row>
    <row s="10307" customFormat="1" customHeight="1" ht="14.25" hidden="1">
      <c r="A62" s="1439" t="s">
        <v>346</v>
      </c>
      <c r="B62" s="1439"/>
      <c r="C62" s="1439"/>
      <c r="D62" s="1439"/>
      <c r="E62" s="3115"/>
      <c r="F62" s="1439"/>
      <c r="G62" s="1439"/>
      <c r="H62" s="1439"/>
      <c r="I62" s="1439"/>
      <c r="J62" s="1439"/>
      <c r="K62" s="1439"/>
      <c r="L62" s="1442"/>
      <c r="M62" s="1417"/>
      <c r="N62" s="1417"/>
      <c r="O62" s="625"/>
      <c r="P62" s="487"/>
      <c r="Q62" s="1440"/>
      <c r="R62" s="487"/>
      <c r="S62" s="1418"/>
      <c r="T62" s="1421" t="s">
        <v>501</v>
      </c>
      <c r="U62" s="1420"/>
      <c r="V62" s="1420"/>
      <c r="W62" s="1420"/>
      <c r="X62" s="1420"/>
      <c r="Y62" s="1420"/>
      <c r="Z62" s="1420"/>
      <c r="AA62" s="1420"/>
      <c r="AB62" s="1420"/>
      <c r="AC62" s="1420"/>
      <c r="AD62" s="1420"/>
      <c r="AE62" s="1420"/>
      <c r="AF62" s="1420"/>
      <c r="AG62" s="1420"/>
      <c r="AH62" s="1420"/>
      <c r="AI62" s="1420"/>
      <c r="AJ62" s="1420"/>
      <c r="AK62" s="1420"/>
      <c r="AL62" s="1420"/>
      <c r="AM62" s="1420"/>
      <c r="AN62" s="1420"/>
      <c r="AO62" s="1420"/>
      <c r="AP62" s="1420"/>
      <c r="AQ62" s="1420"/>
      <c r="AR62" s="1420"/>
      <c r="AS62" s="1420"/>
      <c r="AT62" s="1420"/>
      <c r="AU62" s="1420"/>
      <c r="AV62" s="1420"/>
      <c r="AW62" s="1420"/>
      <c r="AX62" s="1420"/>
      <c r="AY62" s="1420"/>
      <c r="AZ62" s="1420"/>
      <c r="BA62" s="1420"/>
      <c r="BB62" s="1420"/>
      <c r="BC62" s="1420"/>
      <c r="BE62" s="607"/>
      <c r="BF62" s="607" t="str">
        <f>IF(T62="","",T62)</f>
        <v>Добавить территорию для дифференциации</v>
      </c>
      <c r="BG62" s="607"/>
      <c r="BH62" s="607"/>
      <c r="BI62" s="618">
        <v>0</v>
      </c>
    </row>
    <row s="10307" customFormat="1" customHeight="1" ht="14.25" hidden="1">
      <c r="A63" s="1410"/>
      <c r="B63" s="1410"/>
      <c r="C63" s="1410"/>
      <c r="D63" s="1410"/>
      <c r="E63" s="1439"/>
      <c r="F63" s="1410"/>
      <c r="G63" s="1410"/>
      <c r="H63" s="1410"/>
      <c r="I63" s="1410"/>
      <c r="J63" s="1410"/>
      <c r="K63" s="1410"/>
      <c r="L63" s="1590"/>
      <c r="M63" s="1417"/>
      <c r="N63" s="1417"/>
      <c r="P63" s="1412"/>
      <c r="Q63" s="1413"/>
      <c r="R63" s="1412"/>
      <c r="S63" s="1418"/>
      <c r="T63" s="1421" t="s">
        <v>533</v>
      </c>
      <c r="U63" s="1420"/>
      <c r="V63" s="1420"/>
      <c r="W63" s="1420"/>
      <c r="X63" s="1420"/>
      <c r="Y63" s="1420"/>
      <c r="Z63" s="1420"/>
      <c r="AA63" s="1420"/>
      <c r="AB63" s="1420"/>
      <c r="AC63" s="1420"/>
      <c r="AD63" s="1420"/>
      <c r="AE63" s="1420"/>
      <c r="AF63" s="1420"/>
      <c r="AG63" s="1420"/>
      <c r="AH63" s="1420"/>
      <c r="AI63" s="1420"/>
      <c r="AJ63" s="1420"/>
      <c r="AK63" s="1420"/>
      <c r="AL63" s="1420"/>
      <c r="AM63" s="1420"/>
      <c r="AN63" s="1420"/>
      <c r="AO63" s="1420"/>
      <c r="AP63" s="1420"/>
      <c r="AQ63" s="1420"/>
      <c r="AR63" s="1420"/>
      <c r="AS63" s="1420"/>
      <c r="AT63" s="1420"/>
      <c r="AU63" s="1420"/>
      <c r="AV63" s="1420"/>
      <c r="AW63" s="1420"/>
      <c r="AX63" s="1420"/>
      <c r="AY63" s="1420"/>
      <c r="AZ63" s="1420"/>
      <c r="BA63" s="1420"/>
      <c r="BB63" s="1420"/>
      <c r="BC63" s="1420"/>
      <c r="BE63" s="890"/>
      <c r="BF63" s="890" t="str">
        <f>IF(T63="","",T63)</f>
        <v>Добавить наименование тарифа</v>
      </c>
      <c r="BG63" s="890"/>
      <c r="BH63" s="890"/>
      <c r="BI63" s="625">
        <v>0</v>
      </c>
    </row>
    <row customHeight="1" ht="11.549999999999999">
      <c r="M64" s="1256"/>
      <c r="N64" s="1256"/>
      <c r="O64" s="644"/>
      <c r="P64" s="1256"/>
      <c r="Q64" s="1256"/>
      <c r="R64" s="1251"/>
      <c r="S64" s="1251"/>
      <c r="BD64" s="1251"/>
      <c r="BE64" s="1251"/>
      <c r="BF64" s="1251"/>
      <c r="BG64" s="1251"/>
      <c r="BH64" s="1251"/>
      <c r="BI64" s="1251">
        <v>11</v>
      </c>
    </row>
    <row customHeight="1" ht="19.95">
      <c r="O65" s="644"/>
      <c r="S65" s="1349"/>
      <c r="T65" s="3114"/>
      <c r="U65" s="3114"/>
      <c r="V65" s="3114"/>
      <c r="W65" s="3114"/>
      <c r="X65" s="3114"/>
      <c r="Y65" s="3114"/>
      <c r="Z65" s="3114"/>
      <c r="AA65" s="3114"/>
      <c r="AB65" s="3114"/>
      <c r="AC65" s="3114"/>
      <c r="AD65" s="3114"/>
      <c r="AE65" s="3114"/>
      <c r="AF65" s="3114"/>
      <c r="AG65" s="3114"/>
      <c r="AH65" s="3114"/>
      <c r="AI65" s="3114"/>
      <c r="AJ65" s="3114"/>
      <c r="AK65" s="3114"/>
      <c r="AL65" s="3114"/>
      <c r="AM65" s="3114"/>
      <c r="AN65" s="3114"/>
      <c r="AO65" s="3114"/>
      <c r="AP65" s="3114"/>
      <c r="AQ65" s="3114"/>
      <c r="AR65" s="3114"/>
      <c r="AS65" s="3114"/>
      <c r="AT65" s="3114"/>
      <c r="AU65" s="3114"/>
      <c r="AV65" s="3114"/>
      <c r="AW65" s="3114"/>
      <c r="AX65" s="3114"/>
      <c r="AY65" s="3114"/>
      <c r="AZ65" s="3114"/>
      <c r="BA65" s="3114"/>
      <c r="BB65" s="3114"/>
      <c r="BC65" s="3114"/>
      <c r="BI65" s="1251">
        <v>19</v>
      </c>
    </row>
    <row customHeight="1" ht="14.699999999999998">
      <c r="O66" s="644"/>
      <c r="T66" s="1576"/>
      <c r="U66" s="1576"/>
      <c r="V66" s="1576"/>
      <c r="W66" s="1576"/>
      <c r="X66" s="1576"/>
      <c r="Y66" s="1576"/>
      <c r="Z66" s="1576"/>
      <c r="AA66" s="1576"/>
      <c r="AB66" s="1576"/>
      <c r="AC66" s="1576"/>
      <c r="AD66" s="1576"/>
      <c r="AE66" s="1576"/>
      <c r="AF66" s="1576"/>
      <c r="AG66" s="1576"/>
      <c r="AH66" s="1576"/>
      <c r="AI66" s="1576"/>
      <c r="AJ66" s="1576"/>
      <c r="AK66" s="1576"/>
      <c r="AL66" s="1576"/>
      <c r="AM66" s="1576"/>
      <c r="AN66" s="1576"/>
      <c r="AO66" s="1576"/>
      <c r="AP66" s="1576"/>
      <c r="AQ66" s="1576"/>
      <c r="AR66" s="1576"/>
      <c r="AS66" s="1576"/>
      <c r="AT66" s="1576"/>
      <c r="AU66" s="1576"/>
      <c r="AV66" s="1576"/>
      <c r="AW66" s="1576"/>
      <c r="AX66" s="1576"/>
      <c r="AY66" s="1576"/>
      <c r="AZ66" s="1576"/>
      <c r="BA66" s="1576"/>
      <c r="BB66" s="1576"/>
      <c r="BC66" s="1576"/>
      <c r="BI66" s="1251">
        <v>14</v>
      </c>
    </row>
    <row customHeight="1" ht="19.95">
      <c r="O67" s="644"/>
      <c r="S67" s="1349"/>
      <c r="T67" s="3114"/>
      <c r="U67" s="3114"/>
      <c r="V67" s="3114"/>
      <c r="W67" s="3114"/>
      <c r="X67" s="3114"/>
      <c r="Y67" s="3114"/>
      <c r="Z67" s="3114"/>
      <c r="AA67" s="3114"/>
      <c r="AB67" s="3114"/>
      <c r="AC67" s="3114"/>
      <c r="AD67" s="3114"/>
      <c r="AE67" s="3114"/>
      <c r="AF67" s="3114"/>
      <c r="AG67" s="3114"/>
      <c r="AH67" s="3114"/>
      <c r="AI67" s="3114"/>
      <c r="AJ67" s="3114"/>
      <c r="AK67" s="3114"/>
      <c r="AL67" s="3114"/>
      <c r="AM67" s="3114"/>
      <c r="AN67" s="3114"/>
      <c r="AO67" s="3114"/>
      <c r="AP67" s="3114"/>
      <c r="AQ67" s="3114"/>
      <c r="AR67" s="3114"/>
      <c r="AS67" s="3114"/>
      <c r="AT67" s="3114"/>
      <c r="AU67" s="3114"/>
      <c r="AV67" s="3114"/>
      <c r="AW67" s="3114"/>
      <c r="AX67" s="3114"/>
      <c r="AY67" s="3114"/>
      <c r="AZ67" s="3114"/>
      <c r="BA67" s="3114"/>
      <c r="BB67" s="3114"/>
      <c r="BC67" s="3114"/>
      <c r="BI67" s="1251">
        <v>19</v>
      </c>
    </row>
    <row customHeight="1" ht="14.699999999999998">
      <c r="O68" s="644"/>
      <c r="BI68" s="1251">
        <v>14</v>
      </c>
    </row>
    <row customHeight="1" ht="14.25" hidden="1">
      <c r="A69" s="1256" t="s">
        <v>82</v>
      </c>
      <c r="B69" s="1256">
        <v>0</v>
      </c>
      <c r="C69" s="1256">
        <v>0</v>
      </c>
      <c r="D69" s="1256">
        <v>0</v>
      </c>
      <c r="E69" s="1256">
        <v>0</v>
      </c>
      <c r="F69" s="1256">
        <v>0</v>
      </c>
      <c r="G69" s="1256">
        <v>0</v>
      </c>
      <c r="H69" s="1256">
        <v>0</v>
      </c>
      <c r="I69" s="1256">
        <v>0</v>
      </c>
      <c r="J69" s="1256">
        <v>0</v>
      </c>
      <c r="K69" s="1256">
        <v>0</v>
      </c>
      <c r="L69" s="1574">
        <v>0</v>
      </c>
      <c r="M69" s="1458">
        <v>0</v>
      </c>
      <c r="N69" s="1458">
        <v>0</v>
      </c>
      <c r="O69" s="1458">
        <v>0</v>
      </c>
      <c r="P69" s="1458">
        <v>0</v>
      </c>
      <c r="Q69" s="1467">
        <v>0</v>
      </c>
      <c r="R69" s="452">
        <v>3</v>
      </c>
      <c r="S69" s="688">
        <v>12</v>
      </c>
      <c r="T69" s="1251">
        <v>31</v>
      </c>
      <c r="U69" s="1251">
        <v>0</v>
      </c>
      <c r="V69" s="1251">
        <v>0</v>
      </c>
      <c r="W69" s="1251">
        <v>0</v>
      </c>
      <c r="X69" s="1251">
        <v>0</v>
      </c>
      <c r="Y69" s="1251">
        <v>0</v>
      </c>
      <c r="Z69" s="1251">
        <v>0</v>
      </c>
      <c r="AA69" s="1251">
        <v>0</v>
      </c>
      <c r="AB69" s="1251">
        <v>0</v>
      </c>
      <c r="AC69" s="1251">
        <v>0</v>
      </c>
      <c r="AD69" s="1251">
        <v>3</v>
      </c>
      <c r="AE69" s="1251">
        <v>3</v>
      </c>
      <c r="AF69" s="1251">
        <v>3</v>
      </c>
      <c r="AG69" s="1251">
        <v>24</v>
      </c>
      <c r="AH69" s="1251">
        <v>3</v>
      </c>
      <c r="AI69" s="1251">
        <v>3</v>
      </c>
      <c r="AJ69" s="1251">
        <v>3</v>
      </c>
      <c r="AK69" s="1251">
        <v>24</v>
      </c>
      <c r="AL69" s="1251">
        <v>3</v>
      </c>
      <c r="AM69" s="1251">
        <v>3</v>
      </c>
      <c r="AN69" s="1251">
        <v>3</v>
      </c>
      <c r="AO69" s="1251">
        <v>18</v>
      </c>
      <c r="AP69" s="1251">
        <v>3</v>
      </c>
      <c r="AQ69" s="1251">
        <v>3</v>
      </c>
      <c r="AR69" s="1251">
        <v>3</v>
      </c>
      <c r="AS69" s="1251">
        <v>18</v>
      </c>
      <c r="AT69" s="1251">
        <v>21</v>
      </c>
      <c r="AU69" s="1251">
        <v>21</v>
      </c>
      <c r="AV69" s="1251">
        <v>21</v>
      </c>
      <c r="AW69" s="1251">
        <v>21</v>
      </c>
      <c r="AX69" s="1251">
        <v>11</v>
      </c>
      <c r="AY69" s="1251">
        <v>3</v>
      </c>
      <c r="AZ69" s="1251">
        <v>11</v>
      </c>
      <c r="BA69" s="1251">
        <v>0</v>
      </c>
      <c r="BB69" s="1251">
        <v>4</v>
      </c>
      <c r="BC69" s="1251">
        <v>115</v>
      </c>
      <c r="BD69" s="618">
        <v>10</v>
      </c>
      <c r="BE69" s="618">
        <v>10</v>
      </c>
      <c r="BF69" s="618">
        <v>10</v>
      </c>
      <c r="BG69" s="618">
        <v>10</v>
      </c>
      <c r="BH69" s="618">
        <v>10</v>
      </c>
      <c r="BI69" s="1251">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0A5AD-F2B5-D0FF-14D3-E07CAA5E21A2}" mc:Ignorable="x14ac xr xr2 xr3">
  <sheetPr>
    <tabColor theme="9" tint="-0.25"/>
  </sheetPr>
  <dimension ref="A1:BN333"/>
  <sheetViews>
    <sheetView topLeftCell="A1" showGridLines="0" zoomScale="70" workbookViewId="0">
      <selection activeCell="J50" sqref="J50"/>
    </sheetView>
  </sheetViews>
  <sheetFormatPr defaultColWidth="9.140625" customHeight="1" defaultRowHeight="11.25"/>
  <cols>
    <col min="1" max="1" style="11666" width="10.7109375" hidden="1" customWidth="1"/>
    <col min="2" max="2" style="10306" width="16.8515625" hidden="1" customWidth="1"/>
    <col min="3" max="3" style="10307" width="5.57421875" hidden="1" customWidth="1"/>
    <col min="4" max="4" style="10232" width="3.00390625" customWidth="1"/>
    <col min="5" max="5" style="10232" width="7.00390625" customWidth="1"/>
    <col min="6" max="6" style="10232" width="54.00390625" customWidth="1"/>
    <col min="7" max="7" style="10232" width="10.00390625" customWidth="1"/>
    <col min="8" max="8" style="10232" width="40.7109375" hidden="1" customWidth="1"/>
    <col min="9" max="30" style="10232" width="40.7109375" customWidth="1"/>
    <col min="31" max="33" style="11667" width="40.7109375" customWidth="1"/>
    <col min="34" max="34" style="10232" width="102.00390625" customWidth="1"/>
    <col min="35" max="35" style="10306" width="9.00390625" customWidth="1"/>
    <col min="36" max="36" style="10307" width="5.00390625" customWidth="1"/>
    <col min="37" max="37" style="10307" width="3.00390625" customWidth="1"/>
    <col min="38" max="41" style="10306" width="3.00390625" customWidth="1"/>
    <col min="42" max="42" style="10307" width="10.00390625" customWidth="1"/>
    <col min="43" max="43" style="10306" width="34.00390625" customWidth="1"/>
    <col min="44" max="44" style="10306" width="9.00390625" customWidth="1"/>
    <col min="45" max="45" style="11668" width="8.00390625" customWidth="1"/>
    <col min="46" max="50" style="10306" width="8.00390625" customWidth="1"/>
    <col min="51" max="55" style="10196" width="8.00390625" customWidth="1"/>
    <col min="56" max="56" style="10232" width="9.140625" hidden="1"/>
  </cols>
  <sheetData>
    <row customHeight="1" ht="22.5" hidden="1">
      <c r="AE1" s="4586"/>
      <c r="AF1" s="4586"/>
      <c r="AG1" s="4586"/>
      <c r="BD1" s="1727" t="s">
        <v>14</v>
      </c>
    </row>
    <row customHeight="1" ht="23.25" hidden="1">
      <c r="B2" s="2962"/>
      <c r="C2" s="1263" t="s">
        <v>630</v>
      </c>
      <c r="D2" s="1734"/>
      <c r="E2" s="653">
        <f>B2</f>
        <v>0</v>
      </c>
      <c r="F2" s="654"/>
      <c r="G2" s="1742" t="s">
        <v>631</v>
      </c>
      <c r="H2" s="1742" t="s">
        <v>631</v>
      </c>
      <c r="I2" s="1742" t="s">
        <v>631</v>
      </c>
      <c r="J2" s="2179" t="s">
        <v>631</v>
      </c>
      <c r="K2" s="2179" t="s">
        <v>631</v>
      </c>
      <c r="L2" s="2179" t="s">
        <v>631</v>
      </c>
      <c r="M2" s="2179" t="s">
        <v>631</v>
      </c>
      <c r="N2" s="2179" t="s">
        <v>631</v>
      </c>
      <c r="O2" s="2179" t="s">
        <v>631</v>
      </c>
      <c r="P2" s="2179" t="s">
        <v>631</v>
      </c>
      <c r="Q2" s="2179" t="s">
        <v>631</v>
      </c>
      <c r="R2" s="2179" t="s">
        <v>631</v>
      </c>
      <c r="S2" s="2179" t="s">
        <v>631</v>
      </c>
      <c r="T2" s="2179" t="s">
        <v>631</v>
      </c>
      <c r="U2" s="2179" t="s">
        <v>631</v>
      </c>
      <c r="V2" s="2179" t="s">
        <v>631</v>
      </c>
      <c r="W2" s="2179" t="s">
        <v>631</v>
      </c>
      <c r="X2" s="2179" t="s">
        <v>631</v>
      </c>
      <c r="Y2" s="2179" t="s">
        <v>631</v>
      </c>
      <c r="Z2" s="2179" t="s">
        <v>631</v>
      </c>
      <c r="AA2" s="2179" t="s">
        <v>631</v>
      </c>
      <c r="AB2" s="2179" t="s">
        <v>631</v>
      </c>
      <c r="AC2" s="2179" t="s">
        <v>631</v>
      </c>
      <c r="AD2" s="2179" t="s">
        <v>631</v>
      </c>
      <c r="AE2" s="4593" t="s">
        <v>631</v>
      </c>
      <c r="AF2" s="4593" t="s">
        <v>631</v>
      </c>
      <c r="AG2" s="4593" t="s">
        <v>631</v>
      </c>
      <c r="AH2" s="397" t="s">
        <v>632</v>
      </c>
      <c r="AI2" s="650"/>
      <c r="BD2" s="1727">
        <v>0</v>
      </c>
    </row>
    <row s="10307" customFormat="1" customHeight="1" ht="0.75" hidden="1">
      <c r="B3" s="2962"/>
      <c r="C3" s="1263"/>
      <c r="D3" s="655"/>
      <c r="E3" s="656"/>
      <c r="F3" s="657" t="s">
        <v>633</v>
      </c>
      <c r="G3" s="658"/>
      <c r="H3" s="1113">
        <f>H4*H5+H6</f>
        <v>0</v>
      </c>
      <c r="I3" s="658">
        <f>I4*I5+I6</f>
        <v>0</v>
      </c>
      <c r="J3" s="1469">
        <f>J4*J5+J6</f>
        <v>0</v>
      </c>
      <c r="K3" s="1469">
        <f>K4*K5+K6</f>
        <v>0</v>
      </c>
      <c r="L3" s="1469">
        <f>L4*L5+L6</f>
        <v>0</v>
      </c>
      <c r="M3" s="1469">
        <f>M4*M5+M6</f>
        <v>0</v>
      </c>
      <c r="N3" s="1469">
        <f>N4*N5+N6</f>
        <v>0</v>
      </c>
      <c r="O3" s="1469">
        <f>O4*O5+O6</f>
        <v>0</v>
      </c>
      <c r="P3" s="1469">
        <f>P4*P5+P6</f>
        <v>0</v>
      </c>
      <c r="Q3" s="1469">
        <f>Q4*Q5+Q6</f>
        <v>0</v>
      </c>
      <c r="R3" s="1469">
        <f>R4*R5+R6</f>
        <v>0</v>
      </c>
      <c r="S3" s="1469">
        <f>S4*S5+S6</f>
        <v>0</v>
      </c>
      <c r="T3" s="1469">
        <f>T4*T5+T6</f>
        <v>0</v>
      </c>
      <c r="U3" s="1469">
        <f>U4*U5+U6</f>
        <v>0</v>
      </c>
      <c r="V3" s="1469">
        <f>V4*V5+V6</f>
        <v>0</v>
      </c>
      <c r="W3" s="1469">
        <f>W4*W5+W6</f>
        <v>0</v>
      </c>
      <c r="X3" s="1469">
        <f>X4*X5+X6</f>
        <v>0</v>
      </c>
      <c r="Y3" s="1469">
        <f>Y4*Y5+Y6</f>
        <v>0</v>
      </c>
      <c r="Z3" s="1469">
        <f>Z4*Z5+Z6</f>
        <v>0</v>
      </c>
      <c r="AA3" s="1469">
        <f>AA4*AA5+AA6</f>
        <v>0</v>
      </c>
      <c r="AB3" s="1469">
        <f>AB4*AB5+AB6</f>
        <v>0</v>
      </c>
      <c r="AC3" s="1469">
        <f>AC4*AC5+AC6</f>
        <v>0</v>
      </c>
      <c r="AD3" s="1469">
        <f>AD4*AD5+AD6</f>
        <v>0</v>
      </c>
      <c r="AE3" s="4599">
        <f>AE4*AE5+AE6</f>
        <v>0</v>
      </c>
      <c r="AF3" s="4599">
        <f>AF4*AF5+AF6</f>
        <v>0</v>
      </c>
      <c r="AG3" s="4599">
        <f>AG4*AG5+AG6</f>
        <v>0</v>
      </c>
      <c r="AH3" s="659"/>
      <c r="BD3" s="1732">
        <v>0</v>
      </c>
    </row>
    <row customHeight="1" ht="23.25" hidden="1">
      <c r="B4" s="2962"/>
      <c r="C4" s="1263"/>
      <c r="D4" s="1734"/>
      <c r="E4" s="653" t="str">
        <f>B2&amp;".1"</f>
        <v>.1</v>
      </c>
      <c r="F4" s="660" t="s">
        <v>634</v>
      </c>
      <c r="G4" s="661"/>
      <c r="H4" s="648"/>
      <c r="I4" s="648"/>
      <c r="J4" s="858"/>
      <c r="K4" s="858"/>
      <c r="L4" s="858"/>
      <c r="M4" s="858"/>
      <c r="N4" s="858"/>
      <c r="O4" s="858"/>
      <c r="P4" s="858"/>
      <c r="Q4" s="858"/>
      <c r="R4" s="858"/>
      <c r="S4" s="858"/>
      <c r="T4" s="858"/>
      <c r="U4" s="858"/>
      <c r="V4" s="858"/>
      <c r="W4" s="858"/>
      <c r="X4" s="858"/>
      <c r="Y4" s="858"/>
      <c r="Z4" s="858"/>
      <c r="AA4" s="858"/>
      <c r="AB4" s="858"/>
      <c r="AC4" s="858"/>
      <c r="AD4" s="858"/>
      <c r="AE4" s="4604"/>
      <c r="AF4" s="4604"/>
      <c r="AG4" s="4604"/>
      <c r="AH4" s="397" t="s">
        <v>635</v>
      </c>
      <c r="AI4" s="650"/>
      <c r="BD4" s="1727">
        <v>0</v>
      </c>
    </row>
    <row customHeight="1" ht="18.75" hidden="1">
      <c r="B5" s="2962"/>
      <c r="C5" s="1263"/>
      <c r="D5" s="1734"/>
      <c r="E5" s="653" t="str">
        <f>B2&amp;".2"</f>
        <v>.2</v>
      </c>
      <c r="F5" s="660" t="s">
        <v>636</v>
      </c>
      <c r="G5" s="1742" t="s">
        <v>637</v>
      </c>
      <c r="H5" s="648"/>
      <c r="I5" s="648"/>
      <c r="J5" s="858"/>
      <c r="K5" s="858"/>
      <c r="L5" s="858"/>
      <c r="M5" s="858"/>
      <c r="N5" s="858"/>
      <c r="O5" s="858"/>
      <c r="P5" s="858"/>
      <c r="Q5" s="858"/>
      <c r="R5" s="858"/>
      <c r="S5" s="858"/>
      <c r="T5" s="858"/>
      <c r="U5" s="858"/>
      <c r="V5" s="858"/>
      <c r="W5" s="858"/>
      <c r="X5" s="858"/>
      <c r="Y5" s="858"/>
      <c r="Z5" s="858"/>
      <c r="AA5" s="858"/>
      <c r="AB5" s="858"/>
      <c r="AC5" s="858"/>
      <c r="AD5" s="858"/>
      <c r="AE5" s="4604"/>
      <c r="AF5" s="4604"/>
      <c r="AG5" s="4604"/>
      <c r="AH5" s="397"/>
      <c r="AI5" s="650"/>
      <c r="BD5" s="1727">
        <v>0</v>
      </c>
    </row>
    <row customHeight="1" ht="18.75" hidden="1">
      <c r="B6" s="2962"/>
      <c r="C6" s="1263"/>
      <c r="D6" s="1734"/>
      <c r="E6" s="653" t="str">
        <f>B2&amp;".3"</f>
        <v>.3</v>
      </c>
      <c r="F6" s="660" t="s">
        <v>638</v>
      </c>
      <c r="G6" s="1742" t="s">
        <v>637</v>
      </c>
      <c r="H6" s="648"/>
      <c r="I6" s="648"/>
      <c r="J6" s="858"/>
      <c r="K6" s="858"/>
      <c r="L6" s="858"/>
      <c r="M6" s="858"/>
      <c r="N6" s="858"/>
      <c r="O6" s="858"/>
      <c r="P6" s="858"/>
      <c r="Q6" s="858"/>
      <c r="R6" s="858"/>
      <c r="S6" s="858"/>
      <c r="T6" s="858"/>
      <c r="U6" s="858"/>
      <c r="V6" s="858"/>
      <c r="W6" s="858"/>
      <c r="X6" s="858"/>
      <c r="Y6" s="858"/>
      <c r="Z6" s="858"/>
      <c r="AA6" s="858"/>
      <c r="AB6" s="858"/>
      <c r="AC6" s="858"/>
      <c r="AD6" s="858"/>
      <c r="AE6" s="4604"/>
      <c r="AF6" s="4604"/>
      <c r="AG6" s="4604"/>
      <c r="AH6" s="397"/>
      <c r="AI6" s="650"/>
      <c r="BD6" s="1727">
        <v>0</v>
      </c>
    </row>
    <row customHeight="1" ht="18.75" hidden="1">
      <c r="B7" s="2962"/>
      <c r="C7" s="1263"/>
      <c r="D7" s="1734"/>
      <c r="E7" s="653" t="str">
        <f>B2&amp;".4"</f>
        <v>.4</v>
      </c>
      <c r="F7" s="660" t="s">
        <v>639</v>
      </c>
      <c r="G7" s="1742" t="s">
        <v>631</v>
      </c>
      <c r="H7" s="662"/>
      <c r="I7" s="662"/>
      <c r="J7" s="662"/>
      <c r="K7" s="662"/>
      <c r="L7" s="662"/>
      <c r="M7" s="662"/>
      <c r="N7" s="662"/>
      <c r="O7" s="662"/>
      <c r="P7" s="662"/>
      <c r="Q7" s="662"/>
      <c r="R7" s="662"/>
      <c r="S7" s="662"/>
      <c r="T7" s="662"/>
      <c r="U7" s="662"/>
      <c r="V7" s="662"/>
      <c r="W7" s="662"/>
      <c r="X7" s="662"/>
      <c r="Y7" s="662"/>
      <c r="Z7" s="662"/>
      <c r="AA7" s="662"/>
      <c r="AB7" s="662"/>
      <c r="AC7" s="662"/>
      <c r="AD7" s="662"/>
      <c r="AE7" s="4606"/>
      <c r="AF7" s="4606"/>
      <c r="AG7" s="4606"/>
      <c r="AH7" s="397"/>
      <c r="AI7" s="650"/>
      <c r="BD7" s="1727">
        <v>0</v>
      </c>
    </row>
    <row s="10306" customFormat="1" customHeight="1" ht="11.25" hidden="1">
      <c r="A8" s="1087"/>
      <c r="C8" s="1732"/>
      <c r="D8" s="644"/>
      <c r="H8" s="1256">
        <v>4</v>
      </c>
      <c r="I8" s="1256">
        <v>4</v>
      </c>
      <c r="J8" s="1462">
        <v>4</v>
      </c>
      <c r="K8" s="1462">
        <v>4</v>
      </c>
      <c r="L8" s="1462">
        <v>4</v>
      </c>
      <c r="M8" s="1462">
        <v>4</v>
      </c>
      <c r="N8" s="1462">
        <v>4</v>
      </c>
      <c r="O8" s="1462">
        <v>4</v>
      </c>
      <c r="P8" s="1462">
        <v>4</v>
      </c>
      <c r="Q8" s="1462">
        <v>4</v>
      </c>
      <c r="R8" s="1462">
        <v>4</v>
      </c>
      <c r="S8" s="1462">
        <v>4</v>
      </c>
      <c r="T8" s="1462">
        <v>4</v>
      </c>
      <c r="U8" s="1462">
        <v>4</v>
      </c>
      <c r="V8" s="1462">
        <v>4</v>
      </c>
      <c r="W8" s="1462">
        <v>4</v>
      </c>
      <c r="X8" s="1462">
        <v>4</v>
      </c>
      <c r="Y8" s="1462">
        <v>4</v>
      </c>
      <c r="Z8" s="1462">
        <v>4</v>
      </c>
      <c r="AA8" s="1462">
        <v>4</v>
      </c>
      <c r="AB8" s="1462">
        <v>4</v>
      </c>
      <c r="AC8" s="1462">
        <v>4</v>
      </c>
      <c r="AD8" s="1462">
        <v>4</v>
      </c>
      <c r="AE8" s="4608">
        <v>4</v>
      </c>
      <c r="AF8" s="4608">
        <v>4</v>
      </c>
      <c r="AG8" s="4608">
        <v>4</v>
      </c>
      <c r="AJ8" s="1732"/>
      <c r="AK8" s="1732"/>
      <c r="AP8" s="1732"/>
      <c r="BD8" s="1256">
        <v>0</v>
      </c>
    </row>
    <row s="10306" customFormat="1" customHeight="1" ht="22.5" hidden="1">
      <c r="A9" s="1087"/>
      <c r="C9" s="1732"/>
      <c r="D9" s="645"/>
      <c r="E9" s="1744"/>
      <c r="F9" s="647"/>
      <c r="G9" s="1742" t="s">
        <v>637</v>
      </c>
      <c r="H9" s="648"/>
      <c r="I9" s="648"/>
      <c r="J9" s="858"/>
      <c r="K9" s="858"/>
      <c r="L9" s="858"/>
      <c r="M9" s="858"/>
      <c r="N9" s="858"/>
      <c r="O9" s="858"/>
      <c r="P9" s="858"/>
      <c r="Q9" s="858"/>
      <c r="R9" s="858"/>
      <c r="S9" s="858"/>
      <c r="T9" s="858"/>
      <c r="U9" s="858"/>
      <c r="V9" s="858"/>
      <c r="W9" s="858"/>
      <c r="X9" s="858"/>
      <c r="Y9" s="858"/>
      <c r="Z9" s="858"/>
      <c r="AA9" s="858"/>
      <c r="AB9" s="858"/>
      <c r="AC9" s="858"/>
      <c r="AD9" s="858"/>
      <c r="AE9" s="4604"/>
      <c r="AF9" s="4604"/>
      <c r="AG9" s="4604"/>
      <c r="AH9" s="649" t="s">
        <v>640</v>
      </c>
      <c r="AI9" s="650"/>
      <c r="AJ9" s="1732"/>
      <c r="AK9" s="1732"/>
      <c r="AP9" s="1732"/>
      <c r="AS9" s="651"/>
      <c r="AY9" s="1728"/>
      <c r="AZ9" s="1728"/>
      <c r="BA9" s="1728"/>
      <c r="BB9" s="1728"/>
      <c r="BC9" s="1728"/>
      <c r="BD9" s="1256">
        <v>0</v>
      </c>
    </row>
    <row customHeight="1" ht="11.25" hidden="1">
      <c r="AE10" s="4586"/>
      <c r="AF10" s="4586"/>
      <c r="AG10" s="4586"/>
      <c r="BD10" s="1727">
        <v>0</v>
      </c>
    </row>
    <row customHeight="1" ht="18.75" hidden="1">
      <c r="D11" s="1734"/>
      <c r="E11" s="653"/>
      <c r="F11" s="647"/>
      <c r="G11" s="1742" t="s">
        <v>641</v>
      </c>
      <c r="H11" s="648"/>
      <c r="I11" s="648"/>
      <c r="J11" s="858"/>
      <c r="K11" s="858"/>
      <c r="L11" s="858"/>
      <c r="M11" s="858"/>
      <c r="N11" s="858"/>
      <c r="O11" s="858"/>
      <c r="P11" s="858"/>
      <c r="Q11" s="858"/>
      <c r="R11" s="858"/>
      <c r="S11" s="858"/>
      <c r="T11" s="858"/>
      <c r="U11" s="858"/>
      <c r="V11" s="858"/>
      <c r="W11" s="858"/>
      <c r="X11" s="858"/>
      <c r="Y11" s="858"/>
      <c r="Z11" s="858"/>
      <c r="AA11" s="858"/>
      <c r="AB11" s="858"/>
      <c r="AC11" s="858"/>
      <c r="AD11" s="858"/>
      <c r="AE11" s="4604"/>
      <c r="AF11" s="4604"/>
      <c r="AG11" s="4604"/>
      <c r="AH11" s="397" t="s">
        <v>642</v>
      </c>
      <c r="AI11" s="650"/>
      <c r="BD11" s="1727">
        <v>0</v>
      </c>
    </row>
    <row customHeight="1" ht="11.25" hidden="1">
      <c r="AE12" s="4586"/>
      <c r="AF12" s="4586"/>
      <c r="AG12" s="4586"/>
      <c r="BD12" s="1727">
        <v>0</v>
      </c>
    </row>
    <row customHeight="1" ht="22.5" hidden="1">
      <c r="D13" s="1734"/>
      <c r="E13" s="653"/>
      <c r="F13" s="647"/>
      <c r="G13" s="1069" t="s">
        <v>643</v>
      </c>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4615"/>
      <c r="AF13" s="4615"/>
      <c r="AG13" s="4615"/>
      <c r="AH13" s="852" t="s">
        <v>644</v>
      </c>
      <c r="AI13" s="650"/>
      <c r="BD13" s="1727">
        <v>0</v>
      </c>
    </row>
    <row customHeight="1" ht="11.25" hidden="1">
      <c r="AE14" s="4586"/>
      <c r="AF14" s="4586"/>
      <c r="AG14" s="4586"/>
      <c r="BD14" s="1727">
        <v>0</v>
      </c>
    </row>
    <row customHeight="1" ht="22.5" hidden="1">
      <c r="D15" s="1734"/>
      <c r="E15" s="653"/>
      <c r="F15" s="647"/>
      <c r="G15" s="1742" t="s">
        <v>645</v>
      </c>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4615"/>
      <c r="AF15" s="4615"/>
      <c r="AG15" s="4615"/>
      <c r="AH15" s="397" t="s">
        <v>646</v>
      </c>
      <c r="AI15" s="650"/>
      <c r="BD15" s="1727">
        <v>0</v>
      </c>
    </row>
    <row customHeight="1" ht="11.25" hidden="1">
      <c r="AE16" s="4586"/>
      <c r="AF16" s="4586"/>
      <c r="AG16" s="4586"/>
      <c r="BD16" s="1727">
        <v>0</v>
      </c>
    </row>
    <row customHeight="1" ht="22.5" hidden="1">
      <c r="D17" s="1734"/>
      <c r="E17" s="653"/>
      <c r="F17" s="647"/>
      <c r="G17" s="1742" t="s">
        <v>647</v>
      </c>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4615"/>
      <c r="AF17" s="4615"/>
      <c r="AG17" s="4615"/>
      <c r="AH17" s="397" t="s">
        <v>648</v>
      </c>
      <c r="AI17" s="650"/>
      <c r="BD17" s="1727">
        <v>0</v>
      </c>
    </row>
    <row customHeight="1" ht="11.25" hidden="1">
      <c r="AE18" s="4586"/>
      <c r="AF18" s="4586"/>
      <c r="AG18" s="4586"/>
      <c r="BD18" s="1727">
        <v>0</v>
      </c>
    </row>
    <row s="10196" customFormat="1" customHeight="1" ht="11.25" hidden="1">
      <c r="A19" s="1087"/>
      <c r="B19" s="1256"/>
      <c r="C19" s="1732"/>
      <c r="D19" s="469"/>
      <c r="AE19" s="4618"/>
      <c r="AF19" s="4618"/>
      <c r="AG19" s="4618"/>
      <c r="AH19" s="1728">
        <v>4</v>
      </c>
      <c r="AI19" s="1256"/>
      <c r="AJ19" s="1732"/>
      <c r="AK19" s="1732"/>
      <c r="AL19" s="1256"/>
      <c r="AM19" s="1256"/>
      <c r="AN19" s="1256"/>
      <c r="AO19" s="1256"/>
      <c r="AP19" s="1732"/>
      <c r="AQ19" s="1256"/>
      <c r="AR19" s="1256"/>
      <c r="AS19" s="651"/>
      <c r="AT19" s="1256"/>
      <c r="AU19" s="1256"/>
      <c r="AV19" s="1256"/>
      <c r="AW19" s="1256"/>
      <c r="AX19" s="1256"/>
      <c r="BD19" s="1728">
        <v>0</v>
      </c>
    </row>
    <row customHeight="1" ht="11.549999999999999">
      <c r="AE20" s="4586"/>
      <c r="AF20" s="4586"/>
      <c r="AG20" s="4586"/>
      <c r="BD20" s="1727">
        <v>11</v>
      </c>
    </row>
    <row customHeight="1" ht="25.2">
      <c r="E21" s="309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096"/>
      <c r="G21" s="3096"/>
      <c r="H21" s="3096"/>
      <c r="I21" s="3096"/>
      <c r="J21" s="2172"/>
      <c r="K21" s="2172"/>
      <c r="L21" s="2172"/>
      <c r="M21" s="2172"/>
      <c r="N21" s="2172"/>
      <c r="O21" s="2172"/>
      <c r="P21" s="2172"/>
      <c r="Q21" s="2172"/>
      <c r="R21" s="2172"/>
      <c r="S21" s="2172"/>
      <c r="T21" s="2172"/>
      <c r="U21" s="2172"/>
      <c r="V21" s="2172"/>
      <c r="W21" s="2172"/>
      <c r="X21" s="2172"/>
      <c r="Y21" s="2172"/>
      <c r="Z21" s="2172"/>
      <c r="AA21" s="2172"/>
      <c r="AB21" s="2172"/>
      <c r="AC21" s="2172"/>
      <c r="AD21" s="2172"/>
      <c r="AE21" s="4620"/>
      <c r="AF21" s="4620"/>
      <c r="AG21" s="4620"/>
      <c r="AH21" s="663"/>
      <c r="BD21" s="1727">
        <v>24</v>
      </c>
    </row>
    <row customHeight="1" ht="25.2">
      <c r="E22" s="3069" t="str">
        <f>IF(org=0,"Не определено",org)</f>
        <v>АО "ДГК"</v>
      </c>
      <c r="F22" s="3069"/>
      <c r="G22" s="3069"/>
      <c r="H22" s="3069"/>
      <c r="I22" s="3069"/>
      <c r="J22" s="2173"/>
      <c r="K22" s="2173"/>
      <c r="L22" s="2173"/>
      <c r="M22" s="2173"/>
      <c r="N22" s="2173"/>
      <c r="O22" s="2173"/>
      <c r="P22" s="2173"/>
      <c r="Q22" s="2173"/>
      <c r="R22" s="2173"/>
      <c r="S22" s="2173"/>
      <c r="T22" s="2173"/>
      <c r="U22" s="2173"/>
      <c r="V22" s="2173"/>
      <c r="W22" s="2173"/>
      <c r="X22" s="2173"/>
      <c r="Y22" s="2173"/>
      <c r="Z22" s="2173"/>
      <c r="AA22" s="2173"/>
      <c r="AB22" s="2173"/>
      <c r="AC22" s="2173"/>
      <c r="AD22" s="2173"/>
      <c r="AE22" s="4623"/>
      <c r="AF22" s="4623"/>
      <c r="AG22" s="4623"/>
      <c r="BD22" s="1727">
        <v>24</v>
      </c>
    </row>
    <row customHeight="1" ht="11.549999999999999">
      <c r="E23" s="1232"/>
      <c r="F23" s="1232"/>
      <c r="G23" s="1232"/>
      <c r="H23" s="1232"/>
      <c r="I23" s="1232"/>
      <c r="J23" s="1233" t="s">
        <v>22</v>
      </c>
      <c r="K23" s="1233" t="s">
        <v>22</v>
      </c>
      <c r="L23" s="1233" t="s">
        <v>22</v>
      </c>
      <c r="M23" s="1233" t="s">
        <v>22</v>
      </c>
      <c r="N23" s="1233" t="s">
        <v>22</v>
      </c>
      <c r="O23" s="1233" t="s">
        <v>22</v>
      </c>
      <c r="P23" s="1233" t="s">
        <v>22</v>
      </c>
      <c r="Q23" s="1233" t="s">
        <v>22</v>
      </c>
      <c r="R23" s="1233" t="s">
        <v>22</v>
      </c>
      <c r="S23" s="1233" t="s">
        <v>22</v>
      </c>
      <c r="T23" s="1233" t="s">
        <v>22</v>
      </c>
      <c r="U23" s="1233" t="s">
        <v>22</v>
      </c>
      <c r="V23" s="1233" t="s">
        <v>22</v>
      </c>
      <c r="W23" s="1233" t="s">
        <v>22</v>
      </c>
      <c r="X23" s="1233" t="s">
        <v>22</v>
      </c>
      <c r="Y23" s="1233" t="s">
        <v>22</v>
      </c>
      <c r="Z23" s="1233" t="s">
        <v>22</v>
      </c>
      <c r="AA23" s="1233" t="s">
        <v>22</v>
      </c>
      <c r="AB23" s="1233" t="s">
        <v>22</v>
      </c>
      <c r="AC23" s="1233" t="s">
        <v>22</v>
      </c>
      <c r="AD23" s="1233" t="s">
        <v>22</v>
      </c>
      <c r="AE23" s="4626" t="s">
        <v>22</v>
      </c>
      <c r="AF23" s="4626" t="s">
        <v>22</v>
      </c>
      <c r="AG23" s="4626" t="s">
        <v>22</v>
      </c>
      <c r="BD23" s="1727">
        <v>11</v>
      </c>
    </row>
    <row s="10307" customFormat="1" customHeight="1" ht="1.05">
      <c r="A24" s="1263"/>
      <c r="H24" s="989"/>
      <c r="I24" s="989" t="s">
        <v>150</v>
      </c>
      <c r="J24" s="989" t="s">
        <v>154</v>
      </c>
      <c r="K24" s="989" t="s">
        <v>157</v>
      </c>
      <c r="L24" s="989" t="s">
        <v>159</v>
      </c>
      <c r="M24" s="989" t="s">
        <v>161</v>
      </c>
      <c r="N24" s="989" t="s">
        <v>163</v>
      </c>
      <c r="O24" s="989" t="s">
        <v>165</v>
      </c>
      <c r="P24" s="989" t="s">
        <v>168</v>
      </c>
      <c r="Q24" s="989" t="s">
        <v>171</v>
      </c>
      <c r="R24" s="989" t="s">
        <v>173</v>
      </c>
      <c r="S24" s="989" t="s">
        <v>175</v>
      </c>
      <c r="T24" s="989" t="s">
        <v>177</v>
      </c>
      <c r="U24" s="989" t="s">
        <v>179</v>
      </c>
      <c r="V24" s="989" t="s">
        <v>181</v>
      </c>
      <c r="W24" s="989" t="s">
        <v>183</v>
      </c>
      <c r="X24" s="989" t="s">
        <v>186</v>
      </c>
      <c r="Y24" s="989" t="s">
        <v>188</v>
      </c>
      <c r="Z24" s="989" t="s">
        <v>190</v>
      </c>
      <c r="AA24" s="989" t="s">
        <v>192</v>
      </c>
      <c r="AB24" s="989" t="s">
        <v>194</v>
      </c>
      <c r="AC24" s="989" t="s">
        <v>197</v>
      </c>
      <c r="AD24" s="989" t="s">
        <v>199</v>
      </c>
      <c r="AE24" s="4628" t="s">
        <v>202</v>
      </c>
      <c r="AF24" s="4628" t="s">
        <v>205</v>
      </c>
      <c r="AG24" s="4628" t="s">
        <v>206</v>
      </c>
      <c r="BD24" s="1732">
        <v>1</v>
      </c>
    </row>
    <row customHeight="1" ht="45.75">
      <c r="E25" s="818"/>
      <c r="F25" s="3204" t="s">
        <v>140</v>
      </c>
      <c r="G25" s="3205"/>
      <c r="H25" s="1748" t="str">
        <f>IF(H24="","",INDEX(DIFFERENTIATION_UNMERGE_VD,MATCH(H24,DIFFERENTIATION_ID_DIFF,0)))</f>
        <v/>
      </c>
      <c r="I25" s="174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84"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v>
      </c>
      <c r="K25" s="2184"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v>
      </c>
      <c r="L25" s="2184"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25 МВт и более</v>
      </c>
      <c r="M25" s="2184" t="str">
        <f>IF(M24="","",INDEX(DIFFERENTIATION_UNMERGE_VD,MATCH(M24,DIFFERENTIATION_ID_DIFF,0)))</f>
        <v>Производство тепловой энергии. Комбинированная выработка с уст. мощностью производства электрической энергии 25 МВт и более</v>
      </c>
      <c r="N25" s="2184" t="str">
        <f>IF(N24="","",INDEX(DIFFERENTIATION_UNMERGE_VD,MATCH(N24,DIFFERENTIATION_ID_DIFF,0)))</f>
        <v>Производство тепловой энергии. Комбинированная выработка с уст. мощностью производства электрической энергии 25 МВт и более</v>
      </c>
      <c r="O25" s="2184" t="str">
        <f>IF(O24="","",INDEX(DIFFERENTIATION_UNMERGE_VD,MATCH(O24,DIFFERENTIATION_ID_DIFF,0)))</f>
        <v>Производство тепловой энергии. Комбинированная выработка с уст. мощностью производства электрической энергии 25 МВт и более</v>
      </c>
      <c r="P25" s="2184" t="str">
        <f>IF(P24="","",INDEX(DIFFERENTIATION_UNMERGE_VD,MATCH(P24,DIFFERENTIATION_ID_DIFF,0)))</f>
        <v>Производство. Теплоноситель</v>
      </c>
      <c r="Q25" s="2184" t="str">
        <f>IF(Q24="","",INDEX(DIFFERENTIATION_UNMERGE_VD,MATCH(Q24,DIFFERENTIATION_ID_DIFF,0)))</f>
        <v>Производство. Теплоноситель</v>
      </c>
      <c r="R25" s="2184" t="str">
        <f>IF(R24="","",INDEX(DIFFERENTIATION_UNMERGE_VD,MATCH(R24,DIFFERENTIATION_ID_DIFF,0)))</f>
        <v>Производство. Теплоноситель</v>
      </c>
      <c r="S25" s="2184" t="str">
        <f>IF(S24="","",INDEX(DIFFERENTIATION_UNMERGE_VD,MATCH(S24,DIFFERENTIATION_ID_DIFF,0)))</f>
        <v>Производство. Теплоноситель</v>
      </c>
      <c r="T25" s="2184" t="str">
        <f>IF(T24="","",INDEX(DIFFERENTIATION_UNMERGE_VD,MATCH(T24,DIFFERENTIATION_ID_DIFF,0)))</f>
        <v>Производство. Теплоноситель</v>
      </c>
      <c r="U25" s="2184" t="str">
        <f>IF(U24="","",INDEX(DIFFERENTIATION_UNMERGE_VD,MATCH(U24,DIFFERENTIATION_ID_DIFF,0)))</f>
        <v>Производство. Теплоноситель</v>
      </c>
      <c r="V25" s="2184" t="str">
        <f>IF(V24="","",INDEX(DIFFERENTIATION_UNMERGE_VD,MATCH(V24,DIFFERENTIATION_ID_DIFF,0)))</f>
        <v>Производство. Теплоноситель</v>
      </c>
      <c r="W25" s="2184" t="str">
        <f>IF(W24="","",INDEX(DIFFERENTIATION_UNMERGE_VD,MATCH(W24,DIFFERENTIATION_ID_DIFF,0)))</f>
        <v>Производство тепловой энергии. Некомбинированная выработка</v>
      </c>
      <c r="X25" s="2184" t="str">
        <f>IF(X24="","",INDEX(DIFFERENTIATION_UNMERGE_VD,MATCH(X24,DIFFERENTIATION_ID_DIFF,0)))</f>
        <v>Производство тепловой энергии. Некомбинированная выработка</v>
      </c>
      <c r="Y25" s="2184" t="str">
        <f>IF(Y24="","",INDEX(DIFFERENTIATION_UNMERGE_VD,MATCH(Y24,DIFFERENTIATION_ID_DIFF,0)))</f>
        <v>Производство тепловой энергии. Некомбинированная выработка</v>
      </c>
      <c r="Z25" s="2184" t="str">
        <f>IF(Z24="","",INDEX(DIFFERENTIATION_UNMERGE_VD,MATCH(Z24,DIFFERENTIATION_ID_DIFF,0)))</f>
        <v>Производство тепловой энергии. Некомбинированная выработка</v>
      </c>
      <c r="AA25" s="2184" t="str">
        <f>IF(AA24="","",INDEX(DIFFERENTIATION_UNMERGE_VD,MATCH(AA24,DIFFERENTIATION_ID_DIFF,0)))</f>
        <v>Производство тепловой энергии. Некомбинированная выработка</v>
      </c>
      <c r="AB25" s="2184" t="str">
        <f>IF(AB24="","",INDEX(DIFFERENTIATION_UNMERGE_VD,MATCH(AB24,DIFFERENTIATION_ID_DIFF,0)))</f>
        <v>Передача. Тепловая энергия; Передача. Теплоноситель; Сбыт. Тепловая энергия; Сбыт. Теплоноситель</v>
      </c>
      <c r="AC25" s="2184" t="str">
        <f>IF(AC24="","",INDEX(DIFFERENTIATION_UNMERGE_VD,MATCH(AC24,DIFFERENTIATION_ID_DIFF,0)))</f>
        <v>Передача. Тепловая энергия; Передача. Теплоноситель; Сбыт. Тепловая энергия; Сбыт. Теплоноситель</v>
      </c>
      <c r="AD25" s="2184" t="str">
        <f>IF(AD24="","",INDEX(DIFFERENTIATION_UNMERGE_VD,MATCH(AD24,DIFFERENTIATION_ID_DIFF,0)))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Передача. Теплоноситель; Сбыт. Тепловая энергия; Сбыт. Теплоноситель</v>
      </c>
      <c r="AE25" s="4634" t="str">
        <f>IF(AE24="","",INDEX(DIFFERENTIATION_UNMERGE_VD,MATCH(AE24,DIFFERENTIATION_ID_DIFF,0)))</f>
        <v>Производство тепловой энергии. Некомбинированная выработка; Передача. Тепловая энергия; Сбыт. Тепловая энергия</v>
      </c>
      <c r="AF25" s="4634" t="str">
        <f>IF(AF24="","",INDEX(DIFFERENTIATION_UNMERGE_VD,MATCH(AF24,DIFFERENTIATION_ID_DIFF,0)))</f>
        <v>Производство тепловой энергии. Некомбинированная выработка; Передача. Тепловая энергия; Сбыт. Тепловая энергия</v>
      </c>
      <c r="AG25" s="4634" t="str">
        <f>IF(AG24="","",INDEX(DIFFERENTIATION_UNMERGE_VD,MATCH(AG24,DIFFERENTIATION_ID_DIFF,0)))</f>
        <v>Подключение (технологическое присоединение) к системе теплоснабжения</v>
      </c>
      <c r="AH25" s="2978"/>
      <c r="BD25" s="1727">
        <v>11</v>
      </c>
    </row>
    <row customHeight="1" ht="13.5">
      <c r="E26" s="818"/>
      <c r="F26" s="3204" t="s">
        <v>649</v>
      </c>
      <c r="G26" s="3205"/>
      <c r="H26" s="1748" t="str">
        <f>IF(H24="","",INDEX(DIFFERENTIATION_UNMERGE_AREA,MATCH(H24,DIFFERENTIATION_ID_DIFF,0)))</f>
        <v/>
      </c>
      <c r="I26" s="1748" t="str">
        <f>IF(I24="","",INDEX(DIFFERENTIATION_UNMERGE_AREA,MATCH(I24,DIFFERENTIATION_ID_DIFF,0)))</f>
        <v>Территория 1</v>
      </c>
      <c r="J26" s="2184" t="str">
        <f>IF(J24="","",INDEX(DIFFERENTIATION_UNMERGE_AREA,MATCH(J24,DIFFERENTIATION_ID_DIFF,0)))</f>
        <v>Территория 1</v>
      </c>
      <c r="K26" s="2184" t="str">
        <f>IF(K24="","",INDEX(DIFFERENTIATION_UNMERGE_AREA,MATCH(K24,DIFFERENTIATION_ID_DIFF,0)))</f>
        <v>Территория 2</v>
      </c>
      <c r="L26" s="2184" t="str">
        <f>IF(L24="","",INDEX(DIFFERENTIATION_UNMERGE_AREA,MATCH(L24,DIFFERENTIATION_ID_DIFF,0)))</f>
        <v>Территория 2</v>
      </c>
      <c r="M26" s="2184" t="str">
        <f>IF(M24="","",INDEX(DIFFERENTIATION_UNMERGE_AREA,MATCH(M24,DIFFERENTIATION_ID_DIFF,0)))</f>
        <v>Территория 3</v>
      </c>
      <c r="N26" s="2184" t="str">
        <f>IF(N24="","",INDEX(DIFFERENTIATION_UNMERGE_AREA,MATCH(N24,DIFFERENTIATION_ID_DIFF,0)))</f>
        <v>Территория 4</v>
      </c>
      <c r="O26" s="2184" t="str">
        <f>IF(O24="","",INDEX(DIFFERENTIATION_UNMERGE_AREA,MATCH(O24,DIFFERENTIATION_ID_DIFF,0)))</f>
        <v>Территория 5</v>
      </c>
      <c r="P26" s="2184" t="str">
        <f>IF(P24="","",INDEX(DIFFERENTIATION_UNMERGE_AREA,MATCH(P24,DIFFERENTIATION_ID_DIFF,0)))</f>
        <v>Территория 1</v>
      </c>
      <c r="Q26" s="2184" t="str">
        <f>IF(Q24="","",INDEX(DIFFERENTIATION_UNMERGE_AREA,MATCH(Q24,DIFFERENTIATION_ID_DIFF,0)))</f>
        <v>Территория 2</v>
      </c>
      <c r="R26" s="2184" t="str">
        <f>IF(R24="","",INDEX(DIFFERENTIATION_UNMERGE_AREA,MATCH(R24,DIFFERENTIATION_ID_DIFF,0)))</f>
        <v>Территория 3</v>
      </c>
      <c r="S26" s="2184" t="str">
        <f>IF(S24="","",INDEX(DIFFERENTIATION_UNMERGE_AREA,MATCH(S24,DIFFERENTIATION_ID_DIFF,0)))</f>
        <v>Территория 4</v>
      </c>
      <c r="T26" s="2184" t="str">
        <f>IF(T24="","",INDEX(DIFFERENTIATION_UNMERGE_AREA,MATCH(T24,DIFFERENTIATION_ID_DIFF,0)))</f>
        <v>Территория 5</v>
      </c>
      <c r="U26" s="2184" t="str">
        <f>IF(U24="","",INDEX(DIFFERENTIATION_UNMERGE_AREA,MATCH(U24,DIFFERENTIATION_ID_DIFF,0)))</f>
        <v>Территория 6</v>
      </c>
      <c r="V26" s="2184" t="str">
        <f>IF(V24="","",INDEX(DIFFERENTIATION_UNMERGE_AREA,MATCH(V24,DIFFERENTIATION_ID_DIFF,0)))</f>
        <v>Территория 7</v>
      </c>
      <c r="W26" s="2184" t="str">
        <f>IF(W24="","",INDEX(DIFFERENTIATION_UNMERGE_AREA,MATCH(W24,DIFFERENTIATION_ID_DIFF,0)))</f>
        <v>без дифференциации</v>
      </c>
      <c r="X26" s="2184" t="str">
        <f>IF(X24="","",INDEX(DIFFERENTIATION_UNMERGE_AREA,MATCH(X24,DIFFERENTIATION_ID_DIFF,0)))</f>
        <v>без дифференциации</v>
      </c>
      <c r="Y26" s="2184" t="str">
        <f>IF(Y24="","",INDEX(DIFFERENTIATION_UNMERGE_AREA,MATCH(Y24,DIFFERENTIATION_ID_DIFF,0)))</f>
        <v>без дифференциации</v>
      </c>
      <c r="Z26" s="2184" t="str">
        <f>IF(Z24="","",INDEX(DIFFERENTIATION_UNMERGE_AREA,MATCH(Z24,DIFFERENTIATION_ID_DIFF,0)))</f>
        <v>без дифференциации</v>
      </c>
      <c r="AA26" s="2184" t="str">
        <f>IF(AA24="","",INDEX(DIFFERENTIATION_UNMERGE_AREA,MATCH(AA24,DIFFERENTIATION_ID_DIFF,0)))</f>
        <v>без дифференциации</v>
      </c>
      <c r="AB26" s="2184" t="str">
        <f>IF(AB24="","",INDEX(DIFFERENTIATION_UNMERGE_AREA,MATCH(AB24,DIFFERENTIATION_ID_DIFF,0)))</f>
        <v>без дифференциации</v>
      </c>
      <c r="AC26" s="2184" t="str">
        <f>IF(AC24="","",INDEX(DIFFERENTIATION_UNMERGE_AREA,MATCH(AC24,DIFFERENTIATION_ID_DIFF,0)))</f>
        <v>без дифференциации</v>
      </c>
      <c r="AD26" s="2184" t="str">
        <f>IF(AD24="","",INDEX(DIFFERENTIATION_UNMERGE_AREA,MATCH(AD24,DIFFERENTIATION_ID_DIFF,0)))</f>
        <v>Территория 7</v>
      </c>
      <c r="AE26" s="4634" t="str">
        <f>IF(AE24="","",INDEX(DIFFERENTIATION_UNMERGE_AREA,MATCH(AE24,DIFFERENTIATION_ID_DIFF,0)))</f>
        <v>Территория 5</v>
      </c>
      <c r="AF26" s="4634" t="str">
        <f>IF(AF24="","",INDEX(DIFFERENTIATION_UNMERGE_AREA,MATCH(AF24,DIFFERENTIATION_ID_DIFF,0)))</f>
        <v>Территория 8</v>
      </c>
      <c r="AG26" s="4634" t="str">
        <f>IF(AG24="","",INDEX(DIFFERENTIATION_UNMERGE_AREA,MATCH(AG24,DIFFERENTIATION_ID_DIFF,0)))</f>
        <v>без дифференциации</v>
      </c>
      <c r="AH26" s="2978"/>
      <c r="BD26" s="1727">
        <v>11</v>
      </c>
    </row>
    <row customHeight="1" ht="13.5">
      <c r="E27" s="818"/>
      <c r="F27" s="3204" t="s">
        <v>650</v>
      </c>
      <c r="G27" s="3205"/>
      <c r="H27" s="1748" t="str">
        <f>IF(H24="","",INDEX(DIFFERENTIATION_UNMERGE_SYSTEM,MATCH(H24,DIFFERENTIATION_ID_DIFF,0)))</f>
        <v/>
      </c>
      <c r="I27" s="1748" t="str">
        <f>IF(I24="","",INDEX(DIFFERENTIATION_UNMERGE_SYSTEM,MATCH(I24,DIFFERENTIATION_ID_DIFF,0)))</f>
        <v>Хабаровская ТЭЦ - 1</v>
      </c>
      <c r="J27" s="2184" t="str">
        <f>IF(J24="","",INDEX(DIFFERENTIATION_UNMERGE_SYSTEM,MATCH(J24,DIFFERENTIATION_ID_DIFF,0)))</f>
        <v>Хабаровская ТЭЦ - 3</v>
      </c>
      <c r="K27" s="2184" t="str">
        <f>IF(K24="","",INDEX(DIFFERENTIATION_UNMERGE_SYSTEM,MATCH(K24,DIFFERENTIATION_ID_DIFF,0)))</f>
        <v>Комсомольская ТЭЦ - 2</v>
      </c>
      <c r="L27" s="2184" t="str">
        <f>IF(L24="","",INDEX(DIFFERENTIATION_UNMERGE_SYSTEM,MATCH(L24,DIFFERENTIATION_ID_DIFF,0)))</f>
        <v>Комсомольская ТЭЦ - 3</v>
      </c>
      <c r="M27" s="2184" t="str">
        <f>IF(M24="","",INDEX(DIFFERENTIATION_UNMERGE_SYSTEM,MATCH(M24,DIFFERENTIATION_ID_DIFF,0)))</f>
        <v>Амурская ТЭЦ - 1</v>
      </c>
      <c r="N27" s="2184" t="str">
        <f>IF(N24="","",INDEX(DIFFERENTIATION_UNMERGE_SYSTEM,MATCH(N24,DIFFERENTIATION_ID_DIFF,0)))</f>
        <v>Майская ГРЭС</v>
      </c>
      <c r="O27" s="2184" t="str">
        <f>IF(O24="","",INDEX(DIFFERENTIATION_UNMERGE_SYSTEM,MATCH(O24,DIFFERENTIATION_ID_DIFF,0)))</f>
        <v>Николаевская ТЭЦ</v>
      </c>
      <c r="P27" s="2184" t="str">
        <f>IF(P24="","",INDEX(DIFFERENTIATION_UNMERGE_SYSTEM,MATCH(P24,DIFFERENTIATION_ID_DIFF,0)))</f>
        <v>г. Хабаровск, Хабаровский муниципальный район</v>
      </c>
      <c r="Q27" s="2184" t="str">
        <f>IF(Q24="","",INDEX(DIFFERENTIATION_UNMERGE_SYSTEM,MATCH(Q24,DIFFERENTIATION_ID_DIFF,0)))</f>
        <v>г. Комсомольск-на-Амуре</v>
      </c>
      <c r="R27" s="2184" t="str">
        <f>IF(R24="","",INDEX(DIFFERENTIATION_UNMERGE_SYSTEM,MATCH(R24,DIFFERENTIATION_ID_DIFF,0)))</f>
        <v>г. Амурск</v>
      </c>
      <c r="S27" s="2184" t="str">
        <f>IF(S24="","",INDEX(DIFFERENTIATION_UNMERGE_SYSTEM,MATCH(S24,DIFFERENTIATION_ID_DIFF,0)))</f>
        <v>п. Майский</v>
      </c>
      <c r="T27" s="2184" t="str">
        <f>IF(T24="","",INDEX(DIFFERENTIATION_UNMERGE_SYSTEM,MATCH(T24,DIFFERENTIATION_ID_DIFF,0)))</f>
        <v>г. Николаевск-на-Амуре</v>
      </c>
      <c r="U27" s="2184" t="str">
        <f>IF(U24="","",INDEX(DIFFERENTIATION_UNMERGE_SYSTEM,MATCH(U24,DIFFERENTIATION_ID_DIFF,0)))</f>
        <v>п. Чегдомын</v>
      </c>
      <c r="V27" s="2184" t="str">
        <f>IF(V24="","",INDEX(DIFFERENTIATION_UNMERGE_SYSTEM,MATCH(V24,DIFFERENTIATION_ID_DIFF,0)))</f>
        <v>г. Советская Гавань</v>
      </c>
      <c r="W27" s="2184" t="str">
        <f>IF(W24="","",INDEX(DIFFERENTIATION_UNMERGE_SYSTEM,MATCH(W24,DIFFERENTIATION_ID_DIFF,0)))</f>
        <v>Хабаровская ТЭЦ-2</v>
      </c>
      <c r="X27" s="2184" t="str">
        <f>IF(X24="","",INDEX(DIFFERENTIATION_UNMERGE_SYSTEM,MATCH(X24,DIFFERENTIATION_ID_DIFF,0)))</f>
        <v>Некрасовская котельная</v>
      </c>
      <c r="Y27" s="2184" t="str">
        <f>IF(Y24="","",INDEX(DIFFERENTIATION_UNMERGE_SYSTEM,MATCH(Y24,DIFFERENTIATION_ID_DIFF,0)))</f>
        <v>котельная "Дземги"</v>
      </c>
      <c r="Z27" s="2184" t="str">
        <f>IF(Z24="","",INDEX(DIFFERENTIATION_UNMERGE_SYSTEM,MATCH(Z24,DIFFERENTIATION_ID_DIFF,0)))</f>
        <v>Майская котельная</v>
      </c>
      <c r="AA27" s="2184" t="str">
        <f>IF(AA24="","",INDEX(DIFFERENTIATION_UNMERGE_SYSTEM,MATCH(AA24,DIFFERENTIATION_ID_DIFF,0)))</f>
        <v>Ургальская котельная</v>
      </c>
      <c r="AB27" s="2184" t="str">
        <f>IF(AB24="","",INDEX(DIFFERENTIATION_UNMERGE_SYSTEM,MATCH(AB24,DIFFERENTIATION_ID_DIFF,0)))</f>
        <v>Комсомольские тепловые сети</v>
      </c>
      <c r="AC27" s="2184" t="str">
        <f>IF(AC24="","",INDEX(DIFFERENTIATION_UNMERGE_SYSTEM,MATCH(AC24,DIFFERENTIATION_ID_DIFF,0)))</f>
        <v>Хабаровские тепловые сети</v>
      </c>
      <c r="AD27" s="2184" t="str">
        <f>IF(AD24="","",INDEX(DIFFERENTIATION_UNMERGE_SYSTEM,MATCH(AD24,DIFFERENTIATION_ID_DIFF,0)))</f>
        <v>ТЭЦ в г. Советская Гавань</v>
      </c>
      <c r="AE27" s="4634" t="str">
        <f>IF(AE24="","",INDEX(DIFFERENTIATION_UNMERGE_SYSTEM,MATCH(AE24,DIFFERENTIATION_ID_DIFF,0)))</f>
        <v>котельная "Аэропорт"</v>
      </c>
      <c r="AF27" s="4634" t="str">
        <f>IF(AF24="","",INDEX(DIFFERENTIATION_UNMERGE_SYSTEM,MATCH(AF24,DIFFERENTIATION_ID_DIFF,0)))</f>
        <v>котельная в Волочаевском городке</v>
      </c>
      <c r="AG27" s="4634" t="str">
        <f>IF(AG24="","",INDEX(DIFFERENTIATION_UNMERGE_SYSTEM,MATCH(AG24,DIFFERENTIATION_ID_DIFF,0)))</f>
        <v>без дифференциации</v>
      </c>
      <c r="AH27" s="2978"/>
      <c r="BD27" s="1727">
        <v>11</v>
      </c>
    </row>
    <row customHeight="1" ht="11.549999999999999">
      <c r="E28" s="3206" t="s">
        <v>385</v>
      </c>
      <c r="F28" s="3207"/>
      <c r="G28" s="3207"/>
      <c r="H28" s="1741"/>
      <c r="I28" s="1741"/>
      <c r="J28" s="2181"/>
      <c r="K28" s="2181"/>
      <c r="L28" s="2181"/>
      <c r="M28" s="2181"/>
      <c r="N28" s="2181"/>
      <c r="O28" s="2181"/>
      <c r="P28" s="2181"/>
      <c r="Q28" s="2181"/>
      <c r="R28" s="2181"/>
      <c r="S28" s="2181"/>
      <c r="T28" s="2181"/>
      <c r="U28" s="2181"/>
      <c r="V28" s="2181"/>
      <c r="W28" s="2181"/>
      <c r="X28" s="2181"/>
      <c r="Y28" s="2181"/>
      <c r="Z28" s="2181"/>
      <c r="AA28" s="2181"/>
      <c r="AB28" s="2181"/>
      <c r="AC28" s="2181"/>
      <c r="AD28" s="2181"/>
      <c r="AE28" s="4639"/>
      <c r="AF28" s="4639"/>
      <c r="AG28" s="4639"/>
      <c r="AH28" s="2978"/>
      <c r="BD28" s="1727">
        <v>11</v>
      </c>
    </row>
    <row customHeight="1" ht="24">
      <c r="E29" s="1742" t="s">
        <v>88</v>
      </c>
      <c r="F29" s="1749" t="s">
        <v>387</v>
      </c>
      <c r="G29" s="1749" t="s">
        <v>651</v>
      </c>
      <c r="H29" s="1749" t="s">
        <v>388</v>
      </c>
      <c r="I29" s="1749" t="s">
        <v>388</v>
      </c>
      <c r="J29" s="2179" t="s">
        <v>388</v>
      </c>
      <c r="K29" s="2179" t="s">
        <v>388</v>
      </c>
      <c r="L29" s="2179" t="s">
        <v>388</v>
      </c>
      <c r="M29" s="2179" t="s">
        <v>388</v>
      </c>
      <c r="N29" s="2179" t="s">
        <v>388</v>
      </c>
      <c r="O29" s="2179" t="s">
        <v>388</v>
      </c>
      <c r="P29" s="2179" t="s">
        <v>388</v>
      </c>
      <c r="Q29" s="2179" t="s">
        <v>388</v>
      </c>
      <c r="R29" s="2179" t="s">
        <v>388</v>
      </c>
      <c r="S29" s="2179" t="s">
        <v>388</v>
      </c>
      <c r="T29" s="2179" t="s">
        <v>388</v>
      </c>
      <c r="U29" s="2179" t="s">
        <v>388</v>
      </c>
      <c r="V29" s="2179" t="s">
        <v>388</v>
      </c>
      <c r="W29" s="2179" t="s">
        <v>388</v>
      </c>
      <c r="X29" s="2179" t="s">
        <v>388</v>
      </c>
      <c r="Y29" s="2179" t="s">
        <v>388</v>
      </c>
      <c r="Z29" s="2179" t="s">
        <v>388</v>
      </c>
      <c r="AA29" s="2179" t="s">
        <v>388</v>
      </c>
      <c r="AB29" s="2179" t="s">
        <v>388</v>
      </c>
      <c r="AC29" s="2179" t="s">
        <v>388</v>
      </c>
      <c r="AD29" s="2179" t="s">
        <v>388</v>
      </c>
      <c r="AE29" s="4593" t="s">
        <v>388</v>
      </c>
      <c r="AF29" s="4593" t="s">
        <v>388</v>
      </c>
      <c r="AG29" s="4593" t="s">
        <v>388</v>
      </c>
      <c r="AH29" s="2978"/>
      <c r="BD29" s="1727">
        <v>23</v>
      </c>
    </row>
    <row customHeight="1" ht="20.25">
      <c r="D30" s="1734"/>
      <c r="E30" s="653">
        <f>FHD_NUM_P_1</f>
        <v>1</v>
      </c>
      <c r="F30" s="1974" t="str">
        <f>FHD_P_1</f>
        <v>Выручка от регулируемого вида деятельности с распределением по видам деятельности</v>
      </c>
      <c r="G30" s="1972" t="s">
        <v>637</v>
      </c>
      <c r="H30" s="664"/>
      <c r="I30" s="664">
        <v>0</v>
      </c>
      <c r="J30" s="664">
        <v>0</v>
      </c>
      <c r="K30" s="664">
        <v>0</v>
      </c>
      <c r="L30" s="664">
        <v>0</v>
      </c>
      <c r="M30" s="664">
        <v>0</v>
      </c>
      <c r="N30" s="664">
        <v>0</v>
      </c>
      <c r="O30" s="664">
        <v>0</v>
      </c>
      <c r="P30" s="664">
        <v>490363.47812</v>
      </c>
      <c r="Q30" s="664">
        <v>192858.68426</v>
      </c>
      <c r="R30" s="664">
        <v>56730.0344299999</v>
      </c>
      <c r="S30" s="664">
        <v>1153.08211</v>
      </c>
      <c r="T30" s="664">
        <v>48689.49115</v>
      </c>
      <c r="U30" s="664">
        <v>1968.16506</v>
      </c>
      <c r="V30" s="664">
        <v>13684.84682</v>
      </c>
      <c r="W30" s="664">
        <v>0</v>
      </c>
      <c r="X30" s="664">
        <v>0</v>
      </c>
      <c r="Y30" s="664">
        <v>0</v>
      </c>
      <c r="Z30" s="664">
        <v>42906.41</v>
      </c>
      <c r="AA30" s="664">
        <v>0</v>
      </c>
      <c r="AB30" s="664">
        <v>5395729.96</v>
      </c>
      <c r="AC30" s="664">
        <v>10112785.56</v>
      </c>
      <c r="AD30" s="664">
        <v>1066925.96</v>
      </c>
      <c r="AE30" s="4643">
        <v>0</v>
      </c>
      <c r="AF30" s="4643">
        <v>73239.9977</v>
      </c>
      <c r="AG30" s="4643">
        <v>242314.93</v>
      </c>
      <c r="AH30" s="397" t="str">
        <f>FHD_NOTE_P_1</f>
        <v>Указывается выручка от регулируемого вида деятельности с распределением по видам деятельности.</v>
      </c>
      <c r="AI30" s="650"/>
      <c r="BD30" s="1727">
        <v>19</v>
      </c>
    </row>
    <row customHeight="1" ht="11.549999999999999">
      <c r="D31" s="1734"/>
      <c r="E31" s="653">
        <f>FHD_NUM_P_2</f>
        <v>2</v>
      </c>
      <c r="F31" s="1974" t="str">
        <f>FHD_P_2</f>
        <v>Себестоимость производимых товаров (оказываемых услуг) по регулируемому виду деятельности, включая:</v>
      </c>
      <c r="G31" s="1972" t="s">
        <v>637</v>
      </c>
      <c r="H31" s="665">
        <f>SUMIF($AI32:$AI101,$AI31,H32:H101)</f>
        <v>0</v>
      </c>
      <c r="I31" s="665">
        <f>SUMIF($AI32:$AI101,$AI31,I32:I101)</f>
        <v>2927417.30342172</v>
      </c>
      <c r="J31" s="665">
        <f>SUMIF($AI32:$AI101,$AI31,J32:J101)</f>
        <v>3502196.84721929</v>
      </c>
      <c r="K31" s="665">
        <f>SUMIF($AI32:$AI101,$AI31,K32:K101)</f>
        <v>1757993.41882092</v>
      </c>
      <c r="L31" s="665">
        <f>SUMIF($AI32:$AI101,$AI31,L32:L101)</f>
        <v>1155526.00791433</v>
      </c>
      <c r="M31" s="665">
        <f>SUMIF($AI32:$AI101,$AI31,M32:M101)</f>
        <v>920832.073811596</v>
      </c>
      <c r="N31" s="665">
        <f>SUMIF($AI32:$AI101,$AI31,N32:N101)</f>
        <v>35615.1952950853</v>
      </c>
      <c r="O31" s="665">
        <f>SUMIF($AI32:$AI101,$AI31,O32:O101)</f>
        <v>364212.545642147</v>
      </c>
      <c r="P31" s="665">
        <f>SUMIF($AI32:$AI101,$AI31,P32:P101)</f>
        <v>718300.5141</v>
      </c>
      <c r="Q31" s="665">
        <f>SUMIF($AI32:$AI101,$AI31,Q32:Q101)</f>
        <v>243969.04</v>
      </c>
      <c r="R31" s="665">
        <f>SUMIF($AI32:$AI101,$AI31,R32:R101)</f>
        <v>67805.64</v>
      </c>
      <c r="S31" s="665">
        <f>SUMIF($AI32:$AI101,$AI31,S32:S101)</f>
        <v>1728.09</v>
      </c>
      <c r="T31" s="665">
        <f>SUMIF($AI32:$AI101,$AI31,T32:T101)</f>
        <v>73092.45</v>
      </c>
      <c r="U31" s="665">
        <f>SUMIF($AI32:$AI101,$AI31,U32:U101)</f>
        <v>3712.9753</v>
      </c>
      <c r="V31" s="665">
        <f>SUMIF($AI32:$AI101,$AI31,V32:V101)</f>
        <v>14779.56</v>
      </c>
      <c r="W31" s="665">
        <f>SUMIF($AI32:$AI101,$AI31,W32:W101)</f>
        <v>1406856.5509</v>
      </c>
      <c r="X31" s="665">
        <f>SUMIF($AI32:$AI101,$AI31,X32:X101)</f>
        <v>158062.38248</v>
      </c>
      <c r="Y31" s="665">
        <f>SUMIF($AI32:$AI101,$AI31,Y32:Y101)</f>
        <v>410458.13001</v>
      </c>
      <c r="Z31" s="665">
        <f>SUMIF($AI32:$AI101,$AI31,Z32:Z101)</f>
        <v>74427.4781967897</v>
      </c>
      <c r="AA31" s="665">
        <f>SUMIF($AI32:$AI101,$AI31,AA32:AA101)</f>
        <v>165192.84472</v>
      </c>
      <c r="AB31" s="665">
        <f>SUMIF($AI32:$AI101,$AI31,AB32:AB101)</f>
        <v>1671218.66</v>
      </c>
      <c r="AC31" s="665">
        <f>SUMIF($AI32:$AI101,$AI31,AC32:AC101)</f>
        <v>3318405.62</v>
      </c>
      <c r="AD31" s="665">
        <f>SUMIF($AI32:$AI101,$AI31,AD32:AD101)</f>
        <v>1068113.94652284</v>
      </c>
      <c r="AE31" s="4645">
        <f>SUMIF($AI32:$AI101,$AI31,AE32:AE101)</f>
        <v>4298.71735</v>
      </c>
      <c r="AF31" s="4645">
        <f>SUMIF($AI32:$AI101,$AI31,AF32:AF101)</f>
        <v>79304.2184</v>
      </c>
      <c r="AG31" s="4645">
        <f>SUMIF($AI32:$AI101,$AI31,AG32:AG101)</f>
        <v>800.73</v>
      </c>
      <c r="AH31" s="397" t="str">
        <f>FHD_NOTE_P_2</f>
        <v>Указывается суммарная себестоимость производимых товаров.</v>
      </c>
      <c r="AI31" s="1732" t="s">
        <v>652</v>
      </c>
      <c r="BD31" s="1727">
        <v>11</v>
      </c>
    </row>
    <row customHeight="1" ht="11.549999999999999">
      <c r="D32" s="1734"/>
      <c r="E32" s="653" t="str">
        <f>FHD_NUM_P_3</f>
        <v>2.1</v>
      </c>
      <c r="F32" s="1620" t="str">
        <f>FHD_P_3</f>
        <v>Расходы на приобретаемую тепловую энергию (мощность), теплоноситель</v>
      </c>
      <c r="G32" s="1972" t="s">
        <v>637</v>
      </c>
      <c r="H32" s="664"/>
      <c r="I32" s="664">
        <v>0</v>
      </c>
      <c r="J32" s="664">
        <v>0</v>
      </c>
      <c r="K32" s="664">
        <v>0</v>
      </c>
      <c r="L32" s="664">
        <v>0</v>
      </c>
      <c r="M32" s="664">
        <v>0</v>
      </c>
      <c r="N32" s="664">
        <v>0</v>
      </c>
      <c r="O32" s="664">
        <v>0</v>
      </c>
      <c r="P32" s="664">
        <v>0</v>
      </c>
      <c r="Q32" s="664">
        <v>0</v>
      </c>
      <c r="R32" s="664">
        <v>0</v>
      </c>
      <c r="S32" s="664">
        <v>0</v>
      </c>
      <c r="T32" s="664">
        <v>0</v>
      </c>
      <c r="U32" s="664">
        <v>0</v>
      </c>
      <c r="V32" s="664">
        <v>0</v>
      </c>
      <c r="W32" s="664">
        <v>0</v>
      </c>
      <c r="X32" s="664">
        <v>0</v>
      </c>
      <c r="Y32" s="664">
        <v>0</v>
      </c>
      <c r="Z32" s="664">
        <v>0</v>
      </c>
      <c r="AA32" s="664">
        <v>0</v>
      </c>
      <c r="AB32" s="664">
        <v>0</v>
      </c>
      <c r="AC32" s="664">
        <v>0</v>
      </c>
      <c r="AD32" s="664">
        <v>0</v>
      </c>
      <c r="AE32" s="4643">
        <v>0</v>
      </c>
      <c r="AF32" s="4643">
        <v>0</v>
      </c>
      <c r="AG32" s="4643">
        <v>0</v>
      </c>
      <c r="AH32" s="397" t="str">
        <f>FHD_NOTE_P_3</f>
        <v/>
      </c>
      <c r="AI32" s="1732" t="str">
        <f>IF((LEN(E32)-LEN(SUBSTITUTE(E32,".","")))/LEN(".")=1,"p","")</f>
        <v>p</v>
      </c>
      <c r="BD32" s="1727">
        <v>11</v>
      </c>
    </row>
    <row customHeight="1" ht="11.25">
      <c r="A33" s="3200" t="s">
        <v>653</v>
      </c>
      <c r="D33" s="1734"/>
      <c r="E33" s="653" t="str">
        <f>FHD_NUM_P_4</f>
        <v>2.2</v>
      </c>
      <c r="F33" s="162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72" t="s">
        <v>637</v>
      </c>
      <c r="H33" s="665">
        <f>SUMIF($F34:$F70,$F3,H34:H70)</f>
        <v>0</v>
      </c>
      <c r="I33" s="665">
        <f>SUMIF($F34:$F70,$F3,I34:I70)</f>
        <v>2312727.23709172</v>
      </c>
      <c r="J33" s="665">
        <f>SUMIF($F34:$F70,$F3,J34:J70)</f>
        <v>2975114.87751929</v>
      </c>
      <c r="K33" s="665">
        <f>SUMIF($F34:$F70,$F3,K34:K70)</f>
        <v>1336685.18942092</v>
      </c>
      <c r="L33" s="665">
        <f>SUMIF($F34:$F70,$F3,L34:L70)</f>
        <v>971084.233314325</v>
      </c>
      <c r="M33" s="665">
        <f>SUMIF($F34:$F70,$F3,M34:M70)</f>
        <v>613925.682311596</v>
      </c>
      <c r="N33" s="665">
        <f>SUMIF($F34:$F70,$F3,N34:N70)</f>
        <v>8175.19839508525</v>
      </c>
      <c r="O33" s="665">
        <f>SUMIF($F34:$F70,$F3,O34:O70)</f>
        <v>187933.171842147</v>
      </c>
      <c r="P33" s="665">
        <f>SUMIF($F34:$F70,$F3,P34:P70)</f>
        <v>0</v>
      </c>
      <c r="Q33" s="665">
        <f>SUMIF($F34:$F70,$F3,Q34:Q70)</f>
        <v>0</v>
      </c>
      <c r="R33" s="665">
        <f>SUMIF($F34:$F70,$F3,R34:R70)</f>
        <v>0</v>
      </c>
      <c r="S33" s="665">
        <f>SUMIF($F34:$F70,$F3,S34:S70)</f>
        <v>0</v>
      </c>
      <c r="T33" s="665">
        <f>SUMIF($F34:$F70,$F3,T34:T70)</f>
        <v>0</v>
      </c>
      <c r="U33" s="665">
        <f>SUMIF($F34:$F70,$F3,U34:U70)</f>
        <v>0</v>
      </c>
      <c r="V33" s="665">
        <f>SUMIF($F34:$F70,$F3,V34:V70)</f>
        <v>0</v>
      </c>
      <c r="W33" s="665">
        <f>SUMIF($F34:$F70,$F3,W34:W70)</f>
        <v>835928.3365</v>
      </c>
      <c r="X33" s="665">
        <f>SUMIF($F34:$F70,$F3,X34:X70)</f>
        <v>100457.27148</v>
      </c>
      <c r="Y33" s="665">
        <f>SUMIF($F34:$F70,$F3,Y34:Y70)</f>
        <v>193774.34951</v>
      </c>
      <c r="Z33" s="665">
        <f>SUMIF($F34:$F70,$F3,Z34:Z70)</f>
        <v>22944.4881967897</v>
      </c>
      <c r="AA33" s="665">
        <f>SUMIF($F34:$F70,$F3,AA34:AA70)</f>
        <v>26159.56792</v>
      </c>
      <c r="AB33" s="665">
        <f>SUMIF($F34:$F70,$F3,AB34:AB70)</f>
        <v>0</v>
      </c>
      <c r="AC33" s="665">
        <f>SUMIF($F34:$F70,$F3,AC34:AC70)</f>
        <v>0</v>
      </c>
      <c r="AD33" s="665">
        <f>SUMIF($F34:$F70,$F3,AD34:AD70)</f>
        <v>371088.491722842</v>
      </c>
      <c r="AE33" s="4645">
        <f>SUMIF($F34:$F70,$F3,AE34:AE70)</f>
        <v>2319.10735</v>
      </c>
      <c r="AF33" s="4645">
        <f>SUMIF($F34:$F70,$F3,AF34:AF70)</f>
        <v>27790.5405</v>
      </c>
      <c r="AG33" s="4645">
        <f>SUMIF($F34:$F70,$F3,AG34:AG70)</f>
        <v>0</v>
      </c>
      <c r="AH33" s="397" t="str">
        <f>FHD_NOTE_P_4</f>
        <v>Указываются суммарные расходы на приобретение топлива всех видов.</v>
      </c>
      <c r="AI33" s="1732" t="str">
        <f>IF((LEN(E33)-LEN(SUBSTITUTE(E33,".","")))/LEN(".")=1,"p","")</f>
        <v>p</v>
      </c>
      <c r="BD33" s="1727">
        <v>0</v>
      </c>
    </row>
    <row s="10851" customFormat="1" customHeight="1" ht="0.75">
      <c r="A34" s="3200"/>
      <c r="B34" s="3203" t="str">
        <f>E33&amp;".0"</f>
        <v>2.2.0</v>
      </c>
      <c r="C34" s="1263"/>
      <c r="D34" s="667"/>
      <c r="E34" s="668"/>
      <c r="F34" s="669"/>
      <c r="G34" s="670"/>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4653"/>
      <c r="AF34" s="4653"/>
      <c r="AG34" s="4653"/>
      <c r="AH34" s="671"/>
      <c r="AI34" s="1732" t="str">
        <f>IF((LEN(E34)-LEN(SUBSTITUTE(E34,".","")))/LEN(".")=1,"p","")</f>
        <v/>
      </c>
      <c r="AJ34" s="1732"/>
      <c r="AK34" s="1732"/>
      <c r="AL34" s="1732"/>
      <c r="AM34" s="1732"/>
      <c r="AN34" s="1732"/>
      <c r="AO34" s="1732"/>
      <c r="AP34" s="1732"/>
      <c r="AQ34" s="1732"/>
      <c r="AR34" s="1732"/>
      <c r="AS34" s="672"/>
      <c r="AT34" s="1732"/>
      <c r="AU34" s="1732"/>
      <c r="AV34" s="1732"/>
      <c r="AW34" s="1732"/>
      <c r="AX34" s="1732"/>
      <c r="AY34" s="673"/>
      <c r="AZ34" s="673"/>
      <c r="BA34" s="673"/>
      <c r="BB34" s="673"/>
      <c r="BC34" s="673"/>
      <c r="BD34" s="1737">
        <v>0</v>
      </c>
    </row>
    <row s="10851" customFormat="1" customHeight="1" ht="0.75">
      <c r="A35" s="3200"/>
      <c r="B35" s="3203"/>
      <c r="C35" s="1263"/>
      <c r="D35" s="667"/>
      <c r="E35" s="674"/>
      <c r="F35" s="675"/>
      <c r="G35" s="670"/>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4660"/>
      <c r="AF35" s="4660"/>
      <c r="AG35" s="4660"/>
      <c r="AH35" s="671"/>
      <c r="AI35" s="1732" t="str">
        <f>IF((LEN(E35)-LEN(SUBSTITUTE(E35,".","")))/LEN(".")=1,"p","")</f>
        <v/>
      </c>
      <c r="AJ35" s="1732"/>
      <c r="AK35" s="1732"/>
      <c r="AL35" s="1732"/>
      <c r="AM35" s="1732"/>
      <c r="AN35" s="1732"/>
      <c r="AO35" s="1732"/>
      <c r="AP35" s="1732"/>
      <c r="AQ35" s="1732"/>
      <c r="AR35" s="1732"/>
      <c r="AS35" s="672"/>
      <c r="AT35" s="1732"/>
      <c r="AU35" s="1732"/>
      <c r="AV35" s="1732"/>
      <c r="AW35" s="1732"/>
      <c r="AX35" s="1732"/>
      <c r="AY35" s="673"/>
      <c r="AZ35" s="673"/>
      <c r="BA35" s="673"/>
      <c r="BB35" s="673"/>
      <c r="BC35" s="673"/>
      <c r="BD35" s="1737">
        <v>0</v>
      </c>
    </row>
    <row s="10851" customFormat="1" customHeight="1" ht="0.75">
      <c r="A36" s="3200"/>
      <c r="B36" s="3203"/>
      <c r="C36" s="1263"/>
      <c r="D36" s="667"/>
      <c r="E36" s="674"/>
      <c r="F36" s="675"/>
      <c r="G36" s="670"/>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4660"/>
      <c r="AF36" s="4660"/>
      <c r="AG36" s="4660"/>
      <c r="AH36" s="671"/>
      <c r="AI36" s="1732" t="str">
        <f>IF((LEN(E36)-LEN(SUBSTITUTE(E36,".","")))/LEN(".")=1,"p","")</f>
        <v/>
      </c>
      <c r="AJ36" s="1732"/>
      <c r="AK36" s="1732"/>
      <c r="AL36" s="1732"/>
      <c r="AM36" s="1732"/>
      <c r="AN36" s="1732"/>
      <c r="AO36" s="1732"/>
      <c r="AP36" s="1732"/>
      <c r="AQ36" s="1732"/>
      <c r="AR36" s="1732"/>
      <c r="AS36" s="672"/>
      <c r="AT36" s="1732"/>
      <c r="AU36" s="1732"/>
      <c r="AV36" s="1732"/>
      <c r="AW36" s="1732"/>
      <c r="AX36" s="1732"/>
      <c r="AY36" s="673"/>
      <c r="AZ36" s="673"/>
      <c r="BA36" s="673"/>
      <c r="BB36" s="673"/>
      <c r="BC36" s="673"/>
      <c r="BD36" s="1737">
        <v>0</v>
      </c>
    </row>
    <row s="10851" customFormat="1" customHeight="1" ht="0.75">
      <c r="A37" s="3200"/>
      <c r="B37" s="3203"/>
      <c r="C37" s="1263"/>
      <c r="D37" s="667"/>
      <c r="E37" s="674"/>
      <c r="F37" s="675"/>
      <c r="G37" s="670"/>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4660"/>
      <c r="AF37" s="4660"/>
      <c r="AG37" s="4660"/>
      <c r="AH37" s="671"/>
      <c r="AI37" s="1732" t="str">
        <f>IF((LEN(E37)-LEN(SUBSTITUTE(E37,".","")))/LEN(".")=1,"p","")</f>
        <v/>
      </c>
      <c r="AJ37" s="1732"/>
      <c r="AK37" s="1732"/>
      <c r="AL37" s="1732"/>
      <c r="AM37" s="1732"/>
      <c r="AN37" s="1732"/>
      <c r="AO37" s="1732"/>
      <c r="AP37" s="1732"/>
      <c r="AQ37" s="1732"/>
      <c r="AR37" s="1732"/>
      <c r="AS37" s="672"/>
      <c r="AT37" s="1732"/>
      <c r="AU37" s="1732"/>
      <c r="AV37" s="1732"/>
      <c r="AW37" s="1732"/>
      <c r="AX37" s="1732"/>
      <c r="AY37" s="673"/>
      <c r="AZ37" s="673"/>
      <c r="BA37" s="673"/>
      <c r="BB37" s="673"/>
      <c r="BC37" s="673"/>
      <c r="BD37" s="1737">
        <v>0</v>
      </c>
    </row>
    <row s="10851" customFormat="1" customHeight="1" ht="0.75">
      <c r="A38" s="3200"/>
      <c r="B38" s="3203"/>
      <c r="C38" s="1263"/>
      <c r="D38" s="667"/>
      <c r="E38" s="674"/>
      <c r="F38" s="675"/>
      <c r="G38" s="670"/>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4660"/>
      <c r="AF38" s="4660"/>
      <c r="AG38" s="4660"/>
      <c r="AH38" s="671"/>
      <c r="AI38" s="1732" t="str">
        <f>IF((LEN(E38)-LEN(SUBSTITUTE(E38,".","")))/LEN(".")=1,"p","")</f>
        <v/>
      </c>
      <c r="AJ38" s="1732"/>
      <c r="AK38" s="1732"/>
      <c r="AL38" s="1732"/>
      <c r="AM38" s="1732"/>
      <c r="AN38" s="1732"/>
      <c r="AO38" s="1732"/>
      <c r="AP38" s="1732"/>
      <c r="AQ38" s="1732"/>
      <c r="AR38" s="1732"/>
      <c r="AS38" s="672"/>
      <c r="AT38" s="1732"/>
      <c r="AU38" s="1732"/>
      <c r="AV38" s="1732"/>
      <c r="AW38" s="1732"/>
      <c r="AX38" s="1732"/>
      <c r="AY38" s="673"/>
      <c r="AZ38" s="673"/>
      <c r="BA38" s="673"/>
      <c r="BB38" s="673"/>
      <c r="BC38" s="673"/>
      <c r="BD38" s="1737">
        <v>0</v>
      </c>
    </row>
    <row s="10851" customFormat="1" customHeight="1" ht="0.75">
      <c r="A39" s="3200"/>
      <c r="B39" s="3203"/>
      <c r="C39" s="1263"/>
      <c r="D39" s="667"/>
      <c r="E39" s="674"/>
      <c r="F39" s="675"/>
      <c r="G39" s="670"/>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4653"/>
      <c r="AF39" s="4653"/>
      <c r="AG39" s="4653"/>
      <c r="AH39" s="671"/>
      <c r="AI39" s="1732" t="str">
        <f>IF((LEN(E39)-LEN(SUBSTITUTE(E39,".","")))/LEN(".")=1,"p","")</f>
        <v/>
      </c>
      <c r="AJ39" s="1732"/>
      <c r="AK39" s="1732"/>
      <c r="AL39" s="1732"/>
      <c r="AM39" s="1732"/>
      <c r="AN39" s="1732"/>
      <c r="AO39" s="1732"/>
      <c r="AP39" s="1732"/>
      <c r="AQ39" s="1732"/>
      <c r="AR39" s="1732"/>
      <c r="AS39" s="672"/>
      <c r="AT39" s="1732"/>
      <c r="AU39" s="1732"/>
      <c r="AV39" s="1732"/>
      <c r="AW39" s="1732"/>
      <c r="AX39" s="1732"/>
      <c r="AY39" s="673"/>
      <c r="AZ39" s="673"/>
      <c r="BA39" s="673"/>
      <c r="BB39" s="673"/>
      <c r="BC39" s="673"/>
      <c r="BD39" s="1737">
        <v>0</v>
      </c>
    </row>
    <row s="10365" customFormat="1" customHeight="1" ht="23.25">
      <c r="A40" s="3201"/>
      <c r="B40" s="2962" t="str">
        <f>E33&amp;".1"</f>
        <v>2.2.1</v>
      </c>
      <c r="C40" s="1420" t="s">
        <v>630</v>
      </c>
      <c r="D40" s="790" t="s">
        <v>103</v>
      </c>
      <c r="E40" s="653" t="str">
        <f>B40</f>
        <v>2.2.1</v>
      </c>
      <c r="F40" s="654" t="s">
        <v>654</v>
      </c>
      <c r="G40" s="2179" t="s">
        <v>631</v>
      </c>
      <c r="H40" s="2179" t="s">
        <v>631</v>
      </c>
      <c r="I40" s="2179" t="s">
        <v>631</v>
      </c>
      <c r="J40" s="2179" t="s">
        <v>631</v>
      </c>
      <c r="K40" s="2179" t="s">
        <v>631</v>
      </c>
      <c r="L40" s="2179" t="s">
        <v>631</v>
      </c>
      <c r="M40" s="2179" t="s">
        <v>631</v>
      </c>
      <c r="N40" s="2179" t="s">
        <v>631</v>
      </c>
      <c r="O40" s="2179" t="s">
        <v>631</v>
      </c>
      <c r="P40" s="2179" t="s">
        <v>631</v>
      </c>
      <c r="Q40" s="2179" t="s">
        <v>631</v>
      </c>
      <c r="R40" s="2179" t="s">
        <v>631</v>
      </c>
      <c r="S40" s="2179" t="s">
        <v>631</v>
      </c>
      <c r="T40" s="2179" t="s">
        <v>631</v>
      </c>
      <c r="U40" s="2179" t="s">
        <v>631</v>
      </c>
      <c r="V40" s="2179" t="s">
        <v>631</v>
      </c>
      <c r="W40" s="2179" t="s">
        <v>631</v>
      </c>
      <c r="X40" s="2179" t="s">
        <v>631</v>
      </c>
      <c r="Y40" s="2179" t="s">
        <v>631</v>
      </c>
      <c r="Z40" s="2179" t="s">
        <v>631</v>
      </c>
      <c r="AA40" s="2179" t="s">
        <v>631</v>
      </c>
      <c r="AB40" s="2179" t="s">
        <v>631</v>
      </c>
      <c r="AC40" s="2179" t="s">
        <v>631</v>
      </c>
      <c r="AD40" s="2179" t="s">
        <v>631</v>
      </c>
      <c r="AE40" s="4593" t="s">
        <v>631</v>
      </c>
      <c r="AF40" s="4593" t="s">
        <v>631</v>
      </c>
      <c r="AG40" s="4593" t="s">
        <v>631</v>
      </c>
      <c r="AH40" s="1621" t="s">
        <v>632</v>
      </c>
      <c r="AI40" s="841"/>
      <c r="AJ40" s="1738"/>
      <c r="AK40" s="1738"/>
      <c r="AL40" s="1462"/>
      <c r="AM40" s="1462"/>
      <c r="AN40" s="1462"/>
      <c r="AO40" s="1462"/>
      <c r="AP40" s="1738"/>
      <c r="AQ40" s="1462"/>
      <c r="AR40" s="1462"/>
      <c r="AS40" s="843"/>
      <c r="AT40" s="1462"/>
      <c r="AU40" s="1462"/>
      <c r="AV40" s="1462"/>
      <c r="AW40" s="1462"/>
      <c r="AX40" s="1462"/>
      <c r="AY40" s="1728"/>
      <c r="AZ40" s="1728"/>
      <c r="BA40" s="1728"/>
      <c r="BB40" s="1728"/>
      <c r="BC40" s="1728"/>
      <c r="BD40" s="1731">
        <v>0</v>
      </c>
    </row>
    <row s="10189" customFormat="1" customHeight="1" ht="0.75" hidden="1">
      <c r="A41" s="3202"/>
      <c r="B41" s="2962" t="str">
        <f>E33&amp;".0"</f>
        <v>2.2.0</v>
      </c>
      <c r="C41" s="1420"/>
      <c r="D41" s="1420"/>
      <c r="E41" s="656"/>
      <c r="F41" s="657" t="s">
        <v>633</v>
      </c>
      <c r="G41" s="1469"/>
      <c r="H41" s="1469">
        <f>H42*H43+H44</f>
        <v>0</v>
      </c>
      <c r="I41" s="1469">
        <f>I42*I43+I44</f>
        <v>1959906.68354644</v>
      </c>
      <c r="J41" s="1469">
        <f>J42*J43+J44</f>
        <v>785607.865367647</v>
      </c>
      <c r="K41" s="1469">
        <f>K42*K43+K44</f>
        <v>822435.405356676</v>
      </c>
      <c r="L41" s="1469">
        <f>L42*L43+L44</f>
        <v>953158.970914325</v>
      </c>
      <c r="M41" s="1469">
        <f>M42*M43+M44</f>
        <v>268840.424805995</v>
      </c>
      <c r="N41" s="1469">
        <f>N42*N43+N44</f>
        <v>0</v>
      </c>
      <c r="O41" s="1469">
        <f>O42*O43+O44</f>
        <v>187009.898744337</v>
      </c>
      <c r="P41" s="1469">
        <f>P42*P43+P44</f>
        <v>0</v>
      </c>
      <c r="Q41" s="1469">
        <f>Q42*Q43+Q44</f>
        <v>0</v>
      </c>
      <c r="R41" s="1469">
        <f>R42*R43+R44</f>
        <v>0</v>
      </c>
      <c r="S41" s="1469">
        <f>S42*S43+S44</f>
        <v>0</v>
      </c>
      <c r="T41" s="1469">
        <f>T42*T43+T44</f>
        <v>0</v>
      </c>
      <c r="U41" s="1469">
        <f>U42*U43+U44</f>
        <v>0</v>
      </c>
      <c r="V41" s="1469">
        <f>V42*V43+V44</f>
        <v>0</v>
      </c>
      <c r="W41" s="1469">
        <f>W42*W43+W44</f>
        <v>835774.3564</v>
      </c>
      <c r="X41" s="1469">
        <f>X42*X43+X44</f>
        <v>100411.09831</v>
      </c>
      <c r="Y41" s="1469">
        <f>Y42*Y43+Y44</f>
        <v>193712.634</v>
      </c>
      <c r="Z41" s="1469">
        <f>Z42*Z43+Z44</f>
        <v>0</v>
      </c>
      <c r="AA41" s="1469">
        <f>AA42*AA43+AA44</f>
        <v>0</v>
      </c>
      <c r="AB41" s="1469">
        <f>AB42*AB43+AB44</f>
        <v>0</v>
      </c>
      <c r="AC41" s="1469">
        <f>AC42*AC43+AC44</f>
        <v>0</v>
      </c>
      <c r="AD41" s="1469">
        <f>AD42*AD43+AD44</f>
        <v>0</v>
      </c>
      <c r="AE41" s="4599">
        <f>AE42*AE43+AE44</f>
        <v>2319.10735</v>
      </c>
      <c r="AF41" s="4599">
        <f>AF42*AF43+AF44</f>
        <v>27767.05925</v>
      </c>
      <c r="AG41" s="4599">
        <f>AG42*AG43+AG44</f>
        <v>0</v>
      </c>
      <c r="AH41" s="1472"/>
      <c r="AI41" s="1738"/>
      <c r="AJ41" s="1738"/>
      <c r="AK41" s="1738"/>
      <c r="AL41" s="1738"/>
      <c r="AM41" s="1738"/>
      <c r="AN41" s="1738"/>
      <c r="AO41" s="1738"/>
      <c r="AP41" s="1738"/>
      <c r="AQ41" s="1738"/>
      <c r="AR41" s="1738"/>
      <c r="AS41" s="1738"/>
      <c r="AT41" s="1738"/>
      <c r="AU41" s="1738"/>
      <c r="AV41" s="1738"/>
      <c r="AW41" s="1738"/>
      <c r="AX41" s="1738"/>
      <c r="AY41" s="1738"/>
      <c r="AZ41" s="1738"/>
      <c r="BA41" s="1738"/>
      <c r="BB41" s="1738"/>
      <c r="BC41" s="1738"/>
      <c r="BD41" s="1738">
        <v>0</v>
      </c>
    </row>
    <row s="10365" customFormat="1" customHeight="1" ht="23.25">
      <c r="A42" s="3201"/>
      <c r="B42" s="2962" t="str">
        <f>E33&amp;".0"</f>
        <v>2.2.0</v>
      </c>
      <c r="C42" s="1420"/>
      <c r="D42" s="2171"/>
      <c r="E42" s="653" t="str">
        <f>B40&amp;".1"</f>
        <v>2.2.1.1</v>
      </c>
      <c r="F42" s="660" t="s">
        <v>634</v>
      </c>
      <c r="G42" s="661" t="s">
        <v>655</v>
      </c>
      <c r="H42" s="858"/>
      <c r="I42" s="858">
        <v>290.118438443051</v>
      </c>
      <c r="J42" s="858">
        <v>111.425198967033</v>
      </c>
      <c r="K42" s="858">
        <v>122.375393583039</v>
      </c>
      <c r="L42" s="858">
        <v>143.828745194905</v>
      </c>
      <c r="M42" s="858">
        <v>42.4844406121541</v>
      </c>
      <c r="N42" s="858"/>
      <c r="O42" s="858">
        <v>42.7537445533822</v>
      </c>
      <c r="P42" s="858"/>
      <c r="Q42" s="858"/>
      <c r="R42" s="858"/>
      <c r="S42" s="858"/>
      <c r="T42" s="858"/>
      <c r="U42" s="858"/>
      <c r="V42" s="858"/>
      <c r="W42" s="858">
        <v>119.54</v>
      </c>
      <c r="X42" s="858">
        <v>14.525436</v>
      </c>
      <c r="Y42" s="858">
        <v>27.9400574</v>
      </c>
      <c r="Z42" s="858"/>
      <c r="AA42" s="858"/>
      <c r="AB42" s="858"/>
      <c r="AC42" s="858"/>
      <c r="AD42" s="858"/>
      <c r="AE42" s="4604">
        <v>0.266116</v>
      </c>
      <c r="AF42" s="4604">
        <v>3.965258</v>
      </c>
      <c r="AG42" s="4604"/>
      <c r="AH42" s="1621" t="s">
        <v>635</v>
      </c>
      <c r="AI42" s="841"/>
      <c r="AJ42" s="1738"/>
      <c r="AK42" s="1738"/>
      <c r="AL42" s="1462"/>
      <c r="AM42" s="1462"/>
      <c r="AN42" s="1462"/>
      <c r="AO42" s="1462"/>
      <c r="AP42" s="1738"/>
      <c r="AQ42" s="1462"/>
      <c r="AR42" s="1462"/>
      <c r="AS42" s="843"/>
      <c r="AT42" s="1462"/>
      <c r="AU42" s="1462"/>
      <c r="AV42" s="1462"/>
      <c r="AW42" s="1462"/>
      <c r="AX42" s="1462"/>
      <c r="AY42" s="1728"/>
      <c r="AZ42" s="1728"/>
      <c r="BA42" s="1728"/>
      <c r="BB42" s="1728"/>
      <c r="BC42" s="1728"/>
      <c r="BD42" s="1731">
        <v>0</v>
      </c>
    </row>
    <row s="10365" customFormat="1" customHeight="1" ht="18.75">
      <c r="A43" s="3201"/>
      <c r="B43" s="2962" t="str">
        <f>E33&amp;".0"</f>
        <v>2.2.0</v>
      </c>
      <c r="C43" s="1420"/>
      <c r="D43" s="2171"/>
      <c r="E43" s="653" t="str">
        <f>B40&amp;".2"</f>
        <v>2.2.1.2</v>
      </c>
      <c r="F43" s="660" t="s">
        <v>636</v>
      </c>
      <c r="G43" s="2179" t="s">
        <v>637</v>
      </c>
      <c r="H43" s="858"/>
      <c r="I43" s="858">
        <v>5476.20967865371</v>
      </c>
      <c r="J43" s="858">
        <v>5711.44036296111</v>
      </c>
      <c r="K43" s="858">
        <v>5642.4216545267</v>
      </c>
      <c r="L43" s="858">
        <v>5611.9160731383</v>
      </c>
      <c r="M43" s="858">
        <v>5647.9666</v>
      </c>
      <c r="N43" s="858"/>
      <c r="O43" s="858">
        <v>4014.10665126454</v>
      </c>
      <c r="P43" s="858"/>
      <c r="Q43" s="858"/>
      <c r="R43" s="858"/>
      <c r="S43" s="858"/>
      <c r="T43" s="858"/>
      <c r="U43" s="858"/>
      <c r="V43" s="858"/>
      <c r="W43" s="858">
        <v>5646.16</v>
      </c>
      <c r="X43" s="858">
        <v>5564.59894628981</v>
      </c>
      <c r="Y43" s="858">
        <v>5624.31326322186</v>
      </c>
      <c r="Z43" s="858"/>
      <c r="AA43" s="858"/>
      <c r="AB43" s="858"/>
      <c r="AC43" s="858"/>
      <c r="AD43" s="858"/>
      <c r="AE43" s="4604">
        <v>6825.97615325648</v>
      </c>
      <c r="AF43" s="4604">
        <v>5655.12387844624</v>
      </c>
      <c r="AG43" s="4604"/>
      <c r="AH43" s="1621"/>
      <c r="AI43" s="841"/>
      <c r="AJ43" s="1738"/>
      <c r="AK43" s="1738"/>
      <c r="AL43" s="1462"/>
      <c r="AM43" s="1462"/>
      <c r="AN43" s="1462"/>
      <c r="AO43" s="1462"/>
      <c r="AP43" s="1738"/>
      <c r="AQ43" s="1462"/>
      <c r="AR43" s="1462"/>
      <c r="AS43" s="843"/>
      <c r="AT43" s="1462"/>
      <c r="AU43" s="1462"/>
      <c r="AV43" s="1462"/>
      <c r="AW43" s="1462"/>
      <c r="AX43" s="1462"/>
      <c r="AY43" s="1728"/>
      <c r="AZ43" s="1728"/>
      <c r="BA43" s="1728"/>
      <c r="BB43" s="1728"/>
      <c r="BC43" s="1728"/>
      <c r="BD43" s="1731">
        <v>0</v>
      </c>
    </row>
    <row s="10365" customFormat="1" customHeight="1" ht="18.75">
      <c r="A44" s="3201"/>
      <c r="B44" s="2962" t="str">
        <f>E33&amp;".0"</f>
        <v>2.2.0</v>
      </c>
      <c r="C44" s="1420"/>
      <c r="D44" s="2171"/>
      <c r="E44" s="653" t="str">
        <f>B40&amp;".3"</f>
        <v>2.2.1.3</v>
      </c>
      <c r="F44" s="660" t="s">
        <v>638</v>
      </c>
      <c r="G44" s="2179" t="s">
        <v>637</v>
      </c>
      <c r="H44" s="858"/>
      <c r="I44" s="858">
        <v>371157.282988703</v>
      </c>
      <c r="J44" s="858">
        <v>149209.486536362</v>
      </c>
      <c r="K44" s="858">
        <v>131941.834622509</v>
      </c>
      <c r="L44" s="858">
        <v>146004.123975725</v>
      </c>
      <c r="M44" s="858">
        <v>28889.7232088647</v>
      </c>
      <c r="N44" s="858"/>
      <c r="O44" s="858">
        <v>15391.8083661404</v>
      </c>
      <c r="P44" s="858"/>
      <c r="Q44" s="858"/>
      <c r="R44" s="858"/>
      <c r="S44" s="858"/>
      <c r="T44" s="858"/>
      <c r="U44" s="858"/>
      <c r="V44" s="858"/>
      <c r="W44" s="858">
        <v>160832.39</v>
      </c>
      <c r="X44" s="858">
        <v>19582.87245</v>
      </c>
      <c r="Y44" s="858">
        <v>36568.99859</v>
      </c>
      <c r="Z44" s="858"/>
      <c r="AA44" s="858"/>
      <c r="AB44" s="858"/>
      <c r="AC44" s="858"/>
      <c r="AD44" s="858"/>
      <c r="AE44" s="4604">
        <v>502.60588</v>
      </c>
      <c r="AF44" s="4604">
        <v>5343.03405</v>
      </c>
      <c r="AG44" s="4604"/>
      <c r="AH44" s="1621"/>
      <c r="AI44" s="841"/>
      <c r="AJ44" s="1738"/>
      <c r="AK44" s="1738"/>
      <c r="AL44" s="1462"/>
      <c r="AM44" s="1462"/>
      <c r="AN44" s="1462"/>
      <c r="AO44" s="1462"/>
      <c r="AP44" s="1738"/>
      <c r="AQ44" s="1462"/>
      <c r="AR44" s="1462"/>
      <c r="AS44" s="843"/>
      <c r="AT44" s="1462"/>
      <c r="AU44" s="1462"/>
      <c r="AV44" s="1462"/>
      <c r="AW44" s="1462"/>
      <c r="AX44" s="1462"/>
      <c r="AY44" s="1728"/>
      <c r="AZ44" s="1728"/>
      <c r="BA44" s="1728"/>
      <c r="BB44" s="1728"/>
      <c r="BC44" s="1728"/>
      <c r="BD44" s="1731">
        <v>0</v>
      </c>
    </row>
    <row s="10365" customFormat="1" customHeight="1" ht="18.75">
      <c r="A45" s="3201"/>
      <c r="B45" s="2962" t="str">
        <f>E33&amp;".0"</f>
        <v>2.2.0</v>
      </c>
      <c r="C45" s="1420"/>
      <c r="D45" s="2171"/>
      <c r="E45" s="653" t="str">
        <f>B40&amp;".4"</f>
        <v>2.2.1.4</v>
      </c>
      <c r="F45" s="660" t="s">
        <v>639</v>
      </c>
      <c r="G45" s="2179" t="s">
        <v>631</v>
      </c>
      <c r="H45" s="662"/>
      <c r="I45" s="662" t="s">
        <v>656</v>
      </c>
      <c r="J45" s="4606" t="s">
        <v>656</v>
      </c>
      <c r="K45" s="4606" t="s">
        <v>656</v>
      </c>
      <c r="L45" s="4606" t="s">
        <v>656</v>
      </c>
      <c r="M45" s="4606" t="s">
        <v>656</v>
      </c>
      <c r="N45" s="4606"/>
      <c r="O45" s="4606" t="s">
        <v>656</v>
      </c>
      <c r="P45" s="662"/>
      <c r="Q45" s="662"/>
      <c r="R45" s="662"/>
      <c r="S45" s="662"/>
      <c r="T45" s="662"/>
      <c r="U45" s="662"/>
      <c r="V45" s="662"/>
      <c r="W45" s="4606" t="s">
        <v>656</v>
      </c>
      <c r="X45" s="4606" t="s">
        <v>656</v>
      </c>
      <c r="Y45" s="4606" t="s">
        <v>656</v>
      </c>
      <c r="Z45" s="662"/>
      <c r="AA45" s="662"/>
      <c r="AB45" s="662"/>
      <c r="AC45" s="662"/>
      <c r="AD45" s="662"/>
      <c r="AE45" s="4606" t="s">
        <v>656</v>
      </c>
      <c r="AF45" s="4606" t="s">
        <v>656</v>
      </c>
      <c r="AG45" s="4606"/>
      <c r="AH45" s="1621"/>
      <c r="AI45" s="841"/>
      <c r="AJ45" s="1738"/>
      <c r="AK45" s="1738"/>
      <c r="AL45" s="1462"/>
      <c r="AM45" s="1462"/>
      <c r="AN45" s="1462"/>
      <c r="AO45" s="1462"/>
      <c r="AP45" s="1738"/>
      <c r="AQ45" s="1462"/>
      <c r="AR45" s="1462"/>
      <c r="AS45" s="843"/>
      <c r="AT45" s="1462"/>
      <c r="AU45" s="1462"/>
      <c r="AV45" s="1462"/>
      <c r="AW45" s="1462"/>
      <c r="AX45" s="1462"/>
      <c r="AY45" s="1728"/>
      <c r="AZ45" s="1728"/>
      <c r="BA45" s="1728"/>
      <c r="BB45" s="1728"/>
      <c r="BC45" s="1728"/>
      <c r="BD45" s="1731">
        <v>0</v>
      </c>
    </row>
    <row s="10365" customFormat="1" customHeight="1" ht="23.25">
      <c r="A46" s="3201"/>
      <c r="B46" s="2962" t="str">
        <f>E33&amp;".2"</f>
        <v>2.2.2</v>
      </c>
      <c r="C46" s="1420" t="s">
        <v>630</v>
      </c>
      <c r="D46" s="790" t="s">
        <v>103</v>
      </c>
      <c r="E46" s="653" t="str">
        <f>B46</f>
        <v>2.2.2</v>
      </c>
      <c r="F46" s="654" t="s">
        <v>657</v>
      </c>
      <c r="G46" s="2179" t="s">
        <v>631</v>
      </c>
      <c r="H46" s="2179" t="s">
        <v>631</v>
      </c>
      <c r="I46" s="2179" t="s">
        <v>631</v>
      </c>
      <c r="J46" s="2179" t="s">
        <v>631</v>
      </c>
      <c r="K46" s="2179" t="s">
        <v>631</v>
      </c>
      <c r="L46" s="2179" t="s">
        <v>631</v>
      </c>
      <c r="M46" s="2179" t="s">
        <v>631</v>
      </c>
      <c r="N46" s="2179" t="s">
        <v>631</v>
      </c>
      <c r="O46" s="2179" t="s">
        <v>631</v>
      </c>
      <c r="P46" s="2179" t="s">
        <v>631</v>
      </c>
      <c r="Q46" s="2179" t="s">
        <v>631</v>
      </c>
      <c r="R46" s="2179" t="s">
        <v>631</v>
      </c>
      <c r="S46" s="2179" t="s">
        <v>631</v>
      </c>
      <c r="T46" s="2179" t="s">
        <v>631</v>
      </c>
      <c r="U46" s="2179" t="s">
        <v>631</v>
      </c>
      <c r="V46" s="2179" t="s">
        <v>631</v>
      </c>
      <c r="W46" s="2179" t="s">
        <v>631</v>
      </c>
      <c r="X46" s="2179" t="s">
        <v>631</v>
      </c>
      <c r="Y46" s="2179" t="s">
        <v>631</v>
      </c>
      <c r="Z46" s="2179" t="s">
        <v>631</v>
      </c>
      <c r="AA46" s="2179" t="s">
        <v>631</v>
      </c>
      <c r="AB46" s="2179" t="s">
        <v>631</v>
      </c>
      <c r="AC46" s="2179" t="s">
        <v>631</v>
      </c>
      <c r="AD46" s="2179" t="s">
        <v>631</v>
      </c>
      <c r="AE46" s="4593" t="s">
        <v>631</v>
      </c>
      <c r="AF46" s="4593" t="s">
        <v>631</v>
      </c>
      <c r="AG46" s="4593" t="s">
        <v>631</v>
      </c>
      <c r="AH46" s="1621" t="s">
        <v>632</v>
      </c>
      <c r="AI46" s="841"/>
      <c r="AJ46" s="1738"/>
      <c r="AK46" s="1738"/>
      <c r="AL46" s="1462"/>
      <c r="AM46" s="1462"/>
      <c r="AN46" s="1462"/>
      <c r="AO46" s="1462"/>
      <c r="AP46" s="1738"/>
      <c r="AQ46" s="1462"/>
      <c r="AR46" s="1462"/>
      <c r="AS46" s="843"/>
      <c r="AT46" s="1462"/>
      <c r="AU46" s="1462"/>
      <c r="AV46" s="1462"/>
      <c r="AW46" s="1462"/>
      <c r="AX46" s="1462"/>
      <c r="AY46" s="1728"/>
      <c r="AZ46" s="1728"/>
      <c r="BA46" s="1728"/>
      <c r="BB46" s="1728"/>
      <c r="BC46" s="1728"/>
      <c r="BD46" s="1731">
        <v>0</v>
      </c>
    </row>
    <row s="10189" customFormat="1" customHeight="1" ht="0.75" hidden="1">
      <c r="A47" s="3202"/>
      <c r="B47" s="2962" t="str">
        <f>E33&amp;".1"</f>
        <v>2.2.1</v>
      </c>
      <c r="C47" s="1420"/>
      <c r="D47" s="1420"/>
      <c r="E47" s="656"/>
      <c r="F47" s="657" t="s">
        <v>633</v>
      </c>
      <c r="G47" s="1469"/>
      <c r="H47" s="1469">
        <f>H48*H49+H50</f>
        <v>0</v>
      </c>
      <c r="I47" s="1469">
        <f>I48*I49+I50</f>
        <v>0</v>
      </c>
      <c r="J47" s="1469">
        <f>J48*J49+J50</f>
        <v>0</v>
      </c>
      <c r="K47" s="1469">
        <f>K48*K49+K50</f>
        <v>514179.939820864</v>
      </c>
      <c r="L47" s="1469">
        <f>L48*L49+L50</f>
        <v>0</v>
      </c>
      <c r="M47" s="1469">
        <f>M48*M49+M50</f>
        <v>0</v>
      </c>
      <c r="N47" s="1469">
        <f>N48*N49+N50</f>
        <v>0</v>
      </c>
      <c r="O47" s="1469">
        <f>O48*O49+O50</f>
        <v>0</v>
      </c>
      <c r="P47" s="1469">
        <f>P48*P49+P50</f>
        <v>0</v>
      </c>
      <c r="Q47" s="1469">
        <f>Q48*Q49+Q50</f>
        <v>0</v>
      </c>
      <c r="R47" s="1469">
        <f>R48*R49+R50</f>
        <v>0</v>
      </c>
      <c r="S47" s="1469">
        <f>S48*S49+S50</f>
        <v>0</v>
      </c>
      <c r="T47" s="1469">
        <f>T48*T49+T50</f>
        <v>0</v>
      </c>
      <c r="U47" s="1469">
        <f>U48*U49+U50</f>
        <v>0</v>
      </c>
      <c r="V47" s="1469">
        <f>V48*V49+V50</f>
        <v>0</v>
      </c>
      <c r="W47" s="1469">
        <f>W48*W49+W50</f>
        <v>0</v>
      </c>
      <c r="X47" s="1469">
        <f>X48*X49+X50</f>
        <v>0</v>
      </c>
      <c r="Y47" s="1469">
        <f>Y48*Y49+Y50</f>
        <v>0</v>
      </c>
      <c r="Z47" s="1469">
        <f>Z48*Z49+Z50</f>
        <v>0</v>
      </c>
      <c r="AA47" s="1469">
        <f>AA48*AA49+AA50</f>
        <v>0</v>
      </c>
      <c r="AB47" s="1469">
        <f>AB48*AB49+AB50</f>
        <v>0</v>
      </c>
      <c r="AC47" s="1469">
        <f>AC48*AC49+AC50</f>
        <v>0</v>
      </c>
      <c r="AD47" s="1469">
        <f>AD48*AD49+AD50</f>
        <v>7334.64319490309</v>
      </c>
      <c r="AE47" s="4599">
        <f>AE48*AE49+AE50</f>
        <v>0</v>
      </c>
      <c r="AF47" s="4599">
        <f>AF48*AF49+AF50</f>
        <v>0</v>
      </c>
      <c r="AG47" s="4599">
        <f>AG48*AG49+AG50</f>
        <v>0</v>
      </c>
      <c r="AH47" s="1472"/>
      <c r="AI47" s="1738"/>
      <c r="AJ47" s="1738"/>
      <c r="AK47" s="1738"/>
      <c r="AL47" s="1738"/>
      <c r="AM47" s="1738"/>
      <c r="AN47" s="1738"/>
      <c r="AO47" s="1738"/>
      <c r="AP47" s="1738"/>
      <c r="AQ47" s="1738"/>
      <c r="AR47" s="1738"/>
      <c r="AS47" s="1738"/>
      <c r="AT47" s="1738"/>
      <c r="AU47" s="1738"/>
      <c r="AV47" s="1738"/>
      <c r="AW47" s="1738"/>
      <c r="AX47" s="1738"/>
      <c r="AY47" s="1738"/>
      <c r="AZ47" s="1738"/>
      <c r="BA47" s="1738"/>
      <c r="BB47" s="1738"/>
      <c r="BC47" s="1738"/>
      <c r="BD47" s="1738">
        <v>0</v>
      </c>
    </row>
    <row s="10365" customFormat="1" customHeight="1" ht="23.25">
      <c r="A48" s="3201"/>
      <c r="B48" s="2962" t="str">
        <f>E33&amp;".1"</f>
        <v>2.2.1</v>
      </c>
      <c r="C48" s="1420"/>
      <c r="D48" s="2171"/>
      <c r="E48" s="653" t="str">
        <f>B46&amp;".1"</f>
        <v>2.2.2.1</v>
      </c>
      <c r="F48" s="660" t="s">
        <v>634</v>
      </c>
      <c r="G48" s="661" t="s">
        <v>658</v>
      </c>
      <c r="H48" s="858"/>
      <c r="I48" s="858"/>
      <c r="J48" s="858"/>
      <c r="K48" s="858">
        <v>110.643192182762</v>
      </c>
      <c r="L48" s="858"/>
      <c r="M48" s="858"/>
      <c r="N48" s="858"/>
      <c r="O48" s="858"/>
      <c r="P48" s="858"/>
      <c r="Q48" s="858"/>
      <c r="R48" s="858"/>
      <c r="S48" s="858"/>
      <c r="T48" s="858"/>
      <c r="U48" s="858"/>
      <c r="V48" s="858"/>
      <c r="W48" s="858"/>
      <c r="X48" s="858"/>
      <c r="Y48" s="858"/>
      <c r="Z48" s="858"/>
      <c r="AA48" s="858"/>
      <c r="AB48" s="858"/>
      <c r="AC48" s="858"/>
      <c r="AD48" s="858">
        <v>1.405685</v>
      </c>
      <c r="AE48" s="4604"/>
      <c r="AF48" s="4604"/>
      <c r="AG48" s="4604"/>
      <c r="AH48" s="1621" t="s">
        <v>635</v>
      </c>
      <c r="AI48" s="841"/>
      <c r="AJ48" s="1738"/>
      <c r="AK48" s="1738"/>
      <c r="AL48" s="1462"/>
      <c r="AM48" s="1462"/>
      <c r="AN48" s="1462"/>
      <c r="AO48" s="1462"/>
      <c r="AP48" s="1738"/>
      <c r="AQ48" s="1462"/>
      <c r="AR48" s="1462"/>
      <c r="AS48" s="843"/>
      <c r="AT48" s="1462"/>
      <c r="AU48" s="1462"/>
      <c r="AV48" s="1462"/>
      <c r="AW48" s="1462"/>
      <c r="AX48" s="1462"/>
      <c r="AY48" s="1728"/>
      <c r="AZ48" s="1728"/>
      <c r="BA48" s="1728"/>
      <c r="BB48" s="1728"/>
      <c r="BC48" s="1728"/>
      <c r="BD48" s="1731">
        <v>0</v>
      </c>
    </row>
    <row s="10365" customFormat="1" customHeight="1" ht="18.75">
      <c r="A49" s="3201"/>
      <c r="B49" s="2962" t="str">
        <f>E33&amp;".1"</f>
        <v>2.2.1</v>
      </c>
      <c r="C49" s="1420"/>
      <c r="D49" s="2171"/>
      <c r="E49" s="653" t="str">
        <f>B46&amp;".2"</f>
        <v>2.2.2.2</v>
      </c>
      <c r="F49" s="660" t="s">
        <v>636</v>
      </c>
      <c r="G49" s="2179" t="s">
        <v>637</v>
      </c>
      <c r="H49" s="858"/>
      <c r="I49" s="858"/>
      <c r="J49" s="858"/>
      <c r="K49" s="858">
        <v>4565.10180888658</v>
      </c>
      <c r="L49" s="858"/>
      <c r="M49" s="858"/>
      <c r="N49" s="858"/>
      <c r="O49" s="858"/>
      <c r="P49" s="858"/>
      <c r="Q49" s="858"/>
      <c r="R49" s="858"/>
      <c r="S49" s="858"/>
      <c r="T49" s="858"/>
      <c r="U49" s="858"/>
      <c r="V49" s="858"/>
      <c r="W49" s="858"/>
      <c r="X49" s="858"/>
      <c r="Y49" s="858"/>
      <c r="Z49" s="858"/>
      <c r="AA49" s="858"/>
      <c r="AB49" s="858"/>
      <c r="AC49" s="858"/>
      <c r="AD49" s="858">
        <v>5215.09350957007</v>
      </c>
      <c r="AE49" s="4604"/>
      <c r="AF49" s="4604"/>
      <c r="AG49" s="4604"/>
      <c r="AH49" s="1621"/>
      <c r="AI49" s="841"/>
      <c r="AJ49" s="1738"/>
      <c r="AK49" s="1738"/>
      <c r="AL49" s="1462"/>
      <c r="AM49" s="1462"/>
      <c r="AN49" s="1462"/>
      <c r="AO49" s="1462"/>
      <c r="AP49" s="1738"/>
      <c r="AQ49" s="1462"/>
      <c r="AR49" s="1462"/>
      <c r="AS49" s="843"/>
      <c r="AT49" s="1462"/>
      <c r="AU49" s="1462"/>
      <c r="AV49" s="1462"/>
      <c r="AW49" s="1462"/>
      <c r="AX49" s="1462"/>
      <c r="AY49" s="1728"/>
      <c r="AZ49" s="1728"/>
      <c r="BA49" s="1728"/>
      <c r="BB49" s="1728"/>
      <c r="BC49" s="1728"/>
      <c r="BD49" s="1731">
        <v>0</v>
      </c>
    </row>
    <row s="10365" customFormat="1" customHeight="1" ht="18.75">
      <c r="A50" s="3201"/>
      <c r="B50" s="2962" t="str">
        <f>E33&amp;".1"</f>
        <v>2.2.1</v>
      </c>
      <c r="C50" s="1420"/>
      <c r="D50" s="2171"/>
      <c r="E50" s="653" t="str">
        <f>B46&amp;".3"</f>
        <v>2.2.2.3</v>
      </c>
      <c r="F50" s="660" t="s">
        <v>638</v>
      </c>
      <c r="G50" s="2179" t="s">
        <v>637</v>
      </c>
      <c r="H50" s="858"/>
      <c r="I50" s="858"/>
      <c r="J50" s="858"/>
      <c r="K50" s="858">
        <v>9082.5030463523</v>
      </c>
      <c r="L50" s="858"/>
      <c r="M50" s="858"/>
      <c r="N50" s="858"/>
      <c r="O50" s="858"/>
      <c r="P50" s="858"/>
      <c r="Q50" s="858"/>
      <c r="R50" s="858"/>
      <c r="S50" s="858"/>
      <c r="T50" s="858"/>
      <c r="U50" s="858"/>
      <c r="V50" s="858"/>
      <c r="W50" s="858"/>
      <c r="X50" s="858"/>
      <c r="Y50" s="858"/>
      <c r="Z50" s="858"/>
      <c r="AA50" s="858"/>
      <c r="AB50" s="858"/>
      <c r="AC50" s="858"/>
      <c r="AD50" s="858">
        <v>3.86447490309242</v>
      </c>
      <c r="AE50" s="4604"/>
      <c r="AF50" s="4604"/>
      <c r="AG50" s="4604"/>
      <c r="AH50" s="1621"/>
      <c r="AI50" s="841"/>
      <c r="AJ50" s="1738"/>
      <c r="AK50" s="1738"/>
      <c r="AL50" s="1462"/>
      <c r="AM50" s="1462"/>
      <c r="AN50" s="1462"/>
      <c r="AO50" s="1462"/>
      <c r="AP50" s="1738"/>
      <c r="AQ50" s="1462"/>
      <c r="AR50" s="1462"/>
      <c r="AS50" s="843"/>
      <c r="AT50" s="1462"/>
      <c r="AU50" s="1462"/>
      <c r="AV50" s="1462"/>
      <c r="AW50" s="1462"/>
      <c r="AX50" s="1462"/>
      <c r="AY50" s="1728"/>
      <c r="AZ50" s="1728"/>
      <c r="BA50" s="1728"/>
      <c r="BB50" s="1728"/>
      <c r="BC50" s="1728"/>
      <c r="BD50" s="1731">
        <v>0</v>
      </c>
    </row>
    <row s="10365" customFormat="1" customHeight="1" ht="18.75">
      <c r="A51" s="3201"/>
      <c r="B51" s="2962" t="str">
        <f>E33&amp;".1"</f>
        <v>2.2.1</v>
      </c>
      <c r="C51" s="1420"/>
      <c r="D51" s="2171"/>
      <c r="E51" s="653" t="str">
        <f>B46&amp;".4"</f>
        <v>2.2.2.4</v>
      </c>
      <c r="F51" s="660" t="s">
        <v>639</v>
      </c>
      <c r="G51" s="2179" t="s">
        <v>631</v>
      </c>
      <c r="H51" s="662"/>
      <c r="I51" s="662"/>
      <c r="J51" s="662"/>
      <c r="K51" s="4606" t="s">
        <v>659</v>
      </c>
      <c r="L51" s="662"/>
      <c r="M51" s="662"/>
      <c r="N51" s="662"/>
      <c r="O51" s="662"/>
      <c r="P51" s="662"/>
      <c r="Q51" s="4606"/>
      <c r="R51" s="4606"/>
      <c r="S51" s="4606"/>
      <c r="T51" s="4606"/>
      <c r="U51" s="4606"/>
      <c r="V51" s="4606"/>
      <c r="W51" s="4606"/>
      <c r="X51" s="4606"/>
      <c r="Y51" s="4606"/>
      <c r="Z51" s="4606"/>
      <c r="AA51" s="4606"/>
      <c r="AB51" s="4606"/>
      <c r="AC51" s="4606"/>
      <c r="AD51" s="4606" t="s">
        <v>659</v>
      </c>
      <c r="AE51" s="4606"/>
      <c r="AF51" s="4606"/>
      <c r="AG51" s="4606"/>
      <c r="AH51" s="1621"/>
      <c r="AI51" s="841"/>
      <c r="AJ51" s="1738"/>
      <c r="AK51" s="1738"/>
      <c r="AL51" s="1462"/>
      <c r="AM51" s="1462"/>
      <c r="AN51" s="1462"/>
      <c r="AO51" s="1462"/>
      <c r="AP51" s="1738"/>
      <c r="AQ51" s="1462"/>
      <c r="AR51" s="1462"/>
      <c r="AS51" s="843"/>
      <c r="AT51" s="1462"/>
      <c r="AU51" s="1462"/>
      <c r="AV51" s="1462"/>
      <c r="AW51" s="1462"/>
      <c r="AX51" s="1462"/>
      <c r="AY51" s="1728"/>
      <c r="AZ51" s="1728"/>
      <c r="BA51" s="1728"/>
      <c r="BB51" s="1728"/>
      <c r="BC51" s="1728"/>
      <c r="BD51" s="1731">
        <v>0</v>
      </c>
    </row>
    <row s="10365" customFormat="1" customHeight="1" ht="23.25">
      <c r="A52" s="3201"/>
      <c r="B52" s="2962" t="str">
        <f>E33&amp;".3"</f>
        <v>2.2.3</v>
      </c>
      <c r="C52" s="1420" t="s">
        <v>630</v>
      </c>
      <c r="D52" s="790" t="s">
        <v>103</v>
      </c>
      <c r="E52" s="653" t="str">
        <f>B52</f>
        <v>2.2.3</v>
      </c>
      <c r="F52" s="654" t="s">
        <v>660</v>
      </c>
      <c r="G52" s="2179" t="s">
        <v>631</v>
      </c>
      <c r="H52" s="2179" t="s">
        <v>631</v>
      </c>
      <c r="I52" s="2179" t="s">
        <v>631</v>
      </c>
      <c r="J52" s="2179" t="s">
        <v>631</v>
      </c>
      <c r="K52" s="2179" t="s">
        <v>631</v>
      </c>
      <c r="L52" s="2179" t="s">
        <v>631</v>
      </c>
      <c r="M52" s="2179" t="s">
        <v>631</v>
      </c>
      <c r="N52" s="2179" t="s">
        <v>631</v>
      </c>
      <c r="O52" s="2179" t="s">
        <v>631</v>
      </c>
      <c r="P52" s="2179" t="s">
        <v>631</v>
      </c>
      <c r="Q52" s="2179" t="s">
        <v>631</v>
      </c>
      <c r="R52" s="2179" t="s">
        <v>631</v>
      </c>
      <c r="S52" s="2179" t="s">
        <v>631</v>
      </c>
      <c r="T52" s="2179" t="s">
        <v>631</v>
      </c>
      <c r="U52" s="2179" t="s">
        <v>631</v>
      </c>
      <c r="V52" s="2179" t="s">
        <v>631</v>
      </c>
      <c r="W52" s="2179" t="s">
        <v>631</v>
      </c>
      <c r="X52" s="2179" t="s">
        <v>631</v>
      </c>
      <c r="Y52" s="2179" t="s">
        <v>631</v>
      </c>
      <c r="Z52" s="2179" t="s">
        <v>631</v>
      </c>
      <c r="AA52" s="2179" t="s">
        <v>631</v>
      </c>
      <c r="AB52" s="2179" t="s">
        <v>631</v>
      </c>
      <c r="AC52" s="2179" t="s">
        <v>631</v>
      </c>
      <c r="AD52" s="2179" t="s">
        <v>631</v>
      </c>
      <c r="AE52" s="4593" t="s">
        <v>631</v>
      </c>
      <c r="AF52" s="4593" t="s">
        <v>631</v>
      </c>
      <c r="AG52" s="4593" t="s">
        <v>631</v>
      </c>
      <c r="AH52" s="1621" t="s">
        <v>632</v>
      </c>
      <c r="AI52" s="841"/>
      <c r="AJ52" s="1738"/>
      <c r="AK52" s="1738"/>
      <c r="AL52" s="1462"/>
      <c r="AM52" s="1462"/>
      <c r="AN52" s="1462"/>
      <c r="AO52" s="1462"/>
      <c r="AP52" s="1738"/>
      <c r="AQ52" s="1462"/>
      <c r="AR52" s="1462"/>
      <c r="AS52" s="843"/>
      <c r="AT52" s="1462"/>
      <c r="AU52" s="1462"/>
      <c r="AV52" s="1462"/>
      <c r="AW52" s="1462"/>
      <c r="AX52" s="1462"/>
      <c r="AY52" s="1728"/>
      <c r="AZ52" s="1728"/>
      <c r="BA52" s="1728"/>
      <c r="BB52" s="1728"/>
      <c r="BC52" s="1728"/>
      <c r="BD52" s="1731">
        <v>0</v>
      </c>
    </row>
    <row s="10189" customFormat="1" customHeight="1" ht="0.75" hidden="1">
      <c r="A53" s="3202"/>
      <c r="B53" s="2962" t="str">
        <f>E33&amp;".2"</f>
        <v>2.2.2</v>
      </c>
      <c r="C53" s="1420"/>
      <c r="D53" s="1420"/>
      <c r="E53" s="656"/>
      <c r="F53" s="657" t="s">
        <v>633</v>
      </c>
      <c r="G53" s="1469"/>
      <c r="H53" s="1469">
        <f>H54*H55+H56</f>
        <v>0</v>
      </c>
      <c r="I53" s="1469">
        <f>I54*I55+I56</f>
        <v>329460.201322522</v>
      </c>
      <c r="J53" s="1469">
        <f>J54*J55+J56</f>
        <v>2133058.86951206</v>
      </c>
      <c r="K53" s="1469">
        <f>K54*K55+K56</f>
        <v>69.8442433769326</v>
      </c>
      <c r="L53" s="1469">
        <f>L54*L55+L56</f>
        <v>0</v>
      </c>
      <c r="M53" s="1469">
        <f>M54*M55+M56</f>
        <v>342054.147984426</v>
      </c>
      <c r="N53" s="1469">
        <f>N54*N55+N56</f>
        <v>8175.19839508525</v>
      </c>
      <c r="O53" s="1469">
        <f>O54*O55+O56</f>
        <v>0</v>
      </c>
      <c r="P53" s="1469">
        <f>P54*P55+P56</f>
        <v>0</v>
      </c>
      <c r="Q53" s="1469">
        <f>Q54*Q55+Q56</f>
        <v>0</v>
      </c>
      <c r="R53" s="1469">
        <f>R54*R55+R56</f>
        <v>0</v>
      </c>
      <c r="S53" s="1469">
        <f>S54*S55+S56</f>
        <v>0</v>
      </c>
      <c r="T53" s="1469">
        <f>T54*T55+T56</f>
        <v>0</v>
      </c>
      <c r="U53" s="1469">
        <f>U54*U55+U56</f>
        <v>0</v>
      </c>
      <c r="V53" s="1469">
        <f>V54*V55+V56</f>
        <v>0</v>
      </c>
      <c r="W53" s="1469">
        <f>W54*W55+W56</f>
        <v>0</v>
      </c>
      <c r="X53" s="1469">
        <f>X54*X55+X56</f>
        <v>0</v>
      </c>
      <c r="Y53" s="1469">
        <f>Y54*Y55+Y56</f>
        <v>0</v>
      </c>
      <c r="Z53" s="1469">
        <f>Z54*Z55+Z56</f>
        <v>22944.4881967897</v>
      </c>
      <c r="AA53" s="1469">
        <f>AA54*AA55+AA56</f>
        <v>26159.56792</v>
      </c>
      <c r="AB53" s="1469">
        <f>AB54*AB55+AB56</f>
        <v>0</v>
      </c>
      <c r="AC53" s="1469">
        <f>AC54*AC55+AC56</f>
        <v>0</v>
      </c>
      <c r="AD53" s="1469">
        <f>AD54*AD55+AD56</f>
        <v>312884.080715097</v>
      </c>
      <c r="AE53" s="4599">
        <f>AE54*AE55+AE56</f>
        <v>0</v>
      </c>
      <c r="AF53" s="4599">
        <f>AF54*AF55+AF56</f>
        <v>0</v>
      </c>
      <c r="AG53" s="4599">
        <f>AG54*AG55+AG56</f>
        <v>0</v>
      </c>
      <c r="AH53" s="1472"/>
      <c r="AI53" s="1738"/>
      <c r="AJ53" s="1738"/>
      <c r="AK53" s="1738"/>
      <c r="AL53" s="1738"/>
      <c r="AM53" s="1738"/>
      <c r="AN53" s="1738"/>
      <c r="AO53" s="1738"/>
      <c r="AP53" s="1738"/>
      <c r="AQ53" s="1738"/>
      <c r="AR53" s="1738"/>
      <c r="AS53" s="1738"/>
      <c r="AT53" s="1738"/>
      <c r="AU53" s="1738"/>
      <c r="AV53" s="1738"/>
      <c r="AW53" s="1738"/>
      <c r="AX53" s="1738"/>
      <c r="AY53" s="1738"/>
      <c r="AZ53" s="1738"/>
      <c r="BA53" s="1738"/>
      <c r="BB53" s="1738"/>
      <c r="BC53" s="1738"/>
      <c r="BD53" s="1738">
        <v>0</v>
      </c>
    </row>
    <row s="10365" customFormat="1" customHeight="1" ht="23.25">
      <c r="A54" s="3201"/>
      <c r="B54" s="2962" t="str">
        <f>E33&amp;".2"</f>
        <v>2.2.2</v>
      </c>
      <c r="C54" s="1420"/>
      <c r="D54" s="2171"/>
      <c r="E54" s="653" t="str">
        <f>B52&amp;".1"</f>
        <v>2.2.3.1</v>
      </c>
      <c r="F54" s="660" t="s">
        <v>634</v>
      </c>
      <c r="G54" s="661" t="s">
        <v>658</v>
      </c>
      <c r="H54" s="858"/>
      <c r="I54" s="858">
        <v>100.471929271254</v>
      </c>
      <c r="J54" s="858">
        <v>308.659089011178</v>
      </c>
      <c r="K54" s="858">
        <v>0.00406630270383759</v>
      </c>
      <c r="L54" s="858"/>
      <c r="M54" s="858">
        <v>61.3542150088355</v>
      </c>
      <c r="N54" s="858">
        <v>3.1704536657569</v>
      </c>
      <c r="O54" s="858"/>
      <c r="P54" s="858"/>
      <c r="Q54" s="858"/>
      <c r="R54" s="858"/>
      <c r="S54" s="858"/>
      <c r="T54" s="858"/>
      <c r="U54" s="858"/>
      <c r="V54" s="858"/>
      <c r="W54" s="858"/>
      <c r="X54" s="858"/>
      <c r="Y54" s="858"/>
      <c r="Z54" s="858">
        <v>5.743784</v>
      </c>
      <c r="AA54" s="858">
        <v>9.157</v>
      </c>
      <c r="AB54" s="858"/>
      <c r="AC54" s="858"/>
      <c r="AD54" s="858">
        <v>48.6984525037213</v>
      </c>
      <c r="AE54" s="4604"/>
      <c r="AF54" s="4604"/>
      <c r="AG54" s="4604"/>
      <c r="AH54" s="1621" t="s">
        <v>635</v>
      </c>
      <c r="AI54" s="841"/>
      <c r="AJ54" s="1738"/>
      <c r="AK54" s="1738"/>
      <c r="AL54" s="1462"/>
      <c r="AM54" s="1462"/>
      <c r="AN54" s="1462"/>
      <c r="AO54" s="1462"/>
      <c r="AP54" s="1738"/>
      <c r="AQ54" s="1462"/>
      <c r="AR54" s="1462"/>
      <c r="AS54" s="843"/>
      <c r="AT54" s="1462"/>
      <c r="AU54" s="1462"/>
      <c r="AV54" s="1462"/>
      <c r="AW54" s="1462"/>
      <c r="AX54" s="1462"/>
      <c r="AY54" s="1728"/>
      <c r="AZ54" s="1728"/>
      <c r="BA54" s="1728"/>
      <c r="BB54" s="1728"/>
      <c r="BC54" s="1728"/>
      <c r="BD54" s="1731">
        <v>0</v>
      </c>
    </row>
    <row s="10365" customFormat="1" customHeight="1" ht="18.75">
      <c r="A55" s="3201"/>
      <c r="B55" s="2962" t="str">
        <f>E33&amp;".2"</f>
        <v>2.2.2</v>
      </c>
      <c r="C55" s="1420"/>
      <c r="D55" s="2171"/>
      <c r="E55" s="653" t="str">
        <f>B52&amp;".2"</f>
        <v>2.2.3.2</v>
      </c>
      <c r="F55" s="660" t="s">
        <v>636</v>
      </c>
      <c r="G55" s="2179" t="s">
        <v>637</v>
      </c>
      <c r="H55" s="858"/>
      <c r="I55" s="858">
        <v>3260.29430888115</v>
      </c>
      <c r="J55" s="858">
        <v>6825.40505702536</v>
      </c>
      <c r="K55" s="858">
        <v>14328.4350560994</v>
      </c>
      <c r="L55" s="858"/>
      <c r="M55" s="858">
        <v>5351.77848521208</v>
      </c>
      <c r="N55" s="858">
        <v>2563.65417928949</v>
      </c>
      <c r="O55" s="858"/>
      <c r="P55" s="858"/>
      <c r="Q55" s="858"/>
      <c r="R55" s="858"/>
      <c r="S55" s="858"/>
      <c r="T55" s="858"/>
      <c r="U55" s="858"/>
      <c r="V55" s="858"/>
      <c r="W55" s="858"/>
      <c r="X55" s="858"/>
      <c r="Y55" s="858"/>
      <c r="Z55" s="858">
        <v>3968.94235869414</v>
      </c>
      <c r="AA55" s="858">
        <v>2774.36525499618</v>
      </c>
      <c r="AB55" s="858"/>
      <c r="AC55" s="858"/>
      <c r="AD55" s="858">
        <v>6324.39222860336</v>
      </c>
      <c r="AE55" s="4604"/>
      <c r="AF55" s="4604"/>
      <c r="AG55" s="4604"/>
      <c r="AH55" s="1621"/>
      <c r="AI55" s="841"/>
      <c r="AJ55" s="1738"/>
      <c r="AK55" s="1738"/>
      <c r="AL55" s="1462"/>
      <c r="AM55" s="1462"/>
      <c r="AN55" s="1462"/>
      <c r="AO55" s="1462"/>
      <c r="AP55" s="1738"/>
      <c r="AQ55" s="1462"/>
      <c r="AR55" s="1462"/>
      <c r="AS55" s="843"/>
      <c r="AT55" s="1462"/>
      <c r="AU55" s="1462"/>
      <c r="AV55" s="1462"/>
      <c r="AW55" s="1462"/>
      <c r="AX55" s="1462"/>
      <c r="AY55" s="1728"/>
      <c r="AZ55" s="1728"/>
      <c r="BA55" s="1728"/>
      <c r="BB55" s="1728"/>
      <c r="BC55" s="1728"/>
      <c r="BD55" s="1731">
        <v>0</v>
      </c>
    </row>
    <row s="10365" customFormat="1" customHeight="1" ht="18.75">
      <c r="A56" s="3201"/>
      <c r="B56" s="2962" t="str">
        <f>E33&amp;".2"</f>
        <v>2.2.2</v>
      </c>
      <c r="C56" s="1420"/>
      <c r="D56" s="2171"/>
      <c r="E56" s="653" t="str">
        <f>B52&amp;".3"</f>
        <v>2.2.3.3</v>
      </c>
      <c r="F56" s="660" t="s">
        <v>638</v>
      </c>
      <c r="G56" s="2179" t="s">
        <v>637</v>
      </c>
      <c r="H56" s="858"/>
      <c r="I56" s="858">
        <v>1892.14211714266</v>
      </c>
      <c r="J56" s="858">
        <v>26335.5624783179</v>
      </c>
      <c r="K56" s="858">
        <v>11.5804891665543</v>
      </c>
      <c r="L56" s="858"/>
      <c r="M56" s="858">
        <v>13699.980123064</v>
      </c>
      <c r="N56" s="858">
        <v>47.2516046238947</v>
      </c>
      <c r="O56" s="858"/>
      <c r="P56" s="858"/>
      <c r="Q56" s="858"/>
      <c r="R56" s="858"/>
      <c r="S56" s="858"/>
      <c r="T56" s="858"/>
      <c r="U56" s="858"/>
      <c r="V56" s="858"/>
      <c r="W56" s="858"/>
      <c r="X56" s="858"/>
      <c r="Y56" s="858"/>
      <c r="Z56" s="858">
        <v>147.74058</v>
      </c>
      <c r="AA56" s="858">
        <v>754.70528</v>
      </c>
      <c r="AB56" s="858"/>
      <c r="AC56" s="858"/>
      <c r="AD56" s="858">
        <v>4895.96615555209</v>
      </c>
      <c r="AE56" s="4604"/>
      <c r="AF56" s="4604"/>
      <c r="AG56" s="4604"/>
      <c r="AH56" s="1621"/>
      <c r="AI56" s="841"/>
      <c r="AJ56" s="1738"/>
      <c r="AK56" s="1738"/>
      <c r="AL56" s="1462"/>
      <c r="AM56" s="1462"/>
      <c r="AN56" s="1462"/>
      <c r="AO56" s="1462"/>
      <c r="AP56" s="1738"/>
      <c r="AQ56" s="1462"/>
      <c r="AR56" s="1462"/>
      <c r="AS56" s="843"/>
      <c r="AT56" s="1462"/>
      <c r="AU56" s="1462"/>
      <c r="AV56" s="1462"/>
      <c r="AW56" s="1462"/>
      <c r="AX56" s="1462"/>
      <c r="AY56" s="1728"/>
      <c r="AZ56" s="1728"/>
      <c r="BA56" s="1728"/>
      <c r="BB56" s="1728"/>
      <c r="BC56" s="1728"/>
      <c r="BD56" s="1731">
        <v>0</v>
      </c>
    </row>
    <row s="10365" customFormat="1" customHeight="1" ht="18.75">
      <c r="A57" s="3201"/>
      <c r="B57" s="2962" t="str">
        <f>E33&amp;".2"</f>
        <v>2.2.2</v>
      </c>
      <c r="C57" s="1420"/>
      <c r="D57" s="2171"/>
      <c r="E57" s="653" t="str">
        <f>B52&amp;".4"</f>
        <v>2.2.3.4</v>
      </c>
      <c r="F57" s="660" t="s">
        <v>639</v>
      </c>
      <c r="G57" s="2179" t="s">
        <v>631</v>
      </c>
      <c r="H57" s="662"/>
      <c r="I57" s="662" t="s">
        <v>659</v>
      </c>
      <c r="J57" s="4606" t="s">
        <v>659</v>
      </c>
      <c r="K57" s="4606" t="s">
        <v>659</v>
      </c>
      <c r="L57" s="662"/>
      <c r="M57" s="4606" t="s">
        <v>659</v>
      </c>
      <c r="N57" s="4606" t="s">
        <v>659</v>
      </c>
      <c r="O57" s="662"/>
      <c r="P57" s="662"/>
      <c r="Q57" s="662"/>
      <c r="R57" s="662"/>
      <c r="S57" s="662"/>
      <c r="T57" s="662"/>
      <c r="U57" s="662"/>
      <c r="V57" s="662"/>
      <c r="W57" s="662"/>
      <c r="X57" s="662"/>
      <c r="Y57" s="662"/>
      <c r="Z57" s="4606" t="s">
        <v>659</v>
      </c>
      <c r="AA57" s="4606" t="s">
        <v>659</v>
      </c>
      <c r="AB57" s="662"/>
      <c r="AC57" s="662"/>
      <c r="AD57" s="4606" t="s">
        <v>659</v>
      </c>
      <c r="AE57" s="4606"/>
      <c r="AF57" s="4606"/>
      <c r="AG57" s="4606"/>
      <c r="AH57" s="1621"/>
      <c r="AI57" s="841"/>
      <c r="AJ57" s="1738"/>
      <c r="AK57" s="1738"/>
      <c r="AL57" s="1462"/>
      <c r="AM57" s="1462"/>
      <c r="AN57" s="1462"/>
      <c r="AO57" s="1462"/>
      <c r="AP57" s="1738"/>
      <c r="AQ57" s="1462"/>
      <c r="AR57" s="1462"/>
      <c r="AS57" s="843"/>
      <c r="AT57" s="1462"/>
      <c r="AU57" s="1462"/>
      <c r="AV57" s="1462"/>
      <c r="AW57" s="1462"/>
      <c r="AX57" s="1462"/>
      <c r="AY57" s="1728"/>
      <c r="AZ57" s="1728"/>
      <c r="BA57" s="1728"/>
      <c r="BB57" s="1728"/>
      <c r="BC57" s="1728"/>
      <c r="BD57" s="1731">
        <v>0</v>
      </c>
    </row>
    <row s="10365" customFormat="1" customHeight="1" ht="23.25">
      <c r="A58" s="3201"/>
      <c r="B58" s="2962" t="str">
        <f>E33&amp;".4"</f>
        <v>2.2.4</v>
      </c>
      <c r="C58" s="1420" t="s">
        <v>630</v>
      </c>
      <c r="D58" s="790" t="s">
        <v>103</v>
      </c>
      <c r="E58" s="653" t="str">
        <f>B58</f>
        <v>2.2.4</v>
      </c>
      <c r="F58" s="654" t="s">
        <v>661</v>
      </c>
      <c r="G58" s="2179" t="s">
        <v>631</v>
      </c>
      <c r="H58" s="2179" t="s">
        <v>631</v>
      </c>
      <c r="I58" s="2179" t="s">
        <v>631</v>
      </c>
      <c r="J58" s="2179" t="s">
        <v>631</v>
      </c>
      <c r="K58" s="2179" t="s">
        <v>631</v>
      </c>
      <c r="L58" s="2179" t="s">
        <v>631</v>
      </c>
      <c r="M58" s="2179" t="s">
        <v>631</v>
      </c>
      <c r="N58" s="2179" t="s">
        <v>631</v>
      </c>
      <c r="O58" s="2179" t="s">
        <v>631</v>
      </c>
      <c r="P58" s="2179" t="s">
        <v>631</v>
      </c>
      <c r="Q58" s="2179" t="s">
        <v>631</v>
      </c>
      <c r="R58" s="2179" t="s">
        <v>631</v>
      </c>
      <c r="S58" s="2179" t="s">
        <v>631</v>
      </c>
      <c r="T58" s="2179" t="s">
        <v>631</v>
      </c>
      <c r="U58" s="2179" t="s">
        <v>631</v>
      </c>
      <c r="V58" s="2179" t="s">
        <v>631</v>
      </c>
      <c r="W58" s="2179" t="s">
        <v>631</v>
      </c>
      <c r="X58" s="2179" t="s">
        <v>631</v>
      </c>
      <c r="Y58" s="2179" t="s">
        <v>631</v>
      </c>
      <c r="Z58" s="2179" t="s">
        <v>631</v>
      </c>
      <c r="AA58" s="2179" t="s">
        <v>631</v>
      </c>
      <c r="AB58" s="2179" t="s">
        <v>631</v>
      </c>
      <c r="AC58" s="2179" t="s">
        <v>631</v>
      </c>
      <c r="AD58" s="2179" t="s">
        <v>631</v>
      </c>
      <c r="AE58" s="4593" t="s">
        <v>631</v>
      </c>
      <c r="AF58" s="4593" t="s">
        <v>631</v>
      </c>
      <c r="AG58" s="4593" t="s">
        <v>631</v>
      </c>
      <c r="AH58" s="1621" t="s">
        <v>632</v>
      </c>
      <c r="AI58" s="841"/>
      <c r="AJ58" s="1738"/>
      <c r="AK58" s="1738"/>
      <c r="AL58" s="1462"/>
      <c r="AM58" s="1462"/>
      <c r="AN58" s="1462"/>
      <c r="AO58" s="1462"/>
      <c r="AP58" s="1738"/>
      <c r="AQ58" s="1462"/>
      <c r="AR58" s="1462"/>
      <c r="AS58" s="843"/>
      <c r="AT58" s="1462"/>
      <c r="AU58" s="1462"/>
      <c r="AV58" s="1462"/>
      <c r="AW58" s="1462"/>
      <c r="AX58" s="1462"/>
      <c r="AY58" s="1728"/>
      <c r="AZ58" s="1728"/>
      <c r="BA58" s="1728"/>
      <c r="BB58" s="1728"/>
      <c r="BC58" s="1728"/>
      <c r="BD58" s="1731">
        <v>0</v>
      </c>
    </row>
    <row s="10189" customFormat="1" customHeight="1" ht="0.75" hidden="1">
      <c r="A59" s="3202"/>
      <c r="B59" s="2962" t="str">
        <f>E33&amp;".3"</f>
        <v>2.2.3</v>
      </c>
      <c r="C59" s="1420"/>
      <c r="D59" s="1420"/>
      <c r="E59" s="656"/>
      <c r="F59" s="657" t="s">
        <v>633</v>
      </c>
      <c r="G59" s="1469"/>
      <c r="H59" s="1469">
        <f>H60*H61+H62</f>
        <v>0</v>
      </c>
      <c r="I59" s="1469">
        <f>I60*I61+I62</f>
        <v>23360.3522227577</v>
      </c>
      <c r="J59" s="1469">
        <f>J60*J61+J62</f>
        <v>56448.1426395781</v>
      </c>
      <c r="K59" s="1469">
        <f>K60*K61+K62</f>
        <v>0</v>
      </c>
      <c r="L59" s="1469">
        <f>L60*L61+L62</f>
        <v>17925.2624</v>
      </c>
      <c r="M59" s="1469">
        <f>M60*M61+M62</f>
        <v>3031.10952117522</v>
      </c>
      <c r="N59" s="1469">
        <f>N60*N61+N62</f>
        <v>0</v>
      </c>
      <c r="O59" s="1469">
        <f>O60*O61+O62</f>
        <v>923.2730978099</v>
      </c>
      <c r="P59" s="1469">
        <f>P60*P61+P62</f>
        <v>0</v>
      </c>
      <c r="Q59" s="1469">
        <f>Q60*Q61+Q62</f>
        <v>0</v>
      </c>
      <c r="R59" s="1469">
        <f>R60*R61+R62</f>
        <v>0</v>
      </c>
      <c r="S59" s="1469">
        <f>S60*S61+S62</f>
        <v>0</v>
      </c>
      <c r="T59" s="1469">
        <f>T60*T61+T62</f>
        <v>0</v>
      </c>
      <c r="U59" s="1469">
        <f>U60*U61+U62</f>
        <v>0</v>
      </c>
      <c r="V59" s="1469">
        <f>V60*V61+V62</f>
        <v>0</v>
      </c>
      <c r="W59" s="1469">
        <f>W60*W61+W62</f>
        <v>153.9801</v>
      </c>
      <c r="X59" s="1469">
        <f>X60*X61+X62</f>
        <v>0</v>
      </c>
      <c r="Y59" s="1469">
        <f>Y60*Y61+Y62</f>
        <v>61.71551</v>
      </c>
      <c r="Z59" s="1469">
        <f>Z60*Z61+Z62</f>
        <v>0</v>
      </c>
      <c r="AA59" s="1469">
        <f>AA60*AA61+AA62</f>
        <v>0</v>
      </c>
      <c r="AB59" s="1469">
        <f>AB60*AB61+AB62</f>
        <v>0</v>
      </c>
      <c r="AC59" s="1469">
        <f>AC60*AC61+AC62</f>
        <v>0</v>
      </c>
      <c r="AD59" s="1469">
        <f>AD60*AD61+AD62</f>
        <v>41854.41333</v>
      </c>
      <c r="AE59" s="4599">
        <f>AE60*AE61+AE62</f>
        <v>0</v>
      </c>
      <c r="AF59" s="4599">
        <f>AF60*AF61+AF62</f>
        <v>0</v>
      </c>
      <c r="AG59" s="4599">
        <f>AG60*AG61+AG62</f>
        <v>0</v>
      </c>
      <c r="AH59" s="1472"/>
      <c r="AI59" s="1738"/>
      <c r="AJ59" s="1738"/>
      <c r="AK59" s="1738"/>
      <c r="AL59" s="1738"/>
      <c r="AM59" s="1738"/>
      <c r="AN59" s="1738"/>
      <c r="AO59" s="1738"/>
      <c r="AP59" s="1738"/>
      <c r="AQ59" s="1738"/>
      <c r="AR59" s="1738"/>
      <c r="AS59" s="1738"/>
      <c r="AT59" s="1738"/>
      <c r="AU59" s="1738"/>
      <c r="AV59" s="1738"/>
      <c r="AW59" s="1738"/>
      <c r="AX59" s="1738"/>
      <c r="AY59" s="1738"/>
      <c r="AZ59" s="1738"/>
      <c r="BA59" s="1738"/>
      <c r="BB59" s="1738"/>
      <c r="BC59" s="1738"/>
      <c r="BD59" s="1738">
        <v>0</v>
      </c>
    </row>
    <row s="10365" customFormat="1" customHeight="1" ht="23.25">
      <c r="A60" s="3201"/>
      <c r="B60" s="2962" t="str">
        <f>E33&amp;".3"</f>
        <v>2.2.3</v>
      </c>
      <c r="C60" s="1420"/>
      <c r="D60" s="2171"/>
      <c r="E60" s="653" t="str">
        <f>B58&amp;".1"</f>
        <v>2.2.4.1</v>
      </c>
      <c r="F60" s="660" t="s">
        <v>634</v>
      </c>
      <c r="G60" s="661" t="s">
        <v>658</v>
      </c>
      <c r="H60" s="858"/>
      <c r="I60" s="858">
        <v>0.894518799821194</v>
      </c>
      <c r="J60" s="858">
        <v>2.01316063710906</v>
      </c>
      <c r="K60" s="858"/>
      <c r="L60" s="858">
        <v>1.03</v>
      </c>
      <c r="M60" s="858">
        <v>0.105661981216491</v>
      </c>
      <c r="N60" s="858"/>
      <c r="O60" s="858">
        <v>0.0866826161</v>
      </c>
      <c r="P60" s="858"/>
      <c r="Q60" s="858"/>
      <c r="R60" s="858"/>
      <c r="S60" s="858"/>
      <c r="T60" s="858"/>
      <c r="U60" s="858"/>
      <c r="V60" s="858"/>
      <c r="W60" s="858">
        <v>0.01</v>
      </c>
      <c r="X60" s="858"/>
      <c r="Y60" s="858">
        <v>0.012843</v>
      </c>
      <c r="Z60" s="858"/>
      <c r="AA60" s="858"/>
      <c r="AB60" s="858"/>
      <c r="AC60" s="858"/>
      <c r="AD60" s="858">
        <v>1.197145</v>
      </c>
      <c r="AE60" s="4604"/>
      <c r="AF60" s="4604"/>
      <c r="AG60" s="4604"/>
      <c r="AH60" s="1621" t="s">
        <v>635</v>
      </c>
      <c r="AI60" s="841"/>
      <c r="AJ60" s="1738"/>
      <c r="AK60" s="1738"/>
      <c r="AL60" s="1462"/>
      <c r="AM60" s="1462"/>
      <c r="AN60" s="1462"/>
      <c r="AO60" s="1462"/>
      <c r="AP60" s="1738"/>
      <c r="AQ60" s="1462"/>
      <c r="AR60" s="1462"/>
      <c r="AS60" s="843"/>
      <c r="AT60" s="1462"/>
      <c r="AU60" s="1462"/>
      <c r="AV60" s="1462"/>
      <c r="AW60" s="1462"/>
      <c r="AX60" s="1462"/>
      <c r="AY60" s="1728"/>
      <c r="AZ60" s="1728"/>
      <c r="BA60" s="1728"/>
      <c r="BB60" s="1728"/>
      <c r="BC60" s="1728"/>
      <c r="BD60" s="1731">
        <v>0</v>
      </c>
    </row>
    <row s="10365" customFormat="1" customHeight="1" ht="18.75">
      <c r="A61" s="3201"/>
      <c r="B61" s="2962" t="str">
        <f>E33&amp;".3"</f>
        <v>2.2.3</v>
      </c>
      <c r="C61" s="1420"/>
      <c r="D61" s="2171"/>
      <c r="E61" s="653" t="str">
        <f>B58&amp;".2"</f>
        <v>2.2.4.2</v>
      </c>
      <c r="F61" s="660" t="s">
        <v>636</v>
      </c>
      <c r="G61" s="2179" t="s">
        <v>637</v>
      </c>
      <c r="H61" s="858"/>
      <c r="I61" s="858">
        <v>23439.7046610629</v>
      </c>
      <c r="J61" s="858">
        <v>24175.0956252317</v>
      </c>
      <c r="K61" s="858"/>
      <c r="L61" s="858">
        <v>15646.08</v>
      </c>
      <c r="M61" s="858">
        <v>24402.040185</v>
      </c>
      <c r="N61" s="858"/>
      <c r="O61" s="858">
        <v>9471.3158679356</v>
      </c>
      <c r="P61" s="858"/>
      <c r="Q61" s="858"/>
      <c r="R61" s="858"/>
      <c r="S61" s="858"/>
      <c r="T61" s="858"/>
      <c r="U61" s="858"/>
      <c r="V61" s="858"/>
      <c r="W61" s="858">
        <v>14333.01</v>
      </c>
      <c r="X61" s="858"/>
      <c r="Y61" s="858">
        <v>4326.1161722339</v>
      </c>
      <c r="Z61" s="858"/>
      <c r="AA61" s="858"/>
      <c r="AB61" s="858"/>
      <c r="AC61" s="858"/>
      <c r="AD61" s="858">
        <v>34961.8578618296</v>
      </c>
      <c r="AE61" s="4604"/>
      <c r="AF61" s="4604"/>
      <c r="AG61" s="4604"/>
      <c r="AH61" s="1621"/>
      <c r="AI61" s="841"/>
      <c r="AJ61" s="1738"/>
      <c r="AK61" s="1738"/>
      <c r="AL61" s="1462"/>
      <c r="AM61" s="1462"/>
      <c r="AN61" s="1462"/>
      <c r="AO61" s="1462"/>
      <c r="AP61" s="1738"/>
      <c r="AQ61" s="1462"/>
      <c r="AR61" s="1462"/>
      <c r="AS61" s="843"/>
      <c r="AT61" s="1462"/>
      <c r="AU61" s="1462"/>
      <c r="AV61" s="1462"/>
      <c r="AW61" s="1462"/>
      <c r="AX61" s="1462"/>
      <c r="AY61" s="1728"/>
      <c r="AZ61" s="1728"/>
      <c r="BA61" s="1728"/>
      <c r="BB61" s="1728"/>
      <c r="BC61" s="1728"/>
      <c r="BD61" s="1731">
        <v>0</v>
      </c>
    </row>
    <row s="10365" customFormat="1" customHeight="1" ht="18.75">
      <c r="A62" s="3201"/>
      <c r="B62" s="2962" t="str">
        <f>E33&amp;".3"</f>
        <v>2.2.3</v>
      </c>
      <c r="C62" s="1420"/>
      <c r="D62" s="2171"/>
      <c r="E62" s="653" t="str">
        <f>B58&amp;".3"</f>
        <v>2.2.4.3</v>
      </c>
      <c r="F62" s="660" t="s">
        <v>638</v>
      </c>
      <c r="G62" s="2179" t="s">
        <v>637</v>
      </c>
      <c r="H62" s="858"/>
      <c r="I62" s="858">
        <v>2393.09574118047</v>
      </c>
      <c r="J62" s="858">
        <v>7779.7917285142</v>
      </c>
      <c r="K62" s="858"/>
      <c r="L62" s="858">
        <v>1809.8</v>
      </c>
      <c r="M62" s="858">
        <v>452.741609503695</v>
      </c>
      <c r="N62" s="858"/>
      <c r="O62" s="858">
        <v>102.2746604678</v>
      </c>
      <c r="P62" s="858"/>
      <c r="Q62" s="858"/>
      <c r="R62" s="858"/>
      <c r="S62" s="858"/>
      <c r="T62" s="858"/>
      <c r="U62" s="858"/>
      <c r="V62" s="858"/>
      <c r="W62" s="858">
        <v>10.65</v>
      </c>
      <c r="X62" s="858"/>
      <c r="Y62" s="858">
        <v>6.1552</v>
      </c>
      <c r="Z62" s="858"/>
      <c r="AA62" s="858"/>
      <c r="AB62" s="858"/>
      <c r="AC62" s="858"/>
      <c r="AD62" s="858"/>
      <c r="AE62" s="4604"/>
      <c r="AF62" s="4604"/>
      <c r="AG62" s="4604"/>
      <c r="AH62" s="1621"/>
      <c r="AI62" s="841"/>
      <c r="AJ62" s="1738"/>
      <c r="AK62" s="1738"/>
      <c r="AL62" s="1462"/>
      <c r="AM62" s="1462"/>
      <c r="AN62" s="1462"/>
      <c r="AO62" s="1462"/>
      <c r="AP62" s="1738"/>
      <c r="AQ62" s="1462"/>
      <c r="AR62" s="1462"/>
      <c r="AS62" s="843"/>
      <c r="AT62" s="1462"/>
      <c r="AU62" s="1462"/>
      <c r="AV62" s="1462"/>
      <c r="AW62" s="1462"/>
      <c r="AX62" s="1462"/>
      <c r="AY62" s="1728"/>
      <c r="AZ62" s="1728"/>
      <c r="BA62" s="1728"/>
      <c r="BB62" s="1728"/>
      <c r="BC62" s="1728"/>
      <c r="BD62" s="1731">
        <v>0</v>
      </c>
    </row>
    <row s="10365" customFormat="1" customHeight="1" ht="18.75">
      <c r="A63" s="3201"/>
      <c r="B63" s="2962" t="str">
        <f>E33&amp;".3"</f>
        <v>2.2.3</v>
      </c>
      <c r="C63" s="1420"/>
      <c r="D63" s="2171"/>
      <c r="E63" s="653" t="str">
        <f>B58&amp;".4"</f>
        <v>2.2.4.4</v>
      </c>
      <c r="F63" s="660" t="s">
        <v>639</v>
      </c>
      <c r="G63" s="2179" t="s">
        <v>631</v>
      </c>
      <c r="H63" s="662"/>
      <c r="I63" s="662" t="s">
        <v>659</v>
      </c>
      <c r="J63" s="4606" t="s">
        <v>659</v>
      </c>
      <c r="K63" s="662"/>
      <c r="L63" s="4606" t="s">
        <v>659</v>
      </c>
      <c r="M63" s="4606" t="s">
        <v>659</v>
      </c>
      <c r="N63" s="4606"/>
      <c r="O63" s="4606" t="s">
        <v>659</v>
      </c>
      <c r="P63" s="4606"/>
      <c r="Q63" s="4606"/>
      <c r="R63" s="662"/>
      <c r="S63" s="662"/>
      <c r="T63" s="662"/>
      <c r="U63" s="662"/>
      <c r="V63" s="662"/>
      <c r="W63" s="4606" t="s">
        <v>659</v>
      </c>
      <c r="X63" s="662"/>
      <c r="Y63" s="4606" t="s">
        <v>659</v>
      </c>
      <c r="Z63" s="662"/>
      <c r="AA63" s="662"/>
      <c r="AB63" s="662"/>
      <c r="AC63" s="662"/>
      <c r="AD63" s="4606" t="s">
        <v>659</v>
      </c>
      <c r="AE63" s="4606"/>
      <c r="AF63" s="4606"/>
      <c r="AG63" s="4606"/>
      <c r="AH63" s="1621"/>
      <c r="AI63" s="841"/>
      <c r="AJ63" s="1738"/>
      <c r="AK63" s="1738"/>
      <c r="AL63" s="1462"/>
      <c r="AM63" s="1462"/>
      <c r="AN63" s="1462"/>
      <c r="AO63" s="1462"/>
      <c r="AP63" s="1738"/>
      <c r="AQ63" s="1462"/>
      <c r="AR63" s="1462"/>
      <c r="AS63" s="843"/>
      <c r="AT63" s="1462"/>
      <c r="AU63" s="1462"/>
      <c r="AV63" s="1462"/>
      <c r="AW63" s="1462"/>
      <c r="AX63" s="1462"/>
      <c r="AY63" s="1728"/>
      <c r="AZ63" s="1728"/>
      <c r="BA63" s="1728"/>
      <c r="BB63" s="1728"/>
      <c r="BC63" s="1728"/>
      <c r="BD63" s="1731">
        <v>0</v>
      </c>
    </row>
    <row s="10365" customFormat="1" customHeight="1" ht="23.25">
      <c r="A64" s="3201"/>
      <c r="B64" s="2962" t="str">
        <f>E33&amp;".5"</f>
        <v>2.2.5</v>
      </c>
      <c r="C64" s="1420" t="s">
        <v>630</v>
      </c>
      <c r="D64" s="790" t="s">
        <v>103</v>
      </c>
      <c r="E64" s="653" t="str">
        <f>B64</f>
        <v>2.2.5</v>
      </c>
      <c r="F64" s="654" t="s">
        <v>662</v>
      </c>
      <c r="G64" s="2179" t="s">
        <v>631</v>
      </c>
      <c r="H64" s="2179" t="s">
        <v>631</v>
      </c>
      <c r="I64" s="2179" t="s">
        <v>631</v>
      </c>
      <c r="J64" s="2179" t="s">
        <v>631</v>
      </c>
      <c r="K64" s="2179" t="s">
        <v>631</v>
      </c>
      <c r="L64" s="2179" t="s">
        <v>631</v>
      </c>
      <c r="M64" s="2179" t="s">
        <v>631</v>
      </c>
      <c r="N64" s="2179" t="s">
        <v>631</v>
      </c>
      <c r="O64" s="2179" t="s">
        <v>631</v>
      </c>
      <c r="P64" s="2179" t="s">
        <v>631</v>
      </c>
      <c r="Q64" s="2179" t="s">
        <v>631</v>
      </c>
      <c r="R64" s="2179" t="s">
        <v>631</v>
      </c>
      <c r="S64" s="2179" t="s">
        <v>631</v>
      </c>
      <c r="T64" s="2179" t="s">
        <v>631</v>
      </c>
      <c r="U64" s="2179" t="s">
        <v>631</v>
      </c>
      <c r="V64" s="2179" t="s">
        <v>631</v>
      </c>
      <c r="W64" s="2179" t="s">
        <v>631</v>
      </c>
      <c r="X64" s="2179" t="s">
        <v>631</v>
      </c>
      <c r="Y64" s="2179" t="s">
        <v>631</v>
      </c>
      <c r="Z64" s="2179" t="s">
        <v>631</v>
      </c>
      <c r="AA64" s="2179" t="s">
        <v>631</v>
      </c>
      <c r="AB64" s="2179" t="s">
        <v>631</v>
      </c>
      <c r="AC64" s="2179" t="s">
        <v>631</v>
      </c>
      <c r="AD64" s="2179" t="s">
        <v>631</v>
      </c>
      <c r="AE64" s="4593" t="s">
        <v>631</v>
      </c>
      <c r="AF64" s="4593" t="s">
        <v>631</v>
      </c>
      <c r="AG64" s="4593" t="s">
        <v>631</v>
      </c>
      <c r="AH64" s="1621" t="s">
        <v>632</v>
      </c>
      <c r="AI64" s="841"/>
      <c r="AJ64" s="1738"/>
      <c r="AK64" s="1738"/>
      <c r="AL64" s="1462"/>
      <c r="AM64" s="1462"/>
      <c r="AN64" s="1462"/>
      <c r="AO64" s="1462"/>
      <c r="AP64" s="1738"/>
      <c r="AQ64" s="1462"/>
      <c r="AR64" s="1462"/>
      <c r="AS64" s="843"/>
      <c r="AT64" s="1462"/>
      <c r="AU64" s="1462"/>
      <c r="AV64" s="1462"/>
      <c r="AW64" s="1462"/>
      <c r="AX64" s="1462"/>
      <c r="AY64" s="1728"/>
      <c r="AZ64" s="1728"/>
      <c r="BA64" s="1728"/>
      <c r="BB64" s="1728"/>
      <c r="BC64" s="1728"/>
      <c r="BD64" s="1731">
        <v>0</v>
      </c>
    </row>
    <row s="10189" customFormat="1" customHeight="1" ht="0.75" hidden="1">
      <c r="A65" s="3202"/>
      <c r="B65" s="2962" t="str">
        <f>E33&amp;".4"</f>
        <v>2.2.4</v>
      </c>
      <c r="C65" s="1420"/>
      <c r="D65" s="1420"/>
      <c r="E65" s="656"/>
      <c r="F65" s="657" t="s">
        <v>633</v>
      </c>
      <c r="G65" s="1469"/>
      <c r="H65" s="1469">
        <f>H66*H67+H68</f>
        <v>0</v>
      </c>
      <c r="I65" s="1469">
        <f>I66*I67+I68</f>
        <v>0</v>
      </c>
      <c r="J65" s="1469">
        <f>J66*J67+J68</f>
        <v>0</v>
      </c>
      <c r="K65" s="1469">
        <f>K66*K67+K68</f>
        <v>0</v>
      </c>
      <c r="L65" s="1469">
        <f>L66*L67+L68</f>
        <v>0</v>
      </c>
      <c r="M65" s="1469">
        <f>M66*M67+M68</f>
        <v>0</v>
      </c>
      <c r="N65" s="1469">
        <f>N66*N67+N68</f>
        <v>0</v>
      </c>
      <c r="O65" s="1469">
        <f>O66*O67+O68</f>
        <v>0</v>
      </c>
      <c r="P65" s="1469">
        <f>P66*P67+P68</f>
        <v>0</v>
      </c>
      <c r="Q65" s="1469">
        <f>Q66*Q67+Q68</f>
        <v>0</v>
      </c>
      <c r="R65" s="1469">
        <f>R66*R67+R68</f>
        <v>0</v>
      </c>
      <c r="S65" s="1469">
        <f>S66*S67+S68</f>
        <v>0</v>
      </c>
      <c r="T65" s="1469">
        <f>T66*T67+T68</f>
        <v>0</v>
      </c>
      <c r="U65" s="1469">
        <f>U66*U67+U68</f>
        <v>0</v>
      </c>
      <c r="V65" s="1469">
        <f>V66*V67+V68</f>
        <v>0</v>
      </c>
      <c r="W65" s="1469">
        <f>W66*W67+W68</f>
        <v>0</v>
      </c>
      <c r="X65" s="1469">
        <f>X66*X67+X68</f>
        <v>46.17317</v>
      </c>
      <c r="Y65" s="1469">
        <f>Y66*Y67+Y68</f>
        <v>0</v>
      </c>
      <c r="Z65" s="1469">
        <f>Z66*Z67+Z68</f>
        <v>0</v>
      </c>
      <c r="AA65" s="1469">
        <f>AA66*AA67+AA68</f>
        <v>0</v>
      </c>
      <c r="AB65" s="1469">
        <f>AB66*AB67+AB68</f>
        <v>0</v>
      </c>
      <c r="AC65" s="1469">
        <f>AC66*AC67+AC68</f>
        <v>0</v>
      </c>
      <c r="AD65" s="1469">
        <f>AD66*AD67+AD68</f>
        <v>9015.35448284224</v>
      </c>
      <c r="AE65" s="4599">
        <f>AE66*AE67+AE68</f>
        <v>0</v>
      </c>
      <c r="AF65" s="4599">
        <f>AF66*AF67+AF68</f>
        <v>23.48125</v>
      </c>
      <c r="AG65" s="4599">
        <f>AG66*AG67+AG68</f>
        <v>0</v>
      </c>
      <c r="AH65" s="1472"/>
      <c r="AI65" s="1738"/>
      <c r="AJ65" s="1738"/>
      <c r="AK65" s="1738"/>
      <c r="AL65" s="1738"/>
      <c r="AM65" s="1738"/>
      <c r="AN65" s="1738"/>
      <c r="AO65" s="1738"/>
      <c r="AP65" s="1738"/>
      <c r="AQ65" s="1738"/>
      <c r="AR65" s="1738"/>
      <c r="AS65" s="1738"/>
      <c r="AT65" s="1738"/>
      <c r="AU65" s="1738"/>
      <c r="AV65" s="1738"/>
      <c r="AW65" s="1738"/>
      <c r="AX65" s="1738"/>
      <c r="AY65" s="1738"/>
      <c r="AZ65" s="1738"/>
      <c r="BA65" s="1738"/>
      <c r="BB65" s="1738"/>
      <c r="BC65" s="1738"/>
      <c r="BD65" s="1738">
        <v>0</v>
      </c>
    </row>
    <row s="10365" customFormat="1" customHeight="1" ht="23.25">
      <c r="A66" s="3201"/>
      <c r="B66" s="2962" t="str">
        <f>E33&amp;".4"</f>
        <v>2.2.4</v>
      </c>
      <c r="C66" s="1420"/>
      <c r="D66" s="2171"/>
      <c r="E66" s="653" t="str">
        <f>B64&amp;".1"</f>
        <v>2.2.5.1</v>
      </c>
      <c r="F66" s="660" t="s">
        <v>634</v>
      </c>
      <c r="G66" s="661" t="s">
        <v>658</v>
      </c>
      <c r="H66" s="858"/>
      <c r="I66" s="858"/>
      <c r="J66" s="858"/>
      <c r="K66" s="858"/>
      <c r="L66" s="858"/>
      <c r="M66" s="858"/>
      <c r="N66" s="858"/>
      <c r="O66" s="858"/>
      <c r="P66" s="858"/>
      <c r="Q66" s="858"/>
      <c r="R66" s="858"/>
      <c r="S66" s="858"/>
      <c r="T66" s="858"/>
      <c r="U66" s="858"/>
      <c r="V66" s="858"/>
      <c r="W66" s="858"/>
      <c r="X66" s="858">
        <v>0.000701</v>
      </c>
      <c r="Y66" s="858"/>
      <c r="Z66" s="858"/>
      <c r="AA66" s="858"/>
      <c r="AB66" s="858"/>
      <c r="AC66" s="858"/>
      <c r="AD66" s="858">
        <v>0.179332239207677</v>
      </c>
      <c r="AE66" s="4604"/>
      <c r="AF66" s="4604">
        <v>0.00066</v>
      </c>
      <c r="AG66" s="4604"/>
      <c r="AH66" s="1621" t="s">
        <v>635</v>
      </c>
      <c r="AI66" s="841"/>
      <c r="AJ66" s="1738"/>
      <c r="AK66" s="1738"/>
      <c r="AL66" s="1462"/>
      <c r="AM66" s="1462"/>
      <c r="AN66" s="1462"/>
      <c r="AO66" s="1462"/>
      <c r="AP66" s="1738"/>
      <c r="AQ66" s="1462"/>
      <c r="AR66" s="1462"/>
      <c r="AS66" s="843"/>
      <c r="AT66" s="1462"/>
      <c r="AU66" s="1462"/>
      <c r="AV66" s="1462"/>
      <c r="AW66" s="1462"/>
      <c r="AX66" s="1462"/>
      <c r="AY66" s="1728"/>
      <c r="AZ66" s="1728"/>
      <c r="BA66" s="1728"/>
      <c r="BB66" s="1728"/>
      <c r="BC66" s="1728"/>
      <c r="BD66" s="1731">
        <v>0</v>
      </c>
    </row>
    <row s="10365" customFormat="1" customHeight="1" ht="18.75">
      <c r="A67" s="3201"/>
      <c r="B67" s="2962" t="str">
        <f>E33&amp;".4"</f>
        <v>2.2.4</v>
      </c>
      <c r="C67" s="1420"/>
      <c r="D67" s="2171"/>
      <c r="E67" s="653" t="str">
        <f>B64&amp;".2"</f>
        <v>2.2.5.2</v>
      </c>
      <c r="F67" s="660" t="s">
        <v>636</v>
      </c>
      <c r="G67" s="2179" t="s">
        <v>637</v>
      </c>
      <c r="H67" s="858"/>
      <c r="I67" s="858"/>
      <c r="J67" s="858"/>
      <c r="K67" s="858"/>
      <c r="L67" s="858"/>
      <c r="M67" s="858"/>
      <c r="N67" s="858"/>
      <c r="O67" s="858"/>
      <c r="P67" s="858"/>
      <c r="Q67" s="858"/>
      <c r="R67" s="858"/>
      <c r="S67" s="858"/>
      <c r="T67" s="858"/>
      <c r="U67" s="858"/>
      <c r="V67" s="858"/>
      <c r="W67" s="858"/>
      <c r="X67" s="858">
        <v>64916.6619115549</v>
      </c>
      <c r="Y67" s="858"/>
      <c r="Z67" s="858"/>
      <c r="AA67" s="858"/>
      <c r="AB67" s="858"/>
      <c r="AC67" s="858"/>
      <c r="AD67" s="858">
        <v>49337.0562549888</v>
      </c>
      <c r="AE67" s="4604"/>
      <c r="AF67" s="4604">
        <v>35064.0303030303</v>
      </c>
      <c r="AG67" s="4604"/>
      <c r="AH67" s="1621"/>
      <c r="AI67" s="841"/>
      <c r="AJ67" s="1738"/>
      <c r="AK67" s="1738"/>
      <c r="AL67" s="1462"/>
      <c r="AM67" s="1462"/>
      <c r="AN67" s="1462"/>
      <c r="AO67" s="1462"/>
      <c r="AP67" s="1738"/>
      <c r="AQ67" s="1462"/>
      <c r="AR67" s="1462"/>
      <c r="AS67" s="843"/>
      <c r="AT67" s="1462"/>
      <c r="AU67" s="1462"/>
      <c r="AV67" s="1462"/>
      <c r="AW67" s="1462"/>
      <c r="AX67" s="1462"/>
      <c r="AY67" s="1728"/>
      <c r="AZ67" s="1728"/>
      <c r="BA67" s="1728"/>
      <c r="BB67" s="1728"/>
      <c r="BC67" s="1728"/>
      <c r="BD67" s="1731">
        <v>0</v>
      </c>
    </row>
    <row s="10365" customFormat="1" customHeight="1" ht="18.75">
      <c r="A68" s="3201"/>
      <c r="B68" s="2962" t="str">
        <f>E33&amp;".4"</f>
        <v>2.2.4</v>
      </c>
      <c r="C68" s="1420"/>
      <c r="D68" s="2171"/>
      <c r="E68" s="653" t="str">
        <f>B64&amp;".3"</f>
        <v>2.2.5.3</v>
      </c>
      <c r="F68" s="660" t="s">
        <v>638</v>
      </c>
      <c r="G68" s="2179" t="s">
        <v>637</v>
      </c>
      <c r="H68" s="858"/>
      <c r="I68" s="858"/>
      <c r="J68" s="858"/>
      <c r="K68" s="858"/>
      <c r="L68" s="858"/>
      <c r="M68" s="858"/>
      <c r="N68" s="858"/>
      <c r="O68" s="858"/>
      <c r="P68" s="858"/>
      <c r="Q68" s="858"/>
      <c r="R68" s="858"/>
      <c r="S68" s="858"/>
      <c r="T68" s="858"/>
      <c r="U68" s="858"/>
      <c r="V68" s="858"/>
      <c r="W68" s="858"/>
      <c r="X68" s="858">
        <v>0.66659</v>
      </c>
      <c r="Y68" s="858"/>
      <c r="Z68" s="858"/>
      <c r="AA68" s="858"/>
      <c r="AB68" s="858"/>
      <c r="AC68" s="858"/>
      <c r="AD68" s="858">
        <v>167.629708719972</v>
      </c>
      <c r="AE68" s="4604"/>
      <c r="AF68" s="4604">
        <v>0.33899</v>
      </c>
      <c r="AG68" s="4604"/>
      <c r="AH68" s="1621"/>
      <c r="AI68" s="841"/>
      <c r="AJ68" s="1738"/>
      <c r="AK68" s="1738"/>
      <c r="AL68" s="1462"/>
      <c r="AM68" s="1462"/>
      <c r="AN68" s="1462"/>
      <c r="AO68" s="1462"/>
      <c r="AP68" s="1738"/>
      <c r="AQ68" s="1462"/>
      <c r="AR68" s="1462"/>
      <c r="AS68" s="843"/>
      <c r="AT68" s="1462"/>
      <c r="AU68" s="1462"/>
      <c r="AV68" s="1462"/>
      <c r="AW68" s="1462"/>
      <c r="AX68" s="1462"/>
      <c r="AY68" s="1728"/>
      <c r="AZ68" s="1728"/>
      <c r="BA68" s="1728"/>
      <c r="BB68" s="1728"/>
      <c r="BC68" s="1728"/>
      <c r="BD68" s="1731">
        <v>0</v>
      </c>
    </row>
    <row s="10365" customFormat="1" customHeight="1" ht="18.75">
      <c r="A69" s="3201"/>
      <c r="B69" s="2962" t="str">
        <f>E33&amp;".4"</f>
        <v>2.2.4</v>
      </c>
      <c r="C69" s="1420"/>
      <c r="D69" s="2171"/>
      <c r="E69" s="653" t="str">
        <f>B64&amp;".4"</f>
        <v>2.2.5.4</v>
      </c>
      <c r="F69" s="660" t="s">
        <v>639</v>
      </c>
      <c r="G69" s="2179" t="s">
        <v>631</v>
      </c>
      <c r="H69" s="662"/>
      <c r="I69" s="662"/>
      <c r="J69" s="662"/>
      <c r="K69" s="662"/>
      <c r="L69" s="662"/>
      <c r="M69" s="662"/>
      <c r="N69" s="662"/>
      <c r="O69" s="662"/>
      <c r="P69" s="662"/>
      <c r="Q69" s="662"/>
      <c r="R69" s="662"/>
      <c r="S69" s="662"/>
      <c r="T69" s="662"/>
      <c r="U69" s="662"/>
      <c r="V69" s="662"/>
      <c r="W69" s="662"/>
      <c r="X69" s="4606" t="s">
        <v>659</v>
      </c>
      <c r="Y69" s="662"/>
      <c r="Z69" s="662"/>
      <c r="AA69" s="662"/>
      <c r="AB69" s="662"/>
      <c r="AC69" s="662"/>
      <c r="AD69" s="4606" t="s">
        <v>659</v>
      </c>
      <c r="AE69" s="4606"/>
      <c r="AF69" s="4606" t="s">
        <v>659</v>
      </c>
      <c r="AG69" s="4606"/>
      <c r="AH69" s="1621"/>
      <c r="AI69" s="841"/>
      <c r="AJ69" s="1738"/>
      <c r="AK69" s="1738"/>
      <c r="AL69" s="1462"/>
      <c r="AM69" s="1462"/>
      <c r="AN69" s="1462"/>
      <c r="AO69" s="1462"/>
      <c r="AP69" s="1738"/>
      <c r="AQ69" s="1462"/>
      <c r="AR69" s="1462"/>
      <c r="AS69" s="843"/>
      <c r="AT69" s="1462"/>
      <c r="AU69" s="1462"/>
      <c r="AV69" s="1462"/>
      <c r="AW69" s="1462"/>
      <c r="AX69" s="1462"/>
      <c r="AY69" s="1728"/>
      <c r="AZ69" s="1728"/>
      <c r="BA69" s="1728"/>
      <c r="BB69" s="1728"/>
      <c r="BC69" s="1728"/>
      <c r="BD69" s="1731">
        <v>0</v>
      </c>
    </row>
    <row s="10306" customFormat="1" customHeight="1" ht="15">
      <c r="A70" s="3200"/>
      <c r="C70" s="1732"/>
      <c r="D70" s="1729"/>
      <c r="E70" s="677"/>
      <c r="F70" s="678" t="s">
        <v>663</v>
      </c>
      <c r="G70" s="679"/>
      <c r="H70" s="680"/>
      <c r="I70" s="680"/>
      <c r="J70" s="2215"/>
      <c r="K70" s="2216"/>
      <c r="L70" s="2217"/>
      <c r="M70" s="2218"/>
      <c r="N70" s="2219"/>
      <c r="O70" s="2220"/>
      <c r="P70" s="2221"/>
      <c r="Q70" s="2222"/>
      <c r="R70" s="2223"/>
      <c r="S70" s="2224"/>
      <c r="T70" s="2225"/>
      <c r="U70" s="2226"/>
      <c r="V70" s="2227"/>
      <c r="W70" s="2228"/>
      <c r="X70" s="2229"/>
      <c r="Y70" s="2230"/>
      <c r="Z70" s="2231"/>
      <c r="AA70" s="2232"/>
      <c r="AB70" s="2233"/>
      <c r="AC70" s="2234"/>
      <c r="AD70" s="2235"/>
      <c r="AE70" s="4692"/>
      <c r="AF70" s="4693"/>
      <c r="AG70" s="4694"/>
      <c r="AH70" s="409"/>
      <c r="AI70" s="1732" t="str">
        <f>IF((LEN(E70)-LEN(SUBSTITUTE(E70,".","")))/LEN(".")=1,"p","")</f>
        <v/>
      </c>
      <c r="AJ70" s="1732"/>
      <c r="AK70" s="1732"/>
      <c r="AP70" s="1732"/>
      <c r="AS70" s="651"/>
      <c r="AY70" s="1728"/>
      <c r="AZ70" s="1728"/>
      <c r="BA70" s="1728"/>
      <c r="BB70" s="1728"/>
      <c r="BC70" s="1728"/>
      <c r="BD70" s="1256">
        <v>0</v>
      </c>
    </row>
    <row customHeight="1" ht="11.25" hidden="1">
      <c r="A71" s="3200" t="s">
        <v>664</v>
      </c>
      <c r="D71" s="1734"/>
      <c r="E71" s="653" t="str">
        <f>FHD_NUM_P_5</f>
        <v/>
      </c>
      <c r="F71" s="1620" t="str">
        <f>FHD_P_5</f>
        <v/>
      </c>
      <c r="G71" s="1972" t="s">
        <v>637</v>
      </c>
      <c r="H71" s="664"/>
      <c r="I71" s="664"/>
      <c r="J71" s="664"/>
      <c r="K71" s="664"/>
      <c r="L71" s="664"/>
      <c r="M71" s="664"/>
      <c r="N71" s="664"/>
      <c r="O71" s="664"/>
      <c r="P71" s="664"/>
      <c r="Q71" s="664"/>
      <c r="R71" s="664"/>
      <c r="S71" s="664"/>
      <c r="T71" s="664"/>
      <c r="U71" s="664"/>
      <c r="V71" s="664"/>
      <c r="W71" s="664"/>
      <c r="X71" s="664"/>
      <c r="Y71" s="664"/>
      <c r="Z71" s="664"/>
      <c r="AA71" s="664"/>
      <c r="AB71" s="664"/>
      <c r="AC71" s="664"/>
      <c r="AD71" s="664"/>
      <c r="AE71" s="4643"/>
      <c r="AF71" s="4643"/>
      <c r="AG71" s="4643"/>
      <c r="AH71" s="397" t="str">
        <f>FHD_NOTE_P_5</f>
        <v/>
      </c>
      <c r="AI71" s="1732" t="str">
        <f>IF((LEN(E71)-LEN(SUBSTITUTE(E71,".","")))/LEN(".")=1,"p","")</f>
        <v/>
      </c>
      <c r="BD71" s="1727">
        <v>0</v>
      </c>
    </row>
    <row customHeight="1" ht="11.25" hidden="1">
      <c r="A72" s="3200"/>
      <c r="D72" s="1734"/>
      <c r="E72" s="653" t="str">
        <f>FHD_NUM_P_6</f>
        <v/>
      </c>
      <c r="F72" s="1620" t="str">
        <f>FHD_P_6</f>
        <v/>
      </c>
      <c r="G72" s="1972" t="s">
        <v>637</v>
      </c>
      <c r="H72" s="664"/>
      <c r="I72" s="664"/>
      <c r="J72" s="664"/>
      <c r="K72" s="664"/>
      <c r="L72" s="664"/>
      <c r="M72" s="664"/>
      <c r="N72" s="664"/>
      <c r="O72" s="664"/>
      <c r="P72" s="664"/>
      <c r="Q72" s="664"/>
      <c r="R72" s="664"/>
      <c r="S72" s="664"/>
      <c r="T72" s="664"/>
      <c r="U72" s="664"/>
      <c r="V72" s="664"/>
      <c r="W72" s="664"/>
      <c r="X72" s="664"/>
      <c r="Y72" s="664"/>
      <c r="Z72" s="664"/>
      <c r="AA72" s="664"/>
      <c r="AB72" s="664"/>
      <c r="AC72" s="664"/>
      <c r="AD72" s="664"/>
      <c r="AE72" s="4643"/>
      <c r="AF72" s="4643"/>
      <c r="AG72" s="4643"/>
      <c r="AH72" s="397" t="str">
        <f>FHD_NOTE_P_6</f>
        <v/>
      </c>
      <c r="AI72" s="1732" t="str">
        <f>IF((LEN(E72)-LEN(SUBSTITUTE(E72,".","")))/LEN(".")=1,"p","")</f>
        <v/>
      </c>
      <c r="BD72" s="1727">
        <v>0</v>
      </c>
    </row>
    <row customHeight="1" ht="11.25" hidden="1">
      <c r="A73" s="3200"/>
      <c r="D73" s="1734"/>
      <c r="E73" s="653" t="str">
        <f>FHD_NUM_P_7</f>
        <v/>
      </c>
      <c r="F73" s="1620" t="str">
        <f>FHD_P_7</f>
        <v/>
      </c>
      <c r="G73" s="1972" t="s">
        <v>637</v>
      </c>
      <c r="H73" s="664"/>
      <c r="I73" s="664"/>
      <c r="J73" s="664"/>
      <c r="K73" s="664"/>
      <c r="L73" s="664"/>
      <c r="M73" s="664"/>
      <c r="N73" s="664"/>
      <c r="O73" s="664"/>
      <c r="P73" s="664"/>
      <c r="Q73" s="664"/>
      <c r="R73" s="664"/>
      <c r="S73" s="664"/>
      <c r="T73" s="664"/>
      <c r="U73" s="664"/>
      <c r="V73" s="664"/>
      <c r="W73" s="664"/>
      <c r="X73" s="664"/>
      <c r="Y73" s="664"/>
      <c r="Z73" s="664"/>
      <c r="AA73" s="664"/>
      <c r="AB73" s="664"/>
      <c r="AC73" s="664"/>
      <c r="AD73" s="664"/>
      <c r="AE73" s="4643"/>
      <c r="AF73" s="4643"/>
      <c r="AG73" s="4643"/>
      <c r="AH73" s="397" t="str">
        <f>FHD_NOTE_P_7</f>
        <v/>
      </c>
      <c r="AI73" s="1732" t="str">
        <f>IF((LEN(E73)-LEN(SUBSTITUTE(E73,".","")))/LEN(".")=1,"p","")</f>
        <v/>
      </c>
      <c r="BD73" s="1727">
        <v>0</v>
      </c>
    </row>
    <row customHeight="1" ht="11.549999999999999">
      <c r="D74" s="1734"/>
      <c r="E74" s="653" t="str">
        <f>FHD_NUM_P_8</f>
        <v>2.3</v>
      </c>
      <c r="F74" s="1620" t="str">
        <f>FHD_P_8</f>
        <v>Расходы на приобретаемую электрическую энергию (мощность), используемую в технологическом процессе</v>
      </c>
      <c r="G74" s="1972" t="s">
        <v>637</v>
      </c>
      <c r="H74" s="664"/>
      <c r="I74" s="664">
        <v>8360.62518</v>
      </c>
      <c r="J74" s="664">
        <v>5217.1</v>
      </c>
      <c r="K74" s="664">
        <v>3055.41</v>
      </c>
      <c r="L74" s="664">
        <v>320.18</v>
      </c>
      <c r="M74" s="664">
        <v>350.81</v>
      </c>
      <c r="N74" s="664">
        <v>385.59</v>
      </c>
      <c r="O74" s="664">
        <v>33.14</v>
      </c>
      <c r="P74" s="664">
        <v>12963.3</v>
      </c>
      <c r="Q74" s="664">
        <v>0</v>
      </c>
      <c r="R74" s="664">
        <v>0</v>
      </c>
      <c r="S74" s="664">
        <v>606.9</v>
      </c>
      <c r="T74" s="664">
        <v>0</v>
      </c>
      <c r="U74" s="664">
        <v>375.15</v>
      </c>
      <c r="V74" s="664">
        <v>0</v>
      </c>
      <c r="W74" s="664">
        <v>95622.21</v>
      </c>
      <c r="X74" s="664">
        <v>4840.21</v>
      </c>
      <c r="Y74" s="664">
        <v>44585.95</v>
      </c>
      <c r="Z74" s="664">
        <v>3448.89</v>
      </c>
      <c r="AA74" s="664">
        <v>17049.88</v>
      </c>
      <c r="AB74" s="664">
        <v>26995.78</v>
      </c>
      <c r="AC74" s="664">
        <v>121173.74</v>
      </c>
      <c r="AD74" s="664">
        <v>22608.23</v>
      </c>
      <c r="AE74" s="4643">
        <v>551.82</v>
      </c>
      <c r="AF74" s="4643">
        <v>2239.55</v>
      </c>
      <c r="AG74" s="4643">
        <v>0</v>
      </c>
      <c r="AH74" s="397" t="str">
        <f>FHD_NOTE_P_8</f>
        <v/>
      </c>
      <c r="AI74" s="1732" t="str">
        <f>IF((LEN(E74)-LEN(SUBSTITUTE(E74,".","")))/LEN(".")=1,"p","")</f>
        <v>p</v>
      </c>
      <c r="BD74" s="1727">
        <v>11</v>
      </c>
    </row>
    <row customHeight="1" ht="11.549999999999999">
      <c r="D75" s="1734"/>
      <c r="E75" s="653" t="str">
        <f>FHD_NUM_P_9</f>
        <v>2.3.1</v>
      </c>
      <c r="F75" s="1746" t="str">
        <f>FHD_P_9</f>
        <v>Средневзвешенная стоимость 1 кВт.ч (с учетом мощности)</v>
      </c>
      <c r="G75" s="1972" t="s">
        <v>665</v>
      </c>
      <c r="H75" s="664"/>
      <c r="I75" s="664">
        <v>2.55301373977602</v>
      </c>
      <c r="J75" s="664">
        <v>2.57</v>
      </c>
      <c r="K75" s="664">
        <v>4.84</v>
      </c>
      <c r="L75" s="664">
        <v>2.61</v>
      </c>
      <c r="M75" s="664">
        <v>2.84</v>
      </c>
      <c r="N75" s="664">
        <v>5.42</v>
      </c>
      <c r="O75" s="664">
        <v>7.19</v>
      </c>
      <c r="P75" s="664">
        <v>2.91</v>
      </c>
      <c r="Q75" s="664">
        <v>0</v>
      </c>
      <c r="R75" s="664">
        <v>0</v>
      </c>
      <c r="S75" s="664">
        <v>5.35</v>
      </c>
      <c r="T75" s="664">
        <v>0</v>
      </c>
      <c r="U75" s="664">
        <v>2.84</v>
      </c>
      <c r="V75" s="664">
        <v>0</v>
      </c>
      <c r="W75" s="664">
        <v>2.84</v>
      </c>
      <c r="X75" s="664">
        <v>2.84</v>
      </c>
      <c r="Y75" s="664">
        <v>2.61</v>
      </c>
      <c r="Z75" s="664">
        <v>5.35</v>
      </c>
      <c r="AA75" s="664">
        <v>2.84</v>
      </c>
      <c r="AB75" s="664">
        <v>2.72</v>
      </c>
      <c r="AC75" s="664">
        <v>2.91</v>
      </c>
      <c r="AD75" s="664">
        <v>5.45</v>
      </c>
      <c r="AE75" s="4643">
        <v>7.19</v>
      </c>
      <c r="AF75" s="4643">
        <v>2.91</v>
      </c>
      <c r="AG75" s="4643">
        <v>0</v>
      </c>
      <c r="AH75" s="397" t="str">
        <f>FHD_NOTE_P_9</f>
        <v/>
      </c>
      <c r="AI75" s="1732" t="str">
        <f>IF((LEN(E75)-LEN(SUBSTITUTE(E75,".","")))/LEN(".")=1,"p","")</f>
        <v/>
      </c>
      <c r="BD75" s="1727">
        <v>11</v>
      </c>
    </row>
    <row s="10306" customFormat="1" customHeight="1" ht="11.549999999999999">
      <c r="A76" s="1087"/>
      <c r="C76" s="1732"/>
      <c r="D76" s="681"/>
      <c r="E76" s="653" t="str">
        <f>FHD_NUM_P_10</f>
        <v>2.3.2</v>
      </c>
      <c r="F76" s="1746" t="str">
        <f>FHD_P_10</f>
        <v>Объём приобретения электрической энергии</v>
      </c>
      <c r="G76" s="1972" t="s">
        <v>666</v>
      </c>
      <c r="H76" s="664"/>
      <c r="I76" s="664">
        <v>3274.80618288152</v>
      </c>
      <c r="J76" s="664">
        <v>2030.16</v>
      </c>
      <c r="K76" s="664">
        <v>630.7</v>
      </c>
      <c r="L76" s="664">
        <v>122.9</v>
      </c>
      <c r="M76" s="664">
        <v>123.44</v>
      </c>
      <c r="N76" s="664">
        <v>71.18</v>
      </c>
      <c r="O76" s="664">
        <v>4.61</v>
      </c>
      <c r="P76" s="664">
        <v>4447.92</v>
      </c>
      <c r="Q76" s="664">
        <v>0</v>
      </c>
      <c r="R76" s="664">
        <v>0</v>
      </c>
      <c r="S76" s="664">
        <v>113.34</v>
      </c>
      <c r="T76" s="664">
        <v>0</v>
      </c>
      <c r="U76" s="664">
        <v>132.19</v>
      </c>
      <c r="V76" s="664">
        <v>0</v>
      </c>
      <c r="W76" s="664">
        <v>33694.71</v>
      </c>
      <c r="X76" s="664">
        <v>1705.56</v>
      </c>
      <c r="Y76" s="664">
        <v>17113.6</v>
      </c>
      <c r="Z76" s="664">
        <v>644.08</v>
      </c>
      <c r="AA76" s="664">
        <v>6007.92</v>
      </c>
      <c r="AB76" s="664">
        <v>9907.68</v>
      </c>
      <c r="AC76" s="664">
        <v>41576.71</v>
      </c>
      <c r="AD76" s="664">
        <v>4150.48</v>
      </c>
      <c r="AE76" s="4643">
        <v>76.73</v>
      </c>
      <c r="AF76" s="4643">
        <v>768.43</v>
      </c>
      <c r="AG76" s="4643">
        <v>0</v>
      </c>
      <c r="AH76" s="397" t="str">
        <f>FHD_NOTE_P_10</f>
        <v/>
      </c>
      <c r="AI76" s="1732" t="str">
        <f>IF((LEN(E76)-LEN(SUBSTITUTE(E76,".","")))/LEN(".")=1,"p","")</f>
        <v/>
      </c>
      <c r="AJ76" s="1732"/>
      <c r="AK76" s="1732"/>
      <c r="AP76" s="1732"/>
      <c r="AS76" s="651"/>
      <c r="AY76" s="1728"/>
      <c r="AZ76" s="1728"/>
      <c r="BA76" s="1728"/>
      <c r="BB76" s="1728"/>
      <c r="BC76" s="1728"/>
      <c r="BD76" s="1256">
        <v>11</v>
      </c>
    </row>
    <row s="10306" customFormat="1" customHeight="1" ht="11.25">
      <c r="A77" s="1089" t="s">
        <v>667</v>
      </c>
      <c r="C77" s="1732"/>
      <c r="D77" s="682"/>
      <c r="E77" s="653" t="str">
        <f>FHD_NUM_P_11</f>
        <v>2.4</v>
      </c>
      <c r="F77" s="1620" t="str">
        <f>FHD_P_11</f>
        <v>Расходы на приобретение холодной воды, используемой в технологическом процессе</v>
      </c>
      <c r="G77" s="1972" t="s">
        <v>637</v>
      </c>
      <c r="H77" s="664"/>
      <c r="I77" s="664">
        <v>0</v>
      </c>
      <c r="J77" s="664">
        <v>9640.49</v>
      </c>
      <c r="K77" s="664">
        <v>455.4</v>
      </c>
      <c r="L77" s="664">
        <v>694.05</v>
      </c>
      <c r="M77" s="664">
        <v>72092</v>
      </c>
      <c r="N77" s="664">
        <v>0</v>
      </c>
      <c r="O77" s="664">
        <v>0</v>
      </c>
      <c r="P77" s="664">
        <v>572363.25</v>
      </c>
      <c r="Q77" s="664">
        <v>131529.38</v>
      </c>
      <c r="R77" s="664">
        <v>43659.95</v>
      </c>
      <c r="S77" s="664">
        <v>0</v>
      </c>
      <c r="T77" s="664">
        <v>63351.3</v>
      </c>
      <c r="U77" s="664">
        <v>817.09</v>
      </c>
      <c r="V77" s="664">
        <v>14330.71</v>
      </c>
      <c r="W77" s="664">
        <v>0</v>
      </c>
      <c r="X77" s="664">
        <v>0</v>
      </c>
      <c r="Y77" s="664">
        <v>880.23</v>
      </c>
      <c r="Z77" s="664">
        <v>0</v>
      </c>
      <c r="AA77" s="664">
        <v>0</v>
      </c>
      <c r="AB77" s="664">
        <v>0</v>
      </c>
      <c r="AC77" s="664">
        <v>0</v>
      </c>
      <c r="AD77" s="664">
        <v>6.14</v>
      </c>
      <c r="AE77" s="4643">
        <v>0</v>
      </c>
      <c r="AF77" s="4643">
        <v>112.9</v>
      </c>
      <c r="AG77" s="4643">
        <v>0</v>
      </c>
      <c r="AH77" s="397" t="str">
        <f>FHD_NOTE_P_11</f>
        <v/>
      </c>
      <c r="AI77" s="1732" t="str">
        <f>IF((LEN(E77)-LEN(SUBSTITUTE(E77,".","")))/LEN(".")=1,"p","")</f>
        <v>p</v>
      </c>
      <c r="AJ77" s="1732"/>
      <c r="AK77" s="1732"/>
      <c r="AP77" s="1732"/>
      <c r="AS77" s="651"/>
      <c r="AY77" s="1728"/>
      <c r="AZ77" s="1728"/>
      <c r="BA77" s="1728"/>
      <c r="BB77" s="1728"/>
      <c r="BC77" s="1728"/>
      <c r="BD77" s="1256">
        <v>0</v>
      </c>
    </row>
    <row s="10306" customFormat="1" customHeight="1" ht="18.75">
      <c r="A78" s="1089" t="s">
        <v>668</v>
      </c>
      <c r="C78" s="1732"/>
      <c r="D78" s="1734"/>
      <c r="E78" s="653" t="str">
        <f>FHD_NUM_P_12</f>
        <v>2.5</v>
      </c>
      <c r="F78" s="1620" t="str">
        <f>FHD_P_12</f>
        <v>Расходы на  химические реагенты, используемые в технологическом процессе</v>
      </c>
      <c r="G78" s="1972" t="s">
        <v>637</v>
      </c>
      <c r="H78" s="684"/>
      <c r="I78" s="684">
        <v>4575.36138</v>
      </c>
      <c r="J78" s="684">
        <v>3486.8997</v>
      </c>
      <c r="K78" s="684">
        <v>18099.6594</v>
      </c>
      <c r="L78" s="684">
        <v>4036.4546</v>
      </c>
      <c r="M78" s="684">
        <v>4489.0315</v>
      </c>
      <c r="N78" s="684">
        <v>1.0369</v>
      </c>
      <c r="O78" s="684">
        <v>571.4938</v>
      </c>
      <c r="P78" s="684">
        <v>9097.4841</v>
      </c>
      <c r="Q78" s="684">
        <v>0</v>
      </c>
      <c r="R78" s="684">
        <v>0</v>
      </c>
      <c r="S78" s="684">
        <v>0</v>
      </c>
      <c r="T78" s="684">
        <v>0</v>
      </c>
      <c r="U78" s="684">
        <v>4.7353</v>
      </c>
      <c r="V78" s="684">
        <v>0</v>
      </c>
      <c r="W78" s="684">
        <v>130.0544</v>
      </c>
      <c r="X78" s="684">
        <v>62.731</v>
      </c>
      <c r="Y78" s="684">
        <v>293.1405</v>
      </c>
      <c r="Z78" s="684">
        <v>0</v>
      </c>
      <c r="AA78" s="684">
        <v>215.4468</v>
      </c>
      <c r="AB78" s="684">
        <v>0</v>
      </c>
      <c r="AC78" s="684">
        <v>0</v>
      </c>
      <c r="AD78" s="684">
        <v>5139.5248</v>
      </c>
      <c r="AE78" s="4700">
        <v>0</v>
      </c>
      <c r="AF78" s="4700">
        <v>75.5479</v>
      </c>
      <c r="AG78" s="4700">
        <v>0</v>
      </c>
      <c r="AH78" s="397" t="str">
        <f>FHD_NOTE_P_12</f>
        <v/>
      </c>
      <c r="AI78" s="1732" t="str">
        <f>IF((LEN(E78)-LEN(SUBSTITUTE(E78,".","")))/LEN(".")=1,"p","")</f>
        <v>p</v>
      </c>
      <c r="AJ78" s="1732"/>
      <c r="AK78" s="1732"/>
      <c r="AP78" s="1732"/>
      <c r="AS78" s="651"/>
      <c r="AY78" s="1728"/>
      <c r="AZ78" s="1728"/>
      <c r="BA78" s="1728"/>
      <c r="BB78" s="1728"/>
      <c r="BC78" s="1728"/>
      <c r="BD78" s="1256">
        <v>18</v>
      </c>
    </row>
    <row s="11472" customFormat="1" customHeight="1" ht="11.549999999999999">
      <c r="A79" s="1088"/>
      <c r="C79" s="837"/>
      <c r="D79" s="780"/>
      <c r="E79" s="653" t="str">
        <f>FHD_NUM_P_13</f>
        <v>2.6</v>
      </c>
      <c r="F79" s="162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79" s="1972" t="s">
        <v>637</v>
      </c>
      <c r="H79" s="664"/>
      <c r="I79" s="664">
        <v>83716.88983</v>
      </c>
      <c r="J79" s="664">
        <v>68809.71</v>
      </c>
      <c r="K79" s="664">
        <v>101185.32</v>
      </c>
      <c r="L79" s="664">
        <v>28341.68</v>
      </c>
      <c r="M79" s="664">
        <v>56548.08</v>
      </c>
      <c r="N79" s="664">
        <v>5582.99</v>
      </c>
      <c r="O79" s="664">
        <v>34553.54</v>
      </c>
      <c r="P79" s="664">
        <v>8142.46</v>
      </c>
      <c r="Q79" s="664">
        <v>41076.58</v>
      </c>
      <c r="R79" s="664">
        <v>20270.53</v>
      </c>
      <c r="S79" s="664">
        <v>0</v>
      </c>
      <c r="T79" s="664">
        <v>0</v>
      </c>
      <c r="U79" s="664">
        <v>875.16</v>
      </c>
      <c r="V79" s="664">
        <v>0</v>
      </c>
      <c r="W79" s="664">
        <v>55860.07</v>
      </c>
      <c r="X79" s="664">
        <v>11694.46</v>
      </c>
      <c r="Y79" s="664">
        <v>58787.37</v>
      </c>
      <c r="Z79" s="664">
        <v>518.23</v>
      </c>
      <c r="AA79" s="664">
        <v>33676.75</v>
      </c>
      <c r="AB79" s="664">
        <v>93565.18</v>
      </c>
      <c r="AC79" s="664">
        <v>148712.64</v>
      </c>
      <c r="AD79" s="664">
        <v>60099.15</v>
      </c>
      <c r="AE79" s="4643">
        <v>839.2</v>
      </c>
      <c r="AF79" s="4643">
        <v>11245.83</v>
      </c>
      <c r="AG79" s="4643">
        <v>93.65</v>
      </c>
      <c r="AH79" s="397" t="str">
        <f>FHD_NOTE_P_13</f>
        <v/>
      </c>
      <c r="AI79" s="1732" t="str">
        <f>IF((LEN(E79)-LEN(SUBSTITUTE(E79,".","")))/LEN(".")=1,"p","")</f>
        <v>p</v>
      </c>
      <c r="AJ79" s="837"/>
      <c r="AK79" s="837"/>
      <c r="AP79" s="837"/>
      <c r="AS79" s="838"/>
      <c r="AY79" s="839"/>
      <c r="AZ79" s="839"/>
      <c r="BA79" s="839"/>
      <c r="BB79" s="839"/>
      <c r="BC79" s="839"/>
      <c r="BD79" s="836">
        <v>11</v>
      </c>
    </row>
    <row s="11472" customFormat="1" customHeight="1" ht="11.549999999999999">
      <c r="A80" s="1088"/>
      <c r="C80" s="837"/>
      <c r="D80" s="780"/>
      <c r="E80" s="653" t="str">
        <f>FHD_NUM_P_14</f>
        <v>2.6.1</v>
      </c>
      <c r="F80" s="1746" t="str">
        <f>FHD_P_14</f>
        <v>Расходы на оплату труда основного производственного персонала</v>
      </c>
      <c r="G80" s="1972" t="s">
        <v>637</v>
      </c>
      <c r="H80" s="664"/>
      <c r="I80" s="664">
        <v>62929.45034</v>
      </c>
      <c r="J80" s="664">
        <v>51409.11</v>
      </c>
      <c r="K80" s="664">
        <v>76440.67</v>
      </c>
      <c r="L80" s="664">
        <v>21459.98</v>
      </c>
      <c r="M80" s="664">
        <v>42387.62</v>
      </c>
      <c r="N80" s="664">
        <v>4486.69</v>
      </c>
      <c r="O80" s="664">
        <v>26280.6</v>
      </c>
      <c r="P80" s="664">
        <v>6139.56</v>
      </c>
      <c r="Q80" s="664">
        <v>31429.6</v>
      </c>
      <c r="R80" s="664">
        <v>15655.6</v>
      </c>
      <c r="S80" s="664">
        <v>0</v>
      </c>
      <c r="T80" s="664">
        <v>0</v>
      </c>
      <c r="U80" s="664">
        <v>655.5</v>
      </c>
      <c r="V80" s="664">
        <v>0</v>
      </c>
      <c r="W80" s="664">
        <v>42067.34</v>
      </c>
      <c r="X80" s="664">
        <v>8927.04</v>
      </c>
      <c r="Y80" s="664">
        <v>43951.4</v>
      </c>
      <c r="Z80" s="664">
        <v>394.3</v>
      </c>
      <c r="AA80" s="664">
        <v>25225.96</v>
      </c>
      <c r="AB80" s="664">
        <v>71670.83</v>
      </c>
      <c r="AC80" s="664">
        <v>113518.68</v>
      </c>
      <c r="AD80" s="664">
        <v>45466.8</v>
      </c>
      <c r="AE80" s="4643">
        <v>642.61</v>
      </c>
      <c r="AF80" s="4643">
        <v>8591.41</v>
      </c>
      <c r="AG80" s="4643">
        <v>71.92</v>
      </c>
      <c r="AH80" s="397" t="str">
        <f>FHD_NOTE_P_14</f>
        <v/>
      </c>
      <c r="AI80" s="1732" t="str">
        <f>IF((LEN(E80)-LEN(SUBSTITUTE(E80,".","")))/LEN(".")=1,"p","")</f>
        <v/>
      </c>
      <c r="AJ80" s="837"/>
      <c r="AK80" s="837"/>
      <c r="AP80" s="837"/>
      <c r="AS80" s="838"/>
      <c r="AY80" s="839"/>
      <c r="AZ80" s="839"/>
      <c r="BA80" s="839"/>
      <c r="BB80" s="839"/>
      <c r="BC80" s="839"/>
      <c r="BD80" s="836">
        <v>11</v>
      </c>
    </row>
    <row s="11472" customFormat="1" customHeight="1" ht="11.549999999999999">
      <c r="A81" s="1088"/>
      <c r="C81" s="837"/>
      <c r="D81" s="780"/>
      <c r="E81" s="653" t="str">
        <f>FHD_NUM_P_15</f>
        <v>2.6.2</v>
      </c>
      <c r="F81" s="1746" t="str">
        <f>FHD_P_15</f>
        <v>Страховые взносы на обязательное социальное страхование, выплачиваемые из фонда оплаты труда основного производственного персонала</v>
      </c>
      <c r="G81" s="1972" t="s">
        <v>637</v>
      </c>
      <c r="H81" s="664"/>
      <c r="I81" s="664">
        <v>20787.43949</v>
      </c>
      <c r="J81" s="664">
        <v>17400.6</v>
      </c>
      <c r="K81" s="664">
        <v>24744.65</v>
      </c>
      <c r="L81" s="664">
        <v>6881.7</v>
      </c>
      <c r="M81" s="664">
        <v>14160.46</v>
      </c>
      <c r="N81" s="664">
        <v>1096.3</v>
      </c>
      <c r="O81" s="664">
        <v>8272.94</v>
      </c>
      <c r="P81" s="664">
        <v>2002.9</v>
      </c>
      <c r="Q81" s="664">
        <v>9646.98</v>
      </c>
      <c r="R81" s="664">
        <v>4614.93</v>
      </c>
      <c r="S81" s="664">
        <v>0</v>
      </c>
      <c r="T81" s="664">
        <v>0</v>
      </c>
      <c r="U81" s="664">
        <v>219.66</v>
      </c>
      <c r="V81" s="664">
        <v>0</v>
      </c>
      <c r="W81" s="664">
        <v>13792.73</v>
      </c>
      <c r="X81" s="664">
        <v>2767.42</v>
      </c>
      <c r="Y81" s="664">
        <v>14835.98</v>
      </c>
      <c r="Z81" s="664">
        <v>123.93</v>
      </c>
      <c r="AA81" s="664">
        <v>8450.8</v>
      </c>
      <c r="AB81" s="664">
        <v>21894.35</v>
      </c>
      <c r="AC81" s="664">
        <v>35193.95</v>
      </c>
      <c r="AD81" s="664">
        <v>14632.34</v>
      </c>
      <c r="AE81" s="4643">
        <v>196.59</v>
      </c>
      <c r="AF81" s="4643">
        <v>2654.42</v>
      </c>
      <c r="AG81" s="4643">
        <v>21.72</v>
      </c>
      <c r="AH81" s="397" t="str">
        <f>FHD_NOTE_P_15</f>
        <v/>
      </c>
      <c r="AI81" s="1732" t="str">
        <f>IF((LEN(E81)-LEN(SUBSTITUTE(E81,".","")))/LEN(".")=1,"p","")</f>
        <v/>
      </c>
      <c r="AJ81" s="837"/>
      <c r="AK81" s="837"/>
      <c r="AP81" s="837"/>
      <c r="AS81" s="838"/>
      <c r="AY81" s="839"/>
      <c r="AZ81" s="839"/>
      <c r="BA81" s="839"/>
      <c r="BB81" s="839"/>
      <c r="BC81" s="839"/>
      <c r="BD81" s="836">
        <v>11</v>
      </c>
    </row>
    <row s="10306" customFormat="1" customHeight="1" ht="11.549999999999999">
      <c r="A82" s="1087"/>
      <c r="C82" s="1732"/>
      <c r="D82" s="1734"/>
      <c r="E82" s="653" t="str">
        <f>FHD_NUM_P_16</f>
        <v>2.7</v>
      </c>
      <c r="F82" s="162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82" s="1972" t="s">
        <v>637</v>
      </c>
      <c r="H82" s="664"/>
      <c r="I82" s="664">
        <v>13250.83536</v>
      </c>
      <c r="J82" s="664">
        <v>11561.57</v>
      </c>
      <c r="K82" s="664">
        <v>9181.77</v>
      </c>
      <c r="L82" s="664">
        <v>8822.96</v>
      </c>
      <c r="M82" s="664">
        <v>6693.83</v>
      </c>
      <c r="N82" s="664">
        <v>609.81</v>
      </c>
      <c r="O82" s="664">
        <v>4011.26</v>
      </c>
      <c r="P82" s="664">
        <v>16124.82</v>
      </c>
      <c r="Q82" s="664">
        <v>5506.88</v>
      </c>
      <c r="R82" s="664">
        <v>1503.12</v>
      </c>
      <c r="S82" s="664">
        <v>57.03</v>
      </c>
      <c r="T82" s="664">
        <v>1667.28</v>
      </c>
      <c r="U82" s="664">
        <v>89.66</v>
      </c>
      <c r="V82" s="664">
        <v>340.67</v>
      </c>
      <c r="W82" s="664">
        <v>12735.9</v>
      </c>
      <c r="X82" s="664">
        <v>1275.61</v>
      </c>
      <c r="Y82" s="664">
        <v>0</v>
      </c>
      <c r="Z82" s="664">
        <v>860.13</v>
      </c>
      <c r="AA82" s="664">
        <v>3333.35</v>
      </c>
      <c r="AB82" s="664">
        <v>37278.3</v>
      </c>
      <c r="AC82" s="664">
        <v>74606.86</v>
      </c>
      <c r="AD82" s="664">
        <v>20626.41</v>
      </c>
      <c r="AE82" s="4643">
        <v>14.1</v>
      </c>
      <c r="AF82" s="4643">
        <v>1003.45</v>
      </c>
      <c r="AG82" s="4643">
        <v>17.3</v>
      </c>
      <c r="AH82" s="397" t="str">
        <f>FHD_NOTE_P_16</f>
        <v/>
      </c>
      <c r="AI82" s="1732" t="str">
        <f>IF((LEN(E82)-LEN(SUBSTITUTE(E82,".","")))/LEN(".")=1,"p","")</f>
        <v>p</v>
      </c>
      <c r="AJ82" s="1732"/>
      <c r="AK82" s="1738"/>
      <c r="AL82" s="644"/>
      <c r="AM82" s="644"/>
      <c r="AP82" s="1732"/>
      <c r="AS82" s="651"/>
      <c r="AY82" s="1728"/>
      <c r="AZ82" s="1728"/>
      <c r="BA82" s="1728"/>
      <c r="BB82" s="1728"/>
      <c r="BC82" s="1728"/>
      <c r="BD82" s="1256">
        <v>11</v>
      </c>
    </row>
    <row s="10306" customFormat="1" customHeight="1" ht="11.549999999999999">
      <c r="A83" s="1087"/>
      <c r="C83" s="1732"/>
      <c r="D83" s="1734"/>
      <c r="E83" s="653" t="str">
        <f>FHD_NUM_P_17</f>
        <v>2.7.1</v>
      </c>
      <c r="F83" s="1746" t="str">
        <f>FHD_P_17</f>
        <v>Расходы на оплату труда административно-управленческого персонала</v>
      </c>
      <c r="G83" s="1972" t="s">
        <v>637</v>
      </c>
      <c r="H83" s="664"/>
      <c r="I83" s="664">
        <v>10478.51675</v>
      </c>
      <c r="J83" s="664">
        <v>9106.06</v>
      </c>
      <c r="K83" s="664">
        <v>7245.73</v>
      </c>
      <c r="L83" s="664">
        <v>6941.3</v>
      </c>
      <c r="M83" s="664">
        <v>5283.67</v>
      </c>
      <c r="N83" s="664">
        <v>477.82</v>
      </c>
      <c r="O83" s="664">
        <v>3154.85</v>
      </c>
      <c r="P83" s="664">
        <v>12718.42</v>
      </c>
      <c r="Q83" s="664">
        <v>4332.78</v>
      </c>
      <c r="R83" s="664">
        <v>1184.89</v>
      </c>
      <c r="S83" s="664">
        <v>44.56</v>
      </c>
      <c r="T83" s="664">
        <v>1311.35</v>
      </c>
      <c r="U83" s="664">
        <v>70.35</v>
      </c>
      <c r="V83" s="664">
        <v>266.02</v>
      </c>
      <c r="W83" s="664">
        <v>10017.04</v>
      </c>
      <c r="X83" s="664">
        <v>1003.65</v>
      </c>
      <c r="Y83" s="664">
        <v>0</v>
      </c>
      <c r="Z83" s="664">
        <v>686.35</v>
      </c>
      <c r="AA83" s="664">
        <v>2624.14</v>
      </c>
      <c r="AB83" s="664">
        <v>29369.83</v>
      </c>
      <c r="AC83" s="664">
        <v>58748.1</v>
      </c>
      <c r="AD83" s="664">
        <v>16243.82</v>
      </c>
      <c r="AE83" s="4643">
        <v>11.36</v>
      </c>
      <c r="AF83" s="4643">
        <v>789.3</v>
      </c>
      <c r="AG83" s="4643">
        <v>13.63</v>
      </c>
      <c r="AH83" s="397" t="str">
        <f>FHD_NOTE_P_17</f>
        <v/>
      </c>
      <c r="AI83" s="1732" t="str">
        <f>IF((LEN(E83)-LEN(SUBSTITUTE(E83,".","")))/LEN(".")=1,"p","")</f>
        <v/>
      </c>
      <c r="AJ83" s="1732"/>
      <c r="AK83" s="1738"/>
      <c r="AL83" s="644"/>
      <c r="AM83" s="644"/>
      <c r="AP83" s="1732"/>
      <c r="AS83" s="651"/>
      <c r="AY83" s="1728"/>
      <c r="AZ83" s="1728"/>
      <c r="BA83" s="1728"/>
      <c r="BB83" s="1728"/>
      <c r="BC83" s="1728"/>
      <c r="BD83" s="1256">
        <v>11</v>
      </c>
    </row>
    <row s="10306" customFormat="1" customHeight="1" ht="11.549999999999999">
      <c r="A84" s="1087"/>
      <c r="C84" s="1732"/>
      <c r="D84" s="1734"/>
      <c r="E84" s="653" t="str">
        <f>FHD_NUM_P_18</f>
        <v>2.7.2</v>
      </c>
      <c r="F84" s="1746" t="str">
        <f>FHD_P_18</f>
        <v>Страховые взносы на обязательное социальное страхование, выплачиваемые из фонда оплаты труда административно-управленческого персонала</v>
      </c>
      <c r="G84" s="1972" t="s">
        <v>637</v>
      </c>
      <c r="H84" s="664"/>
      <c r="I84" s="664">
        <v>2772.31861</v>
      </c>
      <c r="J84" s="664">
        <v>2455.51</v>
      </c>
      <c r="K84" s="664">
        <v>1936.05</v>
      </c>
      <c r="L84" s="664">
        <v>1881.67</v>
      </c>
      <c r="M84" s="664">
        <v>1410.15</v>
      </c>
      <c r="N84" s="664">
        <v>131.99</v>
      </c>
      <c r="O84" s="664">
        <v>856.41</v>
      </c>
      <c r="P84" s="664">
        <v>3406.4</v>
      </c>
      <c r="Q84" s="664">
        <v>1174.1</v>
      </c>
      <c r="R84" s="664">
        <v>318.23</v>
      </c>
      <c r="S84" s="664">
        <v>12.47</v>
      </c>
      <c r="T84" s="664">
        <v>355.93</v>
      </c>
      <c r="U84" s="664">
        <v>19.31</v>
      </c>
      <c r="V84" s="664">
        <v>74.65</v>
      </c>
      <c r="W84" s="664">
        <v>2718.86</v>
      </c>
      <c r="X84" s="664">
        <v>271.96</v>
      </c>
      <c r="Y84" s="664">
        <v>0</v>
      </c>
      <c r="Z84" s="664">
        <v>173.78</v>
      </c>
      <c r="AA84" s="664">
        <v>709.21</v>
      </c>
      <c r="AB84" s="664">
        <v>7908.47</v>
      </c>
      <c r="AC84" s="664">
        <v>15858.76</v>
      </c>
      <c r="AD84" s="664">
        <v>4382.58</v>
      </c>
      <c r="AE84" s="4643">
        <v>2.74</v>
      </c>
      <c r="AF84" s="4643">
        <v>214.15</v>
      </c>
      <c r="AG84" s="4643">
        <v>3.67</v>
      </c>
      <c r="AH84" s="397" t="str">
        <f>FHD_NOTE_P_18</f>
        <v/>
      </c>
      <c r="AI84" s="1732" t="str">
        <f>IF((LEN(E84)-LEN(SUBSTITUTE(E84,".","")))/LEN(".")=1,"p","")</f>
        <v/>
      </c>
      <c r="AJ84" s="1732"/>
      <c r="AK84" s="1738"/>
      <c r="AL84" s="644"/>
      <c r="AM84" s="644"/>
      <c r="AP84" s="1732"/>
      <c r="AS84" s="651"/>
      <c r="AY84" s="1728"/>
      <c r="AZ84" s="1728"/>
      <c r="BA84" s="1728"/>
      <c r="BB84" s="1728"/>
      <c r="BC84" s="1728"/>
      <c r="BD84" s="1256">
        <v>11</v>
      </c>
    </row>
    <row s="10306" customFormat="1" customHeight="1" ht="11.549999999999999">
      <c r="A85" s="1087"/>
      <c r="C85" s="1732"/>
      <c r="D85" s="682"/>
      <c r="E85" s="653" t="str">
        <f>FHD_NUM_P_19</f>
        <v>2.8</v>
      </c>
      <c r="F85" s="1620" t="str">
        <f>FHD_P_19</f>
        <v>Расходы на амортизацию основных средств и нематериальных активов</v>
      </c>
      <c r="G85" s="1972" t="s">
        <v>637</v>
      </c>
      <c r="H85" s="664"/>
      <c r="I85" s="664">
        <v>60193.88203</v>
      </c>
      <c r="J85" s="664">
        <v>94324.7</v>
      </c>
      <c r="K85" s="664">
        <v>27027.72</v>
      </c>
      <c r="L85" s="664">
        <v>16840.56</v>
      </c>
      <c r="M85" s="664">
        <v>12180.89</v>
      </c>
      <c r="N85" s="664">
        <v>2631.07</v>
      </c>
      <c r="O85" s="664">
        <v>35565.55</v>
      </c>
      <c r="P85" s="664">
        <v>911.81</v>
      </c>
      <c r="Q85" s="664">
        <v>3829.12</v>
      </c>
      <c r="R85" s="664">
        <v>253.87</v>
      </c>
      <c r="S85" s="664">
        <v>0</v>
      </c>
      <c r="T85" s="664">
        <v>0</v>
      </c>
      <c r="U85" s="664">
        <v>5</v>
      </c>
      <c r="V85" s="664">
        <v>0</v>
      </c>
      <c r="W85" s="664">
        <v>100962.45</v>
      </c>
      <c r="X85" s="664">
        <v>13076.1</v>
      </c>
      <c r="Y85" s="664">
        <v>8344.47</v>
      </c>
      <c r="Z85" s="664">
        <v>0</v>
      </c>
      <c r="AA85" s="664">
        <v>7482.5</v>
      </c>
      <c r="AB85" s="664">
        <v>135984.22</v>
      </c>
      <c r="AC85" s="664">
        <v>493720.78</v>
      </c>
      <c r="AD85" s="664">
        <v>216014.9</v>
      </c>
      <c r="AE85" s="4643">
        <v>0</v>
      </c>
      <c r="AF85" s="4643">
        <v>16678.54</v>
      </c>
      <c r="AG85" s="4643">
        <v>0</v>
      </c>
      <c r="AH85" s="397" t="str">
        <f>FHD_NOTE_P_19</f>
        <v/>
      </c>
      <c r="AI85" s="1732" t="str">
        <f>IF((LEN(E85)-LEN(SUBSTITUTE(E85,".","")))/LEN(".")=1,"p","")</f>
        <v>p</v>
      </c>
      <c r="AJ85" s="1732"/>
      <c r="AK85" s="1732"/>
      <c r="AP85" s="1732"/>
      <c r="AS85" s="651"/>
      <c r="AY85" s="1728"/>
      <c r="AZ85" s="1728"/>
      <c r="BA85" s="1728"/>
      <c r="BB85" s="1728"/>
      <c r="BC85" s="1728"/>
      <c r="BD85" s="1256">
        <v>11</v>
      </c>
    </row>
    <row s="10306" customFormat="1" customHeight="1" ht="11.549999999999999">
      <c r="A86" s="1087"/>
      <c r="C86" s="1732"/>
      <c r="D86" s="682"/>
      <c r="E86" s="653" t="str">
        <f>FHD_NUM_P_20</f>
        <v>2.8.1</v>
      </c>
      <c r="F86" s="1746" t="str">
        <f>FHD_P_20</f>
        <v>Расходы на амортизацию основных средств</v>
      </c>
      <c r="G86" s="1972" t="s">
        <v>637</v>
      </c>
      <c r="H86" s="664"/>
      <c r="I86" s="664">
        <v>60193.88203</v>
      </c>
      <c r="J86" s="664">
        <v>94324.7</v>
      </c>
      <c r="K86" s="664">
        <v>27027.72</v>
      </c>
      <c r="L86" s="664">
        <v>16840.56</v>
      </c>
      <c r="M86" s="664">
        <v>12180.89</v>
      </c>
      <c r="N86" s="664">
        <v>2631.07</v>
      </c>
      <c r="O86" s="664">
        <v>35565.55</v>
      </c>
      <c r="P86" s="664">
        <v>911.81</v>
      </c>
      <c r="Q86" s="664">
        <v>3829.12</v>
      </c>
      <c r="R86" s="664">
        <v>253.87</v>
      </c>
      <c r="S86" s="664">
        <v>0</v>
      </c>
      <c r="T86" s="664">
        <v>0</v>
      </c>
      <c r="U86" s="664">
        <v>5</v>
      </c>
      <c r="V86" s="664">
        <v>0</v>
      </c>
      <c r="W86" s="664">
        <v>100962.45</v>
      </c>
      <c r="X86" s="664">
        <v>13076.1</v>
      </c>
      <c r="Y86" s="664">
        <v>8344.47</v>
      </c>
      <c r="Z86" s="664">
        <v>0</v>
      </c>
      <c r="AA86" s="664">
        <v>7482.5</v>
      </c>
      <c r="AB86" s="664">
        <v>135984.22</v>
      </c>
      <c r="AC86" s="664">
        <v>493720.78</v>
      </c>
      <c r="AD86" s="664">
        <v>216014.9</v>
      </c>
      <c r="AE86" s="4643">
        <v>0</v>
      </c>
      <c r="AF86" s="4643">
        <v>16678.54</v>
      </c>
      <c r="AG86" s="4643">
        <v>0</v>
      </c>
      <c r="AH86" s="397" t="str">
        <f>FHD_NOTE_P_20</f>
        <v/>
      </c>
      <c r="AI86" s="1732" t="str">
        <f>IF((LEN(E86)-LEN(SUBSTITUTE(E86,".","")))/LEN(".")=1,"p","")</f>
        <v/>
      </c>
      <c r="AJ86" s="1732"/>
      <c r="AK86" s="1732"/>
      <c r="AP86" s="1732"/>
      <c r="AS86" s="651"/>
      <c r="AY86" s="1728"/>
      <c r="AZ86" s="1728"/>
      <c r="BA86" s="1728"/>
      <c r="BB86" s="1728"/>
      <c r="BC86" s="1728"/>
      <c r="BD86" s="1256">
        <v>11</v>
      </c>
    </row>
    <row s="10306" customFormat="1" customHeight="1" ht="11.549999999999999">
      <c r="A87" s="1087"/>
      <c r="C87" s="1732"/>
      <c r="D87" s="682"/>
      <c r="E87" s="653" t="str">
        <f>FHD_NUM_P_21</f>
        <v>2.8.2</v>
      </c>
      <c r="F87" s="1746" t="str">
        <f>FHD_P_21</f>
        <v>Расходы на амортизацию нематериальных активов</v>
      </c>
      <c r="G87" s="1972" t="s">
        <v>637</v>
      </c>
      <c r="H87" s="664"/>
      <c r="I87" s="664">
        <v>0</v>
      </c>
      <c r="J87" s="664">
        <v>0</v>
      </c>
      <c r="K87" s="664">
        <v>0</v>
      </c>
      <c r="L87" s="664">
        <v>0</v>
      </c>
      <c r="M87" s="664">
        <v>0</v>
      </c>
      <c r="N87" s="664">
        <v>0</v>
      </c>
      <c r="O87" s="664">
        <v>0</v>
      </c>
      <c r="P87" s="664">
        <v>0</v>
      </c>
      <c r="Q87" s="664">
        <v>0</v>
      </c>
      <c r="R87" s="664">
        <v>0</v>
      </c>
      <c r="S87" s="664">
        <v>0</v>
      </c>
      <c r="T87" s="664">
        <v>0</v>
      </c>
      <c r="U87" s="664">
        <v>0</v>
      </c>
      <c r="V87" s="664">
        <v>0</v>
      </c>
      <c r="W87" s="664">
        <v>0</v>
      </c>
      <c r="X87" s="664">
        <v>0</v>
      </c>
      <c r="Y87" s="664">
        <v>0</v>
      </c>
      <c r="Z87" s="664">
        <v>0</v>
      </c>
      <c r="AA87" s="664">
        <v>0</v>
      </c>
      <c r="AB87" s="664">
        <v>0</v>
      </c>
      <c r="AC87" s="664">
        <v>0</v>
      </c>
      <c r="AD87" s="664">
        <v>0</v>
      </c>
      <c r="AE87" s="4643">
        <v>0</v>
      </c>
      <c r="AF87" s="4643">
        <v>0</v>
      </c>
      <c r="AG87" s="4643">
        <v>0</v>
      </c>
      <c r="AH87" s="397" t="str">
        <f>FHD_NOTE_P_21</f>
        <v/>
      </c>
      <c r="AI87" s="1732" t="str">
        <f>IF((LEN(E87)-LEN(SUBSTITUTE(E87,".","")))/LEN(".")=1,"p","")</f>
        <v/>
      </c>
      <c r="AJ87" s="1732"/>
      <c r="AK87" s="1732"/>
      <c r="AP87" s="1732"/>
      <c r="AS87" s="651"/>
      <c r="AY87" s="1728"/>
      <c r="AZ87" s="1728"/>
      <c r="BA87" s="1728"/>
      <c r="BB87" s="1728"/>
      <c r="BC87" s="1728"/>
      <c r="BD87" s="1256">
        <v>11</v>
      </c>
    </row>
    <row s="10306" customFormat="1" customHeight="1" ht="11.549999999999999">
      <c r="A88" s="1087"/>
      <c r="C88" s="1732"/>
      <c r="D88" s="1734"/>
      <c r="E88" s="653" t="str">
        <f>FHD_NUM_P_22</f>
        <v>2.9</v>
      </c>
      <c r="F88" s="1620" t="str">
        <f>FHD_P_22</f>
        <v>Расходы на аренду имущества, используемого для осуществления регулируемого вида деятельности</v>
      </c>
      <c r="G88" s="1972" t="s">
        <v>637</v>
      </c>
      <c r="H88" s="664"/>
      <c r="I88" s="664">
        <v>14922.61414</v>
      </c>
      <c r="J88" s="664">
        <v>1802.8</v>
      </c>
      <c r="K88" s="664">
        <v>0</v>
      </c>
      <c r="L88" s="664">
        <v>0</v>
      </c>
      <c r="M88" s="664">
        <v>0</v>
      </c>
      <c r="N88" s="664">
        <v>0</v>
      </c>
      <c r="O88" s="664">
        <v>171.71</v>
      </c>
      <c r="P88" s="664">
        <v>0</v>
      </c>
      <c r="Q88" s="664">
        <v>0</v>
      </c>
      <c r="R88" s="664">
        <v>0</v>
      </c>
      <c r="S88" s="664">
        <v>0</v>
      </c>
      <c r="T88" s="664">
        <v>0</v>
      </c>
      <c r="U88" s="664">
        <v>0</v>
      </c>
      <c r="V88" s="664">
        <v>0</v>
      </c>
      <c r="W88" s="664">
        <v>0</v>
      </c>
      <c r="X88" s="664">
        <v>0</v>
      </c>
      <c r="Y88" s="664">
        <v>0</v>
      </c>
      <c r="Z88" s="664">
        <v>0</v>
      </c>
      <c r="AA88" s="664">
        <v>0</v>
      </c>
      <c r="AB88" s="664">
        <v>35</v>
      </c>
      <c r="AC88" s="664">
        <v>0</v>
      </c>
      <c r="AD88" s="664">
        <v>0</v>
      </c>
      <c r="AE88" s="4643">
        <v>0</v>
      </c>
      <c r="AF88" s="4643">
        <v>0</v>
      </c>
      <c r="AG88" s="4643">
        <v>0</v>
      </c>
      <c r="AH88" s="397" t="str">
        <f>FHD_NOTE_P_22</f>
        <v/>
      </c>
      <c r="AI88" s="1732" t="str">
        <f>IF((LEN(E88)-LEN(SUBSTITUTE(E88,".","")))/LEN(".")=1,"p","")</f>
        <v>p</v>
      </c>
      <c r="AJ88" s="1732"/>
      <c r="AK88" s="1732"/>
      <c r="AP88" s="1732"/>
      <c r="AS88" s="651"/>
      <c r="AY88" s="1728"/>
      <c r="AZ88" s="1728"/>
      <c r="BA88" s="1728"/>
      <c r="BB88" s="1728"/>
      <c r="BC88" s="1728"/>
      <c r="BD88" s="1256">
        <v>11</v>
      </c>
    </row>
    <row s="10306" customFormat="1" customHeight="1" ht="11.549999999999999">
      <c r="A89" s="1087"/>
      <c r="C89" s="1732"/>
      <c r="D89" s="682"/>
      <c r="E89" s="653" t="str">
        <f>FHD_NUM_P_23</f>
        <v>2.10</v>
      </c>
      <c r="F89" s="1620" t="str">
        <f>FHD_P_23</f>
        <v>Общепроизводственные расходы, в том числе:</v>
      </c>
      <c r="G89" s="1972" t="s">
        <v>637</v>
      </c>
      <c r="H89" s="664"/>
      <c r="I89" s="664">
        <v>112583.55563</v>
      </c>
      <c r="J89" s="664">
        <v>153902.6</v>
      </c>
      <c r="K89" s="664">
        <v>111831.01</v>
      </c>
      <c r="L89" s="664">
        <v>81822.89</v>
      </c>
      <c r="M89" s="664">
        <v>68444.56</v>
      </c>
      <c r="N89" s="664">
        <v>17596.86</v>
      </c>
      <c r="O89" s="664">
        <v>71861.05</v>
      </c>
      <c r="P89" s="664">
        <v>86052.4</v>
      </c>
      <c r="Q89" s="664">
        <v>56842.42</v>
      </c>
      <c r="R89" s="664">
        <v>1646.6</v>
      </c>
      <c r="S89" s="664">
        <v>1046.87</v>
      </c>
      <c r="T89" s="664">
        <v>7554.61</v>
      </c>
      <c r="U89" s="664">
        <v>1239</v>
      </c>
      <c r="V89" s="664">
        <v>0</v>
      </c>
      <c r="W89" s="664">
        <v>244814.82</v>
      </c>
      <c r="X89" s="664">
        <v>25537.07</v>
      </c>
      <c r="Y89" s="664">
        <v>78808.3</v>
      </c>
      <c r="Z89" s="664">
        <v>44025.86</v>
      </c>
      <c r="AA89" s="664">
        <v>64148.93</v>
      </c>
      <c r="AB89" s="664">
        <v>1266146.74</v>
      </c>
      <c r="AC89" s="664">
        <v>2296977.83</v>
      </c>
      <c r="AD89" s="664">
        <v>321065.12</v>
      </c>
      <c r="AE89" s="4643">
        <v>563.34</v>
      </c>
      <c r="AF89" s="4643">
        <v>17438.52</v>
      </c>
      <c r="AG89" s="4643">
        <v>683.24</v>
      </c>
      <c r="AH89" s="397" t="str">
        <f>FHD_NOTE_P_23</f>
        <v>Указывается общая сумма общепроизводственных расходов.</v>
      </c>
      <c r="AI89" s="1732" t="str">
        <f>IF((LEN(E89)-LEN(SUBSTITUTE(E89,".","")))/LEN(".")=1,"p","")</f>
        <v>p</v>
      </c>
      <c r="AJ89" s="1732"/>
      <c r="AK89" s="1732"/>
      <c r="AP89" s="1732"/>
      <c r="AS89" s="651"/>
      <c r="AY89" s="1728"/>
      <c r="AZ89" s="1728"/>
      <c r="BA89" s="1728"/>
      <c r="BB89" s="1728"/>
      <c r="BC89" s="1728"/>
      <c r="BD89" s="1256">
        <v>11</v>
      </c>
    </row>
    <row s="10306" customFormat="1" customHeight="1" ht="11.549999999999999">
      <c r="A90" s="1087"/>
      <c r="C90" s="1732"/>
      <c r="D90" s="682"/>
      <c r="E90" s="653" t="str">
        <f>FHD_NUM_P_24</f>
        <v>2.10.1</v>
      </c>
      <c r="F90" s="1746" t="str">
        <f>FHD_P_24</f>
        <v>Расходы на текущий ремонт</v>
      </c>
      <c r="G90" s="1972" t="s">
        <v>637</v>
      </c>
      <c r="H90" s="664"/>
      <c r="I90" s="664">
        <v>0</v>
      </c>
      <c r="J90" s="664">
        <v>0</v>
      </c>
      <c r="K90" s="664">
        <v>0</v>
      </c>
      <c r="L90" s="664">
        <v>0</v>
      </c>
      <c r="M90" s="664">
        <v>0</v>
      </c>
      <c r="N90" s="664">
        <v>0</v>
      </c>
      <c r="O90" s="664">
        <v>0</v>
      </c>
      <c r="P90" s="664">
        <v>0</v>
      </c>
      <c r="Q90" s="664">
        <v>0</v>
      </c>
      <c r="R90" s="664">
        <v>0</v>
      </c>
      <c r="S90" s="664">
        <v>0</v>
      </c>
      <c r="T90" s="664">
        <v>0</v>
      </c>
      <c r="U90" s="664">
        <v>0</v>
      </c>
      <c r="V90" s="664">
        <v>0</v>
      </c>
      <c r="W90" s="664">
        <v>0</v>
      </c>
      <c r="X90" s="664">
        <v>0</v>
      </c>
      <c r="Y90" s="664">
        <v>0</v>
      </c>
      <c r="Z90" s="664">
        <v>0</v>
      </c>
      <c r="AA90" s="664">
        <v>0</v>
      </c>
      <c r="AB90" s="664">
        <v>0</v>
      </c>
      <c r="AC90" s="664">
        <v>0</v>
      </c>
      <c r="AD90" s="664">
        <v>0</v>
      </c>
      <c r="AE90" s="4643">
        <v>0</v>
      </c>
      <c r="AF90" s="4643">
        <v>0</v>
      </c>
      <c r="AG90" s="4643">
        <v>0</v>
      </c>
      <c r="AH90" s="397" t="str">
        <f>FHD_NOTE_P_24</f>
        <v>Указываются расходы на текущий ремонт, отнесенные к общепроизводственным расходам.</v>
      </c>
      <c r="AI90" s="1732" t="str">
        <f>IF((LEN(E90)-LEN(SUBSTITUTE(E90,".","")))/LEN(".")=1,"p","")</f>
        <v/>
      </c>
      <c r="AJ90" s="1732"/>
      <c r="AK90" s="1732"/>
      <c r="AP90" s="1732"/>
      <c r="AS90" s="651"/>
      <c r="AY90" s="1728"/>
      <c r="AZ90" s="1728"/>
      <c r="BA90" s="1728"/>
      <c r="BB90" s="1728"/>
      <c r="BC90" s="1728"/>
      <c r="BD90" s="1256">
        <v>11</v>
      </c>
    </row>
    <row s="10306" customFormat="1" customHeight="1" ht="11.549999999999999">
      <c r="A91" s="1087"/>
      <c r="C91" s="1732"/>
      <c r="D91" s="682"/>
      <c r="E91" s="653" t="str">
        <f>FHD_NUM_P_25</f>
        <v>2.10.2</v>
      </c>
      <c r="F91" s="1746" t="str">
        <f>FHD_P_25</f>
        <v>Расходы на капитальный ремонт</v>
      </c>
      <c r="G91" s="1972" t="s">
        <v>637</v>
      </c>
      <c r="H91" s="664"/>
      <c r="I91" s="664">
        <v>0</v>
      </c>
      <c r="J91" s="664">
        <v>0</v>
      </c>
      <c r="K91" s="664">
        <v>0</v>
      </c>
      <c r="L91" s="664">
        <v>0</v>
      </c>
      <c r="M91" s="664">
        <v>0</v>
      </c>
      <c r="N91" s="664">
        <v>0</v>
      </c>
      <c r="O91" s="664">
        <v>0</v>
      </c>
      <c r="P91" s="664">
        <v>0</v>
      </c>
      <c r="Q91" s="664">
        <v>0</v>
      </c>
      <c r="R91" s="664">
        <v>0</v>
      </c>
      <c r="S91" s="664">
        <v>0</v>
      </c>
      <c r="T91" s="664">
        <v>0</v>
      </c>
      <c r="U91" s="664">
        <v>0</v>
      </c>
      <c r="V91" s="664">
        <v>0</v>
      </c>
      <c r="W91" s="664">
        <v>0</v>
      </c>
      <c r="X91" s="664">
        <v>0</v>
      </c>
      <c r="Y91" s="664">
        <v>0</v>
      </c>
      <c r="Z91" s="664">
        <v>0</v>
      </c>
      <c r="AA91" s="664">
        <v>0</v>
      </c>
      <c r="AB91" s="664">
        <v>0</v>
      </c>
      <c r="AC91" s="664">
        <v>0</v>
      </c>
      <c r="AD91" s="664">
        <v>0</v>
      </c>
      <c r="AE91" s="4643">
        <v>0</v>
      </c>
      <c r="AF91" s="4643">
        <v>0</v>
      </c>
      <c r="AG91" s="4643">
        <v>0</v>
      </c>
      <c r="AH91" s="397" t="str">
        <f>FHD_NOTE_P_25</f>
        <v>Указываются расходы на капитальный ремонт, отнесенные к общепроизводственным расходам.</v>
      </c>
      <c r="AI91" s="1732" t="str">
        <f>IF((LEN(E91)-LEN(SUBSTITUTE(E91,".","")))/LEN(".")=1,"p","")</f>
        <v/>
      </c>
      <c r="AJ91" s="1732"/>
      <c r="AK91" s="1732"/>
      <c r="AP91" s="1732"/>
      <c r="AS91" s="651"/>
      <c r="AY91" s="1728"/>
      <c r="AZ91" s="1728"/>
      <c r="BA91" s="1728"/>
      <c r="BB91" s="1728"/>
      <c r="BC91" s="1728"/>
      <c r="BD91" s="1256">
        <v>11</v>
      </c>
    </row>
    <row s="10306" customFormat="1" customHeight="1" ht="11.549999999999999">
      <c r="A92" s="1087"/>
      <c r="C92" s="1732"/>
      <c r="D92" s="1734"/>
      <c r="E92" s="653" t="str">
        <f>FHD_NUM_P_26</f>
        <v>2.11</v>
      </c>
      <c r="F92" s="1620" t="str">
        <f>FHD_P_26</f>
        <v>Общехозяйственные расходы, в том числе:</v>
      </c>
      <c r="G92" s="1972" t="s">
        <v>637</v>
      </c>
      <c r="H92" s="664"/>
      <c r="I92" s="664">
        <v>4318.03374</v>
      </c>
      <c r="J92" s="664">
        <v>3631.22</v>
      </c>
      <c r="K92" s="664">
        <v>2939.39</v>
      </c>
      <c r="L92" s="664">
        <v>2769.48</v>
      </c>
      <c r="M92" s="664">
        <v>2158.05</v>
      </c>
      <c r="N92" s="664">
        <v>176.94</v>
      </c>
      <c r="O92" s="664">
        <v>1262.82</v>
      </c>
      <c r="P92" s="664">
        <v>5109.57</v>
      </c>
      <c r="Q92" s="664">
        <v>1697.78</v>
      </c>
      <c r="R92" s="664">
        <v>471.57</v>
      </c>
      <c r="S92" s="664">
        <v>17.29</v>
      </c>
      <c r="T92" s="664">
        <v>519.26</v>
      </c>
      <c r="U92" s="664">
        <v>26.82</v>
      </c>
      <c r="V92" s="664">
        <v>108.18</v>
      </c>
      <c r="W92" s="664">
        <v>4017.58</v>
      </c>
      <c r="X92" s="664">
        <v>393.05</v>
      </c>
      <c r="Y92" s="664">
        <v>0</v>
      </c>
      <c r="Z92" s="664">
        <v>329.7</v>
      </c>
      <c r="AA92" s="664">
        <v>1064.42</v>
      </c>
      <c r="AB92" s="664">
        <v>11722.66</v>
      </c>
      <c r="AC92" s="664">
        <v>23281.26</v>
      </c>
      <c r="AD92" s="664">
        <v>6402.13</v>
      </c>
      <c r="AE92" s="4643">
        <v>11.15</v>
      </c>
      <c r="AF92" s="4643">
        <v>309.76</v>
      </c>
      <c r="AG92" s="4643">
        <v>6.54</v>
      </c>
      <c r="AH92" s="397" t="str">
        <f>FHD_NOTE_P_26</f>
        <v>Указывается общая сумма общехозяйственных расходов.</v>
      </c>
      <c r="AI92" s="1732" t="str">
        <f>IF((LEN(E92)-LEN(SUBSTITUTE(E92,".","")))/LEN(".")=1,"p","")</f>
        <v>p</v>
      </c>
      <c r="AJ92" s="1732"/>
      <c r="AK92" s="1732"/>
      <c r="AP92" s="1732"/>
      <c r="AS92" s="651"/>
      <c r="AY92" s="1728"/>
      <c r="AZ92" s="1728"/>
      <c r="BA92" s="1728"/>
      <c r="BB92" s="1728"/>
      <c r="BC92" s="1728"/>
      <c r="BD92" s="1256">
        <v>11</v>
      </c>
    </row>
    <row s="10306" customFormat="1" customHeight="1" ht="11.549999999999999">
      <c r="A93" s="1087"/>
      <c r="C93" s="1732"/>
      <c r="D93" s="1734"/>
      <c r="E93" s="653" t="str">
        <f>FHD_NUM_P_27</f>
        <v>2.11.1</v>
      </c>
      <c r="F93" s="1746" t="str">
        <f>FHD_P_27</f>
        <v>Расходы на текущий ремонт</v>
      </c>
      <c r="G93" s="1972" t="s">
        <v>637</v>
      </c>
      <c r="H93" s="664"/>
      <c r="I93" s="664">
        <v>0</v>
      </c>
      <c r="J93" s="664">
        <v>0</v>
      </c>
      <c r="K93" s="664">
        <v>0</v>
      </c>
      <c r="L93" s="664">
        <v>0</v>
      </c>
      <c r="M93" s="664">
        <v>0</v>
      </c>
      <c r="N93" s="664">
        <v>0</v>
      </c>
      <c r="O93" s="664">
        <v>0</v>
      </c>
      <c r="P93" s="664">
        <v>0</v>
      </c>
      <c r="Q93" s="664">
        <v>0</v>
      </c>
      <c r="R93" s="664">
        <v>0</v>
      </c>
      <c r="S93" s="664">
        <v>0</v>
      </c>
      <c r="T93" s="664">
        <v>0</v>
      </c>
      <c r="U93" s="664">
        <v>0</v>
      </c>
      <c r="V93" s="664">
        <v>0</v>
      </c>
      <c r="W93" s="664">
        <v>0</v>
      </c>
      <c r="X93" s="664">
        <v>0</v>
      </c>
      <c r="Y93" s="664">
        <v>0</v>
      </c>
      <c r="Z93" s="664">
        <v>0</v>
      </c>
      <c r="AA93" s="664">
        <v>0</v>
      </c>
      <c r="AB93" s="664">
        <v>0</v>
      </c>
      <c r="AC93" s="664">
        <v>0</v>
      </c>
      <c r="AD93" s="664">
        <v>0</v>
      </c>
      <c r="AE93" s="4643">
        <v>0</v>
      </c>
      <c r="AF93" s="4643">
        <v>0</v>
      </c>
      <c r="AG93" s="4643">
        <v>0</v>
      </c>
      <c r="AH93" s="397" t="str">
        <f>FHD_NOTE_P_27</f>
        <v>Указываются расходы на текущий ремонт, отнесенные к общехозяйственным расходам.</v>
      </c>
      <c r="AI93" s="1732" t="str">
        <f>IF((LEN(E93)-LEN(SUBSTITUTE(E93,".","")))/LEN(".")=1,"p","")</f>
        <v/>
      </c>
      <c r="AJ93" s="1732"/>
      <c r="AK93" s="1732"/>
      <c r="AP93" s="1732"/>
      <c r="AS93" s="651"/>
      <c r="AY93" s="1728"/>
      <c r="AZ93" s="1728"/>
      <c r="BA93" s="1728"/>
      <c r="BB93" s="1728"/>
      <c r="BC93" s="1728"/>
      <c r="BD93" s="1256">
        <v>11</v>
      </c>
    </row>
    <row s="10306" customFormat="1" customHeight="1" ht="11.549999999999999">
      <c r="A94" s="1087"/>
      <c r="C94" s="1732"/>
      <c r="D94" s="1734"/>
      <c r="E94" s="653" t="str">
        <f>FHD_NUM_P_28</f>
        <v>2.11.2</v>
      </c>
      <c r="F94" s="1746" t="str">
        <f>FHD_P_28</f>
        <v>Расходы на капитальный ремонт</v>
      </c>
      <c r="G94" s="1972" t="s">
        <v>637</v>
      </c>
      <c r="H94" s="664"/>
      <c r="I94" s="664">
        <v>0</v>
      </c>
      <c r="J94" s="664">
        <v>0</v>
      </c>
      <c r="K94" s="664">
        <v>0</v>
      </c>
      <c r="L94" s="664">
        <v>0</v>
      </c>
      <c r="M94" s="664">
        <v>0</v>
      </c>
      <c r="N94" s="664">
        <v>0</v>
      </c>
      <c r="O94" s="664">
        <v>0</v>
      </c>
      <c r="P94" s="664">
        <v>0</v>
      </c>
      <c r="Q94" s="664">
        <v>0</v>
      </c>
      <c r="R94" s="664">
        <v>0</v>
      </c>
      <c r="S94" s="664">
        <v>0</v>
      </c>
      <c r="T94" s="664">
        <v>0</v>
      </c>
      <c r="U94" s="664">
        <v>0</v>
      </c>
      <c r="V94" s="664">
        <v>0</v>
      </c>
      <c r="W94" s="664">
        <v>0</v>
      </c>
      <c r="X94" s="664">
        <v>0</v>
      </c>
      <c r="Y94" s="664">
        <v>0</v>
      </c>
      <c r="Z94" s="664">
        <v>0</v>
      </c>
      <c r="AA94" s="664">
        <v>0</v>
      </c>
      <c r="AB94" s="664">
        <v>0</v>
      </c>
      <c r="AC94" s="664">
        <v>0</v>
      </c>
      <c r="AD94" s="664">
        <v>0</v>
      </c>
      <c r="AE94" s="4643">
        <v>0</v>
      </c>
      <c r="AF94" s="4643">
        <v>0</v>
      </c>
      <c r="AG94" s="4643">
        <v>0</v>
      </c>
      <c r="AH94" s="397" t="str">
        <f>FHD_NOTE_P_28</f>
        <v>Указываются расходы на капитальный ремонт, отнесенные к общехозяйственным расходам.</v>
      </c>
      <c r="AI94" s="1732" t="str">
        <f>IF((LEN(E94)-LEN(SUBSTITUTE(E94,".","")))/LEN(".")=1,"p","")</f>
        <v/>
      </c>
      <c r="AJ94" s="1732"/>
      <c r="AK94" s="1732"/>
      <c r="AP94" s="1732"/>
      <c r="AS94" s="651"/>
      <c r="AY94" s="1728"/>
      <c r="AZ94" s="1728"/>
      <c r="BA94" s="1728"/>
      <c r="BB94" s="1728"/>
      <c r="BC94" s="1728"/>
      <c r="BD94" s="1256">
        <v>11</v>
      </c>
    </row>
    <row s="10306" customFormat="1" customHeight="1" ht="11.549999999999999">
      <c r="A95" s="1087"/>
      <c r="C95" s="1732"/>
      <c r="D95" s="1734"/>
      <c r="E95" s="653" t="str">
        <f>FHD_NUM_P_29</f>
        <v>2.12</v>
      </c>
      <c r="F95" s="1620" t="str">
        <f>FHD_P_29</f>
        <v>Расходы на капитальный и текущий ремонт основных средств</v>
      </c>
      <c r="G95" s="1972" t="s">
        <v>637</v>
      </c>
      <c r="H95" s="664"/>
      <c r="I95" s="664">
        <v>312768.26904</v>
      </c>
      <c r="J95" s="664">
        <v>174704.88</v>
      </c>
      <c r="K95" s="664">
        <v>147532.55</v>
      </c>
      <c r="L95" s="664">
        <v>40793.52</v>
      </c>
      <c r="M95" s="664">
        <v>83949.14</v>
      </c>
      <c r="N95" s="664">
        <v>455.7</v>
      </c>
      <c r="O95" s="664">
        <v>28248.81</v>
      </c>
      <c r="P95" s="664">
        <v>7535.42</v>
      </c>
      <c r="Q95" s="664">
        <v>3486.88</v>
      </c>
      <c r="R95" s="664">
        <v>0</v>
      </c>
      <c r="S95" s="664">
        <v>0</v>
      </c>
      <c r="T95" s="664">
        <v>0</v>
      </c>
      <c r="U95" s="664">
        <v>280.36</v>
      </c>
      <c r="V95" s="664">
        <v>0</v>
      </c>
      <c r="W95" s="664">
        <v>56785.13</v>
      </c>
      <c r="X95" s="664">
        <v>725.88</v>
      </c>
      <c r="Y95" s="664">
        <v>24984.32</v>
      </c>
      <c r="Z95" s="664">
        <v>2300.18</v>
      </c>
      <c r="AA95" s="664">
        <v>12062</v>
      </c>
      <c r="AB95" s="664">
        <v>99490.78</v>
      </c>
      <c r="AC95" s="664">
        <v>159932.51</v>
      </c>
      <c r="AD95" s="664">
        <v>45063.85</v>
      </c>
      <c r="AE95" s="4643">
        <v>0</v>
      </c>
      <c r="AF95" s="4643">
        <v>2409.58</v>
      </c>
      <c r="AG95" s="4643">
        <v>0</v>
      </c>
      <c r="AH95" s="39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I95" s="1732" t="str">
        <f>IF((LEN(E95)-LEN(SUBSTITUTE(E95,".","")))/LEN(".")=1,"p","")</f>
        <v>p</v>
      </c>
      <c r="AJ95" s="1732"/>
      <c r="AK95" s="1732"/>
      <c r="AP95" s="1732"/>
      <c r="AS95" s="651"/>
      <c r="AY95" s="1728"/>
      <c r="AZ95" s="1728"/>
      <c r="BA95" s="1728"/>
      <c r="BB95" s="1728"/>
      <c r="BC95" s="1728"/>
      <c r="BD95" s="1256">
        <v>11</v>
      </c>
    </row>
    <row s="10306" customFormat="1" customHeight="1" ht="11.549999999999999">
      <c r="A96" s="1087"/>
      <c r="C96" s="1732"/>
      <c r="D96" s="1734"/>
      <c r="E96" s="653" t="str">
        <f>FHD_NUM_P_30</f>
        <v>2.12.1</v>
      </c>
      <c r="F96" s="174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96" s="1972" t="s">
        <v>391</v>
      </c>
      <c r="H96" s="1745" t="s">
        <v>669</v>
      </c>
      <c r="I96" s="1745" t="s">
        <v>669</v>
      </c>
      <c r="J96" s="2193" t="s">
        <v>669</v>
      </c>
      <c r="K96" s="2193" t="s">
        <v>669</v>
      </c>
      <c r="L96" s="2193" t="s">
        <v>669</v>
      </c>
      <c r="M96" s="2193" t="s">
        <v>669</v>
      </c>
      <c r="N96" s="2193" t="s">
        <v>669</v>
      </c>
      <c r="O96" s="2193" t="s">
        <v>669</v>
      </c>
      <c r="P96" s="2193" t="s">
        <v>669</v>
      </c>
      <c r="Q96" s="2193" t="s">
        <v>669</v>
      </c>
      <c r="R96" s="2193" t="s">
        <v>669</v>
      </c>
      <c r="S96" s="2193" t="s">
        <v>669</v>
      </c>
      <c r="T96" s="2193" t="s">
        <v>669</v>
      </c>
      <c r="U96" s="2193" t="s">
        <v>669</v>
      </c>
      <c r="V96" s="2193" t="s">
        <v>669</v>
      </c>
      <c r="W96" s="2193" t="s">
        <v>669</v>
      </c>
      <c r="X96" s="2193" t="s">
        <v>669</v>
      </c>
      <c r="Y96" s="2193" t="s">
        <v>669</v>
      </c>
      <c r="Z96" s="2193" t="s">
        <v>669</v>
      </c>
      <c r="AA96" s="2193" t="s">
        <v>669</v>
      </c>
      <c r="AB96" s="2193" t="s">
        <v>669</v>
      </c>
      <c r="AC96" s="2193" t="s">
        <v>669</v>
      </c>
      <c r="AD96" s="2193" t="s">
        <v>669</v>
      </c>
      <c r="AE96" s="4707" t="s">
        <v>669</v>
      </c>
      <c r="AF96" s="4707" t="s">
        <v>669</v>
      </c>
      <c r="AG96" s="4707" t="s">
        <v>669</v>
      </c>
      <c r="AH96" s="397" t="str">
        <f>FHD_NOTE_P_30</f>
        <v/>
      </c>
      <c r="AI96" s="1732" t="str">
        <f>IF((LEN(E96)-LEN(SUBSTITUTE(E96,".","")))/LEN(".")=1,"p","")</f>
        <v/>
      </c>
      <c r="AJ96" s="1732">
        <f>_xlfn.IFERROR(MATCH("есть",B_FHD_FLAG_INDEX_1,0),0)</f>
        <v>0</v>
      </c>
      <c r="AK96" s="1732"/>
      <c r="AP96" s="1732"/>
      <c r="AS96" s="651"/>
      <c r="AY96" s="1728"/>
      <c r="AZ96" s="1728"/>
      <c r="BA96" s="1728"/>
      <c r="BB96" s="1728"/>
      <c r="BC96" s="1728"/>
      <c r="BD96" s="1256">
        <v>11</v>
      </c>
    </row>
    <row s="10306" customFormat="1" customHeight="1" ht="23.25" hidden="1">
      <c r="A97" s="3200" t="s">
        <v>670</v>
      </c>
      <c r="C97" s="1732"/>
      <c r="D97" s="1734"/>
      <c r="E97" s="653" t="str">
        <f>FHD_NUM_P_31</f>
        <v/>
      </c>
      <c r="F97" s="1620" t="str">
        <f>FHD_P_31</f>
        <v/>
      </c>
      <c r="G97" s="1972" t="s">
        <v>637</v>
      </c>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4643"/>
      <c r="AF97" s="4643"/>
      <c r="AG97" s="4643"/>
      <c r="AH97" s="397" t="str">
        <f>FHD_NOTE_P_31</f>
        <v/>
      </c>
      <c r="AI97" s="1732" t="str">
        <f>IF((LEN(E97)-LEN(SUBSTITUTE(E97,".","")))/LEN(".")=1,"p","")</f>
        <v/>
      </c>
      <c r="AJ97" s="1732"/>
      <c r="AK97" s="1732"/>
      <c r="AP97" s="1732"/>
      <c r="AS97" s="651"/>
      <c r="AY97" s="1728"/>
      <c r="AZ97" s="1728"/>
      <c r="BA97" s="1728"/>
      <c r="BB97" s="1728"/>
      <c r="BC97" s="1728"/>
      <c r="BD97" s="1256">
        <v>22</v>
      </c>
    </row>
    <row s="10306" customFormat="1" customHeight="1" ht="47.25" hidden="1">
      <c r="A98" s="3200"/>
      <c r="C98" s="1732"/>
      <c r="D98" s="1734"/>
      <c r="E98" s="653" t="str">
        <f>FHD_NUM_P_32</f>
        <v/>
      </c>
      <c r="F98" s="1746" t="str">
        <f>FHD_P_32</f>
        <v/>
      </c>
      <c r="G98" s="1972" t="s">
        <v>391</v>
      </c>
      <c r="H98" s="1745" t="s">
        <v>669</v>
      </c>
      <c r="I98" s="1745" t="s">
        <v>669</v>
      </c>
      <c r="J98" s="2193" t="s">
        <v>669</v>
      </c>
      <c r="K98" s="2193" t="s">
        <v>669</v>
      </c>
      <c r="L98" s="2193" t="s">
        <v>669</v>
      </c>
      <c r="M98" s="2193" t="s">
        <v>669</v>
      </c>
      <c r="N98" s="2193" t="s">
        <v>669</v>
      </c>
      <c r="O98" s="2193" t="s">
        <v>669</v>
      </c>
      <c r="P98" s="2193" t="s">
        <v>669</v>
      </c>
      <c r="Q98" s="2193" t="s">
        <v>669</v>
      </c>
      <c r="R98" s="2193" t="s">
        <v>669</v>
      </c>
      <c r="S98" s="2193" t="s">
        <v>669</v>
      </c>
      <c r="T98" s="2193" t="s">
        <v>669</v>
      </c>
      <c r="U98" s="2193" t="s">
        <v>669</v>
      </c>
      <c r="V98" s="2193" t="s">
        <v>669</v>
      </c>
      <c r="W98" s="2193" t="s">
        <v>669</v>
      </c>
      <c r="X98" s="2193" t="s">
        <v>669</v>
      </c>
      <c r="Y98" s="2193" t="s">
        <v>669</v>
      </c>
      <c r="Z98" s="2193" t="s">
        <v>669</v>
      </c>
      <c r="AA98" s="2193" t="s">
        <v>669</v>
      </c>
      <c r="AB98" s="2193" t="s">
        <v>669</v>
      </c>
      <c r="AC98" s="2193" t="s">
        <v>669</v>
      </c>
      <c r="AD98" s="2193" t="s">
        <v>669</v>
      </c>
      <c r="AE98" s="4707" t="s">
        <v>669</v>
      </c>
      <c r="AF98" s="4707" t="s">
        <v>669</v>
      </c>
      <c r="AG98" s="4707" t="s">
        <v>669</v>
      </c>
      <c r="AH98" s="397" t="str">
        <f>FHD_NOTE_P_32</f>
        <v/>
      </c>
      <c r="AI98" s="1732" t="str">
        <f>IF((LEN(E98)-LEN(SUBSTITUTE(E98,".","")))/LEN(".")=1,"p","")</f>
        <v/>
      </c>
      <c r="AJ98" s="1732">
        <f>_xlfn.IFERROR(MATCH("есть",B_FHD_FLAG_INDEX_2,0),0)</f>
        <v>0</v>
      </c>
      <c r="AK98" s="1732"/>
      <c r="AP98" s="1732"/>
      <c r="AS98" s="651"/>
      <c r="AY98" s="1728"/>
      <c r="AZ98" s="1728"/>
      <c r="BA98" s="1728"/>
      <c r="BB98" s="1728"/>
      <c r="BC98" s="1728"/>
      <c r="BD98" s="1256">
        <v>45</v>
      </c>
    </row>
    <row s="10306" customFormat="1" customHeight="1" ht="11.549999999999999">
      <c r="A99" s="1087"/>
      <c r="C99" s="1732"/>
      <c r="D99" s="1734"/>
      <c r="E99" s="653" t="str">
        <f>FHD_NUM_P_33</f>
        <v>2.13</v>
      </c>
      <c r="F99" s="1620" t="str">
        <f>FHD_P_33</f>
        <v>Прочие расходы, которые подлежат отнесению на регулируемые виды деятельности в соответствии с законодательством Российской Федерации</v>
      </c>
      <c r="G99" s="1973" t="s">
        <v>637</v>
      </c>
      <c r="H99" s="686">
        <f>SUM(H100:H101)</f>
        <v>0</v>
      </c>
      <c r="I99" s="686">
        <f>SUM(I100:I101)</f>
        <v>0</v>
      </c>
      <c r="J99" s="686">
        <f>SUM(J100:J101)</f>
        <v>0</v>
      </c>
      <c r="K99" s="686">
        <f>SUM(K100:K101)</f>
        <v>0</v>
      </c>
      <c r="L99" s="686">
        <f>SUM(L100:L101)</f>
        <v>0</v>
      </c>
      <c r="M99" s="686">
        <f>SUM(M100:M101)</f>
        <v>0</v>
      </c>
      <c r="N99" s="686">
        <f>SUM(N100:N101)</f>
        <v>0</v>
      </c>
      <c r="O99" s="686">
        <f>SUM(O100:O101)</f>
        <v>0</v>
      </c>
      <c r="P99" s="686">
        <f>SUM(P100:P101)</f>
        <v>0</v>
      </c>
      <c r="Q99" s="686">
        <f>SUM(Q100:Q101)</f>
        <v>0</v>
      </c>
      <c r="R99" s="686">
        <f>SUM(R100:R101)</f>
        <v>0</v>
      </c>
      <c r="S99" s="686">
        <f>SUM(S100:S101)</f>
        <v>0</v>
      </c>
      <c r="T99" s="686">
        <f>SUM(T100:T101)</f>
        <v>0</v>
      </c>
      <c r="U99" s="686">
        <f>SUM(U100:U101)</f>
        <v>0</v>
      </c>
      <c r="V99" s="686">
        <f>SUM(V100:V101)</f>
        <v>0</v>
      </c>
      <c r="W99" s="686">
        <f>SUM(W100:W101)</f>
        <v>0</v>
      </c>
      <c r="X99" s="686">
        <f>SUM(X100:X101)</f>
        <v>0</v>
      </c>
      <c r="Y99" s="686">
        <f>SUM(Y100:Y101)</f>
        <v>0</v>
      </c>
      <c r="Z99" s="686">
        <f>SUM(Z100:Z101)</f>
        <v>0</v>
      </c>
      <c r="AA99" s="686">
        <f>SUM(AA100:AA101)</f>
        <v>0</v>
      </c>
      <c r="AB99" s="686">
        <f>SUM(AB100:AB101)</f>
        <v>0</v>
      </c>
      <c r="AC99" s="686">
        <f>SUM(AC100:AC101)</f>
        <v>0</v>
      </c>
      <c r="AD99" s="686">
        <f>SUM(AD100:AD101)</f>
        <v>0</v>
      </c>
      <c r="AE99" s="4710">
        <f>SUM(AE100:AE101)</f>
        <v>0</v>
      </c>
      <c r="AF99" s="4710">
        <f>SUM(AF100:AF101)</f>
        <v>0</v>
      </c>
      <c r="AG99" s="4710">
        <f>SUM(AG100:AG101)</f>
        <v>0</v>
      </c>
      <c r="AH99" s="39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AI99" s="1732" t="str">
        <f>IF((LEN(E99)-LEN(SUBSTITUTE(E99,".","")))/LEN(".")=1,"p","")</f>
        <v>p</v>
      </c>
      <c r="AJ99" s="1732"/>
      <c r="AK99" s="1732"/>
      <c r="AP99" s="1732"/>
      <c r="AS99" s="651"/>
      <c r="AY99" s="1728"/>
      <c r="AZ99" s="1728"/>
      <c r="BA99" s="1728"/>
      <c r="BB99" s="1728"/>
      <c r="BC99" s="1728"/>
      <c r="BD99" s="1256">
        <v>11</v>
      </c>
    </row>
    <row s="10307" customFormat="1" customHeight="1" ht="1.05">
      <c r="A100" s="1263"/>
      <c r="D100" s="655"/>
      <c r="E100" s="1113" t="str">
        <f>E99&amp;".0"</f>
        <v>2.13.0</v>
      </c>
      <c r="F100" s="1091"/>
      <c r="G100" s="1113"/>
      <c r="H100" s="1092"/>
      <c r="I100" s="1092"/>
      <c r="J100" s="1092"/>
      <c r="K100" s="1092"/>
      <c r="L100" s="1092"/>
      <c r="M100" s="1092"/>
      <c r="N100" s="1092"/>
      <c r="O100" s="1092"/>
      <c r="P100" s="1092"/>
      <c r="Q100" s="1092"/>
      <c r="R100" s="1092"/>
      <c r="S100" s="1092"/>
      <c r="T100" s="1092"/>
      <c r="U100" s="1092"/>
      <c r="V100" s="1092"/>
      <c r="W100" s="1092"/>
      <c r="X100" s="1092"/>
      <c r="Y100" s="1092"/>
      <c r="Z100" s="1092"/>
      <c r="AA100" s="1092"/>
      <c r="AB100" s="1092"/>
      <c r="AC100" s="1092"/>
      <c r="AD100" s="1092"/>
      <c r="AE100" s="4713"/>
      <c r="AF100" s="4713"/>
      <c r="AG100" s="4713"/>
      <c r="AH100" s="1093"/>
      <c r="AI100" s="1732" t="str">
        <f>IF((LEN(E100)-LEN(SUBSTITUTE(E100,".","")))/LEN(".")=1,"p","")</f>
        <v/>
      </c>
      <c r="BD100" s="1732">
        <v>1</v>
      </c>
    </row>
    <row s="10306" customFormat="1" customHeight="1" ht="14.699999999999998">
      <c r="A101" s="1087"/>
      <c r="C101" s="1732"/>
      <c r="D101" s="1729"/>
      <c r="E101" s="677"/>
      <c r="F101" s="678" t="s">
        <v>671</v>
      </c>
      <c r="G101" s="679"/>
      <c r="H101" s="680"/>
      <c r="I101" s="680"/>
      <c r="J101" s="2239"/>
      <c r="K101" s="2240"/>
      <c r="L101" s="2241"/>
      <c r="M101" s="2242"/>
      <c r="N101" s="2243"/>
      <c r="O101" s="2244"/>
      <c r="P101" s="2245"/>
      <c r="Q101" s="2246"/>
      <c r="R101" s="2247"/>
      <c r="S101" s="2248"/>
      <c r="T101" s="2249"/>
      <c r="U101" s="2250"/>
      <c r="V101" s="2251"/>
      <c r="W101" s="2252"/>
      <c r="X101" s="2253"/>
      <c r="Y101" s="2254"/>
      <c r="Z101" s="2255"/>
      <c r="AA101" s="2256"/>
      <c r="AB101" s="2257"/>
      <c r="AC101" s="2258"/>
      <c r="AD101" s="2259"/>
      <c r="AE101" s="4736"/>
      <c r="AF101" s="4737"/>
      <c r="AG101" s="4738"/>
      <c r="AH101" s="409"/>
      <c r="AI101" s="1732"/>
      <c r="AJ101" s="1732"/>
      <c r="AK101" s="1732"/>
      <c r="AP101" s="1732"/>
      <c r="AS101" s="651"/>
      <c r="AY101" s="1728"/>
      <c r="AZ101" s="1728"/>
      <c r="BA101" s="1728"/>
      <c r="BB101" s="1728"/>
      <c r="BC101" s="1728"/>
      <c r="BD101" s="1256">
        <v>14</v>
      </c>
    </row>
    <row s="10306" customFormat="1" customHeight="1" ht="18.75">
      <c r="A102" s="1089" t="s">
        <v>672</v>
      </c>
      <c r="C102" s="1732"/>
      <c r="D102" s="1734"/>
      <c r="E102" s="653" t="str">
        <f>FHD_NUM_P_34</f>
        <v>3</v>
      </c>
      <c r="F102" s="1974" t="str">
        <f>FHD_P_34</f>
        <v>Валовая прибыль (убытки) от реализации товаров и оказания услуг по регулируемому виду деятельности</v>
      </c>
      <c r="G102" s="1972" t="s">
        <v>637</v>
      </c>
      <c r="H102" s="664"/>
      <c r="I102" s="664">
        <v>-2927417.3</v>
      </c>
      <c r="J102" s="664">
        <v>-3502196.84</v>
      </c>
      <c r="K102" s="664">
        <v>-1757993.42</v>
      </c>
      <c r="L102" s="664">
        <v>-1155586.14</v>
      </c>
      <c r="M102" s="664">
        <v>-920832.08</v>
      </c>
      <c r="N102" s="664">
        <v>-35615.19</v>
      </c>
      <c r="O102" s="664">
        <v>-364212.56</v>
      </c>
      <c r="P102" s="664">
        <v>-227937.05</v>
      </c>
      <c r="Q102" s="664">
        <v>-51110.36</v>
      </c>
      <c r="R102" s="664">
        <v>-11075.61</v>
      </c>
      <c r="S102" s="664">
        <v>-575</v>
      </c>
      <c r="T102" s="664">
        <v>-24402.95</v>
      </c>
      <c r="U102" s="664">
        <v>-1744.8</v>
      </c>
      <c r="V102" s="664">
        <v>-1094.72</v>
      </c>
      <c r="W102" s="664">
        <v>-1406876.37</v>
      </c>
      <c r="X102" s="664">
        <v>-158062.38</v>
      </c>
      <c r="Y102" s="664">
        <v>-410458.14</v>
      </c>
      <c r="Z102" s="664">
        <v>-31521.07</v>
      </c>
      <c r="AA102" s="664">
        <v>-165192.86</v>
      </c>
      <c r="AB102" s="664">
        <v>3724511.3</v>
      </c>
      <c r="AC102" s="664">
        <v>6794379.95</v>
      </c>
      <c r="AD102" s="664">
        <v>-1187.98</v>
      </c>
      <c r="AE102" s="4643">
        <v>-4298.71</v>
      </c>
      <c r="AF102" s="4643">
        <v>-6064.22</v>
      </c>
      <c r="AG102" s="4643">
        <v>241514.22</v>
      </c>
      <c r="AH102" s="397" t="str">
        <f>FHD_NOTE_P_34</f>
        <v/>
      </c>
      <c r="AI102" s="650"/>
      <c r="AJ102" s="1732"/>
      <c r="AK102" s="1732"/>
      <c r="AP102" s="1732"/>
      <c r="AS102" s="651"/>
      <c r="AY102" s="1728"/>
      <c r="AZ102" s="1728"/>
      <c r="BA102" s="1728"/>
      <c r="BB102" s="1728"/>
      <c r="BC102" s="1728"/>
      <c r="BD102" s="1256">
        <v>0</v>
      </c>
    </row>
    <row s="10306" customFormat="1" customHeight="1" ht="20.25">
      <c r="A103" s="1087"/>
      <c r="C103" s="1732"/>
      <c r="D103" s="682"/>
      <c r="E103" s="653" t="str">
        <f>FHD_NUM_P_35</f>
        <v>4</v>
      </c>
      <c r="F103" s="1974" t="str">
        <f>FHD_P_35</f>
        <v>Чистая прибыль, полученная от регулируемого вида деятельности, в том числе:</v>
      </c>
      <c r="G103" s="1972" t="s">
        <v>637</v>
      </c>
      <c r="H103" s="664"/>
      <c r="I103" s="664">
        <v>-3176717.66</v>
      </c>
      <c r="J103" s="664">
        <v>-3966738.78</v>
      </c>
      <c r="K103" s="664">
        <v>-1849502.77</v>
      </c>
      <c r="L103" s="664">
        <v>-1251255.85</v>
      </c>
      <c r="M103" s="664">
        <v>-1014521.8</v>
      </c>
      <c r="N103" s="664">
        <v>-34473.17</v>
      </c>
      <c r="O103" s="664">
        <v>-416580.21</v>
      </c>
      <c r="P103" s="664">
        <v>-215722.31</v>
      </c>
      <c r="Q103" s="664">
        <v>-63101.61</v>
      </c>
      <c r="R103" s="664">
        <v>-14918.51</v>
      </c>
      <c r="S103" s="664">
        <v>-492.2</v>
      </c>
      <c r="T103" s="664">
        <v>-30607.15</v>
      </c>
      <c r="U103" s="664">
        <v>-1926.45</v>
      </c>
      <c r="V103" s="664">
        <v>-5694.49</v>
      </c>
      <c r="W103" s="664">
        <v>-1510236.82</v>
      </c>
      <c r="X103" s="664">
        <v>-171446.14</v>
      </c>
      <c r="Y103" s="664">
        <v>-433362.72</v>
      </c>
      <c r="Z103" s="664">
        <v>-33907.29</v>
      </c>
      <c r="AA103" s="664">
        <v>-172155.04</v>
      </c>
      <c r="AB103" s="664">
        <v>3534547.41</v>
      </c>
      <c r="AC103" s="664">
        <v>6035709.17</v>
      </c>
      <c r="AD103" s="664">
        <v>-457841.86</v>
      </c>
      <c r="AE103" s="4643">
        <v>-4307.05</v>
      </c>
      <c r="AF103" s="4643">
        <v>-1309.32</v>
      </c>
      <c r="AG103" s="4643">
        <v>241512</v>
      </c>
      <c r="AH103" s="397" t="str">
        <f>FHD_NOTE_P_35</f>
        <v>Указывается общая сумма чистой прибыли, полученной от регулируемого вида деятельности.</v>
      </c>
      <c r="AI103" s="650"/>
      <c r="AJ103" s="1732"/>
      <c r="AK103" s="1732"/>
      <c r="AP103" s="1732"/>
      <c r="AS103" s="651"/>
      <c r="AY103" s="1728"/>
      <c r="AZ103" s="1728"/>
      <c r="BA103" s="1728"/>
      <c r="BB103" s="1728"/>
      <c r="BC103" s="1728"/>
      <c r="BD103" s="1256">
        <v>19</v>
      </c>
    </row>
    <row s="10306" customFormat="1" customHeight="1" ht="19.95">
      <c r="A104" s="1087"/>
      <c r="C104" s="1732"/>
      <c r="D104" s="1734"/>
      <c r="E104" s="653" t="str">
        <f>FHD_NUM_P_36</f>
        <v>4.1</v>
      </c>
      <c r="F104" s="1620" t="str">
        <f>FHD_P_36</f>
        <v>Размер расходования чистой прибыли на финансирование мероприятий, предусмотренных инвестиционной программой регулируемой организации</v>
      </c>
      <c r="G104" s="1972" t="s">
        <v>637</v>
      </c>
      <c r="H104" s="664"/>
      <c r="I104" s="664">
        <v>0</v>
      </c>
      <c r="J104" s="664">
        <v>0</v>
      </c>
      <c r="K104" s="664">
        <v>0</v>
      </c>
      <c r="L104" s="664">
        <v>0</v>
      </c>
      <c r="M104" s="664">
        <v>0</v>
      </c>
      <c r="N104" s="664">
        <v>0</v>
      </c>
      <c r="O104" s="664">
        <v>0</v>
      </c>
      <c r="P104" s="664">
        <v>0</v>
      </c>
      <c r="Q104" s="664">
        <v>0</v>
      </c>
      <c r="R104" s="664">
        <v>0</v>
      </c>
      <c r="S104" s="664">
        <v>0</v>
      </c>
      <c r="T104" s="664">
        <v>0</v>
      </c>
      <c r="U104" s="664">
        <v>0</v>
      </c>
      <c r="V104" s="664">
        <v>0</v>
      </c>
      <c r="W104" s="664">
        <v>0</v>
      </c>
      <c r="X104" s="664">
        <v>0</v>
      </c>
      <c r="Y104" s="664">
        <v>0</v>
      </c>
      <c r="Z104" s="664">
        <v>0</v>
      </c>
      <c r="AA104" s="664">
        <v>0</v>
      </c>
      <c r="AB104" s="664">
        <v>0</v>
      </c>
      <c r="AC104" s="664">
        <v>0</v>
      </c>
      <c r="AD104" s="664">
        <v>0</v>
      </c>
      <c r="AE104" s="4643">
        <v>0</v>
      </c>
      <c r="AF104" s="4643">
        <v>0</v>
      </c>
      <c r="AG104" s="4643">
        <v>0</v>
      </c>
      <c r="AH104" s="397" t="str">
        <f>FHD_NOTE_P_36</f>
        <v/>
      </c>
      <c r="AI104" s="650"/>
      <c r="AJ104" s="1732"/>
      <c r="AK104" s="1732"/>
      <c r="AP104" s="1732"/>
      <c r="AS104" s="651"/>
      <c r="AY104" s="1728"/>
      <c r="AZ104" s="1728"/>
      <c r="BA104" s="1728"/>
      <c r="BB104" s="1728"/>
      <c r="BC104" s="1728"/>
      <c r="BD104" s="1256">
        <v>19</v>
      </c>
    </row>
    <row s="10306" customFormat="1" customHeight="1" ht="20.25">
      <c r="A105" s="1087"/>
      <c r="C105" s="1732"/>
      <c r="D105" s="1734"/>
      <c r="E105" s="653" t="str">
        <f>FHD_NUM_P_37</f>
        <v>5</v>
      </c>
      <c r="F105" s="1974" t="str">
        <f>FHD_P_37</f>
        <v>Изменение стоимости основных фондов, в том числе:</v>
      </c>
      <c r="G105" s="1972" t="s">
        <v>637</v>
      </c>
      <c r="H105" s="664"/>
      <c r="I105" s="664">
        <v>189433.18</v>
      </c>
      <c r="J105" s="664">
        <v>3720529.83</v>
      </c>
      <c r="K105" s="664">
        <v>57741.61</v>
      </c>
      <c r="L105" s="664">
        <v>266503.05</v>
      </c>
      <c r="M105" s="664">
        <v>443884.65</v>
      </c>
      <c r="N105" s="664">
        <v>-434172.84</v>
      </c>
      <c r="O105" s="664">
        <v>270884.29</v>
      </c>
      <c r="P105" s="664">
        <v>0</v>
      </c>
      <c r="Q105" s="664">
        <v>0</v>
      </c>
      <c r="R105" s="664">
        <v>0</v>
      </c>
      <c r="S105" s="664">
        <v>0</v>
      </c>
      <c r="T105" s="664">
        <v>0</v>
      </c>
      <c r="U105" s="664">
        <v>0</v>
      </c>
      <c r="V105" s="664">
        <v>0</v>
      </c>
      <c r="W105" s="664">
        <v>85105</v>
      </c>
      <c r="X105" s="664">
        <v>0</v>
      </c>
      <c r="Y105" s="664">
        <v>0</v>
      </c>
      <c r="Z105" s="664">
        <v>0</v>
      </c>
      <c r="AA105" s="664">
        <v>0</v>
      </c>
      <c r="AB105" s="664">
        <v>246138</v>
      </c>
      <c r="AC105" s="664">
        <v>582449</v>
      </c>
      <c r="AD105" s="664">
        <v>46489126.35</v>
      </c>
      <c r="AE105" s="4643">
        <v>0</v>
      </c>
      <c r="AF105" s="4643">
        <v>0</v>
      </c>
      <c r="AG105" s="4643">
        <v>0</v>
      </c>
      <c r="AH105" s="397" t="str">
        <f>FHD_NOTE_P_37</f>
        <v>Указывается общее изменение стоимости основных фондов.</v>
      </c>
      <c r="AI105" s="650"/>
      <c r="AJ105" s="1732"/>
      <c r="AK105" s="1732"/>
      <c r="AP105" s="1732"/>
      <c r="AS105" s="651"/>
      <c r="AY105" s="1728"/>
      <c r="AZ105" s="1728"/>
      <c r="BA105" s="1728"/>
      <c r="BB105" s="1728"/>
      <c r="BC105" s="1728"/>
      <c r="BD105" s="1256">
        <v>19</v>
      </c>
    </row>
    <row s="10306" customFormat="1" customHeight="1" ht="20.25">
      <c r="A106" s="1087"/>
      <c r="C106" s="1732"/>
      <c r="D106" s="1734"/>
      <c r="E106" s="653" t="str">
        <f>FHD_NUM_P_38</f>
        <v>5.1</v>
      </c>
      <c r="F106" s="1620" t="str">
        <f>FHD_P_38</f>
        <v>Изменение стоимости основных фондов за счет:</v>
      </c>
      <c r="G106" s="1972" t="s">
        <v>637</v>
      </c>
      <c r="H106" s="664"/>
      <c r="I106" s="664">
        <v>189433.18</v>
      </c>
      <c r="J106" s="664">
        <v>3720529.83</v>
      </c>
      <c r="K106" s="664">
        <v>57741.61</v>
      </c>
      <c r="L106" s="664">
        <v>266503.05</v>
      </c>
      <c r="M106" s="664">
        <v>443884.65</v>
      </c>
      <c r="N106" s="664">
        <v>-434172.84</v>
      </c>
      <c r="O106" s="664">
        <v>270884.29</v>
      </c>
      <c r="P106" s="664">
        <v>0</v>
      </c>
      <c r="Q106" s="664">
        <v>0</v>
      </c>
      <c r="R106" s="664">
        <v>0</v>
      </c>
      <c r="S106" s="664">
        <v>0</v>
      </c>
      <c r="T106" s="664">
        <v>0</v>
      </c>
      <c r="U106" s="664">
        <v>0</v>
      </c>
      <c r="V106" s="664">
        <v>0</v>
      </c>
      <c r="W106" s="664">
        <v>85105</v>
      </c>
      <c r="X106" s="664">
        <v>0</v>
      </c>
      <c r="Y106" s="664">
        <v>0</v>
      </c>
      <c r="Z106" s="664">
        <v>0</v>
      </c>
      <c r="AA106" s="664">
        <v>0</v>
      </c>
      <c r="AB106" s="664">
        <v>246138</v>
      </c>
      <c r="AC106" s="664">
        <v>582449</v>
      </c>
      <c r="AD106" s="664">
        <v>46489126.35</v>
      </c>
      <c r="AE106" s="4643">
        <v>0</v>
      </c>
      <c r="AF106" s="4643">
        <v>0</v>
      </c>
      <c r="AG106" s="4643">
        <v>0</v>
      </c>
      <c r="AH106" s="397" t="str">
        <f>FHD_NOTE_P_38</f>
        <v>Указываются общее изменение стоимости основных фондов за счет их ввода в эксплуатацию и вывода из эксплуатации.</v>
      </c>
      <c r="AI106" s="650"/>
      <c r="AJ106" s="1732"/>
      <c r="AK106" s="1732"/>
      <c r="AP106" s="1732"/>
      <c r="AS106" s="651"/>
      <c r="AY106" s="1728"/>
      <c r="AZ106" s="1728"/>
      <c r="BA106" s="1728"/>
      <c r="BB106" s="1728"/>
      <c r="BC106" s="1728"/>
      <c r="BD106" s="1256">
        <v>19</v>
      </c>
    </row>
    <row s="10306" customFormat="1" customHeight="1" ht="20.25">
      <c r="A107" s="1087"/>
      <c r="C107" s="1732"/>
      <c r="D107" s="1734"/>
      <c r="E107" s="653" t="str">
        <f>FHD_NUM_P_39</f>
        <v>5.1.1</v>
      </c>
      <c r="F107" s="1746" t="str">
        <f>FHD_P_39</f>
        <v>Изменения стоимости основных фондов за счет их ввода в эксплуатацию</v>
      </c>
      <c r="G107" s="2163" t="s">
        <v>637</v>
      </c>
      <c r="H107" s="664"/>
      <c r="I107" s="664">
        <v>241359.72</v>
      </c>
      <c r="J107" s="664">
        <v>3727988.24</v>
      </c>
      <c r="K107" s="664">
        <v>161025.6</v>
      </c>
      <c r="L107" s="664">
        <v>266532.65</v>
      </c>
      <c r="M107" s="664">
        <v>443905.56</v>
      </c>
      <c r="N107" s="664">
        <v>0</v>
      </c>
      <c r="O107" s="664">
        <v>276412.02</v>
      </c>
      <c r="P107" s="664">
        <v>0</v>
      </c>
      <c r="Q107" s="664">
        <v>0</v>
      </c>
      <c r="R107" s="664">
        <v>0</v>
      </c>
      <c r="S107" s="664">
        <v>0</v>
      </c>
      <c r="T107" s="664">
        <v>0</v>
      </c>
      <c r="U107" s="664">
        <v>0</v>
      </c>
      <c r="V107" s="664">
        <v>0</v>
      </c>
      <c r="W107" s="664">
        <v>85105</v>
      </c>
      <c r="X107" s="664">
        <v>0</v>
      </c>
      <c r="Y107" s="664">
        <v>0</v>
      </c>
      <c r="Z107" s="664">
        <v>0</v>
      </c>
      <c r="AA107" s="664">
        <v>0</v>
      </c>
      <c r="AB107" s="664">
        <v>246138</v>
      </c>
      <c r="AC107" s="664">
        <v>658945</v>
      </c>
      <c r="AD107" s="664">
        <v>46489126.35</v>
      </c>
      <c r="AE107" s="4643">
        <v>0</v>
      </c>
      <c r="AF107" s="4643">
        <v>0</v>
      </c>
      <c r="AG107" s="4643">
        <v>0</v>
      </c>
      <c r="AH107" s="397" t="str">
        <f>FHD_NOTE_P_39</f>
        <v>Указываются изменение стоимости основных фондов за счет их ввода в эксплуатацию.</v>
      </c>
      <c r="AI107" s="650"/>
      <c r="AJ107" s="1732"/>
      <c r="AK107" s="1732"/>
      <c r="AP107" s="1732"/>
      <c r="AS107" s="651"/>
      <c r="AY107" s="1728"/>
      <c r="AZ107" s="1728"/>
      <c r="BA107" s="1728"/>
      <c r="BB107" s="1728"/>
      <c r="BC107" s="1728"/>
      <c r="BD107" s="1256">
        <v>19</v>
      </c>
    </row>
    <row s="10306" customFormat="1" customHeight="1" ht="20.25">
      <c r="A108" s="1087"/>
      <c r="C108" s="1732"/>
      <c r="D108" s="1734"/>
      <c r="E108" s="653" t="str">
        <f>FHD_NUM_P_40</f>
        <v>5.1.2</v>
      </c>
      <c r="F108" s="2167" t="str">
        <f>FHD_P_40</f>
        <v>Изменения стоимости основных фондов за счет их вывода в эксплуатацию</v>
      </c>
      <c r="G108" s="2162" t="s">
        <v>637</v>
      </c>
      <c r="H108" s="1076"/>
      <c r="I108" s="664">
        <v>51926.54</v>
      </c>
      <c r="J108" s="1076">
        <v>7458.4</v>
      </c>
      <c r="K108" s="1076">
        <v>103283.99</v>
      </c>
      <c r="L108" s="1076">
        <v>29.6</v>
      </c>
      <c r="M108" s="1076">
        <v>20.91</v>
      </c>
      <c r="N108" s="1076">
        <v>434172.84</v>
      </c>
      <c r="O108" s="1076">
        <v>5527.72</v>
      </c>
      <c r="P108" s="1076">
        <v>0</v>
      </c>
      <c r="Q108" s="1076">
        <v>0</v>
      </c>
      <c r="R108" s="1076">
        <v>0</v>
      </c>
      <c r="S108" s="1076">
        <v>0</v>
      </c>
      <c r="T108" s="1076">
        <v>0</v>
      </c>
      <c r="U108" s="1076">
        <v>0</v>
      </c>
      <c r="V108" s="1076">
        <v>0</v>
      </c>
      <c r="W108" s="1076">
        <v>0</v>
      </c>
      <c r="X108" s="1076">
        <v>0</v>
      </c>
      <c r="Y108" s="1076">
        <v>0</v>
      </c>
      <c r="Z108" s="1076">
        <v>0</v>
      </c>
      <c r="AA108" s="1076">
        <v>0</v>
      </c>
      <c r="AB108" s="1076">
        <v>0</v>
      </c>
      <c r="AC108" s="1076">
        <v>76496</v>
      </c>
      <c r="AD108" s="1076">
        <v>0</v>
      </c>
      <c r="AE108" s="4743">
        <v>0</v>
      </c>
      <c r="AF108" s="4743">
        <v>0</v>
      </c>
      <c r="AG108" s="4743">
        <v>0</v>
      </c>
      <c r="AH108" s="397" t="str">
        <f>FHD_NOTE_P_40</f>
        <v>Указываются изменение стоимости основных фондов за счет их вывода из эксплуатации.</v>
      </c>
      <c r="AI108" s="650"/>
      <c r="AJ108" s="1732"/>
      <c r="AK108" s="1732"/>
      <c r="AP108" s="1732"/>
      <c r="AS108" s="651"/>
      <c r="AY108" s="1728"/>
      <c r="AZ108" s="1728"/>
      <c r="BA108" s="1728"/>
      <c r="BB108" s="1728"/>
      <c r="BC108" s="1728"/>
      <c r="BD108" s="1256">
        <v>19</v>
      </c>
    </row>
    <row s="10306" customFormat="1" customHeight="1" ht="19.95">
      <c r="A109" s="1087"/>
      <c r="C109" s="1732"/>
      <c r="D109" s="1734"/>
      <c r="E109" s="653" t="str">
        <f>FHD_NUM_P_41</f>
        <v>5.2</v>
      </c>
      <c r="F109" s="2166" t="str">
        <f>FHD_P_41</f>
        <v>Изменение стоимости основных фондов за счет их переоценки</v>
      </c>
      <c r="G109" s="2162" t="s">
        <v>637</v>
      </c>
      <c r="H109" s="1076"/>
      <c r="I109" s="664">
        <v>0</v>
      </c>
      <c r="J109" s="1076">
        <v>0</v>
      </c>
      <c r="K109" s="1076">
        <v>0</v>
      </c>
      <c r="L109" s="1076">
        <v>0</v>
      </c>
      <c r="M109" s="1076">
        <v>0</v>
      </c>
      <c r="N109" s="1076">
        <v>0</v>
      </c>
      <c r="O109" s="1076">
        <v>0</v>
      </c>
      <c r="P109" s="1076">
        <v>0</v>
      </c>
      <c r="Q109" s="1076">
        <v>0</v>
      </c>
      <c r="R109" s="1076">
        <v>0</v>
      </c>
      <c r="S109" s="1076">
        <v>0</v>
      </c>
      <c r="T109" s="1076">
        <v>0</v>
      </c>
      <c r="U109" s="1076">
        <v>0</v>
      </c>
      <c r="V109" s="1076">
        <v>0</v>
      </c>
      <c r="W109" s="1076">
        <v>0</v>
      </c>
      <c r="X109" s="1076">
        <v>0</v>
      </c>
      <c r="Y109" s="1076">
        <v>0</v>
      </c>
      <c r="Z109" s="1076">
        <v>0</v>
      </c>
      <c r="AA109" s="1076">
        <v>0</v>
      </c>
      <c r="AB109" s="1076">
        <v>0</v>
      </c>
      <c r="AC109" s="1076">
        <v>0</v>
      </c>
      <c r="AD109" s="1076">
        <v>0</v>
      </c>
      <c r="AE109" s="4743">
        <v>0</v>
      </c>
      <c r="AF109" s="4743">
        <v>0</v>
      </c>
      <c r="AG109" s="4743">
        <v>0</v>
      </c>
      <c r="AH109" s="397" t="str">
        <f>FHD_NOTE_P_41</f>
        <v/>
      </c>
      <c r="AI109" s="650"/>
      <c r="AJ109" s="1732"/>
      <c r="AK109" s="1732"/>
      <c r="AP109" s="1732"/>
      <c r="AS109" s="651"/>
      <c r="AY109" s="1728"/>
      <c r="AZ109" s="1728"/>
      <c r="BA109" s="1728"/>
      <c r="BB109" s="1728"/>
      <c r="BC109" s="1728"/>
      <c r="BD109" s="1256">
        <v>19</v>
      </c>
    </row>
    <row s="10306" customFormat="1" customHeight="1" ht="20.25" hidden="1">
      <c r="A110" s="1089" t="s">
        <v>673</v>
      </c>
      <c r="C110" s="1732" t="s">
        <v>674</v>
      </c>
      <c r="D110" s="1734"/>
      <c r="E110" s="653" t="str">
        <f>FHD_NUM_P_42</f>
        <v/>
      </c>
      <c r="F110" s="2164" t="str">
        <f>FHD_P_42</f>
        <v/>
      </c>
      <c r="G110" s="2162" t="s">
        <v>637</v>
      </c>
      <c r="H110" s="1076"/>
      <c r="I110" s="664"/>
      <c r="J110" s="1076"/>
      <c r="K110" s="1076"/>
      <c r="L110" s="1076"/>
      <c r="M110" s="1076"/>
      <c r="N110" s="1076"/>
      <c r="O110" s="1076"/>
      <c r="P110" s="1076"/>
      <c r="Q110" s="1076"/>
      <c r="R110" s="1076"/>
      <c r="S110" s="1076"/>
      <c r="T110" s="1076"/>
      <c r="U110" s="1076"/>
      <c r="V110" s="1076"/>
      <c r="W110" s="1076"/>
      <c r="X110" s="1076"/>
      <c r="Y110" s="1076"/>
      <c r="Z110" s="1076"/>
      <c r="AA110" s="1076"/>
      <c r="AB110" s="1076"/>
      <c r="AC110" s="1076"/>
      <c r="AD110" s="1076"/>
      <c r="AE110" s="4743"/>
      <c r="AF110" s="4743"/>
      <c r="AG110" s="4743"/>
      <c r="AH110" s="397" t="str">
        <f>FHD_NOTE_P_42</f>
        <v/>
      </c>
      <c r="AI110" s="650"/>
      <c r="AJ110" s="1732"/>
      <c r="AK110" s="1732"/>
      <c r="AP110" s="1732"/>
      <c r="AS110" s="651"/>
      <c r="AY110" s="1728"/>
      <c r="AZ110" s="1728"/>
      <c r="BA110" s="1728"/>
      <c r="BB110" s="1728"/>
      <c r="BC110" s="1728"/>
      <c r="BD110" s="1256">
        <v>19</v>
      </c>
    </row>
    <row s="10306" customFormat="1" customHeight="1" ht="20.25">
      <c r="A111" s="1087"/>
      <c r="C111" s="1732" t="s">
        <v>674</v>
      </c>
      <c r="D111" s="1734"/>
      <c r="E111" s="653" t="str">
        <f>FHD_NUM_P_43</f>
        <v>6</v>
      </c>
      <c r="F111" s="1974" t="str">
        <f>FHD_P_43</f>
        <v>Годовая бухгалтерская (финансовая) отчетность, включая бухгалтерский баланс и приложения к нему</v>
      </c>
      <c r="G111" s="2165" t="s">
        <v>391</v>
      </c>
      <c r="H111" s="1155"/>
      <c r="I111" s="919" t="s">
        <v>675</v>
      </c>
      <c r="J111" s="1155" t="s">
        <v>675</v>
      </c>
      <c r="K111" s="1155" t="s">
        <v>675</v>
      </c>
      <c r="L111" s="1155" t="s">
        <v>675</v>
      </c>
      <c r="M111" s="1155" t="s">
        <v>675</v>
      </c>
      <c r="N111" s="1155" t="s">
        <v>675</v>
      </c>
      <c r="O111" s="1155" t="s">
        <v>675</v>
      </c>
      <c r="P111" s="1155" t="s">
        <v>675</v>
      </c>
      <c r="Q111" s="1155" t="s">
        <v>675</v>
      </c>
      <c r="R111" s="1155" t="s">
        <v>675</v>
      </c>
      <c r="S111" s="1155" t="s">
        <v>675</v>
      </c>
      <c r="T111" s="1155" t="s">
        <v>675</v>
      </c>
      <c r="U111" s="1155" t="s">
        <v>675</v>
      </c>
      <c r="V111" s="1155" t="s">
        <v>675</v>
      </c>
      <c r="W111" s="1155" t="s">
        <v>675</v>
      </c>
      <c r="X111" s="1155" t="s">
        <v>675</v>
      </c>
      <c r="Y111" s="1155" t="s">
        <v>675</v>
      </c>
      <c r="Z111" s="1155" t="s">
        <v>675</v>
      </c>
      <c r="AA111" s="1155" t="s">
        <v>675</v>
      </c>
      <c r="AB111" s="1155" t="s">
        <v>675</v>
      </c>
      <c r="AC111" s="1155" t="s">
        <v>675</v>
      </c>
      <c r="AD111" s="1155" t="s">
        <v>675</v>
      </c>
      <c r="AE111" s="4749" t="s">
        <v>675</v>
      </c>
      <c r="AF111" s="4749" t="s">
        <v>675</v>
      </c>
      <c r="AG111" s="4749" t="s">
        <v>675</v>
      </c>
      <c r="AH111" s="39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I111" s="650"/>
      <c r="AJ111" s="1732"/>
      <c r="AK111" s="1732"/>
      <c r="AP111" s="1732"/>
      <c r="AS111" s="651"/>
      <c r="AY111" s="1728"/>
      <c r="AZ111" s="1728"/>
      <c r="BA111" s="1728"/>
      <c r="BB111" s="1728"/>
      <c r="BC111" s="1728"/>
      <c r="BD111" s="1256">
        <v>19</v>
      </c>
    </row>
    <row s="10306" customFormat="1" customHeight="1" ht="18.75" hidden="1">
      <c r="A112" s="3200" t="s">
        <v>676</v>
      </c>
      <c r="C112" s="842"/>
      <c r="D112" s="840"/>
      <c r="E112" s="653" t="str">
        <f>FHD_NUM_P_44</f>
        <v/>
      </c>
      <c r="F112" s="1974" t="str">
        <f>FHD_P_44</f>
        <v/>
      </c>
      <c r="G112" s="1975" t="s">
        <v>677</v>
      </c>
      <c r="H112" s="1077"/>
      <c r="I112" s="684"/>
      <c r="J112" s="1077"/>
      <c r="K112" s="1077"/>
      <c r="L112" s="1077"/>
      <c r="M112" s="1077"/>
      <c r="N112" s="1077"/>
      <c r="O112" s="1077"/>
      <c r="P112" s="1077"/>
      <c r="Q112" s="1077"/>
      <c r="R112" s="1077"/>
      <c r="S112" s="1077"/>
      <c r="T112" s="1077"/>
      <c r="U112" s="1077"/>
      <c r="V112" s="1077"/>
      <c r="W112" s="1077"/>
      <c r="X112" s="1077"/>
      <c r="Y112" s="1077"/>
      <c r="Z112" s="1077"/>
      <c r="AA112" s="1077"/>
      <c r="AB112" s="1077"/>
      <c r="AC112" s="1077"/>
      <c r="AD112" s="1077"/>
      <c r="AE112" s="4754"/>
      <c r="AF112" s="4754"/>
      <c r="AG112" s="4754"/>
      <c r="AH112" s="397" t="str">
        <f>FHD_NOTE_P_44</f>
        <v/>
      </c>
      <c r="AI112" s="841"/>
      <c r="AJ112" s="842"/>
      <c r="AK112" s="842"/>
      <c r="AP112" s="842"/>
      <c r="AS112" s="843"/>
      <c r="AY112" s="844"/>
      <c r="AZ112" s="844"/>
      <c r="BA112" s="844"/>
      <c r="BB112" s="844"/>
      <c r="BC112" s="844"/>
      <c r="BD112" s="1010">
        <v>0</v>
      </c>
    </row>
    <row s="10306" customFormat="1" customHeight="1" ht="18.75" hidden="1">
      <c r="A113" s="3200"/>
      <c r="C113" s="842"/>
      <c r="D113" s="840"/>
      <c r="E113" s="653" t="str">
        <f>FHD_NUM_P_45</f>
        <v/>
      </c>
      <c r="F113" s="1974" t="str">
        <f>FHD_P_45</f>
        <v/>
      </c>
      <c r="G113" s="1975" t="s">
        <v>677</v>
      </c>
      <c r="H113" s="1077"/>
      <c r="I113" s="684"/>
      <c r="J113" s="1077"/>
      <c r="K113" s="1077"/>
      <c r="L113" s="1077"/>
      <c r="M113" s="1077"/>
      <c r="N113" s="1077"/>
      <c r="O113" s="1077"/>
      <c r="P113" s="1077"/>
      <c r="Q113" s="1077"/>
      <c r="R113" s="1077"/>
      <c r="S113" s="1077"/>
      <c r="T113" s="1077"/>
      <c r="U113" s="1077"/>
      <c r="V113" s="1077"/>
      <c r="W113" s="1077"/>
      <c r="X113" s="1077"/>
      <c r="Y113" s="1077"/>
      <c r="Z113" s="1077"/>
      <c r="AA113" s="1077"/>
      <c r="AB113" s="1077"/>
      <c r="AC113" s="1077"/>
      <c r="AD113" s="1077"/>
      <c r="AE113" s="4754"/>
      <c r="AF113" s="4754"/>
      <c r="AG113" s="4754"/>
      <c r="AH113" s="397" t="str">
        <f>FHD_NOTE_P_45</f>
        <v/>
      </c>
      <c r="AI113" s="841"/>
      <c r="AJ113" s="842"/>
      <c r="AK113" s="842"/>
      <c r="AP113" s="842"/>
      <c r="AS113" s="843"/>
      <c r="AY113" s="844"/>
      <c r="AZ113" s="844"/>
      <c r="BA113" s="844"/>
      <c r="BB113" s="844"/>
      <c r="BC113" s="844"/>
      <c r="BD113" s="1010">
        <v>0</v>
      </c>
    </row>
    <row s="10306" customFormat="1" customHeight="1" ht="18.75" hidden="1">
      <c r="A114" s="3200"/>
      <c r="C114" s="842"/>
      <c r="D114" s="845"/>
      <c r="E114" s="653" t="str">
        <f>FHD_NUM_P_46</f>
        <v/>
      </c>
      <c r="F114" s="1974" t="str">
        <f>FHD_P_46</f>
        <v/>
      </c>
      <c r="G114" s="1975" t="s">
        <v>677</v>
      </c>
      <c r="H114" s="1077"/>
      <c r="I114" s="684"/>
      <c r="J114" s="1077"/>
      <c r="K114" s="1077"/>
      <c r="L114" s="1077"/>
      <c r="M114" s="1077"/>
      <c r="N114" s="1077"/>
      <c r="O114" s="1077"/>
      <c r="P114" s="1077"/>
      <c r="Q114" s="1077"/>
      <c r="R114" s="1077"/>
      <c r="S114" s="1077"/>
      <c r="T114" s="1077"/>
      <c r="U114" s="1077"/>
      <c r="V114" s="1077"/>
      <c r="W114" s="1077"/>
      <c r="X114" s="1077"/>
      <c r="Y114" s="1077"/>
      <c r="Z114" s="1077"/>
      <c r="AA114" s="1077"/>
      <c r="AB114" s="1077"/>
      <c r="AC114" s="1077"/>
      <c r="AD114" s="1077"/>
      <c r="AE114" s="4754"/>
      <c r="AF114" s="4754"/>
      <c r="AG114" s="4754"/>
      <c r="AH114" s="397" t="str">
        <f>FHD_NOTE_P_46</f>
        <v/>
      </c>
      <c r="AI114" s="841"/>
      <c r="AJ114" s="842"/>
      <c r="AK114" s="842"/>
      <c r="AP114" s="842"/>
      <c r="AS114" s="843"/>
      <c r="AY114" s="844"/>
      <c r="AZ114" s="844"/>
      <c r="BA114" s="844"/>
      <c r="BB114" s="844"/>
      <c r="BC114" s="844"/>
      <c r="BD114" s="1010">
        <v>0</v>
      </c>
    </row>
    <row s="10306" customFormat="1" customHeight="1" ht="18.75" hidden="1">
      <c r="A115" s="3200"/>
      <c r="C115" s="842"/>
      <c r="D115" s="840"/>
      <c r="E115" s="653" t="str">
        <f>FHD_NUM_P_47</f>
        <v/>
      </c>
      <c r="F115" s="1974" t="str">
        <f>FHD_P_47</f>
        <v/>
      </c>
      <c r="G115" s="1975" t="s">
        <v>677</v>
      </c>
      <c r="H115" s="1077"/>
      <c r="I115" s="684"/>
      <c r="J115" s="1077"/>
      <c r="K115" s="1077"/>
      <c r="L115" s="1077"/>
      <c r="M115" s="1077"/>
      <c r="N115" s="1077"/>
      <c r="O115" s="1077"/>
      <c r="P115" s="1077"/>
      <c r="Q115" s="1077"/>
      <c r="R115" s="1077"/>
      <c r="S115" s="1077"/>
      <c r="T115" s="1077"/>
      <c r="U115" s="1077"/>
      <c r="V115" s="1077"/>
      <c r="W115" s="1077"/>
      <c r="X115" s="1077"/>
      <c r="Y115" s="1077"/>
      <c r="Z115" s="1077"/>
      <c r="AA115" s="1077"/>
      <c r="AB115" s="1077"/>
      <c r="AC115" s="1077"/>
      <c r="AD115" s="1077"/>
      <c r="AE115" s="4754"/>
      <c r="AF115" s="4754"/>
      <c r="AG115" s="4754"/>
      <c r="AH115" s="397" t="str">
        <f>FHD_NOTE_P_47</f>
        <v/>
      </c>
      <c r="AI115" s="841"/>
      <c r="AJ115" s="842"/>
      <c r="AK115" s="842"/>
      <c r="AP115" s="842"/>
      <c r="AS115" s="843"/>
      <c r="AY115" s="844"/>
      <c r="AZ115" s="844"/>
      <c r="BA115" s="844"/>
      <c r="BB115" s="844"/>
      <c r="BC115" s="844"/>
      <c r="BD115" s="1010">
        <v>0</v>
      </c>
    </row>
    <row s="10232" customFormat="1" customHeight="1" ht="18.75" hidden="1">
      <c r="A116" s="3200"/>
      <c r="B116" s="1010"/>
      <c r="C116" s="842"/>
      <c r="D116" s="840"/>
      <c r="E116" s="653" t="str">
        <f>FHD_NUM_P_48</f>
        <v/>
      </c>
      <c r="F116" s="1974" t="str">
        <f>FHD_P_48</f>
        <v/>
      </c>
      <c r="G116" s="1975" t="s">
        <v>677</v>
      </c>
      <c r="H116" s="1077"/>
      <c r="I116" s="684"/>
      <c r="J116" s="1077"/>
      <c r="K116" s="1077"/>
      <c r="L116" s="1077"/>
      <c r="M116" s="1077"/>
      <c r="N116" s="1077"/>
      <c r="O116" s="1077"/>
      <c r="P116" s="1077"/>
      <c r="Q116" s="1077"/>
      <c r="R116" s="1077"/>
      <c r="S116" s="1077"/>
      <c r="T116" s="1077"/>
      <c r="U116" s="1077"/>
      <c r="V116" s="1077"/>
      <c r="W116" s="1077"/>
      <c r="X116" s="1077"/>
      <c r="Y116" s="1077"/>
      <c r="Z116" s="1077"/>
      <c r="AA116" s="1077"/>
      <c r="AB116" s="1077"/>
      <c r="AC116" s="1077"/>
      <c r="AD116" s="1077"/>
      <c r="AE116" s="4754"/>
      <c r="AF116" s="4754"/>
      <c r="AG116" s="4754"/>
      <c r="AH116" s="397" t="str">
        <f>FHD_NOTE_P_48</f>
        <v/>
      </c>
      <c r="AI116" s="841"/>
      <c r="AJ116" s="842"/>
      <c r="AK116" s="842"/>
      <c r="AL116" s="1010"/>
      <c r="AM116" s="1010"/>
      <c r="AN116" s="1010"/>
      <c r="AO116" s="1010"/>
      <c r="AP116" s="842"/>
      <c r="AQ116" s="1010"/>
      <c r="AR116" s="1010"/>
      <c r="AS116" s="843"/>
      <c r="AT116" s="1010"/>
      <c r="AU116" s="1010"/>
      <c r="AV116" s="1010"/>
      <c r="AW116" s="1010"/>
      <c r="AX116" s="1010"/>
      <c r="AY116" s="844"/>
      <c r="AZ116" s="844"/>
      <c r="BA116" s="844"/>
      <c r="BB116" s="844"/>
      <c r="BC116" s="844"/>
      <c r="BD116" s="846">
        <v>0</v>
      </c>
    </row>
    <row s="10232" customFormat="1" customHeight="1" ht="18.75" hidden="1">
      <c r="A117" s="3200"/>
      <c r="B117" s="1010"/>
      <c r="C117" s="842"/>
      <c r="D117" s="840"/>
      <c r="E117" s="653" t="str">
        <f>FHD_NUM_P_49</f>
        <v/>
      </c>
      <c r="F117" s="1974" t="str">
        <f>FHD_P_49</f>
        <v/>
      </c>
      <c r="G117" s="1975" t="s">
        <v>677</v>
      </c>
      <c r="H117" s="1078">
        <f>SUM(H118:H119)</f>
        <v>0</v>
      </c>
      <c r="I117" s="856">
        <f>SUM(I118:I119)</f>
        <v>0</v>
      </c>
      <c r="J117" s="1078">
        <f>SUM(J118:J119)</f>
        <v>0</v>
      </c>
      <c r="K117" s="1078">
        <f>SUM(K118:K119)</f>
        <v>0</v>
      </c>
      <c r="L117" s="1078">
        <f>SUM(L118:L119)</f>
        <v>0</v>
      </c>
      <c r="M117" s="1078">
        <f>SUM(M118:M119)</f>
        <v>0</v>
      </c>
      <c r="N117" s="1078">
        <f>SUM(N118:N119)</f>
        <v>0</v>
      </c>
      <c r="O117" s="1078">
        <f>SUM(O118:O119)</f>
        <v>0</v>
      </c>
      <c r="P117" s="1078">
        <f>SUM(P118:P119)</f>
        <v>0</v>
      </c>
      <c r="Q117" s="1078">
        <f>SUM(Q118:Q119)</f>
        <v>0</v>
      </c>
      <c r="R117" s="1078">
        <f>SUM(R118:R119)</f>
        <v>0</v>
      </c>
      <c r="S117" s="1078">
        <f>SUM(S118:S119)</f>
        <v>0</v>
      </c>
      <c r="T117" s="1078">
        <f>SUM(T118:T119)</f>
        <v>0</v>
      </c>
      <c r="U117" s="1078">
        <f>SUM(U118:U119)</f>
        <v>0</v>
      </c>
      <c r="V117" s="1078">
        <f>SUM(V118:V119)</f>
        <v>0</v>
      </c>
      <c r="W117" s="1078">
        <f>SUM(W118:W119)</f>
        <v>0</v>
      </c>
      <c r="X117" s="1078">
        <f>SUM(X118:X119)</f>
        <v>0</v>
      </c>
      <c r="Y117" s="1078">
        <f>SUM(Y118:Y119)</f>
        <v>0</v>
      </c>
      <c r="Z117" s="1078">
        <f>SUM(Z118:Z119)</f>
        <v>0</v>
      </c>
      <c r="AA117" s="1078">
        <f>SUM(AA118:AA119)</f>
        <v>0</v>
      </c>
      <c r="AB117" s="1078">
        <f>SUM(AB118:AB119)</f>
        <v>0</v>
      </c>
      <c r="AC117" s="1078">
        <f>SUM(AC118:AC119)</f>
        <v>0</v>
      </c>
      <c r="AD117" s="1078">
        <f>SUM(AD118:AD119)</f>
        <v>0</v>
      </c>
      <c r="AE117" s="4761">
        <f>SUM(AE118:AE119)</f>
        <v>0</v>
      </c>
      <c r="AF117" s="4761">
        <f>SUM(AF118:AF119)</f>
        <v>0</v>
      </c>
      <c r="AG117" s="4761">
        <f>SUM(AG118:AG119)</f>
        <v>0</v>
      </c>
      <c r="AH117" s="397" t="str">
        <f>FHD_NOTE_P_49</f>
        <v/>
      </c>
      <c r="AI117" s="841"/>
      <c r="AJ117" s="842"/>
      <c r="AK117" s="842"/>
      <c r="AL117" s="1010"/>
      <c r="AM117" s="1010"/>
      <c r="AN117" s="1010"/>
      <c r="AO117" s="1010"/>
      <c r="AP117" s="842"/>
      <c r="AQ117" s="1010"/>
      <c r="AR117" s="1010"/>
      <c r="AS117" s="843"/>
      <c r="AT117" s="1010"/>
      <c r="AU117" s="1010"/>
      <c r="AV117" s="1010"/>
      <c r="AW117" s="1010"/>
      <c r="AX117" s="1010"/>
      <c r="AY117" s="844"/>
      <c r="AZ117" s="844"/>
      <c r="BA117" s="844"/>
      <c r="BB117" s="844"/>
      <c r="BC117" s="844"/>
      <c r="BD117" s="846">
        <v>0</v>
      </c>
    </row>
    <row s="10232" customFormat="1" customHeight="1" ht="18.75" hidden="1">
      <c r="A118" s="3200"/>
      <c r="B118" s="1010"/>
      <c r="C118" s="842"/>
      <c r="D118" s="840"/>
      <c r="E118" s="653" t="str">
        <f>FHD_NUM_P_50</f>
        <v/>
      </c>
      <c r="F118" s="1974" t="str">
        <f>FHD_P_50</f>
        <v/>
      </c>
      <c r="G118" s="1975" t="s">
        <v>677</v>
      </c>
      <c r="H118" s="1077"/>
      <c r="I118" s="684"/>
      <c r="J118" s="1077"/>
      <c r="K118" s="1077"/>
      <c r="L118" s="1077"/>
      <c r="M118" s="1077"/>
      <c r="N118" s="1077"/>
      <c r="O118" s="1077"/>
      <c r="P118" s="1077"/>
      <c r="Q118" s="1077"/>
      <c r="R118" s="1077"/>
      <c r="S118" s="1077"/>
      <c r="T118" s="1077"/>
      <c r="U118" s="1077"/>
      <c r="V118" s="1077"/>
      <c r="W118" s="1077"/>
      <c r="X118" s="1077"/>
      <c r="Y118" s="1077"/>
      <c r="Z118" s="1077"/>
      <c r="AA118" s="1077"/>
      <c r="AB118" s="1077"/>
      <c r="AC118" s="1077"/>
      <c r="AD118" s="1077"/>
      <c r="AE118" s="4754"/>
      <c r="AF118" s="4754"/>
      <c r="AG118" s="4754"/>
      <c r="AH118" s="397" t="str">
        <f>FHD_NOTE_P_50</f>
        <v/>
      </c>
      <c r="AI118" s="841"/>
      <c r="AJ118" s="842"/>
      <c r="AK118" s="842"/>
      <c r="AL118" s="1010"/>
      <c r="AM118" s="1010"/>
      <c r="AN118" s="1010"/>
      <c r="AO118" s="1010"/>
      <c r="AP118" s="842"/>
      <c r="AQ118" s="1010"/>
      <c r="AR118" s="1010"/>
      <c r="AS118" s="843"/>
      <c r="AT118" s="1010"/>
      <c r="AU118" s="1010"/>
      <c r="AV118" s="1010"/>
      <c r="AW118" s="1010"/>
      <c r="AX118" s="1010"/>
      <c r="AY118" s="844"/>
      <c r="AZ118" s="844"/>
      <c r="BA118" s="844"/>
      <c r="BB118" s="844"/>
      <c r="BC118" s="844"/>
      <c r="BD118" s="846">
        <v>0</v>
      </c>
    </row>
    <row s="10232" customFormat="1" customHeight="1" ht="18.75" hidden="1">
      <c r="A119" s="3200"/>
      <c r="B119" s="1010"/>
      <c r="C119" s="842"/>
      <c r="D119" s="840"/>
      <c r="E119" s="653" t="str">
        <f>FHD_NUM_P_51</f>
        <v/>
      </c>
      <c r="F119" s="1974" t="str">
        <f>FHD_P_51</f>
        <v/>
      </c>
      <c r="G119" s="1975" t="s">
        <v>677</v>
      </c>
      <c r="H119" s="1077"/>
      <c r="I119" s="684"/>
      <c r="J119" s="1077"/>
      <c r="K119" s="1077"/>
      <c r="L119" s="1077"/>
      <c r="M119" s="1077"/>
      <c r="N119" s="1077"/>
      <c r="O119" s="1077"/>
      <c r="P119" s="1077"/>
      <c r="Q119" s="1077"/>
      <c r="R119" s="1077"/>
      <c r="S119" s="1077"/>
      <c r="T119" s="1077"/>
      <c r="U119" s="1077"/>
      <c r="V119" s="1077"/>
      <c r="W119" s="1077"/>
      <c r="X119" s="1077"/>
      <c r="Y119" s="1077"/>
      <c r="Z119" s="1077"/>
      <c r="AA119" s="1077"/>
      <c r="AB119" s="1077"/>
      <c r="AC119" s="1077"/>
      <c r="AD119" s="1077"/>
      <c r="AE119" s="4754"/>
      <c r="AF119" s="4754"/>
      <c r="AG119" s="4754"/>
      <c r="AH119" s="397" t="str">
        <f>FHD_NOTE_P_51</f>
        <v/>
      </c>
      <c r="AI119" s="841"/>
      <c r="AJ119" s="842"/>
      <c r="AK119" s="842"/>
      <c r="AL119" s="1010"/>
      <c r="AM119" s="1010"/>
      <c r="AN119" s="1010"/>
      <c r="AO119" s="1010"/>
      <c r="AP119" s="842"/>
      <c r="AQ119" s="1010"/>
      <c r="AR119" s="1010"/>
      <c r="AS119" s="843"/>
      <c r="AT119" s="1010"/>
      <c r="AU119" s="1010"/>
      <c r="AV119" s="1010"/>
      <c r="AW119" s="1010"/>
      <c r="AX119" s="1010"/>
      <c r="AY119" s="844"/>
      <c r="AZ119" s="844"/>
      <c r="BA119" s="844"/>
      <c r="BB119" s="844"/>
      <c r="BC119" s="844"/>
      <c r="BD119" s="846">
        <v>0</v>
      </c>
    </row>
    <row s="10232" customFormat="1" customHeight="1" ht="18.75" hidden="1">
      <c r="A120" s="3200"/>
      <c r="B120" s="1010"/>
      <c r="C120" s="842"/>
      <c r="D120" s="840"/>
      <c r="E120" s="653" t="str">
        <f>FHD_NUM_P_52</f>
        <v/>
      </c>
      <c r="F120" s="1974" t="str">
        <f>FHD_P_52</f>
        <v/>
      </c>
      <c r="G120" s="1975" t="s">
        <v>643</v>
      </c>
      <c r="H120" s="1076"/>
      <c r="I120" s="664"/>
      <c r="J120" s="1076"/>
      <c r="K120" s="1076"/>
      <c r="L120" s="1076"/>
      <c r="M120" s="1076"/>
      <c r="N120" s="1076"/>
      <c r="O120" s="1076"/>
      <c r="P120" s="1076"/>
      <c r="Q120" s="1076"/>
      <c r="R120" s="1076"/>
      <c r="S120" s="1076"/>
      <c r="T120" s="1076"/>
      <c r="U120" s="1076"/>
      <c r="V120" s="1076"/>
      <c r="W120" s="1076"/>
      <c r="X120" s="1076"/>
      <c r="Y120" s="1076"/>
      <c r="Z120" s="1076"/>
      <c r="AA120" s="1076"/>
      <c r="AB120" s="1076"/>
      <c r="AC120" s="1076"/>
      <c r="AD120" s="1076"/>
      <c r="AE120" s="4743"/>
      <c r="AF120" s="4743"/>
      <c r="AG120" s="4743"/>
      <c r="AH120" s="397" t="str">
        <f>FHD_NOTE_P_52</f>
        <v/>
      </c>
      <c r="AI120" s="841"/>
      <c r="AJ120" s="842"/>
      <c r="AK120" s="842"/>
      <c r="AL120" s="1010"/>
      <c r="AM120" s="1010"/>
      <c r="AN120" s="1010"/>
      <c r="AO120" s="1010"/>
      <c r="AP120" s="842"/>
      <c r="AQ120" s="1010"/>
      <c r="AR120" s="1010"/>
      <c r="AS120" s="843"/>
      <c r="AT120" s="1010"/>
      <c r="AU120" s="1010"/>
      <c r="AV120" s="1010"/>
      <c r="AW120" s="1010"/>
      <c r="AX120" s="1010"/>
      <c r="AY120" s="844"/>
      <c r="AZ120" s="844"/>
      <c r="BA120" s="844"/>
      <c r="BB120" s="844"/>
      <c r="BC120" s="844"/>
      <c r="BD120" s="846">
        <v>0</v>
      </c>
    </row>
    <row s="10306" customFormat="1" customHeight="1" ht="18.75" hidden="1">
      <c r="A121" s="3200" t="s">
        <v>678</v>
      </c>
      <c r="C121" s="842"/>
      <c r="D121" s="840"/>
      <c r="E121" s="653" t="str">
        <f>FHD_NUM_P_53</f>
        <v/>
      </c>
      <c r="F121" s="1974" t="str">
        <f>FHD_P_53</f>
        <v/>
      </c>
      <c r="G121" s="1975" t="s">
        <v>677</v>
      </c>
      <c r="H121" s="1077"/>
      <c r="I121" s="684"/>
      <c r="J121" s="1077"/>
      <c r="K121" s="1077"/>
      <c r="L121" s="1077"/>
      <c r="M121" s="1077"/>
      <c r="N121" s="1077"/>
      <c r="O121" s="1077"/>
      <c r="P121" s="1077"/>
      <c r="Q121" s="1077"/>
      <c r="R121" s="1077"/>
      <c r="S121" s="1077"/>
      <c r="T121" s="1077"/>
      <c r="U121" s="1077"/>
      <c r="V121" s="1077"/>
      <c r="W121" s="1077"/>
      <c r="X121" s="1077"/>
      <c r="Y121" s="1077"/>
      <c r="Z121" s="1077"/>
      <c r="AA121" s="1077"/>
      <c r="AB121" s="1077"/>
      <c r="AC121" s="1077"/>
      <c r="AD121" s="1077"/>
      <c r="AE121" s="4754"/>
      <c r="AF121" s="4754"/>
      <c r="AG121" s="4754"/>
      <c r="AH121" s="397" t="str">
        <f>FHD_NOTE_P_53</f>
        <v/>
      </c>
      <c r="AI121" s="841"/>
      <c r="AJ121" s="842"/>
      <c r="AK121" s="842"/>
      <c r="AP121" s="842"/>
      <c r="AS121" s="843"/>
      <c r="AY121" s="844"/>
      <c r="AZ121" s="844"/>
      <c r="BA121" s="844"/>
      <c r="BB121" s="844"/>
      <c r="BC121" s="844"/>
      <c r="BD121" s="1010">
        <v>0</v>
      </c>
    </row>
    <row s="10306" customFormat="1" customHeight="1" ht="18.75" hidden="1">
      <c r="A122" s="3200"/>
      <c r="C122" s="842"/>
      <c r="D122" s="840"/>
      <c r="E122" s="653" t="str">
        <f>FHD_NUM_P_54</f>
        <v/>
      </c>
      <c r="F122" s="1974" t="str">
        <f>FHD_P_54</f>
        <v/>
      </c>
      <c r="G122" s="1975" t="s">
        <v>677</v>
      </c>
      <c r="H122" s="1077"/>
      <c r="I122" s="684"/>
      <c r="J122" s="1077"/>
      <c r="K122" s="1077"/>
      <c r="L122" s="1077"/>
      <c r="M122" s="1077"/>
      <c r="N122" s="1077"/>
      <c r="O122" s="1077"/>
      <c r="P122" s="1077"/>
      <c r="Q122" s="1077"/>
      <c r="R122" s="1077"/>
      <c r="S122" s="1077"/>
      <c r="T122" s="1077"/>
      <c r="U122" s="1077"/>
      <c r="V122" s="1077"/>
      <c r="W122" s="1077"/>
      <c r="X122" s="1077"/>
      <c r="Y122" s="1077"/>
      <c r="Z122" s="1077"/>
      <c r="AA122" s="1077"/>
      <c r="AB122" s="1077"/>
      <c r="AC122" s="1077"/>
      <c r="AD122" s="1077"/>
      <c r="AE122" s="4754"/>
      <c r="AF122" s="4754"/>
      <c r="AG122" s="4754"/>
      <c r="AH122" s="397" t="str">
        <f>FHD_NOTE_P_54</f>
        <v/>
      </c>
      <c r="AI122" s="841"/>
      <c r="AJ122" s="842"/>
      <c r="AK122" s="842"/>
      <c r="AP122" s="842"/>
      <c r="AS122" s="843"/>
      <c r="AY122" s="844"/>
      <c r="AZ122" s="844"/>
      <c r="BA122" s="844"/>
      <c r="BB122" s="844"/>
      <c r="BC122" s="844"/>
      <c r="BD122" s="1010">
        <v>0</v>
      </c>
    </row>
    <row s="10306" customFormat="1" customHeight="1" ht="18.75" hidden="1">
      <c r="A123" s="3200"/>
      <c r="C123" s="842"/>
      <c r="D123" s="845"/>
      <c r="E123" s="653" t="str">
        <f>FHD_NUM_P_55</f>
        <v/>
      </c>
      <c r="F123" s="1974" t="str">
        <f>FHD_P_55</f>
        <v/>
      </c>
      <c r="G123" s="1978"/>
      <c r="H123" s="1077"/>
      <c r="I123" s="684"/>
      <c r="J123" s="1077"/>
      <c r="K123" s="1077"/>
      <c r="L123" s="1077"/>
      <c r="M123" s="1077"/>
      <c r="N123" s="1077"/>
      <c r="O123" s="1077"/>
      <c r="P123" s="1077"/>
      <c r="Q123" s="1077"/>
      <c r="R123" s="1077"/>
      <c r="S123" s="1077"/>
      <c r="T123" s="1077"/>
      <c r="U123" s="1077"/>
      <c r="V123" s="1077"/>
      <c r="W123" s="1077"/>
      <c r="X123" s="1077"/>
      <c r="Y123" s="1077"/>
      <c r="Z123" s="1077"/>
      <c r="AA123" s="1077"/>
      <c r="AB123" s="1077"/>
      <c r="AC123" s="1077"/>
      <c r="AD123" s="1077"/>
      <c r="AE123" s="4754"/>
      <c r="AF123" s="4754"/>
      <c r="AG123" s="4754"/>
      <c r="AH123" s="397" t="str">
        <f>FHD_NOTE_P_55</f>
        <v/>
      </c>
      <c r="AI123" s="841"/>
      <c r="AJ123" s="842"/>
      <c r="AK123" s="842"/>
      <c r="AP123" s="842"/>
      <c r="AS123" s="843"/>
      <c r="AY123" s="844"/>
      <c r="AZ123" s="844"/>
      <c r="BA123" s="844"/>
      <c r="BB123" s="844"/>
      <c r="BC123" s="844"/>
      <c r="BD123" s="1010">
        <v>0</v>
      </c>
    </row>
    <row s="10306" customFormat="1" customHeight="1" ht="18.75" hidden="1">
      <c r="A124" s="3200"/>
      <c r="C124" s="842"/>
      <c r="D124" s="840"/>
      <c r="E124" s="653" t="str">
        <f>FHD_NUM_P_56</f>
        <v/>
      </c>
      <c r="F124" s="1974" t="str">
        <f>FHD_P_56</f>
        <v/>
      </c>
      <c r="G124" s="1975" t="s">
        <v>679</v>
      </c>
      <c r="H124" s="1077"/>
      <c r="I124" s="684"/>
      <c r="J124" s="1077"/>
      <c r="K124" s="1077"/>
      <c r="L124" s="1077"/>
      <c r="M124" s="1077"/>
      <c r="N124" s="1077"/>
      <c r="O124" s="1077"/>
      <c r="P124" s="1077"/>
      <c r="Q124" s="1077"/>
      <c r="R124" s="1077"/>
      <c r="S124" s="1077"/>
      <c r="T124" s="1077"/>
      <c r="U124" s="1077"/>
      <c r="V124" s="1077"/>
      <c r="W124" s="1077"/>
      <c r="X124" s="1077"/>
      <c r="Y124" s="1077"/>
      <c r="Z124" s="1077"/>
      <c r="AA124" s="1077"/>
      <c r="AB124" s="1077"/>
      <c r="AC124" s="1077"/>
      <c r="AD124" s="1077"/>
      <c r="AE124" s="4754"/>
      <c r="AF124" s="4754"/>
      <c r="AG124" s="4754"/>
      <c r="AH124" s="397" t="str">
        <f>FHD_NOTE_P_56</f>
        <v/>
      </c>
      <c r="AI124" s="841"/>
      <c r="AJ124" s="842"/>
      <c r="AK124" s="842"/>
      <c r="AP124" s="842"/>
      <c r="AS124" s="843"/>
      <c r="AY124" s="844"/>
      <c r="AZ124" s="844"/>
      <c r="BA124" s="844"/>
      <c r="BB124" s="844"/>
      <c r="BC124" s="844"/>
      <c r="BD124" s="1010">
        <v>0</v>
      </c>
    </row>
    <row s="10232" customFormat="1" customHeight="1" ht="18.75" hidden="1">
      <c r="A125" s="3200"/>
      <c r="B125" s="1010"/>
      <c r="C125" s="842"/>
      <c r="D125" s="840"/>
      <c r="E125" s="653" t="str">
        <f>FHD_NUM_P_57</f>
        <v/>
      </c>
      <c r="F125" s="1974" t="str">
        <f>FHD_P_57</f>
        <v/>
      </c>
      <c r="G125" s="1975" t="s">
        <v>643</v>
      </c>
      <c r="H125" s="1076"/>
      <c r="I125" s="664"/>
      <c r="J125" s="1076"/>
      <c r="K125" s="1076"/>
      <c r="L125" s="1076"/>
      <c r="M125" s="1076"/>
      <c r="N125" s="1076"/>
      <c r="O125" s="1076"/>
      <c r="P125" s="1076"/>
      <c r="Q125" s="1076"/>
      <c r="R125" s="1076"/>
      <c r="S125" s="1076"/>
      <c r="T125" s="1076"/>
      <c r="U125" s="1076"/>
      <c r="V125" s="1076"/>
      <c r="W125" s="1076"/>
      <c r="X125" s="1076"/>
      <c r="Y125" s="1076"/>
      <c r="Z125" s="1076"/>
      <c r="AA125" s="1076"/>
      <c r="AB125" s="1076"/>
      <c r="AC125" s="1076"/>
      <c r="AD125" s="1076"/>
      <c r="AE125" s="4743"/>
      <c r="AF125" s="4743"/>
      <c r="AG125" s="4743"/>
      <c r="AH125" s="397" t="str">
        <f>FHD_NOTE_P_57</f>
        <v/>
      </c>
      <c r="AI125" s="841"/>
      <c r="AJ125" s="842"/>
      <c r="AK125" s="842"/>
      <c r="AL125" s="1010"/>
      <c r="AM125" s="1010"/>
      <c r="AN125" s="1010"/>
      <c r="AO125" s="1010"/>
      <c r="AP125" s="842"/>
      <c r="AQ125" s="1010"/>
      <c r="AR125" s="1010"/>
      <c r="AS125" s="843"/>
      <c r="AT125" s="1010"/>
      <c r="AU125" s="1010"/>
      <c r="AV125" s="1010"/>
      <c r="AW125" s="1010"/>
      <c r="AX125" s="1010"/>
      <c r="AY125" s="844"/>
      <c r="AZ125" s="844"/>
      <c r="BA125" s="844"/>
      <c r="BB125" s="844"/>
      <c r="BC125" s="844"/>
      <c r="BD125" s="846">
        <v>0</v>
      </c>
    </row>
    <row customHeight="1" ht="18.75" hidden="1">
      <c r="A126" s="3200" t="s">
        <v>680</v>
      </c>
      <c r="D126" s="1734"/>
      <c r="E126" s="653" t="str">
        <f>FHD_NUM_P_58</f>
        <v/>
      </c>
      <c r="F126" s="1974" t="str">
        <f>FHD_P_58</f>
        <v/>
      </c>
      <c r="G126" s="1975" t="s">
        <v>677</v>
      </c>
      <c r="H126" s="1077"/>
      <c r="I126" s="684"/>
      <c r="J126" s="1077"/>
      <c r="K126" s="1077"/>
      <c r="L126" s="1077"/>
      <c r="M126" s="1077"/>
      <c r="N126" s="1077"/>
      <c r="O126" s="1077"/>
      <c r="P126" s="1077"/>
      <c r="Q126" s="1077"/>
      <c r="R126" s="1077"/>
      <c r="S126" s="1077"/>
      <c r="T126" s="1077"/>
      <c r="U126" s="1077"/>
      <c r="V126" s="1077"/>
      <c r="W126" s="1077"/>
      <c r="X126" s="1077"/>
      <c r="Y126" s="1077"/>
      <c r="Z126" s="1077"/>
      <c r="AA126" s="1077"/>
      <c r="AB126" s="1077"/>
      <c r="AC126" s="1077"/>
      <c r="AD126" s="1077"/>
      <c r="AE126" s="4754"/>
      <c r="AF126" s="4754"/>
      <c r="AG126" s="4754"/>
      <c r="AH126" s="397" t="str">
        <f>FHD_NOTE_P_58</f>
        <v/>
      </c>
      <c r="AI126" s="650"/>
      <c r="BD126" s="1727">
        <v>0</v>
      </c>
    </row>
    <row customHeight="1" ht="18.75" hidden="1">
      <c r="A127" s="3200"/>
      <c r="D127" s="1734"/>
      <c r="E127" s="653" t="str">
        <f>FHD_NUM_P_59</f>
        <v/>
      </c>
      <c r="F127" s="1974" t="str">
        <f>FHD_P_59</f>
        <v/>
      </c>
      <c r="G127" s="1975" t="s">
        <v>677</v>
      </c>
      <c r="H127" s="1077"/>
      <c r="I127" s="684"/>
      <c r="J127" s="1077"/>
      <c r="K127" s="1077"/>
      <c r="L127" s="1077"/>
      <c r="M127" s="1077"/>
      <c r="N127" s="1077"/>
      <c r="O127" s="1077"/>
      <c r="P127" s="1077"/>
      <c r="Q127" s="1077"/>
      <c r="R127" s="1077"/>
      <c r="S127" s="1077"/>
      <c r="T127" s="1077"/>
      <c r="U127" s="1077"/>
      <c r="V127" s="1077"/>
      <c r="W127" s="1077"/>
      <c r="X127" s="1077"/>
      <c r="Y127" s="1077"/>
      <c r="Z127" s="1077"/>
      <c r="AA127" s="1077"/>
      <c r="AB127" s="1077"/>
      <c r="AC127" s="1077"/>
      <c r="AD127" s="1077"/>
      <c r="AE127" s="4754"/>
      <c r="AF127" s="4754"/>
      <c r="AG127" s="4754"/>
      <c r="AH127" s="397" t="str">
        <f>FHD_NOTE_P_59</f>
        <v/>
      </c>
      <c r="AI127" s="650"/>
      <c r="BD127" s="1727">
        <v>0</v>
      </c>
    </row>
    <row customHeight="1" ht="18.75" hidden="1">
      <c r="A128" s="3200"/>
      <c r="D128" s="1734"/>
      <c r="E128" s="653" t="str">
        <f>FHD_NUM_P_60</f>
        <v/>
      </c>
      <c r="F128" s="1974" t="str">
        <f>FHD_P_60</f>
        <v/>
      </c>
      <c r="G128" s="1975" t="s">
        <v>677</v>
      </c>
      <c r="H128" s="1077"/>
      <c r="I128" s="684"/>
      <c r="J128" s="1077"/>
      <c r="K128" s="1077"/>
      <c r="L128" s="1077"/>
      <c r="M128" s="1077"/>
      <c r="N128" s="1077"/>
      <c r="O128" s="1077"/>
      <c r="P128" s="1077"/>
      <c r="Q128" s="1077"/>
      <c r="R128" s="1077"/>
      <c r="S128" s="1077"/>
      <c r="T128" s="1077"/>
      <c r="U128" s="1077"/>
      <c r="V128" s="1077"/>
      <c r="W128" s="1077"/>
      <c r="X128" s="1077"/>
      <c r="Y128" s="1077"/>
      <c r="Z128" s="1077"/>
      <c r="AA128" s="1077"/>
      <c r="AB128" s="1077"/>
      <c r="AC128" s="1077"/>
      <c r="AD128" s="1077"/>
      <c r="AE128" s="4754"/>
      <c r="AF128" s="4754"/>
      <c r="AG128" s="4754"/>
      <c r="AH128" s="397" t="str">
        <f>FHD_NOTE_P_60</f>
        <v/>
      </c>
      <c r="AI128" s="650"/>
      <c r="BD128" s="1727">
        <v>0</v>
      </c>
    </row>
    <row s="10306" customFormat="1" customHeight="1" ht="18.75">
      <c r="A129" s="3200" t="s">
        <v>681</v>
      </c>
      <c r="C129" s="1732"/>
      <c r="D129" s="1734"/>
      <c r="E129" s="653" t="str">
        <f>FHD_NUM_P_61</f>
        <v>7</v>
      </c>
      <c r="F129" s="197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9" s="1972" t="s">
        <v>641</v>
      </c>
      <c r="H129" s="1079"/>
      <c r="I129" s="849">
        <v>1200.2</v>
      </c>
      <c r="J129" s="1079">
        <v>1640</v>
      </c>
      <c r="K129" s="1079">
        <v>726.5</v>
      </c>
      <c r="L129" s="1079">
        <v>780</v>
      </c>
      <c r="M129" s="1079">
        <v>1169</v>
      </c>
      <c r="N129" s="1079">
        <v>10.253</v>
      </c>
      <c r="O129" s="1079">
        <v>321.2</v>
      </c>
      <c r="P129" s="1079">
        <v>0</v>
      </c>
      <c r="Q129" s="1079">
        <v>0</v>
      </c>
      <c r="R129" s="1079">
        <v>0</v>
      </c>
      <c r="S129" s="1079">
        <v>0</v>
      </c>
      <c r="T129" s="1079">
        <v>0</v>
      </c>
      <c r="U129" s="1079">
        <v>0</v>
      </c>
      <c r="V129" s="1079">
        <v>0</v>
      </c>
      <c r="W129" s="1079">
        <v>610</v>
      </c>
      <c r="X129" s="1079">
        <v>30.18</v>
      </c>
      <c r="Y129" s="1079">
        <v>460</v>
      </c>
      <c r="Z129" s="1079">
        <v>15.05</v>
      </c>
      <c r="AA129" s="1079">
        <v>70.2</v>
      </c>
      <c r="AB129" s="1079">
        <v>0</v>
      </c>
      <c r="AC129" s="1079">
        <v>0</v>
      </c>
      <c r="AD129" s="1079">
        <v>200</v>
      </c>
      <c r="AE129" s="4765">
        <v>2.63</v>
      </c>
      <c r="AF129" s="4765">
        <v>26.31</v>
      </c>
      <c r="AG129" s="4765">
        <v>0</v>
      </c>
      <c r="AH129" s="39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I129" s="650"/>
      <c r="AJ129" s="1732"/>
      <c r="AK129" s="1732"/>
      <c r="AP129" s="1732"/>
      <c r="AS129" s="651"/>
      <c r="AY129" s="1728"/>
      <c r="AZ129" s="1728"/>
      <c r="BA129" s="1728"/>
      <c r="BB129" s="1728"/>
      <c r="BC129" s="1728"/>
      <c r="BD129" s="1256">
        <v>0</v>
      </c>
    </row>
    <row s="10307" customFormat="1" customHeight="1" ht="0.75">
      <c r="A130" s="3200"/>
      <c r="D130" s="655"/>
      <c r="E130" s="1113" t="str">
        <f>E129&amp;".0"</f>
        <v>7.0</v>
      </c>
      <c r="F130" s="1094"/>
      <c r="G130" s="1095"/>
      <c r="H130" s="1092"/>
      <c r="I130" s="1092"/>
      <c r="J130" s="1092"/>
      <c r="K130" s="1092"/>
      <c r="L130" s="1092"/>
      <c r="M130" s="1092"/>
      <c r="N130" s="1092"/>
      <c r="O130" s="1092"/>
      <c r="P130" s="1092"/>
      <c r="Q130" s="1092"/>
      <c r="R130" s="1092"/>
      <c r="S130" s="1092"/>
      <c r="T130" s="1092"/>
      <c r="U130" s="1092"/>
      <c r="V130" s="1092"/>
      <c r="W130" s="1092"/>
      <c r="X130" s="1092"/>
      <c r="Y130" s="1092"/>
      <c r="Z130" s="1092"/>
      <c r="AA130" s="1092"/>
      <c r="AB130" s="1092"/>
      <c r="AC130" s="1092"/>
      <c r="AD130" s="1092"/>
      <c r="AE130" s="4713"/>
      <c r="AF130" s="4713"/>
      <c r="AG130" s="4713"/>
      <c r="AH130" s="1096"/>
      <c r="BD130" s="1732">
        <v>0</v>
      </c>
    </row>
    <row customHeight="1" ht="15">
      <c r="A131" s="3200"/>
      <c r="D131" s="1729"/>
      <c r="E131" s="1071"/>
      <c r="F131" s="1072" t="s">
        <v>682</v>
      </c>
      <c r="G131" s="679"/>
      <c r="H131" s="680"/>
      <c r="I131" s="680"/>
      <c r="J131" s="2263"/>
      <c r="K131" s="2264"/>
      <c r="L131" s="2265"/>
      <c r="M131" s="2266"/>
      <c r="N131" s="2267"/>
      <c r="O131" s="2268"/>
      <c r="P131" s="2269"/>
      <c r="Q131" s="2270"/>
      <c r="R131" s="2271"/>
      <c r="S131" s="2272"/>
      <c r="T131" s="2273"/>
      <c r="U131" s="2274"/>
      <c r="V131" s="2275"/>
      <c r="W131" s="2276"/>
      <c r="X131" s="2277"/>
      <c r="Y131" s="2278"/>
      <c r="Z131" s="2279"/>
      <c r="AA131" s="2280"/>
      <c r="AB131" s="2281"/>
      <c r="AC131" s="2282"/>
      <c r="AD131" s="2283"/>
      <c r="AE131" s="4792"/>
      <c r="AF131" s="4793"/>
      <c r="AG131" s="4794"/>
      <c r="AH131" s="1104" t="s">
        <v>683</v>
      </c>
      <c r="AI131" s="650"/>
      <c r="BD131" s="1727">
        <v>0</v>
      </c>
    </row>
    <row s="10306" customFormat="1" customHeight="1" ht="27.75">
      <c r="A132" s="3200"/>
      <c r="C132" s="1732"/>
      <c r="D132" s="1734"/>
      <c r="E132" s="653" t="str">
        <f>FHD_NUM_P_62</f>
        <v>8</v>
      </c>
      <c r="F132" s="1974" t="str">
        <f>FHD_P_62</f>
        <v>Тепловая нагрузка по договорам, заключенным в рамках осуществления регулируемых видов деятельности</v>
      </c>
      <c r="G132" s="1971" t="s">
        <v>641</v>
      </c>
      <c r="H132" s="664"/>
      <c r="I132" s="664">
        <v>0</v>
      </c>
      <c r="J132" s="664">
        <v>0</v>
      </c>
      <c r="K132" s="664">
        <v>0</v>
      </c>
      <c r="L132" s="664">
        <v>0</v>
      </c>
      <c r="M132" s="664">
        <v>214.7</v>
      </c>
      <c r="N132" s="664">
        <v>0</v>
      </c>
      <c r="O132" s="664">
        <v>77.43</v>
      </c>
      <c r="P132" s="664">
        <v>0</v>
      </c>
      <c r="Q132" s="664">
        <v>0</v>
      </c>
      <c r="R132" s="664">
        <v>0</v>
      </c>
      <c r="S132" s="664">
        <v>0</v>
      </c>
      <c r="T132" s="664">
        <v>0</v>
      </c>
      <c r="U132" s="664">
        <v>0</v>
      </c>
      <c r="V132" s="664">
        <v>0</v>
      </c>
      <c r="W132" s="664">
        <v>0</v>
      </c>
      <c r="X132" s="664">
        <v>27.9</v>
      </c>
      <c r="Y132" s="664">
        <v>0</v>
      </c>
      <c r="Z132" s="664">
        <v>4.96</v>
      </c>
      <c r="AA132" s="664">
        <v>3.17</v>
      </c>
      <c r="AB132" s="664">
        <v>1227.38</v>
      </c>
      <c r="AC132" s="664">
        <v>2082.83</v>
      </c>
      <c r="AD132" s="664">
        <v>59.09</v>
      </c>
      <c r="AE132" s="4643">
        <v>1.89</v>
      </c>
      <c r="AF132" s="4643">
        <v>14.68</v>
      </c>
      <c r="AG132" s="4643">
        <v>0</v>
      </c>
      <c r="AH132" s="397" t="str">
        <f>FHD_NOTE_P_62</f>
        <v>Регулируемыми организациями указывается информация по договорам, заключенным в рамках осуществления регулируемых видов деятельности</v>
      </c>
      <c r="AI132" s="650"/>
      <c r="AJ132" s="1732"/>
      <c r="AK132" s="1732"/>
      <c r="AP132" s="1732"/>
      <c r="AS132" s="651"/>
      <c r="AY132" s="1728"/>
      <c r="AZ132" s="1728"/>
      <c r="BA132" s="1728"/>
      <c r="BB132" s="1728"/>
      <c r="BC132" s="1728"/>
      <c r="BD132" s="1256">
        <v>0</v>
      </c>
    </row>
    <row s="10306" customFormat="1" customHeight="1" ht="18.75">
      <c r="A133" s="3200"/>
      <c r="C133" s="1732"/>
      <c r="D133" s="1734"/>
      <c r="E133" s="653" t="str">
        <f>FHD_NUM_P_63</f>
        <v>9</v>
      </c>
      <c r="F133" s="1974" t="str">
        <f>FHD_P_63</f>
        <v>Объем вырабатываемой регулируемой организацией тепловой энергии в рамках осуществления регулируемых видов деятельности</v>
      </c>
      <c r="G133" s="1971" t="s">
        <v>679</v>
      </c>
      <c r="H133" s="684"/>
      <c r="I133" s="684">
        <v>3155.396</v>
      </c>
      <c r="J133" s="684">
        <v>2496.864</v>
      </c>
      <c r="K133" s="684">
        <v>1550.387</v>
      </c>
      <c r="L133" s="684">
        <v>1252.325</v>
      </c>
      <c r="M133" s="684">
        <v>605.053</v>
      </c>
      <c r="N133" s="684">
        <v>7.114</v>
      </c>
      <c r="O133" s="684">
        <v>327.194</v>
      </c>
      <c r="P133" s="684">
        <v>6743.228</v>
      </c>
      <c r="Q133" s="684">
        <v>3017.614</v>
      </c>
      <c r="R133" s="684">
        <v>605.053</v>
      </c>
      <c r="S133" s="684">
        <v>28.4059</v>
      </c>
      <c r="T133" s="684">
        <v>329.238</v>
      </c>
      <c r="U133" s="684">
        <v>22.67</v>
      </c>
      <c r="V133" s="684">
        <v>216.571859</v>
      </c>
      <c r="W133" s="684">
        <v>933.1</v>
      </c>
      <c r="X133" s="684">
        <v>123.8</v>
      </c>
      <c r="Y133" s="684">
        <v>214.9</v>
      </c>
      <c r="Z133" s="684">
        <v>21.2395</v>
      </c>
      <c r="AA133" s="684">
        <v>22.7</v>
      </c>
      <c r="AB133" s="684">
        <v>0</v>
      </c>
      <c r="AC133" s="684">
        <v>0</v>
      </c>
      <c r="AD133" s="684">
        <v>216.5719</v>
      </c>
      <c r="AE133" s="4700">
        <v>2.044</v>
      </c>
      <c r="AF133" s="4700">
        <v>34.077</v>
      </c>
      <c r="AG133" s="4700">
        <v>0</v>
      </c>
      <c r="AH133" s="39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I133" s="650"/>
      <c r="AJ133" s="1732"/>
      <c r="AK133" s="1732"/>
      <c r="AP133" s="1732"/>
      <c r="AS133" s="651"/>
      <c r="AY133" s="1728"/>
      <c r="AZ133" s="1728"/>
      <c r="BA133" s="1728"/>
      <c r="BB133" s="1728"/>
      <c r="BC133" s="1728"/>
      <c r="BD133" s="1256">
        <v>0</v>
      </c>
    </row>
    <row s="10306" customFormat="1" customHeight="1" ht="18.75">
      <c r="A134" s="3200"/>
      <c r="C134" s="1732" t="s">
        <v>22</v>
      </c>
      <c r="D134" s="1734"/>
      <c r="E134" s="653" t="str">
        <f>FHD_NUM_P_64</f>
        <v>9.1</v>
      </c>
      <c r="F134" s="1974" t="str">
        <f>FHD_P_64</f>
        <v>Объем приобретаемой регулируемой организацией тепловой энергии в рамках осуществления регулируемых видов деятельности</v>
      </c>
      <c r="G134" s="1971" t="s">
        <v>679</v>
      </c>
      <c r="H134" s="1503"/>
      <c r="I134" s="858"/>
      <c r="J134" s="1503"/>
      <c r="K134" s="1503"/>
      <c r="L134" s="1503"/>
      <c r="M134" s="1503"/>
      <c r="N134" s="1503"/>
      <c r="O134" s="1503"/>
      <c r="P134" s="1503"/>
      <c r="Q134" s="1503"/>
      <c r="R134" s="1503"/>
      <c r="S134" s="1503"/>
      <c r="T134" s="1503"/>
      <c r="U134" s="1503"/>
      <c r="V134" s="1503"/>
      <c r="W134" s="1503"/>
      <c r="X134" s="1503"/>
      <c r="Y134" s="1503"/>
      <c r="Z134" s="1503"/>
      <c r="AA134" s="1503"/>
      <c r="AB134" s="1503"/>
      <c r="AC134" s="1503"/>
      <c r="AD134" s="1503"/>
      <c r="AE134" s="4797"/>
      <c r="AF134" s="4797"/>
      <c r="AG134" s="4797"/>
      <c r="AH134" s="397" t="str">
        <f>FHD_NOTE_P_64</f>
        <v>Информация указывается только едиными теплоснабжающими организациями.</v>
      </c>
      <c r="AI134" s="650"/>
      <c r="AJ134" s="1732"/>
      <c r="AK134" s="1732"/>
      <c r="AP134" s="1732"/>
      <c r="AS134" s="651"/>
      <c r="AY134" s="1728"/>
      <c r="AZ134" s="1728"/>
      <c r="BA134" s="1728"/>
      <c r="BB134" s="1728"/>
      <c r="BC134" s="1728"/>
      <c r="BD134" s="1256">
        <v>0</v>
      </c>
    </row>
    <row s="10306" customFormat="1" customHeight="1" ht="18.75">
      <c r="A135" s="3200"/>
      <c r="C135" s="1732"/>
      <c r="D135" s="1734"/>
      <c r="E135" s="653" t="str">
        <f>FHD_NUM_P_65</f>
        <v>10</v>
      </c>
      <c r="F135" s="197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35" s="1971" t="s">
        <v>679</v>
      </c>
      <c r="H135" s="684"/>
      <c r="I135" s="684">
        <v>0</v>
      </c>
      <c r="J135" s="684">
        <v>0</v>
      </c>
      <c r="K135" s="684">
        <v>0</v>
      </c>
      <c r="L135" s="684">
        <v>0</v>
      </c>
      <c r="M135" s="684">
        <v>425.4412</v>
      </c>
      <c r="N135" s="684">
        <v>0</v>
      </c>
      <c r="O135" s="684">
        <v>279.0521</v>
      </c>
      <c r="P135" s="684">
        <v>0</v>
      </c>
      <c r="Q135" s="684">
        <v>0</v>
      </c>
      <c r="R135" s="684">
        <v>0</v>
      </c>
      <c r="S135" s="684">
        <v>0</v>
      </c>
      <c r="T135" s="684">
        <v>0</v>
      </c>
      <c r="U135" s="684">
        <v>0</v>
      </c>
      <c r="V135" s="684">
        <v>0</v>
      </c>
      <c r="W135" s="684">
        <v>0</v>
      </c>
      <c r="X135" s="684">
        <v>114.1529</v>
      </c>
      <c r="Y135" s="684">
        <v>0</v>
      </c>
      <c r="Z135" s="684">
        <v>27.6641</v>
      </c>
      <c r="AA135" s="684">
        <v>9.2971</v>
      </c>
      <c r="AB135" s="684">
        <v>2584.8077</v>
      </c>
      <c r="AC135" s="684">
        <v>5178.4687</v>
      </c>
      <c r="AD135" s="684">
        <v>150.845</v>
      </c>
      <c r="AE135" s="4700">
        <v>1.9053</v>
      </c>
      <c r="AF135" s="4700">
        <v>33.1179</v>
      </c>
      <c r="AG135" s="4700">
        <v>0</v>
      </c>
      <c r="AH135" s="39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I135" s="650"/>
      <c r="AJ135" s="1732"/>
      <c r="AK135" s="1732"/>
      <c r="AP135" s="1732"/>
      <c r="AS135" s="651"/>
      <c r="AY135" s="1728"/>
      <c r="AZ135" s="1728"/>
      <c r="BA135" s="1728"/>
      <c r="BB135" s="1728"/>
      <c r="BC135" s="1728"/>
      <c r="BD135" s="1256">
        <v>0</v>
      </c>
    </row>
    <row s="10306" customFormat="1" customHeight="1" ht="18.75">
      <c r="A136" s="3200"/>
      <c r="C136" s="1732"/>
      <c r="D136" s="1734"/>
      <c r="E136" s="653" t="str">
        <f>FHD_NUM_P_66</f>
        <v>10.1</v>
      </c>
      <c r="F136" s="1620" t="str">
        <f>FHD_P_66</f>
        <v>По приборам учёта </v>
      </c>
      <c r="G136" s="1971" t="s">
        <v>679</v>
      </c>
      <c r="H136" s="684"/>
      <c r="I136" s="684">
        <v>0</v>
      </c>
      <c r="J136" s="684">
        <v>0</v>
      </c>
      <c r="K136" s="684">
        <v>0</v>
      </c>
      <c r="L136" s="684">
        <v>0</v>
      </c>
      <c r="M136" s="684">
        <v>299.1471</v>
      </c>
      <c r="N136" s="684">
        <v>0</v>
      </c>
      <c r="O136" s="684">
        <v>35.4269</v>
      </c>
      <c r="P136" s="684">
        <v>0</v>
      </c>
      <c r="Q136" s="684">
        <v>0</v>
      </c>
      <c r="R136" s="684">
        <v>0</v>
      </c>
      <c r="S136" s="684">
        <v>0</v>
      </c>
      <c r="T136" s="684">
        <v>0</v>
      </c>
      <c r="U136" s="684">
        <v>0</v>
      </c>
      <c r="V136" s="684">
        <v>0</v>
      </c>
      <c r="W136" s="684">
        <v>0</v>
      </c>
      <c r="X136" s="684">
        <v>7.715</v>
      </c>
      <c r="Y136" s="684">
        <v>0</v>
      </c>
      <c r="Z136" s="684">
        <v>3.0752</v>
      </c>
      <c r="AA136" s="684">
        <v>0.9117</v>
      </c>
      <c r="AB136" s="684">
        <v>906.6073</v>
      </c>
      <c r="AC136" s="684">
        <v>2529.1327</v>
      </c>
      <c r="AD136" s="684">
        <v>99.6841</v>
      </c>
      <c r="AE136" s="4700">
        <v>0.0827</v>
      </c>
      <c r="AF136" s="4700">
        <v>21.3464</v>
      </c>
      <c r="AG136" s="4700">
        <v>0</v>
      </c>
      <c r="AH136" s="397" t="str">
        <f>FHD_NOTE_P_66</f>
        <v/>
      </c>
      <c r="AI136" s="650"/>
      <c r="AJ136" s="1732"/>
      <c r="AK136" s="1732"/>
      <c r="AP136" s="1732"/>
      <c r="AS136" s="651"/>
      <c r="AY136" s="1728"/>
      <c r="AZ136" s="1728"/>
      <c r="BA136" s="1728"/>
      <c r="BB136" s="1728"/>
      <c r="BC136" s="1728"/>
      <c r="BD136" s="1256">
        <v>0</v>
      </c>
    </row>
    <row s="10306" customFormat="1" customHeight="1" ht="18.75">
      <c r="A137" s="3200"/>
      <c r="C137" s="1732"/>
      <c r="D137" s="1734"/>
      <c r="E137" s="653" t="str">
        <f>FHD_NUM_P_67</f>
        <v>10.1.1</v>
      </c>
      <c r="F137" s="174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7" s="1971" t="s">
        <v>679</v>
      </c>
      <c r="H137" s="684"/>
      <c r="I137" s="684">
        <v>0</v>
      </c>
      <c r="J137" s="684">
        <v>0</v>
      </c>
      <c r="K137" s="684">
        <v>0</v>
      </c>
      <c r="L137" s="684">
        <v>0</v>
      </c>
      <c r="M137" s="684">
        <v>0</v>
      </c>
      <c r="N137" s="684">
        <v>0</v>
      </c>
      <c r="O137" s="684">
        <v>0</v>
      </c>
      <c r="P137" s="684">
        <v>0</v>
      </c>
      <c r="Q137" s="684">
        <v>0</v>
      </c>
      <c r="R137" s="684">
        <v>0</v>
      </c>
      <c r="S137" s="684">
        <v>0</v>
      </c>
      <c r="T137" s="684">
        <v>0</v>
      </c>
      <c r="U137" s="684">
        <v>0</v>
      </c>
      <c r="V137" s="684">
        <v>0</v>
      </c>
      <c r="W137" s="684">
        <v>0</v>
      </c>
      <c r="X137" s="684">
        <v>0</v>
      </c>
      <c r="Y137" s="684">
        <v>0</v>
      </c>
      <c r="Z137" s="684">
        <v>0</v>
      </c>
      <c r="AA137" s="684">
        <v>0</v>
      </c>
      <c r="AB137" s="684">
        <v>0</v>
      </c>
      <c r="AC137" s="684">
        <v>0</v>
      </c>
      <c r="AD137" s="684">
        <v>0</v>
      </c>
      <c r="AE137" s="4700">
        <v>0</v>
      </c>
      <c r="AF137" s="4700">
        <v>0</v>
      </c>
      <c r="AG137" s="4700">
        <v>0</v>
      </c>
      <c r="AH137" s="397" t="str">
        <f>FHD_NOTE_P_67</f>
        <v/>
      </c>
      <c r="AI137" s="650"/>
      <c r="AJ137" s="1732"/>
      <c r="AK137" s="1732"/>
      <c r="AP137" s="1732"/>
      <c r="AS137" s="651"/>
      <c r="AY137" s="1728"/>
      <c r="AZ137" s="1728"/>
      <c r="BA137" s="1728"/>
      <c r="BB137" s="1728"/>
      <c r="BC137" s="1728"/>
      <c r="BD137" s="1256">
        <v>0</v>
      </c>
    </row>
    <row s="10306" customFormat="1" customHeight="1" ht="18.75">
      <c r="A138" s="3200"/>
      <c r="C138" s="1732"/>
      <c r="D138" s="1734"/>
      <c r="E138" s="653" t="str">
        <f>FHD_NUM_P_68</f>
        <v>10.2</v>
      </c>
      <c r="F138" s="1620" t="str">
        <f>FHD_P_68</f>
        <v>Расчётным путём</v>
      </c>
      <c r="G138" s="1971" t="s">
        <v>679</v>
      </c>
      <c r="H138" s="684"/>
      <c r="I138" s="684">
        <v>0</v>
      </c>
      <c r="J138" s="684">
        <v>0</v>
      </c>
      <c r="K138" s="684">
        <v>0</v>
      </c>
      <c r="L138" s="684">
        <v>0</v>
      </c>
      <c r="M138" s="684">
        <v>18.2429</v>
      </c>
      <c r="N138" s="684">
        <v>0</v>
      </c>
      <c r="O138" s="684">
        <v>0</v>
      </c>
      <c r="P138" s="684">
        <v>0</v>
      </c>
      <c r="Q138" s="684">
        <v>0</v>
      </c>
      <c r="R138" s="684">
        <v>0</v>
      </c>
      <c r="S138" s="684">
        <v>0</v>
      </c>
      <c r="T138" s="684">
        <v>0</v>
      </c>
      <c r="U138" s="684">
        <v>0</v>
      </c>
      <c r="V138" s="684">
        <v>0</v>
      </c>
      <c r="W138" s="684">
        <v>0</v>
      </c>
      <c r="X138" s="684">
        <v>48.9758</v>
      </c>
      <c r="Y138" s="684">
        <v>0</v>
      </c>
      <c r="Z138" s="684">
        <v>11.9359</v>
      </c>
      <c r="AA138" s="684">
        <v>0.6396</v>
      </c>
      <c r="AB138" s="684">
        <v>270.6999</v>
      </c>
      <c r="AC138" s="684">
        <v>794.3518</v>
      </c>
      <c r="AD138" s="684">
        <v>8.1699</v>
      </c>
      <c r="AE138" s="4700">
        <v>1.108</v>
      </c>
      <c r="AF138" s="4700">
        <v>3.3034</v>
      </c>
      <c r="AG138" s="4700">
        <v>0</v>
      </c>
      <c r="AH138" s="397" t="str">
        <f>FHD_NOTE_P_68</f>
        <v/>
      </c>
      <c r="AI138" s="650"/>
      <c r="AJ138" s="1732"/>
      <c r="AK138" s="1732"/>
      <c r="AP138" s="1732"/>
      <c r="AS138" s="651"/>
      <c r="AY138" s="1728"/>
      <c r="AZ138" s="1728"/>
      <c r="BA138" s="1728"/>
      <c r="BB138" s="1728"/>
      <c r="BC138" s="1728"/>
      <c r="BD138" s="1256">
        <v>0</v>
      </c>
    </row>
    <row s="10306" customFormat="1" customHeight="1" ht="18.75">
      <c r="A139" s="3200"/>
      <c r="C139" s="1732"/>
      <c r="D139" s="1734"/>
      <c r="E139" s="653" t="str">
        <f>FHD_NUM_P_69</f>
        <v>10.3</v>
      </c>
      <c r="F139" s="1620" t="str">
        <f>FHD_P_69</f>
        <v>По нормативам потребления коммунальных услуг и нормативам потребления коммунальных ресурсов</v>
      </c>
      <c r="G139" s="1971" t="s">
        <v>679</v>
      </c>
      <c r="H139" s="684"/>
      <c r="I139" s="684">
        <v>0</v>
      </c>
      <c r="J139" s="684">
        <v>0</v>
      </c>
      <c r="K139" s="684">
        <v>0</v>
      </c>
      <c r="L139" s="684">
        <v>0</v>
      </c>
      <c r="M139" s="684">
        <v>108.0513</v>
      </c>
      <c r="N139" s="684">
        <v>0</v>
      </c>
      <c r="O139" s="684">
        <v>103.9443</v>
      </c>
      <c r="P139" s="684">
        <v>0</v>
      </c>
      <c r="Q139" s="684">
        <v>0</v>
      </c>
      <c r="R139" s="684">
        <v>0</v>
      </c>
      <c r="S139" s="684">
        <v>0</v>
      </c>
      <c r="T139" s="684">
        <v>0</v>
      </c>
      <c r="U139" s="684">
        <v>0</v>
      </c>
      <c r="V139" s="684">
        <v>0</v>
      </c>
      <c r="W139" s="684">
        <v>0</v>
      </c>
      <c r="X139" s="684">
        <v>57.4621</v>
      </c>
      <c r="Y139" s="684">
        <v>0</v>
      </c>
      <c r="Z139" s="684">
        <v>12.653</v>
      </c>
      <c r="AA139" s="684">
        <v>7.7457</v>
      </c>
      <c r="AB139" s="684">
        <v>1407.5005</v>
      </c>
      <c r="AC139" s="684">
        <v>1854.9842</v>
      </c>
      <c r="AD139" s="684">
        <v>42.9911</v>
      </c>
      <c r="AE139" s="4700">
        <v>0.7146</v>
      </c>
      <c r="AF139" s="4700">
        <v>8.468</v>
      </c>
      <c r="AG139" s="4700">
        <v>0</v>
      </c>
      <c r="AH139" s="397" t="str">
        <f>FHD_NOTE_P_69</f>
        <v/>
      </c>
      <c r="AI139" s="650"/>
      <c r="AJ139" s="1732"/>
      <c r="AK139" s="1732"/>
      <c r="AP139" s="1732"/>
      <c r="AS139" s="651"/>
      <c r="AY139" s="1728"/>
      <c r="AZ139" s="1728"/>
      <c r="BA139" s="1728"/>
      <c r="BB139" s="1728"/>
      <c r="BC139" s="1728"/>
      <c r="BD139" s="1256">
        <v>0</v>
      </c>
    </row>
    <row s="10306" customFormat="1" customHeight="1" ht="35.25">
      <c r="A140" s="3200"/>
      <c r="C140" s="1732"/>
      <c r="D140" s="1734"/>
      <c r="E140" s="653" t="str">
        <f>FHD_NUM_P_70</f>
        <v>11</v>
      </c>
      <c r="F140" s="1974" t="str">
        <f>FHD_P_70</f>
        <v>Нормативы технологических потерь при передаче тепловой энергии, теплоносителя по тепловым сетям, утвержденные уполномоченным органом</v>
      </c>
      <c r="G140" s="1971" t="s">
        <v>684</v>
      </c>
      <c r="H140" s="664"/>
      <c r="I140" s="664">
        <v>0</v>
      </c>
      <c r="J140" s="664">
        <v>0</v>
      </c>
      <c r="K140" s="664">
        <v>0</v>
      </c>
      <c r="L140" s="664">
        <v>0</v>
      </c>
      <c r="M140" s="664">
        <v>0</v>
      </c>
      <c r="N140" s="664">
        <v>0</v>
      </c>
      <c r="O140" s="664">
        <v>139.68</v>
      </c>
      <c r="P140" s="664">
        <v>1233.03</v>
      </c>
      <c r="Q140" s="664">
        <v>912.08</v>
      </c>
      <c r="R140" s="664">
        <v>92.23</v>
      </c>
      <c r="S140" s="664">
        <v>11.02</v>
      </c>
      <c r="T140" s="664">
        <v>54.12</v>
      </c>
      <c r="U140" s="664">
        <v>1.56</v>
      </c>
      <c r="V140" s="664">
        <v>0</v>
      </c>
      <c r="W140" s="664">
        <v>69.5</v>
      </c>
      <c r="X140" s="664">
        <v>33.7</v>
      </c>
      <c r="Y140" s="664">
        <v>0</v>
      </c>
      <c r="Z140" s="664">
        <v>11.02</v>
      </c>
      <c r="AA140" s="664">
        <v>1.56</v>
      </c>
      <c r="AB140" s="664">
        <v>1004.31</v>
      </c>
      <c r="AC140" s="664">
        <v>1180.43</v>
      </c>
      <c r="AD140" s="664">
        <v>22.49</v>
      </c>
      <c r="AE140" s="4643">
        <v>0</v>
      </c>
      <c r="AF140" s="4643">
        <v>1.68</v>
      </c>
      <c r="AG140" s="4643">
        <v>0</v>
      </c>
      <c r="AH140" s="397" t="str">
        <f>FHD_NOTE_P_70</f>
        <v/>
      </c>
      <c r="AI140" s="650"/>
      <c r="AJ140" s="1732"/>
      <c r="AK140" s="1732"/>
      <c r="AP140" s="1732"/>
      <c r="AS140" s="651"/>
      <c r="AY140" s="1728"/>
      <c r="AZ140" s="1728"/>
      <c r="BA140" s="1728"/>
      <c r="BB140" s="1728"/>
      <c r="BC140" s="1728"/>
      <c r="BD140" s="1256">
        <v>0</v>
      </c>
    </row>
    <row s="10306" customFormat="1" customHeight="1" ht="22.5">
      <c r="A141" s="3200"/>
      <c r="C141" s="1732"/>
      <c r="D141" s="1734"/>
      <c r="E141" s="653" t="str">
        <f>FHD_NUM_P_71</f>
        <v>12</v>
      </c>
      <c r="F141" s="1974" t="str">
        <f>FHD_P_71</f>
        <v>Фактический объем потерь при передаче тепловой энергии</v>
      </c>
      <c r="G141" s="1971" t="s">
        <v>684</v>
      </c>
      <c r="H141" s="664"/>
      <c r="I141" s="664">
        <v>0</v>
      </c>
      <c r="J141" s="664">
        <v>0</v>
      </c>
      <c r="K141" s="664">
        <v>0</v>
      </c>
      <c r="L141" s="664">
        <v>0</v>
      </c>
      <c r="M141" s="664">
        <v>0</v>
      </c>
      <c r="N141" s="664">
        <v>0</v>
      </c>
      <c r="O141" s="664">
        <v>0</v>
      </c>
      <c r="P141" s="664">
        <v>1821.1</v>
      </c>
      <c r="Q141" s="664">
        <v>570.14</v>
      </c>
      <c r="R141" s="664">
        <v>174.94</v>
      </c>
      <c r="S141" s="664">
        <v>8.39</v>
      </c>
      <c r="T141" s="664">
        <v>92.01</v>
      </c>
      <c r="U141" s="664">
        <v>10.08</v>
      </c>
      <c r="V141" s="664">
        <v>0</v>
      </c>
      <c r="W141" s="664">
        <v>69.5</v>
      </c>
      <c r="X141" s="664">
        <v>50.72</v>
      </c>
      <c r="Y141" s="664">
        <v>0</v>
      </c>
      <c r="Z141" s="664">
        <v>8.39</v>
      </c>
      <c r="AA141" s="664">
        <v>10.08</v>
      </c>
      <c r="AB141" s="664">
        <v>745.08</v>
      </c>
      <c r="AC141" s="664">
        <v>1770.38</v>
      </c>
      <c r="AD141" s="664">
        <v>54.99</v>
      </c>
      <c r="AE141" s="4643">
        <v>0.12</v>
      </c>
      <c r="AF141" s="4643">
        <v>3.65</v>
      </c>
      <c r="AG141" s="4643">
        <v>0</v>
      </c>
      <c r="AH141" s="397" t="str">
        <f>FHD_NOTE_P_71</f>
        <v/>
      </c>
      <c r="AI141" s="650"/>
      <c r="AJ141" s="1732"/>
      <c r="AK141" s="1732"/>
      <c r="AP141" s="1732"/>
      <c r="AS141" s="651"/>
      <c r="AY141" s="1728"/>
      <c r="AZ141" s="1728"/>
      <c r="BA141" s="1728"/>
      <c r="BB141" s="1728"/>
      <c r="BC141" s="1728"/>
      <c r="BD141" s="1256">
        <v>0</v>
      </c>
    </row>
    <row customHeight="1" ht="20.25">
      <c r="D142" s="1734"/>
      <c r="E142" s="653" t="str">
        <f>FHD_NUM_P_72</f>
        <v>13</v>
      </c>
      <c r="F142" s="1974" t="str">
        <f>FHD_P_72</f>
        <v>Среднесписочная численность основного производственного персонала</v>
      </c>
      <c r="G142" s="1970" t="s">
        <v>685</v>
      </c>
      <c r="H142" s="684"/>
      <c r="I142" s="684">
        <v>55.75099</v>
      </c>
      <c r="J142" s="684">
        <v>44.2538</v>
      </c>
      <c r="K142" s="684">
        <v>56.9512</v>
      </c>
      <c r="L142" s="684">
        <v>17.29</v>
      </c>
      <c r="M142" s="684">
        <v>39.67</v>
      </c>
      <c r="N142" s="684">
        <v>3.26</v>
      </c>
      <c r="O142" s="684">
        <v>21.2515</v>
      </c>
      <c r="P142" s="684">
        <v>6.4</v>
      </c>
      <c r="Q142" s="684">
        <v>25.4905</v>
      </c>
      <c r="R142" s="684">
        <v>14.13</v>
      </c>
      <c r="S142" s="684">
        <v>0</v>
      </c>
      <c r="T142" s="684">
        <v>0</v>
      </c>
      <c r="U142" s="684">
        <v>0.62</v>
      </c>
      <c r="V142" s="684">
        <v>0</v>
      </c>
      <c r="W142" s="684">
        <v>37.5</v>
      </c>
      <c r="X142" s="684">
        <v>9.19</v>
      </c>
      <c r="Y142" s="684">
        <v>38.71</v>
      </c>
      <c r="Z142" s="684">
        <v>0.4418</v>
      </c>
      <c r="AA142" s="684">
        <v>23.591</v>
      </c>
      <c r="AB142" s="684">
        <v>61.33</v>
      </c>
      <c r="AC142" s="684">
        <v>124.23</v>
      </c>
      <c r="AD142" s="684">
        <v>42.3803</v>
      </c>
      <c r="AE142" s="4700">
        <v>0.51</v>
      </c>
      <c r="AF142" s="4700">
        <v>9.4455</v>
      </c>
      <c r="AG142" s="4700">
        <v>0.08</v>
      </c>
      <c r="AH142" s="397" t="str">
        <f>FHD_NOTE_P_72</f>
        <v/>
      </c>
      <c r="AI142" s="650"/>
      <c r="BD142" s="1727">
        <v>19</v>
      </c>
    </row>
    <row customHeight="1" ht="18.75">
      <c r="A143" s="1089" t="s">
        <v>686</v>
      </c>
      <c r="D143" s="1734"/>
      <c r="E143" s="653" t="str">
        <f>FHD_NUM_P_73</f>
        <v>14</v>
      </c>
      <c r="F143" s="1974" t="str">
        <f>FHD_P_73</f>
        <v>Среднесписочная численность административно-управленческого персонала</v>
      </c>
      <c r="G143" s="1070" t="s">
        <v>685</v>
      </c>
      <c r="H143" s="1068"/>
      <c r="I143" s="1068">
        <v>4.87452</v>
      </c>
      <c r="J143" s="1068">
        <v>4.2361</v>
      </c>
      <c r="K143" s="1068">
        <v>3.3707</v>
      </c>
      <c r="L143" s="1068">
        <v>3.2291</v>
      </c>
      <c r="M143" s="1068">
        <v>2.4579</v>
      </c>
      <c r="N143" s="1068">
        <v>0.2223</v>
      </c>
      <c r="O143" s="1068">
        <v>1.4676</v>
      </c>
      <c r="P143" s="1068">
        <v>5.9165</v>
      </c>
      <c r="Q143" s="1068">
        <v>2.0156</v>
      </c>
      <c r="R143" s="1068">
        <v>0.5512</v>
      </c>
      <c r="S143" s="1068">
        <v>0.0207</v>
      </c>
      <c r="T143" s="1068">
        <v>61</v>
      </c>
      <c r="U143" s="1068">
        <v>0.0327</v>
      </c>
      <c r="V143" s="1068">
        <v>0.1238</v>
      </c>
      <c r="W143" s="1068">
        <v>4.6599</v>
      </c>
      <c r="X143" s="1068">
        <v>0.4669</v>
      </c>
      <c r="Y143" s="1068">
        <v>0</v>
      </c>
      <c r="Z143" s="1068">
        <v>0.3193</v>
      </c>
      <c r="AA143" s="1068">
        <v>1.2207</v>
      </c>
      <c r="AB143" s="1068">
        <v>13.6627</v>
      </c>
      <c r="AC143" s="1068">
        <v>27.3292</v>
      </c>
      <c r="AD143" s="1068">
        <v>7.5565</v>
      </c>
      <c r="AE143" s="4801">
        <v>0.0053</v>
      </c>
      <c r="AF143" s="4801">
        <v>0.3672</v>
      </c>
      <c r="AG143" s="4801">
        <v>0.0063</v>
      </c>
      <c r="AH143" s="397" t="str">
        <f>FHD_NOTE_P_73</f>
        <v/>
      </c>
      <c r="AI143" s="650"/>
      <c r="BD143" s="1727">
        <v>0</v>
      </c>
    </row>
    <row customHeight="1" ht="33.75" hidden="1">
      <c r="A144" s="1089" t="s">
        <v>687</v>
      </c>
      <c r="D144" s="1734"/>
      <c r="E144" s="653" t="str">
        <f>FHD_NUM_P_74</f>
        <v/>
      </c>
      <c r="F144" s="1974" t="str">
        <f>FHD_P_74</f>
        <v/>
      </c>
      <c r="G144" s="1970" t="s">
        <v>688</v>
      </c>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4700"/>
      <c r="AF144" s="4700"/>
      <c r="AG144" s="4700"/>
      <c r="AH144" s="397" t="str">
        <f>FHD_NOTE_P_74</f>
        <v/>
      </c>
      <c r="AI144" s="650"/>
      <c r="BD144" s="1727">
        <v>0</v>
      </c>
    </row>
    <row s="10232" customFormat="1" customHeight="1" ht="18.75" hidden="1">
      <c r="A145" s="3200" t="s">
        <v>689</v>
      </c>
      <c r="B145" s="1010"/>
      <c r="C145" s="842"/>
      <c r="D145" s="840"/>
      <c r="E145" s="653" t="str">
        <f>FHD_NUM_P_75</f>
        <v/>
      </c>
      <c r="F145" s="1974" t="str">
        <f>FHD_P_75</f>
        <v/>
      </c>
      <c r="G145" s="1970" t="s">
        <v>643</v>
      </c>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4643"/>
      <c r="AF145" s="4643"/>
      <c r="AG145" s="4643"/>
      <c r="AH145" s="397" t="str">
        <f>FHD_NOTE_P_75</f>
        <v/>
      </c>
      <c r="AI145" s="841"/>
      <c r="AJ145" s="842"/>
      <c r="AK145" s="842"/>
      <c r="AL145" s="1010"/>
      <c r="AM145" s="1010"/>
      <c r="AN145" s="1010"/>
      <c r="AO145" s="1010"/>
      <c r="AP145" s="842"/>
      <c r="AQ145" s="1010"/>
      <c r="AR145" s="1010"/>
      <c r="AS145" s="843"/>
      <c r="AT145" s="1010"/>
      <c r="AU145" s="1010"/>
      <c r="AV145" s="1010"/>
      <c r="AW145" s="1010"/>
      <c r="AX145" s="1010"/>
      <c r="AY145" s="844"/>
      <c r="AZ145" s="844"/>
      <c r="BA145" s="844"/>
      <c r="BB145" s="844"/>
      <c r="BC145" s="844"/>
      <c r="BD145" s="846">
        <v>0</v>
      </c>
    </row>
    <row s="10232" customFormat="1" customHeight="1" ht="18.75" hidden="1">
      <c r="A146" s="3200"/>
      <c r="B146" s="1010"/>
      <c r="C146" s="842"/>
      <c r="D146" s="840"/>
      <c r="E146" s="653" t="str">
        <f>FHD_NUM_P_76</f>
        <v/>
      </c>
      <c r="F146" s="1974" t="str">
        <f>FHD_P_76</f>
        <v/>
      </c>
      <c r="G146" s="1970" t="s">
        <v>643</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4643"/>
      <c r="AF146" s="4643"/>
      <c r="AG146" s="4643"/>
      <c r="AH146" s="397" t="str">
        <f>FHD_NOTE_P_76</f>
        <v/>
      </c>
      <c r="AI146" s="841"/>
      <c r="AJ146" s="842"/>
      <c r="AK146" s="842"/>
      <c r="AL146" s="1010"/>
      <c r="AM146" s="1010"/>
      <c r="AN146" s="1010"/>
      <c r="AO146" s="1010"/>
      <c r="AP146" s="842"/>
      <c r="AQ146" s="1010"/>
      <c r="AR146" s="1010"/>
      <c r="AS146" s="843"/>
      <c r="AT146" s="1010"/>
      <c r="AU146" s="1010"/>
      <c r="AV146" s="1010"/>
      <c r="AW146" s="1010"/>
      <c r="AX146" s="1010"/>
      <c r="AY146" s="844"/>
      <c r="AZ146" s="844"/>
      <c r="BA146" s="844"/>
      <c r="BB146" s="844"/>
      <c r="BC146" s="844"/>
      <c r="BD146" s="846">
        <v>0</v>
      </c>
    </row>
    <row s="10232" customFormat="1" customHeight="1" ht="18.75" hidden="1">
      <c r="A147" s="3200"/>
      <c r="B147" s="1010"/>
      <c r="C147" s="842"/>
      <c r="D147" s="840"/>
      <c r="E147" s="653" t="str">
        <f>FHD_NUM_P_77</f>
        <v/>
      </c>
      <c r="F147" s="1974" t="str">
        <f>FHD_P_77</f>
        <v/>
      </c>
      <c r="G147" s="1970" t="s">
        <v>643</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4643"/>
      <c r="AF147" s="4643"/>
      <c r="AG147" s="4643"/>
      <c r="AH147" s="397" t="str">
        <f>FHD_NOTE_P_77</f>
        <v/>
      </c>
      <c r="AI147" s="841"/>
      <c r="AJ147" s="842"/>
      <c r="AK147" s="842"/>
      <c r="AL147" s="1010"/>
      <c r="AM147" s="1010"/>
      <c r="AN147" s="1010"/>
      <c r="AO147" s="1010"/>
      <c r="AP147" s="842"/>
      <c r="AQ147" s="1010"/>
      <c r="AR147" s="1010"/>
      <c r="AS147" s="843"/>
      <c r="AT147" s="1010"/>
      <c r="AU147" s="1010"/>
      <c r="AV147" s="1010"/>
      <c r="AW147" s="1010"/>
      <c r="AX147" s="1010"/>
      <c r="AY147" s="844"/>
      <c r="AZ147" s="844"/>
      <c r="BA147" s="844"/>
      <c r="BB147" s="844"/>
      <c r="BC147" s="844"/>
      <c r="BD147" s="846">
        <v>0</v>
      </c>
    </row>
    <row s="10307" customFormat="1" customHeight="1" ht="0.75" hidden="1">
      <c r="A148" s="3200"/>
      <c r="D148" s="655"/>
      <c r="E148" s="1113" t="str">
        <f>E147&amp;".0"</f>
        <v>.0</v>
      </c>
      <c r="F148" s="1097"/>
      <c r="G148" s="1747"/>
      <c r="H148" s="1092"/>
      <c r="I148" s="1092"/>
      <c r="J148" s="1092"/>
      <c r="K148" s="1092"/>
      <c r="L148" s="1092"/>
      <c r="M148" s="1092"/>
      <c r="N148" s="1092"/>
      <c r="O148" s="1092"/>
      <c r="P148" s="1092"/>
      <c r="Q148" s="1092"/>
      <c r="R148" s="1092"/>
      <c r="S148" s="1092"/>
      <c r="T148" s="1092"/>
      <c r="U148" s="1092"/>
      <c r="V148" s="1092"/>
      <c r="W148" s="1092"/>
      <c r="X148" s="1092"/>
      <c r="Y148" s="1092"/>
      <c r="Z148" s="1092"/>
      <c r="AA148" s="1092"/>
      <c r="AB148" s="1092"/>
      <c r="AC148" s="1092"/>
      <c r="AD148" s="1092"/>
      <c r="AE148" s="4713"/>
      <c r="AF148" s="4713"/>
      <c r="AG148" s="4713"/>
      <c r="AH148" s="1096"/>
      <c r="BD148" s="1732">
        <v>0</v>
      </c>
    </row>
    <row s="10232" customFormat="1" customHeight="1" ht="15" hidden="1">
      <c r="A149" s="3200"/>
      <c r="B149" s="1010"/>
      <c r="C149" s="842"/>
      <c r="D149" s="853"/>
      <c r="E149" s="1073"/>
      <c r="F149" s="1074" t="s">
        <v>690</v>
      </c>
      <c r="G149" s="854"/>
      <c r="H149" s="855"/>
      <c r="I149" s="855"/>
      <c r="J149" s="2287"/>
      <c r="K149" s="2288"/>
      <c r="L149" s="2289"/>
      <c r="M149" s="2290"/>
      <c r="N149" s="2291"/>
      <c r="O149" s="2292"/>
      <c r="P149" s="2293"/>
      <c r="Q149" s="2294"/>
      <c r="R149" s="2295"/>
      <c r="S149" s="2296"/>
      <c r="T149" s="2297"/>
      <c r="U149" s="2298"/>
      <c r="V149" s="2299"/>
      <c r="W149" s="2300"/>
      <c r="X149" s="2301"/>
      <c r="Y149" s="2302"/>
      <c r="Z149" s="2303"/>
      <c r="AA149" s="2304"/>
      <c r="AB149" s="2305"/>
      <c r="AC149" s="2306"/>
      <c r="AD149" s="2307"/>
      <c r="AE149" s="4830"/>
      <c r="AF149" s="4831"/>
      <c r="AG149" s="4832"/>
      <c r="AH149" s="1103" t="s">
        <v>691</v>
      </c>
      <c r="AI149" s="841"/>
      <c r="AJ149" s="842"/>
      <c r="AK149" s="842"/>
      <c r="AL149" s="1010"/>
      <c r="AM149" s="1010"/>
      <c r="AN149" s="1010"/>
      <c r="AO149" s="1010"/>
      <c r="AP149" s="842"/>
      <c r="AQ149" s="1010"/>
      <c r="AR149" s="1010"/>
      <c r="AS149" s="843"/>
      <c r="AT149" s="1010"/>
      <c r="AU149" s="1010"/>
      <c r="AV149" s="1010"/>
      <c r="AW149" s="1010"/>
      <c r="AX149" s="1010"/>
      <c r="AY149" s="844"/>
      <c r="AZ149" s="844"/>
      <c r="BA149" s="844"/>
      <c r="BB149" s="844"/>
      <c r="BC149" s="844"/>
      <c r="BD149" s="846">
        <v>0</v>
      </c>
    </row>
    <row customHeight="1" ht="22.5">
      <c r="A150" s="3200" t="s">
        <v>692</v>
      </c>
      <c r="D150" s="1734"/>
      <c r="E150" s="653" t="str">
        <f>FHD_NUM_P_78</f>
        <v>15</v>
      </c>
      <c r="F150" s="197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50" s="1971" t="s">
        <v>645</v>
      </c>
      <c r="H150" s="684"/>
      <c r="I150" s="684">
        <v>143</v>
      </c>
      <c r="J150" s="684">
        <v>144.3</v>
      </c>
      <c r="K150" s="684">
        <v>146.6</v>
      </c>
      <c r="L150" s="684">
        <v>141.4</v>
      </c>
      <c r="M150" s="684">
        <v>155.6</v>
      </c>
      <c r="N150" s="684">
        <v>263</v>
      </c>
      <c r="O150" s="684">
        <v>162</v>
      </c>
      <c r="P150" s="684">
        <v>0</v>
      </c>
      <c r="Q150" s="684">
        <v>0</v>
      </c>
      <c r="R150" s="684">
        <v>0</v>
      </c>
      <c r="S150" s="684">
        <v>0</v>
      </c>
      <c r="T150" s="684">
        <v>0</v>
      </c>
      <c r="U150" s="684">
        <v>0</v>
      </c>
      <c r="V150" s="684">
        <v>0</v>
      </c>
      <c r="W150" s="684">
        <v>158.6</v>
      </c>
      <c r="X150" s="684">
        <v>160.8</v>
      </c>
      <c r="Y150" s="684">
        <v>160.8</v>
      </c>
      <c r="Z150" s="684">
        <v>206.871</v>
      </c>
      <c r="AA150" s="684">
        <v>268.07</v>
      </c>
      <c r="AB150" s="684">
        <v>0</v>
      </c>
      <c r="AC150" s="684">
        <v>0</v>
      </c>
      <c r="AD150" s="684">
        <v>157.5</v>
      </c>
      <c r="AE150" s="4700">
        <v>0</v>
      </c>
      <c r="AF150" s="4700">
        <v>157.6</v>
      </c>
      <c r="AG150" s="4700">
        <v>0</v>
      </c>
      <c r="AH150" s="397" t="str">
        <f>FHD_NOTE_P_78</f>
        <v/>
      </c>
      <c r="AI150" s="650"/>
      <c r="BD150" s="1727">
        <v>0</v>
      </c>
    </row>
    <row s="10307" customFormat="1" customHeight="1" ht="0.75">
      <c r="A151" s="3200"/>
      <c r="D151" s="655"/>
      <c r="E151" s="1113" t="str">
        <f>E150&amp;".0"</f>
        <v>15.0</v>
      </c>
      <c r="F151" s="1097"/>
      <c r="G151" s="1747"/>
      <c r="H151" s="1092"/>
      <c r="I151" s="1092"/>
      <c r="J151" s="1092"/>
      <c r="K151" s="1092"/>
      <c r="L151" s="1092"/>
      <c r="M151" s="1092"/>
      <c r="N151" s="1092"/>
      <c r="O151" s="1092"/>
      <c r="P151" s="1092"/>
      <c r="Q151" s="1092"/>
      <c r="R151" s="1092"/>
      <c r="S151" s="1092"/>
      <c r="T151" s="1092"/>
      <c r="U151" s="1092"/>
      <c r="V151" s="1092"/>
      <c r="W151" s="1092"/>
      <c r="X151" s="1092"/>
      <c r="Y151" s="1092"/>
      <c r="Z151" s="1092"/>
      <c r="AA151" s="1092"/>
      <c r="AB151" s="1092"/>
      <c r="AC151" s="1092"/>
      <c r="AD151" s="1092"/>
      <c r="AE151" s="4713"/>
      <c r="AF151" s="4713"/>
      <c r="AG151" s="4713"/>
      <c r="AH151" s="1096"/>
      <c r="BD151" s="1732">
        <v>0</v>
      </c>
    </row>
    <row customHeight="1" ht="15">
      <c r="A152" s="3200"/>
      <c r="D152" s="1729"/>
      <c r="E152" s="677"/>
      <c r="F152" s="1264" t="s">
        <v>682</v>
      </c>
      <c r="G152" s="679"/>
      <c r="H152" s="680"/>
      <c r="I152" s="680"/>
      <c r="J152" s="2311"/>
      <c r="K152" s="2312"/>
      <c r="L152" s="2313"/>
      <c r="M152" s="2314"/>
      <c r="N152" s="2315"/>
      <c r="O152" s="2316"/>
      <c r="P152" s="2317"/>
      <c r="Q152" s="2318"/>
      <c r="R152" s="2319"/>
      <c r="S152" s="2320"/>
      <c r="T152" s="2321"/>
      <c r="U152" s="2322"/>
      <c r="V152" s="2323"/>
      <c r="W152" s="2324"/>
      <c r="X152" s="2325"/>
      <c r="Y152" s="2326"/>
      <c r="Z152" s="2327"/>
      <c r="AA152" s="2328"/>
      <c r="AB152" s="2329"/>
      <c r="AC152" s="2330"/>
      <c r="AD152" s="2331"/>
      <c r="AE152" s="4855"/>
      <c r="AF152" s="4856"/>
      <c r="AG152" s="4857"/>
      <c r="AH152" s="1104" t="s">
        <v>693</v>
      </c>
      <c r="AI152" s="650"/>
      <c r="BD152" s="1727">
        <v>0</v>
      </c>
    </row>
    <row customHeight="1" ht="22.5">
      <c r="A153" s="3200"/>
      <c r="D153" s="1734"/>
      <c r="E153" s="653" t="str">
        <f>FHD_NUM_P_79</f>
        <v>16</v>
      </c>
      <c r="F153" s="197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53" s="1972" t="s">
        <v>647</v>
      </c>
      <c r="H153" s="684"/>
      <c r="I153" s="684">
        <v>144.462811957675</v>
      </c>
      <c r="J153" s="684">
        <v>156.9329</v>
      </c>
      <c r="K153" s="684">
        <v>150.9978</v>
      </c>
      <c r="L153" s="684">
        <v>142.0502</v>
      </c>
      <c r="M153" s="684">
        <v>158.715943892519</v>
      </c>
      <c r="N153" s="684">
        <v>287.4613</v>
      </c>
      <c r="O153" s="684">
        <v>161.4363</v>
      </c>
      <c r="P153" s="684">
        <v>0</v>
      </c>
      <c r="Q153" s="684">
        <v>0</v>
      </c>
      <c r="R153" s="684">
        <v>0</v>
      </c>
      <c r="S153" s="684">
        <v>0</v>
      </c>
      <c r="T153" s="684">
        <v>0</v>
      </c>
      <c r="U153" s="684">
        <v>0</v>
      </c>
      <c r="V153" s="684">
        <v>0</v>
      </c>
      <c r="W153" s="684">
        <v>157.857678705391</v>
      </c>
      <c r="X153" s="684">
        <v>144.776276142854</v>
      </c>
      <c r="Y153" s="684">
        <v>159.6216</v>
      </c>
      <c r="Z153" s="684">
        <v>202.7463</v>
      </c>
      <c r="AA153" s="684">
        <v>276.1932</v>
      </c>
      <c r="AB153" s="684">
        <v>0</v>
      </c>
      <c r="AC153" s="684">
        <v>0</v>
      </c>
      <c r="AD153" s="684">
        <v>166.0277</v>
      </c>
      <c r="AE153" s="4700">
        <v>160.3472</v>
      </c>
      <c r="AF153" s="4700">
        <v>143.4399</v>
      </c>
      <c r="AG153" s="4700">
        <v>0</v>
      </c>
      <c r="AH153" s="39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I153" s="650"/>
      <c r="BD153" s="1727">
        <v>0</v>
      </c>
    </row>
    <row s="10307" customFormat="1" customHeight="1" ht="0.75">
      <c r="A154" s="3200"/>
      <c r="D154" s="655"/>
      <c r="E154" s="1113" t="str">
        <f>E153&amp;".0"</f>
        <v>16.0</v>
      </c>
      <c r="F154" s="1098"/>
      <c r="G154" s="1747"/>
      <c r="H154" s="1092"/>
      <c r="I154" s="1092"/>
      <c r="J154" s="1092"/>
      <c r="K154" s="1092"/>
      <c r="L154" s="1092"/>
      <c r="M154" s="1092"/>
      <c r="N154" s="1092"/>
      <c r="O154" s="1092"/>
      <c r="P154" s="1092"/>
      <c r="Q154" s="1092"/>
      <c r="R154" s="1092"/>
      <c r="S154" s="1092"/>
      <c r="T154" s="1092"/>
      <c r="U154" s="1092"/>
      <c r="V154" s="1092"/>
      <c r="W154" s="1092"/>
      <c r="X154" s="1092"/>
      <c r="Y154" s="1092"/>
      <c r="Z154" s="1092"/>
      <c r="AA154" s="1092"/>
      <c r="AB154" s="1092"/>
      <c r="AC154" s="1092"/>
      <c r="AD154" s="1092"/>
      <c r="AE154" s="4713"/>
      <c r="AF154" s="4713"/>
      <c r="AG154" s="4713"/>
      <c r="AH154" s="1096"/>
      <c r="BD154" s="1732">
        <v>0</v>
      </c>
    </row>
    <row customHeight="1" ht="15">
      <c r="A155" s="3200"/>
      <c r="D155" s="1729"/>
      <c r="E155" s="677"/>
      <c r="F155" s="1264" t="s">
        <v>682</v>
      </c>
      <c r="G155" s="679"/>
      <c r="H155" s="680"/>
      <c r="I155" s="680"/>
      <c r="J155" s="2335"/>
      <c r="K155" s="2336"/>
      <c r="L155" s="2337"/>
      <c r="M155" s="2338"/>
      <c r="N155" s="2339"/>
      <c r="O155" s="2340"/>
      <c r="P155" s="2341"/>
      <c r="Q155" s="2342"/>
      <c r="R155" s="2343"/>
      <c r="S155" s="2344"/>
      <c r="T155" s="2345"/>
      <c r="U155" s="2346"/>
      <c r="V155" s="2347"/>
      <c r="W155" s="2348"/>
      <c r="X155" s="2349"/>
      <c r="Y155" s="2350"/>
      <c r="Z155" s="2351"/>
      <c r="AA155" s="2352"/>
      <c r="AB155" s="2353"/>
      <c r="AC155" s="2354"/>
      <c r="AD155" s="2355"/>
      <c r="AE155" s="4880"/>
      <c r="AF155" s="4881"/>
      <c r="AG155" s="4882"/>
      <c r="AH155" s="1104" t="s">
        <v>694</v>
      </c>
      <c r="AI155" s="650"/>
      <c r="BD155" s="1727">
        <v>0</v>
      </c>
    </row>
    <row customHeight="1" ht="22.5">
      <c r="A156" s="3200"/>
      <c r="D156" s="1734"/>
      <c r="E156" s="653" t="str">
        <f>FHD_NUM_P_80</f>
        <v>17</v>
      </c>
      <c r="F156" s="197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6" s="1972" t="s">
        <v>695</v>
      </c>
      <c r="H156" s="664"/>
      <c r="I156" s="664">
        <v>0.05</v>
      </c>
      <c r="J156" s="664">
        <v>0.07</v>
      </c>
      <c r="K156" s="664">
        <v>0.04</v>
      </c>
      <c r="L156" s="664">
        <v>0.05</v>
      </c>
      <c r="M156" s="664">
        <v>0.04</v>
      </c>
      <c r="N156" s="664">
        <v>0.04</v>
      </c>
      <c r="O156" s="664">
        <v>0.03</v>
      </c>
      <c r="P156" s="664">
        <v>0</v>
      </c>
      <c r="Q156" s="664">
        <v>0</v>
      </c>
      <c r="R156" s="664">
        <v>0</v>
      </c>
      <c r="S156" s="664">
        <v>0</v>
      </c>
      <c r="T156" s="664">
        <v>0</v>
      </c>
      <c r="U156" s="664">
        <v>0</v>
      </c>
      <c r="V156" s="664">
        <v>0</v>
      </c>
      <c r="W156" s="664">
        <v>0.05</v>
      </c>
      <c r="X156" s="664">
        <v>0.02</v>
      </c>
      <c r="Y156" s="664">
        <v>0.08</v>
      </c>
      <c r="Z156" s="664">
        <v>0.03</v>
      </c>
      <c r="AA156" s="664">
        <v>0.15</v>
      </c>
      <c r="AB156" s="664">
        <v>0</v>
      </c>
      <c r="AC156" s="664">
        <v>0</v>
      </c>
      <c r="AD156" s="664">
        <v>0.05</v>
      </c>
      <c r="AE156" s="4643">
        <v>0.04</v>
      </c>
      <c r="AF156" s="4643">
        <v>0.01</v>
      </c>
      <c r="AG156" s="4643">
        <v>0</v>
      </c>
      <c r="AH156" s="397" t="str">
        <f>FHD_NOTE_P_80</f>
        <v>Регулируемыми организациями указывается информация с по договорам, заключенным в рамках осуществления регулируемой деятельности.</v>
      </c>
      <c r="AI156" s="650"/>
      <c r="BD156" s="1727">
        <v>0</v>
      </c>
    </row>
    <row customHeight="1" ht="18.75">
      <c r="A157" s="3200"/>
      <c r="D157" s="1734"/>
      <c r="E157" s="653" t="str">
        <f>FHD_NUM_P_81</f>
        <v>18</v>
      </c>
      <c r="F157" s="197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7" s="1972" t="s">
        <v>696</v>
      </c>
      <c r="H157" s="664"/>
      <c r="I157" s="664">
        <v>4.15489466298366</v>
      </c>
      <c r="J157" s="664">
        <v>1.12</v>
      </c>
      <c r="K157" s="664">
        <v>5.58</v>
      </c>
      <c r="L157" s="664">
        <v>1.23</v>
      </c>
      <c r="M157" s="664">
        <v>3.04</v>
      </c>
      <c r="N157" s="664">
        <v>0</v>
      </c>
      <c r="O157" s="664">
        <v>3.2</v>
      </c>
      <c r="P157" s="664">
        <v>0</v>
      </c>
      <c r="Q157" s="664">
        <v>0</v>
      </c>
      <c r="R157" s="664">
        <v>0</v>
      </c>
      <c r="S157" s="664">
        <v>0</v>
      </c>
      <c r="T157" s="664">
        <v>0</v>
      </c>
      <c r="U157" s="664">
        <v>0</v>
      </c>
      <c r="V157" s="664">
        <v>0</v>
      </c>
      <c r="W157" s="664">
        <v>1.61</v>
      </c>
      <c r="X157" s="664">
        <v>2.96</v>
      </c>
      <c r="Y157" s="664">
        <v>1.28</v>
      </c>
      <c r="Z157" s="664">
        <v>6.62</v>
      </c>
      <c r="AA157" s="664">
        <v>0.84</v>
      </c>
      <c r="AB157" s="664">
        <v>0</v>
      </c>
      <c r="AC157" s="664">
        <v>0</v>
      </c>
      <c r="AD157" s="664">
        <v>6.57</v>
      </c>
      <c r="AE157" s="4643">
        <v>0.57</v>
      </c>
      <c r="AF157" s="4643">
        <v>0.08</v>
      </c>
      <c r="AG157" s="4643">
        <v>0</v>
      </c>
      <c r="AH157" s="397" t="str">
        <f>FHD_NOTE_P_81</f>
        <v>Регулируемыми организациями указывается информация с по договорам, заключенным в рамках осуществления регулируемой деятельности.</v>
      </c>
      <c r="AI157" s="650"/>
      <c r="BD157" s="1727">
        <v>0</v>
      </c>
    </row>
    <row customHeight="1" ht="18.75">
      <c r="A158" s="3200"/>
      <c r="C158" s="1732" t="s">
        <v>674</v>
      </c>
      <c r="D158" s="1734"/>
      <c r="E158" s="653" t="str">
        <f>FHD_NUM_P_82</f>
        <v>19</v>
      </c>
      <c r="F158" s="197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8" s="1972" t="s">
        <v>391</v>
      </c>
      <c r="H158" s="508"/>
      <c r="I158" s="508"/>
      <c r="J158" s="919"/>
      <c r="K158" s="919"/>
      <c r="L158" s="919"/>
      <c r="M158" s="919"/>
      <c r="N158" s="919"/>
      <c r="O158" s="919"/>
      <c r="P158" s="919"/>
      <c r="Q158" s="919"/>
      <c r="R158" s="919"/>
      <c r="S158" s="919"/>
      <c r="T158" s="919"/>
      <c r="U158" s="919"/>
      <c r="V158" s="919"/>
      <c r="W158" s="919"/>
      <c r="X158" s="919"/>
      <c r="Y158" s="919"/>
      <c r="Z158" s="919"/>
      <c r="AA158" s="919"/>
      <c r="AB158" s="919"/>
      <c r="AC158" s="919"/>
      <c r="AD158" s="919"/>
      <c r="AE158" s="4884"/>
      <c r="AF158" s="4884"/>
      <c r="AG158" s="4884"/>
      <c r="AH158" s="397" t="str">
        <f>FHD_NOTE_P_82</f>
        <v>Указывается ссылка на документ, предварительно загруженный в хранилище файлов ФГИС ЕИАС.</v>
      </c>
      <c r="AI158" s="650"/>
      <c r="BD158" s="1727">
        <v>0</v>
      </c>
    </row>
    <row customHeight="1" ht="18.75">
      <c r="A159" s="3200"/>
      <c r="C159" s="1732" t="s">
        <v>674</v>
      </c>
      <c r="D159" s="1734"/>
      <c r="E159" s="653" t="str">
        <f>FHD_NUM_P_83</f>
        <v>19.1</v>
      </c>
      <c r="F159" s="1620" t="str">
        <f>FHD_P_83</f>
        <v>Информация о показателях физического износа объектов теплоснабжения</v>
      </c>
      <c r="G159" s="1972" t="s">
        <v>391</v>
      </c>
      <c r="H159" s="508"/>
      <c r="I159" s="508"/>
      <c r="J159" s="919"/>
      <c r="K159" s="919"/>
      <c r="L159" s="919"/>
      <c r="M159" s="919"/>
      <c r="N159" s="919"/>
      <c r="O159" s="919"/>
      <c r="P159" s="919"/>
      <c r="Q159" s="919"/>
      <c r="R159" s="919"/>
      <c r="S159" s="919"/>
      <c r="T159" s="919"/>
      <c r="U159" s="919"/>
      <c r="V159" s="919"/>
      <c r="W159" s="919"/>
      <c r="X159" s="919"/>
      <c r="Y159" s="919"/>
      <c r="Z159" s="919"/>
      <c r="AA159" s="919"/>
      <c r="AB159" s="919"/>
      <c r="AC159" s="919"/>
      <c r="AD159" s="919"/>
      <c r="AE159" s="4884"/>
      <c r="AF159" s="4884"/>
      <c r="AG159" s="4884"/>
      <c r="AH159" s="397" t="str">
        <f>FHD_NOTE_P_83</f>
        <v>Указывается ссылка на документ, предварительно загруженный в хранилище файлов ФГИС ЕИАС.</v>
      </c>
      <c r="AI159" s="650"/>
      <c r="BD159" s="1727">
        <v>0</v>
      </c>
    </row>
    <row customHeight="1" ht="18.75">
      <c r="A160" s="3200"/>
      <c r="C160" s="1732" t="s">
        <v>674</v>
      </c>
      <c r="D160" s="1734"/>
      <c r="E160" s="653" t="str">
        <f>FHD_NUM_P_84</f>
        <v>19.2</v>
      </c>
      <c r="F160" s="1620" t="str">
        <f>FHD_P_84</f>
        <v>Информация о показателях энергетической эффективности объектов теплоснабжения</v>
      </c>
      <c r="G160" s="1972" t="s">
        <v>391</v>
      </c>
      <c r="H160" s="508"/>
      <c r="I160" s="508"/>
      <c r="J160" s="919"/>
      <c r="K160" s="919"/>
      <c r="L160" s="919"/>
      <c r="M160" s="919"/>
      <c r="N160" s="919"/>
      <c r="O160" s="919"/>
      <c r="P160" s="919"/>
      <c r="Q160" s="919"/>
      <c r="R160" s="919"/>
      <c r="S160" s="919"/>
      <c r="T160" s="919"/>
      <c r="U160" s="919"/>
      <c r="V160" s="919"/>
      <c r="W160" s="919"/>
      <c r="X160" s="919"/>
      <c r="Y160" s="919"/>
      <c r="Z160" s="919"/>
      <c r="AA160" s="919"/>
      <c r="AB160" s="919"/>
      <c r="AC160" s="919"/>
      <c r="AD160" s="919"/>
      <c r="AE160" s="4884"/>
      <c r="AF160" s="4884"/>
      <c r="AG160" s="4884"/>
      <c r="AH160" s="397" t="str">
        <f>FHD_NOTE_P_84</f>
        <v>Указывается ссылка на документ, предварительно загруженный в хранилище файлов ФГИС ЕИАС.</v>
      </c>
      <c r="AI160" s="650"/>
      <c r="BD160" s="1727">
        <v>0</v>
      </c>
    </row>
    <row customHeight="1" ht="11.549999999999999">
      <c r="D161" s="1734"/>
      <c r="AE161" s="4586"/>
      <c r="AF161" s="4586"/>
      <c r="AG161" s="4586"/>
      <c r="BD161" s="1727">
        <v>11</v>
      </c>
    </row>
    <row customHeight="1" ht="13.5">
      <c r="D162" s="1734"/>
      <c r="E162" s="444"/>
      <c r="F162" s="476"/>
      <c r="G162" s="476"/>
      <c r="H162" s="476"/>
      <c r="I162" s="1743"/>
      <c r="J162" s="1783"/>
      <c r="K162" s="1783"/>
      <c r="L162" s="1783"/>
      <c r="M162" s="1783"/>
      <c r="N162" s="1783"/>
      <c r="O162" s="1783"/>
      <c r="P162" s="1783"/>
      <c r="Q162" s="1783"/>
      <c r="R162" s="1783"/>
      <c r="S162" s="1783"/>
      <c r="T162" s="1783"/>
      <c r="U162" s="1783"/>
      <c r="V162" s="1783"/>
      <c r="W162" s="1783"/>
      <c r="X162" s="1783"/>
      <c r="Y162" s="1783"/>
      <c r="Z162" s="1783"/>
      <c r="AA162" s="1783"/>
      <c r="AB162" s="1783"/>
      <c r="AC162" s="1783"/>
      <c r="AD162" s="1783"/>
      <c r="AE162" s="4887"/>
      <c r="AF162" s="4887"/>
      <c r="AG162" s="4887"/>
      <c r="AH162" s="688"/>
      <c r="BD162" s="1727">
        <v>13</v>
      </c>
    </row>
    <row s="10851" customFormat="1" customHeight="1" ht="11.549999999999999">
      <c r="A163" s="1087"/>
      <c r="B163" s="1732"/>
      <c r="C163" s="1732"/>
      <c r="D163" s="458"/>
      <c r="F163" s="1736"/>
      <c r="G163" s="1727"/>
      <c r="H163" s="1727"/>
      <c r="I163" s="1727"/>
      <c r="J163" s="1731"/>
      <c r="K163" s="1731"/>
      <c r="L163" s="1731"/>
      <c r="M163" s="1731"/>
      <c r="N163" s="1731"/>
      <c r="O163" s="1731"/>
      <c r="P163" s="1731"/>
      <c r="Q163" s="1731"/>
      <c r="R163" s="1731"/>
      <c r="S163" s="1731"/>
      <c r="T163" s="1731"/>
      <c r="U163" s="1731"/>
      <c r="V163" s="1731"/>
      <c r="W163" s="1731"/>
      <c r="X163" s="1731"/>
      <c r="Y163" s="1731"/>
      <c r="Z163" s="1731"/>
      <c r="AA163" s="1731"/>
      <c r="AB163" s="1731"/>
      <c r="AC163" s="1731"/>
      <c r="AD163" s="1731"/>
      <c r="AE163" s="4586"/>
      <c r="AF163" s="4586"/>
      <c r="AG163" s="4586"/>
      <c r="AI163" s="1256"/>
      <c r="AJ163" s="1732"/>
      <c r="AK163" s="1732"/>
      <c r="AL163" s="1256"/>
      <c r="AM163" s="1256"/>
      <c r="AN163" s="1256"/>
      <c r="AO163" s="1256"/>
      <c r="AP163" s="1732"/>
      <c r="AQ163" s="1256"/>
      <c r="AR163" s="1256"/>
      <c r="AS163" s="651"/>
      <c r="AT163" s="1256"/>
      <c r="AU163" s="1256"/>
      <c r="AV163" s="1256"/>
      <c r="AW163" s="1256"/>
      <c r="AX163" s="1256"/>
      <c r="AY163" s="1728"/>
      <c r="AZ163" s="673"/>
      <c r="BA163" s="673"/>
      <c r="BB163" s="673"/>
      <c r="BC163" s="673"/>
      <c r="BD163" s="1737">
        <v>11</v>
      </c>
    </row>
    <row s="10851" customFormat="1" customHeight="1" ht="11.549999999999999">
      <c r="A164" s="1087"/>
      <c r="B164" s="1732"/>
      <c r="C164" s="1732"/>
      <c r="D164" s="458"/>
      <c r="AE164" s="4889"/>
      <c r="AF164" s="4889"/>
      <c r="AG164" s="4889"/>
      <c r="AI164" s="1256"/>
      <c r="AJ164" s="1732"/>
      <c r="AK164" s="1732"/>
      <c r="AL164" s="1256"/>
      <c r="AM164" s="1256"/>
      <c r="AN164" s="1256"/>
      <c r="AO164" s="1256"/>
      <c r="AP164" s="1732"/>
      <c r="AQ164" s="1256"/>
      <c r="AR164" s="1256"/>
      <c r="AS164" s="651"/>
      <c r="AT164" s="1256"/>
      <c r="AU164" s="1256"/>
      <c r="AV164" s="1256"/>
      <c r="AW164" s="1256"/>
      <c r="AX164" s="1256"/>
      <c r="AY164" s="1728"/>
      <c r="AZ164" s="673"/>
      <c r="BA164" s="673"/>
      <c r="BB164" s="673"/>
      <c r="BC164" s="673"/>
      <c r="BD164" s="1737">
        <v>11</v>
      </c>
    </row>
    <row s="10851" customFormat="1" customHeight="1" ht="11.549999999999999">
      <c r="A165" s="1087"/>
      <c r="B165" s="1732"/>
      <c r="C165" s="1732"/>
      <c r="D165" s="458"/>
      <c r="AE165" s="4889"/>
      <c r="AF165" s="4889"/>
      <c r="AG165" s="4889"/>
      <c r="AI165" s="1256"/>
      <c r="AJ165" s="1732"/>
      <c r="AK165" s="1732"/>
      <c r="AL165" s="1256"/>
      <c r="AM165" s="1256"/>
      <c r="AN165" s="1256"/>
      <c r="AO165" s="1256"/>
      <c r="AP165" s="1732"/>
      <c r="AQ165" s="1256"/>
      <c r="AR165" s="1256"/>
      <c r="AS165" s="651"/>
      <c r="AT165" s="1256"/>
      <c r="AU165" s="1256"/>
      <c r="AV165" s="1256"/>
      <c r="AW165" s="1256"/>
      <c r="AX165" s="1256"/>
      <c r="AY165" s="1728"/>
      <c r="AZ165" s="673"/>
      <c r="BA165" s="673"/>
      <c r="BB165" s="673"/>
      <c r="BC165" s="673"/>
      <c r="BD165" s="1737">
        <v>11</v>
      </c>
    </row>
    <row s="10851" customFormat="1" customHeight="1" ht="11.549999999999999">
      <c r="A166" s="1087"/>
      <c r="B166" s="1732"/>
      <c r="C166" s="1732"/>
      <c r="D166" s="458"/>
      <c r="H166" s="673" t="str">
        <f>IF(H30-H31&lt;&gt;H102,"WARNING","")</f>
        <v/>
      </c>
      <c r="I166" s="673" t="str">
        <f>IF(I30-I31&lt;&gt;I102,"WARNING","")</f>
        <v>WARNING</v>
      </c>
      <c r="J166" s="729" t="str">
        <f>IF(J30-J31&lt;&gt;J102,"WARNING","")</f>
        <v>WARNING</v>
      </c>
      <c r="K166" s="729" t="str">
        <f>IF(K30-K31&lt;&gt;K102,"WARNING","")</f>
        <v>WARNING</v>
      </c>
      <c r="L166" s="729" t="str">
        <f>IF(L30-L31&lt;&gt;L102,"WARNING","")</f>
        <v>WARNING</v>
      </c>
      <c r="M166" s="729" t="str">
        <f>IF(M30-M31&lt;&gt;M102,"WARNING","")</f>
        <v>WARNING</v>
      </c>
      <c r="N166" s="729" t="str">
        <f>IF(N30-N31&lt;&gt;N102,"WARNING","")</f>
        <v>WARNING</v>
      </c>
      <c r="O166" s="729" t="str">
        <f>IF(O30-O31&lt;&gt;O102,"WARNING","")</f>
        <v>WARNING</v>
      </c>
      <c r="P166" s="729" t="str">
        <f>IF(P30-P31&lt;&gt;P102,"WARNING","")</f>
        <v>WARNING</v>
      </c>
      <c r="Q166" s="729" t="str">
        <f>IF(Q30-Q31&lt;&gt;Q102,"WARNING","")</f>
        <v>WARNING</v>
      </c>
      <c r="R166" s="729" t="str">
        <f>IF(R30-R31&lt;&gt;R102,"WARNING","")</f>
        <v>WARNING</v>
      </c>
      <c r="S166" s="729" t="str">
        <f>IF(S30-S31&lt;&gt;S102,"WARNING","")</f>
        <v>WARNING</v>
      </c>
      <c r="T166" s="729" t="str">
        <f>IF(T30-T31&lt;&gt;T102,"WARNING","")</f>
        <v>WARNING</v>
      </c>
      <c r="U166" s="729" t="str">
        <f>IF(U30-U31&lt;&gt;U102,"WARNING","")</f>
        <v>WARNING</v>
      </c>
      <c r="V166" s="729" t="str">
        <f>IF(V30-V31&lt;&gt;V102,"WARNING","")</f>
        <v>WARNING</v>
      </c>
      <c r="W166" s="729" t="str">
        <f>IF(W30-W31&lt;&gt;W102,"WARNING","")</f>
        <v>WARNING</v>
      </c>
      <c r="X166" s="729" t="str">
        <f>IF(X30-X31&lt;&gt;X102,"WARNING","")</f>
        <v>WARNING</v>
      </c>
      <c r="Y166" s="729" t="str">
        <f>IF(Y30-Y31&lt;&gt;Y102,"WARNING","")</f>
        <v>WARNING</v>
      </c>
      <c r="Z166" s="729" t="str">
        <f>IF(Z30-Z31&lt;&gt;Z102,"WARNING","")</f>
        <v>WARNING</v>
      </c>
      <c r="AA166" s="729" t="str">
        <f>IF(AA30-AA31&lt;&gt;AA102,"WARNING","")</f>
        <v>WARNING</v>
      </c>
      <c r="AB166" s="729" t="str">
        <f>IF(AB30-AB31&lt;&gt;AB102,"WARNING","")</f>
        <v/>
      </c>
      <c r="AC166" s="729" t="str">
        <f>IF(AC30-AC31&lt;&gt;AC102,"WARNING","")</f>
        <v>WARNING</v>
      </c>
      <c r="AD166" s="729" t="str">
        <f>IF(AD30-AD31&lt;&gt;AD102,"WARNING","")</f>
        <v>WARNING</v>
      </c>
      <c r="AE166" s="4890" t="str">
        <f>IF(AE30-AE31&lt;&gt;AE102,"WARNING","")</f>
        <v>WARNING</v>
      </c>
      <c r="AF166" s="4890" t="str">
        <f>IF(AF30-AF31&lt;&gt;AF102,"WARNING","")</f>
        <v>WARNING</v>
      </c>
      <c r="AG166" s="4890" t="str">
        <f>IF(AG30-AG31&lt;&gt;AG102,"WARNING","")</f>
        <v>WARNING</v>
      </c>
      <c r="AI166" s="1256"/>
      <c r="AJ166" s="1732"/>
      <c r="AK166" s="1732"/>
      <c r="AL166" s="1256"/>
      <c r="AM166" s="1256"/>
      <c r="AN166" s="1256"/>
      <c r="AO166" s="1256"/>
      <c r="AP166" s="1732"/>
      <c r="AQ166" s="1256"/>
      <c r="AR166" s="1256"/>
      <c r="AS166" s="651"/>
      <c r="AT166" s="1256"/>
      <c r="AU166" s="1256"/>
      <c r="AV166" s="1256"/>
      <c r="AW166" s="1256"/>
      <c r="AX166" s="1256"/>
      <c r="AY166" s="1728"/>
      <c r="AZ166" s="673"/>
      <c r="BA166" s="673"/>
      <c r="BB166" s="673"/>
      <c r="BC166" s="673"/>
      <c r="BD166" s="1737">
        <v>11</v>
      </c>
    </row>
    <row s="10851" customFormat="1" customHeight="1" ht="11.549999999999999">
      <c r="A167" s="1087"/>
      <c r="B167" s="1732"/>
      <c r="C167" s="1732"/>
      <c r="D167" s="458"/>
      <c r="AE167" s="4889"/>
      <c r="AF167" s="4889"/>
      <c r="AG167" s="4889"/>
      <c r="AI167" s="1256"/>
      <c r="AJ167" s="1732"/>
      <c r="AK167" s="1732"/>
      <c r="AL167" s="1256"/>
      <c r="AM167" s="1256"/>
      <c r="AN167" s="1256"/>
      <c r="AO167" s="1256"/>
      <c r="AP167" s="1732"/>
      <c r="AQ167" s="1256"/>
      <c r="AR167" s="1256"/>
      <c r="AS167" s="651"/>
      <c r="AT167" s="1256"/>
      <c r="AU167" s="1256"/>
      <c r="AV167" s="1256"/>
      <c r="AW167" s="1256"/>
      <c r="AX167" s="1256"/>
      <c r="AY167" s="1728"/>
      <c r="AZ167" s="673"/>
      <c r="BA167" s="673"/>
      <c r="BB167" s="673"/>
      <c r="BC167" s="673"/>
      <c r="BD167" s="1737">
        <v>11</v>
      </c>
    </row>
    <row s="10851" customFormat="1" customHeight="1" ht="11.549999999999999">
      <c r="A168" s="1087"/>
      <c r="B168" s="1732"/>
      <c r="C168" s="1732"/>
      <c r="D168" s="458"/>
      <c r="AE168" s="4889"/>
      <c r="AF168" s="4889"/>
      <c r="AG168" s="4889"/>
      <c r="AI168" s="1256"/>
      <c r="AJ168" s="1732"/>
      <c r="AK168" s="1732"/>
      <c r="AL168" s="1256"/>
      <c r="AM168" s="1256"/>
      <c r="AN168" s="1256"/>
      <c r="AO168" s="1256"/>
      <c r="AP168" s="1732"/>
      <c r="AQ168" s="1256"/>
      <c r="AR168" s="1256"/>
      <c r="AS168" s="651"/>
      <c r="AT168" s="1256"/>
      <c r="AU168" s="1256"/>
      <c r="AV168" s="1256"/>
      <c r="AW168" s="1256"/>
      <c r="AX168" s="1256"/>
      <c r="AY168" s="1728"/>
      <c r="AZ168" s="673"/>
      <c r="BA168" s="673"/>
      <c r="BB168" s="673"/>
      <c r="BC168" s="673"/>
      <c r="BD168" s="1737">
        <v>11</v>
      </c>
    </row>
    <row s="10851" customFormat="1" customHeight="1" ht="11.549999999999999">
      <c r="A169" s="1087"/>
      <c r="B169" s="1732"/>
      <c r="C169" s="1732"/>
      <c r="D169" s="458"/>
      <c r="AE169" s="4889"/>
      <c r="AF169" s="4889"/>
      <c r="AG169" s="4889"/>
      <c r="AI169" s="1256"/>
      <c r="AJ169" s="1732"/>
      <c r="AK169" s="1732"/>
      <c r="AL169" s="1256"/>
      <c r="AM169" s="1256"/>
      <c r="AN169" s="1256"/>
      <c r="AO169" s="1256"/>
      <c r="AP169" s="1732"/>
      <c r="AQ169" s="1256"/>
      <c r="AR169" s="1256"/>
      <c r="AS169" s="651"/>
      <c r="AT169" s="1256"/>
      <c r="AU169" s="1256"/>
      <c r="AV169" s="1256"/>
      <c r="AW169" s="1256"/>
      <c r="AX169" s="1256"/>
      <c r="AY169" s="1728"/>
      <c r="AZ169" s="673"/>
      <c r="BA169" s="673"/>
      <c r="BB169" s="673"/>
      <c r="BC169" s="673"/>
      <c r="BD169" s="1737">
        <v>11</v>
      </c>
    </row>
    <row s="10851" customFormat="1" customHeight="1" ht="11.549999999999999">
      <c r="A170" s="1087"/>
      <c r="B170" s="1732"/>
      <c r="C170" s="1732"/>
      <c r="D170" s="458"/>
      <c r="AE170" s="4889"/>
      <c r="AF170" s="4889"/>
      <c r="AG170" s="4889"/>
      <c r="AI170" s="1256"/>
      <c r="AJ170" s="1732"/>
      <c r="AK170" s="1732"/>
      <c r="AL170" s="1256"/>
      <c r="AM170" s="1256"/>
      <c r="AN170" s="1256"/>
      <c r="AO170" s="1256"/>
      <c r="AP170" s="1732"/>
      <c r="AQ170" s="1256"/>
      <c r="AR170" s="1256"/>
      <c r="AS170" s="651"/>
      <c r="AT170" s="1256"/>
      <c r="AU170" s="1256"/>
      <c r="AV170" s="1256"/>
      <c r="AW170" s="1256"/>
      <c r="AX170" s="1256"/>
      <c r="AY170" s="1728"/>
      <c r="AZ170" s="673"/>
      <c r="BA170" s="673"/>
      <c r="BB170" s="673"/>
      <c r="BC170" s="673"/>
      <c r="BD170" s="1737">
        <v>11</v>
      </c>
    </row>
    <row s="10851" customFormat="1" customHeight="1" ht="11.549999999999999">
      <c r="A171" s="1087"/>
      <c r="B171" s="1732"/>
      <c r="C171" s="1732"/>
      <c r="D171" s="458"/>
      <c r="AE171" s="4889"/>
      <c r="AF171" s="4889"/>
      <c r="AG171" s="4889"/>
      <c r="AI171" s="1256"/>
      <c r="AJ171" s="1732"/>
      <c r="AK171" s="1732"/>
      <c r="AL171" s="1256"/>
      <c r="AM171" s="1256"/>
      <c r="AN171" s="1256"/>
      <c r="AO171" s="1256"/>
      <c r="AP171" s="1732"/>
      <c r="AQ171" s="1256"/>
      <c r="AR171" s="1256"/>
      <c r="AS171" s="651"/>
      <c r="AT171" s="1256"/>
      <c r="AU171" s="1256"/>
      <c r="AV171" s="1256"/>
      <c r="AW171" s="1256"/>
      <c r="AX171" s="1256"/>
      <c r="AY171" s="1728"/>
      <c r="AZ171" s="673"/>
      <c r="BA171" s="673"/>
      <c r="BB171" s="673"/>
      <c r="BC171" s="673"/>
      <c r="BD171" s="1737">
        <v>11</v>
      </c>
    </row>
    <row s="10851" customFormat="1" customHeight="1" ht="11.549999999999999">
      <c r="A172" s="1087"/>
      <c r="B172" s="1732"/>
      <c r="C172" s="1732"/>
      <c r="D172" s="458"/>
      <c r="AE172" s="4889"/>
      <c r="AF172" s="4889"/>
      <c r="AG172" s="4889"/>
      <c r="AI172" s="1256"/>
      <c r="AJ172" s="1732"/>
      <c r="AK172" s="1732"/>
      <c r="AL172" s="1256"/>
      <c r="AM172" s="1256"/>
      <c r="AN172" s="1256"/>
      <c r="AO172" s="1256"/>
      <c r="AP172" s="1732"/>
      <c r="AQ172" s="1256"/>
      <c r="AR172" s="1256"/>
      <c r="AS172" s="651"/>
      <c r="AT172" s="1256"/>
      <c r="AU172" s="1256"/>
      <c r="AV172" s="1256"/>
      <c r="AW172" s="1256"/>
      <c r="AX172" s="1256"/>
      <c r="AY172" s="1728"/>
      <c r="AZ172" s="673"/>
      <c r="BA172" s="673"/>
      <c r="BB172" s="673"/>
      <c r="BC172" s="673"/>
      <c r="BD172" s="1737">
        <v>11</v>
      </c>
    </row>
    <row s="10851" customFormat="1" customHeight="1" ht="11.549999999999999">
      <c r="A173" s="1087"/>
      <c r="B173" s="1732"/>
      <c r="C173" s="1732"/>
      <c r="D173" s="458"/>
      <c r="AE173" s="4889"/>
      <c r="AF173" s="4889"/>
      <c r="AG173" s="4889"/>
      <c r="AI173" s="1256"/>
      <c r="AJ173" s="1732"/>
      <c r="AK173" s="1732"/>
      <c r="AL173" s="1256"/>
      <c r="AM173" s="1256"/>
      <c r="AN173" s="1256"/>
      <c r="AO173" s="1256"/>
      <c r="AP173" s="1732"/>
      <c r="AQ173" s="1256"/>
      <c r="AR173" s="1256"/>
      <c r="AS173" s="651"/>
      <c r="AT173" s="1256"/>
      <c r="AU173" s="1256"/>
      <c r="AV173" s="1256"/>
      <c r="AW173" s="1256"/>
      <c r="AX173" s="1256"/>
      <c r="AY173" s="1728"/>
      <c r="AZ173" s="673"/>
      <c r="BA173" s="673"/>
      <c r="BB173" s="673"/>
      <c r="BC173" s="673"/>
      <c r="BD173" s="1737">
        <v>11</v>
      </c>
    </row>
    <row s="10851" customFormat="1" customHeight="1" ht="11.549999999999999">
      <c r="A174" s="1087"/>
      <c r="B174" s="1732"/>
      <c r="C174" s="1732"/>
      <c r="D174" s="458"/>
      <c r="AE174" s="4889"/>
      <c r="AF174" s="4889"/>
      <c r="AG174" s="4889"/>
      <c r="AI174" s="1256"/>
      <c r="AJ174" s="1732"/>
      <c r="AK174" s="1732"/>
      <c r="AL174" s="1256"/>
      <c r="AM174" s="1256"/>
      <c r="AN174" s="1256"/>
      <c r="AO174" s="1256"/>
      <c r="AP174" s="1732"/>
      <c r="AQ174" s="1256"/>
      <c r="AR174" s="1256"/>
      <c r="AS174" s="651"/>
      <c r="AT174" s="1256"/>
      <c r="AU174" s="1256"/>
      <c r="AV174" s="1256"/>
      <c r="AW174" s="1256"/>
      <c r="AX174" s="1256"/>
      <c r="AY174" s="1728"/>
      <c r="AZ174" s="673"/>
      <c r="BA174" s="673"/>
      <c r="BB174" s="673"/>
      <c r="BC174" s="673"/>
      <c r="BD174" s="1737">
        <v>11</v>
      </c>
    </row>
    <row s="10851" customFormat="1" customHeight="1" ht="11.549999999999999">
      <c r="A175" s="1087"/>
      <c r="B175" s="1732"/>
      <c r="C175" s="1732"/>
      <c r="D175" s="458"/>
      <c r="AE175" s="4889"/>
      <c r="AF175" s="4889"/>
      <c r="AG175" s="4889"/>
      <c r="AI175" s="1256"/>
      <c r="AJ175" s="1732"/>
      <c r="AK175" s="1732"/>
      <c r="AL175" s="1256"/>
      <c r="AM175" s="1256"/>
      <c r="AN175" s="1256"/>
      <c r="AO175" s="1256"/>
      <c r="AP175" s="1732"/>
      <c r="AQ175" s="1256"/>
      <c r="AR175" s="1256"/>
      <c r="AS175" s="651"/>
      <c r="AT175" s="1256"/>
      <c r="AU175" s="1256"/>
      <c r="AV175" s="1256"/>
      <c r="AW175" s="1256"/>
      <c r="AX175" s="1256"/>
      <c r="AY175" s="1728"/>
      <c r="AZ175" s="673"/>
      <c r="BA175" s="673"/>
      <c r="BB175" s="673"/>
      <c r="BC175" s="673"/>
      <c r="BD175" s="1737">
        <v>11</v>
      </c>
    </row>
    <row s="10851" customFormat="1" customHeight="1" ht="11.549999999999999">
      <c r="A176" s="1087"/>
      <c r="B176" s="1732"/>
      <c r="C176" s="1732"/>
      <c r="D176" s="458"/>
      <c r="AE176" s="4889"/>
      <c r="AF176" s="4889"/>
      <c r="AG176" s="4889"/>
      <c r="AI176" s="1256"/>
      <c r="AJ176" s="1732"/>
      <c r="AK176" s="1732"/>
      <c r="AL176" s="1256"/>
      <c r="AM176" s="1256"/>
      <c r="AN176" s="1256"/>
      <c r="AO176" s="1256"/>
      <c r="AP176" s="1732"/>
      <c r="AQ176" s="1256"/>
      <c r="AR176" s="1256"/>
      <c r="AS176" s="651"/>
      <c r="AT176" s="1256"/>
      <c r="AU176" s="1256"/>
      <c r="AV176" s="1256"/>
      <c r="AW176" s="1256"/>
      <c r="AX176" s="1256"/>
      <c r="AY176" s="1728"/>
      <c r="AZ176" s="673"/>
      <c r="BA176" s="673"/>
      <c r="BB176" s="673"/>
      <c r="BC176" s="673"/>
      <c r="BD176" s="1737">
        <v>11</v>
      </c>
    </row>
    <row s="10851" customFormat="1" customHeight="1" ht="11.549999999999999">
      <c r="A177" s="1087"/>
      <c r="B177" s="1732"/>
      <c r="C177" s="1732"/>
      <c r="D177" s="458"/>
      <c r="AE177" s="4889"/>
      <c r="AF177" s="4889"/>
      <c r="AG177" s="4889"/>
      <c r="AI177" s="1256"/>
      <c r="AJ177" s="1732"/>
      <c r="AK177" s="1732"/>
      <c r="AL177" s="1256"/>
      <c r="AM177" s="1256"/>
      <c r="AN177" s="1256"/>
      <c r="AO177" s="1256"/>
      <c r="AP177" s="1732"/>
      <c r="AQ177" s="1256"/>
      <c r="AR177" s="1256"/>
      <c r="AS177" s="651"/>
      <c r="AT177" s="1256"/>
      <c r="AU177" s="1256"/>
      <c r="AV177" s="1256"/>
      <c r="AW177" s="1256"/>
      <c r="AX177" s="1256"/>
      <c r="AY177" s="1728"/>
      <c r="AZ177" s="673"/>
      <c r="BA177" s="673"/>
      <c r="BB177" s="673"/>
      <c r="BC177" s="673"/>
      <c r="BD177" s="1737">
        <v>11</v>
      </c>
    </row>
    <row s="10851" customFormat="1" customHeight="1" ht="11.549999999999999">
      <c r="A178" s="1087"/>
      <c r="B178" s="1732"/>
      <c r="C178" s="1732"/>
      <c r="D178" s="458"/>
      <c r="AE178" s="4889"/>
      <c r="AF178" s="4889"/>
      <c r="AG178" s="4889"/>
      <c r="AI178" s="1256"/>
      <c r="AJ178" s="1732"/>
      <c r="AK178" s="1732"/>
      <c r="AL178" s="1256"/>
      <c r="AM178" s="1256"/>
      <c r="AN178" s="1256"/>
      <c r="AO178" s="1256"/>
      <c r="AP178" s="1732"/>
      <c r="AQ178" s="1256"/>
      <c r="AR178" s="1256"/>
      <c r="AS178" s="651"/>
      <c r="AT178" s="1256"/>
      <c r="AU178" s="1256"/>
      <c r="AV178" s="1256"/>
      <c r="AW178" s="1256"/>
      <c r="AX178" s="1256"/>
      <c r="AY178" s="1728"/>
      <c r="AZ178" s="673"/>
      <c r="BA178" s="673"/>
      <c r="BB178" s="673"/>
      <c r="BC178" s="673"/>
      <c r="BD178" s="1737">
        <v>11</v>
      </c>
    </row>
    <row s="10851" customFormat="1" customHeight="1" ht="11.549999999999999">
      <c r="A179" s="1087"/>
      <c r="B179" s="1732"/>
      <c r="C179" s="1732"/>
      <c r="D179" s="458"/>
      <c r="AE179" s="4889"/>
      <c r="AF179" s="4889"/>
      <c r="AG179" s="4889"/>
      <c r="AI179" s="1256"/>
      <c r="AJ179" s="1732"/>
      <c r="AK179" s="1732"/>
      <c r="AL179" s="1256"/>
      <c r="AM179" s="1256"/>
      <c r="AN179" s="1256"/>
      <c r="AO179" s="1256"/>
      <c r="AP179" s="1732"/>
      <c r="AQ179" s="1256"/>
      <c r="AR179" s="1256"/>
      <c r="AS179" s="651"/>
      <c r="AT179" s="1256"/>
      <c r="AU179" s="1256"/>
      <c r="AV179" s="1256"/>
      <c r="AW179" s="1256"/>
      <c r="AX179" s="1256"/>
      <c r="AY179" s="1728"/>
      <c r="AZ179" s="673"/>
      <c r="BA179" s="673"/>
      <c r="BB179" s="673"/>
      <c r="BC179" s="673"/>
      <c r="BD179" s="1737">
        <v>11</v>
      </c>
    </row>
    <row s="10851" customFormat="1" customHeight="1" ht="11.549999999999999">
      <c r="A180" s="1087"/>
      <c r="B180" s="1732"/>
      <c r="C180" s="1732"/>
      <c r="D180" s="458"/>
      <c r="AE180" s="4889"/>
      <c r="AF180" s="4889"/>
      <c r="AG180" s="4889"/>
      <c r="AI180" s="1256"/>
      <c r="AJ180" s="1732"/>
      <c r="AK180" s="1732"/>
      <c r="AL180" s="1256"/>
      <c r="AM180" s="1256"/>
      <c r="AN180" s="1256"/>
      <c r="AO180" s="1256"/>
      <c r="AP180" s="1732"/>
      <c r="AQ180" s="1256"/>
      <c r="AR180" s="1256"/>
      <c r="AS180" s="651"/>
      <c r="AT180" s="1256"/>
      <c r="AU180" s="1256"/>
      <c r="AV180" s="1256"/>
      <c r="AW180" s="1256"/>
      <c r="AX180" s="1256"/>
      <c r="AY180" s="1728"/>
      <c r="AZ180" s="673"/>
      <c r="BA180" s="673"/>
      <c r="BB180" s="673"/>
      <c r="BC180" s="673"/>
      <c r="BD180" s="1737">
        <v>11</v>
      </c>
    </row>
    <row s="10851" customFormat="1" customHeight="1" ht="11.549999999999999">
      <c r="A181" s="1087"/>
      <c r="B181" s="1732"/>
      <c r="C181" s="1732"/>
      <c r="D181" s="458"/>
      <c r="AE181" s="4889"/>
      <c r="AF181" s="4889"/>
      <c r="AG181" s="4889"/>
      <c r="AI181" s="1256"/>
      <c r="AJ181" s="1732"/>
      <c r="AK181" s="1732"/>
      <c r="AL181" s="1256"/>
      <c r="AM181" s="1256"/>
      <c r="AN181" s="1256"/>
      <c r="AO181" s="1256"/>
      <c r="AP181" s="1732"/>
      <c r="AQ181" s="1256"/>
      <c r="AR181" s="1256"/>
      <c r="AS181" s="651"/>
      <c r="AT181" s="1256"/>
      <c r="AU181" s="1256"/>
      <c r="AV181" s="1256"/>
      <c r="AW181" s="1256"/>
      <c r="AX181" s="1256"/>
      <c r="AY181" s="1728"/>
      <c r="AZ181" s="673"/>
      <c r="BA181" s="673"/>
      <c r="BB181" s="673"/>
      <c r="BC181" s="673"/>
      <c r="BD181" s="1737">
        <v>11</v>
      </c>
    </row>
    <row s="10851" customFormat="1" customHeight="1" ht="11.549999999999999">
      <c r="A182" s="1087"/>
      <c r="B182" s="1732"/>
      <c r="C182" s="1732"/>
      <c r="D182" s="458"/>
      <c r="AE182" s="4889"/>
      <c r="AF182" s="4889"/>
      <c r="AG182" s="4889"/>
      <c r="AI182" s="1256"/>
      <c r="AJ182" s="1732"/>
      <c r="AK182" s="1732"/>
      <c r="AL182" s="1256"/>
      <c r="AM182" s="1256"/>
      <c r="AN182" s="1256"/>
      <c r="AO182" s="1256"/>
      <c r="AP182" s="1732"/>
      <c r="AQ182" s="1256"/>
      <c r="AR182" s="1256"/>
      <c r="AS182" s="651"/>
      <c r="AT182" s="1256"/>
      <c r="AU182" s="1256"/>
      <c r="AV182" s="1256"/>
      <c r="AW182" s="1256"/>
      <c r="AX182" s="1256"/>
      <c r="AY182" s="1728"/>
      <c r="AZ182" s="673"/>
      <c r="BA182" s="673"/>
      <c r="BB182" s="673"/>
      <c r="BC182" s="673"/>
      <c r="BD182" s="1737">
        <v>11</v>
      </c>
    </row>
    <row s="10851" customFormat="1" customHeight="1" ht="11.549999999999999">
      <c r="A183" s="1087"/>
      <c r="B183" s="1732"/>
      <c r="C183" s="1732"/>
      <c r="D183" s="458"/>
      <c r="AE183" s="4889"/>
      <c r="AF183" s="4889"/>
      <c r="AG183" s="4889"/>
      <c r="AI183" s="1256"/>
      <c r="AJ183" s="1732"/>
      <c r="AK183" s="1732"/>
      <c r="AL183" s="1256"/>
      <c r="AM183" s="1256"/>
      <c r="AN183" s="1256"/>
      <c r="AO183" s="1256"/>
      <c r="AP183" s="1732"/>
      <c r="AQ183" s="1256"/>
      <c r="AR183" s="1256"/>
      <c r="AS183" s="651"/>
      <c r="AT183" s="1256"/>
      <c r="AU183" s="1256"/>
      <c r="AV183" s="1256"/>
      <c r="AW183" s="1256"/>
      <c r="AX183" s="1256"/>
      <c r="AY183" s="1728"/>
      <c r="AZ183" s="673"/>
      <c r="BA183" s="673"/>
      <c r="BB183" s="673"/>
      <c r="BC183" s="673"/>
      <c r="BD183" s="1737">
        <v>11</v>
      </c>
    </row>
    <row s="10851" customFormat="1" customHeight="1" ht="11.549999999999999">
      <c r="A184" s="1087"/>
      <c r="B184" s="1732"/>
      <c r="C184" s="1732"/>
      <c r="D184" s="458"/>
      <c r="AE184" s="4889"/>
      <c r="AF184" s="4889"/>
      <c r="AG184" s="4889"/>
      <c r="AI184" s="1256"/>
      <c r="AJ184" s="1732"/>
      <c r="AK184" s="1732"/>
      <c r="AL184" s="1256"/>
      <c r="AM184" s="1256"/>
      <c r="AN184" s="1256"/>
      <c r="AO184" s="1256"/>
      <c r="AP184" s="1732"/>
      <c r="AQ184" s="1256"/>
      <c r="AR184" s="1256"/>
      <c r="AS184" s="651"/>
      <c r="AT184" s="1256"/>
      <c r="AU184" s="1256"/>
      <c r="AV184" s="1256"/>
      <c r="AW184" s="1256"/>
      <c r="AX184" s="1256"/>
      <c r="AY184" s="1728"/>
      <c r="AZ184" s="673"/>
      <c r="BA184" s="673"/>
      <c r="BB184" s="673"/>
      <c r="BC184" s="673"/>
      <c r="BD184" s="1737">
        <v>11</v>
      </c>
    </row>
    <row s="10851" customFormat="1" customHeight="1" ht="11.549999999999999">
      <c r="A185" s="1087"/>
      <c r="B185" s="1732"/>
      <c r="C185" s="1732"/>
      <c r="D185" s="458"/>
      <c r="AE185" s="4889"/>
      <c r="AF185" s="4889"/>
      <c r="AG185" s="4889"/>
      <c r="AI185" s="1256"/>
      <c r="AJ185" s="1732"/>
      <c r="AK185" s="1732"/>
      <c r="AL185" s="1256"/>
      <c r="AM185" s="1256"/>
      <c r="AN185" s="1256"/>
      <c r="AO185" s="1256"/>
      <c r="AP185" s="1732"/>
      <c r="AQ185" s="1256"/>
      <c r="AR185" s="1256"/>
      <c r="AS185" s="651"/>
      <c r="AT185" s="1256"/>
      <c r="AU185" s="1256"/>
      <c r="AV185" s="1256"/>
      <c r="AW185" s="1256"/>
      <c r="AX185" s="1256"/>
      <c r="AY185" s="1728"/>
      <c r="AZ185" s="673"/>
      <c r="BA185" s="673"/>
      <c r="BB185" s="673"/>
      <c r="BC185" s="673"/>
      <c r="BD185" s="1737">
        <v>11</v>
      </c>
    </row>
    <row s="10851" customFormat="1" customHeight="1" ht="11.549999999999999">
      <c r="A186" s="1087"/>
      <c r="B186" s="1732"/>
      <c r="C186" s="1732"/>
      <c r="D186" s="458"/>
      <c r="AE186" s="4889"/>
      <c r="AF186" s="4889"/>
      <c r="AG186" s="4889"/>
      <c r="AI186" s="1256"/>
      <c r="AJ186" s="1732"/>
      <c r="AK186" s="1732"/>
      <c r="AL186" s="1256"/>
      <c r="AM186" s="1256"/>
      <c r="AN186" s="1256"/>
      <c r="AO186" s="1256"/>
      <c r="AP186" s="1732"/>
      <c r="AQ186" s="1256"/>
      <c r="AR186" s="1256"/>
      <c r="AS186" s="651"/>
      <c r="AT186" s="1256"/>
      <c r="AU186" s="1256"/>
      <c r="AV186" s="1256"/>
      <c r="AW186" s="1256"/>
      <c r="AX186" s="1256"/>
      <c r="AY186" s="1728"/>
      <c r="AZ186" s="673"/>
      <c r="BA186" s="673"/>
      <c r="BB186" s="673"/>
      <c r="BC186" s="673"/>
      <c r="BD186" s="1737">
        <v>11</v>
      </c>
    </row>
    <row s="10851" customFormat="1" customHeight="1" ht="11.549999999999999">
      <c r="A187" s="1087"/>
      <c r="B187" s="1732"/>
      <c r="C187" s="1732"/>
      <c r="D187" s="458"/>
      <c r="AE187" s="4889"/>
      <c r="AF187" s="4889"/>
      <c r="AG187" s="4889"/>
      <c r="AI187" s="1256"/>
      <c r="AJ187" s="1732"/>
      <c r="AK187" s="1732"/>
      <c r="AL187" s="1256"/>
      <c r="AM187" s="1256"/>
      <c r="AN187" s="1256"/>
      <c r="AO187" s="1256"/>
      <c r="AP187" s="1732"/>
      <c r="AQ187" s="1256"/>
      <c r="AR187" s="1256"/>
      <c r="AS187" s="651"/>
      <c r="AT187" s="1256"/>
      <c r="AU187" s="1256"/>
      <c r="AV187" s="1256"/>
      <c r="AW187" s="1256"/>
      <c r="AX187" s="1256"/>
      <c r="AY187" s="1728"/>
      <c r="AZ187" s="673"/>
      <c r="BA187" s="673"/>
      <c r="BB187" s="673"/>
      <c r="BC187" s="673"/>
      <c r="BD187" s="1737">
        <v>11</v>
      </c>
    </row>
    <row s="10851" customFormat="1" customHeight="1" ht="11.549999999999999">
      <c r="A188" s="1087"/>
      <c r="B188" s="1732"/>
      <c r="C188" s="1732"/>
      <c r="D188" s="458"/>
      <c r="AE188" s="4889"/>
      <c r="AF188" s="4889"/>
      <c r="AG188" s="4889"/>
      <c r="AI188" s="1256"/>
      <c r="AJ188" s="1732"/>
      <c r="AK188" s="1732"/>
      <c r="AL188" s="1256"/>
      <c r="AM188" s="1256"/>
      <c r="AN188" s="1256"/>
      <c r="AO188" s="1256"/>
      <c r="AP188" s="1732"/>
      <c r="AQ188" s="1256"/>
      <c r="AR188" s="1256"/>
      <c r="AS188" s="651"/>
      <c r="AT188" s="1256"/>
      <c r="AU188" s="1256"/>
      <c r="AV188" s="1256"/>
      <c r="AW188" s="1256"/>
      <c r="AX188" s="1256"/>
      <c r="AY188" s="1728"/>
      <c r="AZ188" s="673"/>
      <c r="BA188" s="673"/>
      <c r="BB188" s="673"/>
      <c r="BC188" s="673"/>
      <c r="BD188" s="1737">
        <v>11</v>
      </c>
    </row>
    <row s="10851" customFormat="1" customHeight="1" ht="11.549999999999999">
      <c r="A189" s="1087"/>
      <c r="B189" s="1732"/>
      <c r="C189" s="1732"/>
      <c r="D189" s="458"/>
      <c r="AE189" s="4889"/>
      <c r="AF189" s="4889"/>
      <c r="AG189" s="4889"/>
      <c r="AI189" s="1256"/>
      <c r="AJ189" s="1732"/>
      <c r="AK189" s="1732"/>
      <c r="AL189" s="1256"/>
      <c r="AM189" s="1256"/>
      <c r="AN189" s="1256"/>
      <c r="AO189" s="1256"/>
      <c r="AP189" s="1732"/>
      <c r="AQ189" s="1256"/>
      <c r="AR189" s="1256"/>
      <c r="AS189" s="651"/>
      <c r="AT189" s="1256"/>
      <c r="AU189" s="1256"/>
      <c r="AV189" s="1256"/>
      <c r="AW189" s="1256"/>
      <c r="AX189" s="1256"/>
      <c r="AY189" s="1728"/>
      <c r="AZ189" s="673"/>
      <c r="BA189" s="673"/>
      <c r="BB189" s="673"/>
      <c r="BC189" s="673"/>
      <c r="BD189" s="1737">
        <v>11</v>
      </c>
    </row>
    <row s="10851" customFormat="1" customHeight="1" ht="11.549999999999999">
      <c r="A190" s="1087"/>
      <c r="B190" s="1732"/>
      <c r="C190" s="1732"/>
      <c r="D190" s="458"/>
      <c r="AE190" s="4889"/>
      <c r="AF190" s="4889"/>
      <c r="AG190" s="4889"/>
      <c r="AI190" s="1256"/>
      <c r="AJ190" s="1732"/>
      <c r="AK190" s="1732"/>
      <c r="AL190" s="1256"/>
      <c r="AM190" s="1256"/>
      <c r="AN190" s="1256"/>
      <c r="AO190" s="1256"/>
      <c r="AP190" s="1732"/>
      <c r="AQ190" s="1256"/>
      <c r="AR190" s="1256"/>
      <c r="AS190" s="651"/>
      <c r="AT190" s="1256"/>
      <c r="AU190" s="1256"/>
      <c r="AV190" s="1256"/>
      <c r="AW190" s="1256"/>
      <c r="AX190" s="1256"/>
      <c r="AY190" s="1728"/>
      <c r="AZ190" s="673"/>
      <c r="BA190" s="673"/>
      <c r="BB190" s="673"/>
      <c r="BC190" s="673"/>
      <c r="BD190" s="1737">
        <v>11</v>
      </c>
    </row>
    <row s="10851" customFormat="1" customHeight="1" ht="11.549999999999999">
      <c r="A191" s="1087"/>
      <c r="B191" s="1732"/>
      <c r="C191" s="1732"/>
      <c r="D191" s="458"/>
      <c r="AE191" s="4889"/>
      <c r="AF191" s="4889"/>
      <c r="AG191" s="4889"/>
      <c r="AI191" s="1256"/>
      <c r="AJ191" s="1732"/>
      <c r="AK191" s="1732"/>
      <c r="AL191" s="1256"/>
      <c r="AM191" s="1256"/>
      <c r="AN191" s="1256"/>
      <c r="AO191" s="1256"/>
      <c r="AP191" s="1732"/>
      <c r="AQ191" s="1256"/>
      <c r="AR191" s="1256"/>
      <c r="AS191" s="651"/>
      <c r="AT191" s="1256"/>
      <c r="AU191" s="1256"/>
      <c r="AV191" s="1256"/>
      <c r="AW191" s="1256"/>
      <c r="AX191" s="1256"/>
      <c r="AY191" s="1728"/>
      <c r="AZ191" s="673"/>
      <c r="BA191" s="673"/>
      <c r="BB191" s="673"/>
      <c r="BC191" s="673"/>
      <c r="BD191" s="1737">
        <v>11</v>
      </c>
    </row>
    <row s="10851" customFormat="1" customHeight="1" ht="11.549999999999999">
      <c r="A192" s="1087"/>
      <c r="B192" s="1732"/>
      <c r="C192" s="1732"/>
      <c r="D192" s="458"/>
      <c r="AE192" s="4889"/>
      <c r="AF192" s="4889"/>
      <c r="AG192" s="4889"/>
      <c r="AI192" s="1256"/>
      <c r="AJ192" s="1732"/>
      <c r="AK192" s="1732"/>
      <c r="AL192" s="1256"/>
      <c r="AM192" s="1256"/>
      <c r="AN192" s="1256"/>
      <c r="AO192" s="1256"/>
      <c r="AP192" s="1732"/>
      <c r="AQ192" s="1256"/>
      <c r="AR192" s="1256"/>
      <c r="AS192" s="651"/>
      <c r="AT192" s="1256"/>
      <c r="AU192" s="1256"/>
      <c r="AV192" s="1256"/>
      <c r="AW192" s="1256"/>
      <c r="AX192" s="1256"/>
      <c r="AY192" s="1728"/>
      <c r="AZ192" s="673"/>
      <c r="BA192" s="673"/>
      <c r="BB192" s="673"/>
      <c r="BC192" s="673"/>
      <c r="BD192" s="1737">
        <v>11</v>
      </c>
    </row>
    <row s="10851" customFormat="1" customHeight="1" ht="11.549999999999999">
      <c r="A193" s="1087"/>
      <c r="B193" s="1732"/>
      <c r="C193" s="1732"/>
      <c r="D193" s="458"/>
      <c r="AE193" s="4889"/>
      <c r="AF193" s="4889"/>
      <c r="AG193" s="4889"/>
      <c r="AI193" s="1256"/>
      <c r="AJ193" s="1732"/>
      <c r="AK193" s="1732"/>
      <c r="AL193" s="1256"/>
      <c r="AM193" s="1256"/>
      <c r="AN193" s="1256"/>
      <c r="AO193" s="1256"/>
      <c r="AP193" s="1732"/>
      <c r="AQ193" s="1256"/>
      <c r="AR193" s="1256"/>
      <c r="AS193" s="651"/>
      <c r="AT193" s="1256"/>
      <c r="AU193" s="1256"/>
      <c r="AV193" s="1256"/>
      <c r="AW193" s="1256"/>
      <c r="AX193" s="1256"/>
      <c r="AY193" s="1728"/>
      <c r="AZ193" s="673"/>
      <c r="BA193" s="673"/>
      <c r="BB193" s="673"/>
      <c r="BC193" s="673"/>
      <c r="BD193" s="1737">
        <v>11</v>
      </c>
    </row>
    <row s="10851" customFormat="1" customHeight="1" ht="11.549999999999999">
      <c r="A194" s="1087"/>
      <c r="B194" s="1732"/>
      <c r="C194" s="1732"/>
      <c r="D194" s="458"/>
      <c r="AE194" s="4889"/>
      <c r="AF194" s="4889"/>
      <c r="AG194" s="4889"/>
      <c r="AI194" s="1256"/>
      <c r="AJ194" s="1732"/>
      <c r="AK194" s="1732"/>
      <c r="AL194" s="1256"/>
      <c r="AM194" s="1256"/>
      <c r="AN194" s="1256"/>
      <c r="AO194" s="1256"/>
      <c r="AP194" s="1732"/>
      <c r="AQ194" s="1256"/>
      <c r="AR194" s="1256"/>
      <c r="AS194" s="651"/>
      <c r="AT194" s="1256"/>
      <c r="AU194" s="1256"/>
      <c r="AV194" s="1256"/>
      <c r="AW194" s="1256"/>
      <c r="AX194" s="1256"/>
      <c r="AY194" s="1728"/>
      <c r="AZ194" s="673"/>
      <c r="BA194" s="673"/>
      <c r="BB194" s="673"/>
      <c r="BC194" s="673"/>
      <c r="BD194" s="1737">
        <v>11</v>
      </c>
    </row>
    <row s="10851" customFormat="1" customHeight="1" ht="11.549999999999999">
      <c r="A195" s="1087"/>
      <c r="B195" s="1732"/>
      <c r="C195" s="1732"/>
      <c r="D195" s="458"/>
      <c r="AE195" s="4889"/>
      <c r="AF195" s="4889"/>
      <c r="AG195" s="4889"/>
      <c r="AI195" s="1256"/>
      <c r="AJ195" s="1732"/>
      <c r="AK195" s="1732"/>
      <c r="AL195" s="1256"/>
      <c r="AM195" s="1256"/>
      <c r="AN195" s="1256"/>
      <c r="AO195" s="1256"/>
      <c r="AP195" s="1732"/>
      <c r="AQ195" s="1256"/>
      <c r="AR195" s="1256"/>
      <c r="AS195" s="651"/>
      <c r="AT195" s="1256"/>
      <c r="AU195" s="1256"/>
      <c r="AV195" s="1256"/>
      <c r="AW195" s="1256"/>
      <c r="AX195" s="1256"/>
      <c r="AY195" s="1728"/>
      <c r="AZ195" s="673"/>
      <c r="BA195" s="673"/>
      <c r="BB195" s="673"/>
      <c r="BC195" s="673"/>
      <c r="BD195" s="1737">
        <v>11</v>
      </c>
    </row>
    <row s="10851" customFormat="1" customHeight="1" ht="11.549999999999999">
      <c r="A196" s="1087"/>
      <c r="B196" s="1732"/>
      <c r="C196" s="1732"/>
      <c r="D196" s="458"/>
      <c r="AE196" s="4889"/>
      <c r="AF196" s="4889"/>
      <c r="AG196" s="4889"/>
      <c r="AI196" s="1256"/>
      <c r="AJ196" s="1732"/>
      <c r="AK196" s="1732"/>
      <c r="AL196" s="1256"/>
      <c r="AM196" s="1256"/>
      <c r="AN196" s="1256"/>
      <c r="AO196" s="1256"/>
      <c r="AP196" s="1732"/>
      <c r="AQ196" s="1256"/>
      <c r="AR196" s="1256"/>
      <c r="AS196" s="651"/>
      <c r="AT196" s="1256"/>
      <c r="AU196" s="1256"/>
      <c r="AV196" s="1256"/>
      <c r="AW196" s="1256"/>
      <c r="AX196" s="1256"/>
      <c r="AY196" s="1728"/>
      <c r="AZ196" s="673"/>
      <c r="BA196" s="673"/>
      <c r="BB196" s="673"/>
      <c r="BC196" s="673"/>
      <c r="BD196" s="1737">
        <v>11</v>
      </c>
    </row>
    <row s="10851" customFormat="1" customHeight="1" ht="11.549999999999999">
      <c r="A197" s="1087"/>
      <c r="B197" s="1732"/>
      <c r="C197" s="1732"/>
      <c r="D197" s="458"/>
      <c r="AE197" s="4889"/>
      <c r="AF197" s="4889"/>
      <c r="AG197" s="4889"/>
      <c r="AI197" s="1256"/>
      <c r="AJ197" s="1732"/>
      <c r="AK197" s="1732"/>
      <c r="AL197" s="1256"/>
      <c r="AM197" s="1256"/>
      <c r="AN197" s="1256"/>
      <c r="AO197" s="1256"/>
      <c r="AP197" s="1732"/>
      <c r="AQ197" s="1256"/>
      <c r="AR197" s="1256"/>
      <c r="AS197" s="651"/>
      <c r="AT197" s="1256"/>
      <c r="AU197" s="1256"/>
      <c r="AV197" s="1256"/>
      <c r="AW197" s="1256"/>
      <c r="AX197" s="1256"/>
      <c r="AY197" s="1728"/>
      <c r="AZ197" s="673"/>
      <c r="BA197" s="673"/>
      <c r="BB197" s="673"/>
      <c r="BC197" s="673"/>
      <c r="BD197" s="1737">
        <v>11</v>
      </c>
    </row>
    <row s="10851" customFormat="1" customHeight="1" ht="11.549999999999999">
      <c r="A198" s="1087"/>
      <c r="B198" s="1732"/>
      <c r="C198" s="1732"/>
      <c r="D198" s="458"/>
      <c r="AE198" s="4889"/>
      <c r="AF198" s="4889"/>
      <c r="AG198" s="4889"/>
      <c r="AI198" s="1256"/>
      <c r="AJ198" s="1732"/>
      <c r="AK198" s="1732"/>
      <c r="AL198" s="1256"/>
      <c r="AM198" s="1256"/>
      <c r="AN198" s="1256"/>
      <c r="AO198" s="1256"/>
      <c r="AP198" s="1732"/>
      <c r="AQ198" s="1256"/>
      <c r="AR198" s="1256"/>
      <c r="AS198" s="651"/>
      <c r="AT198" s="1256"/>
      <c r="AU198" s="1256"/>
      <c r="AV198" s="1256"/>
      <c r="AW198" s="1256"/>
      <c r="AX198" s="1256"/>
      <c r="AY198" s="1728"/>
      <c r="AZ198" s="673"/>
      <c r="BA198" s="673"/>
      <c r="BB198" s="673"/>
      <c r="BC198" s="673"/>
      <c r="BD198" s="1737">
        <v>11</v>
      </c>
    </row>
    <row s="10851" customFormat="1" customHeight="1" ht="11.549999999999999">
      <c r="A199" s="1087"/>
      <c r="B199" s="1732"/>
      <c r="C199" s="1732"/>
      <c r="D199" s="458"/>
      <c r="AE199" s="4889"/>
      <c r="AF199" s="4889"/>
      <c r="AG199" s="4889"/>
      <c r="AI199" s="1256"/>
      <c r="AJ199" s="1732"/>
      <c r="AK199" s="1732"/>
      <c r="AL199" s="1256"/>
      <c r="AM199" s="1256"/>
      <c r="AN199" s="1256"/>
      <c r="AO199" s="1256"/>
      <c r="AP199" s="1732"/>
      <c r="AQ199" s="1256"/>
      <c r="AR199" s="1256"/>
      <c r="AS199" s="651"/>
      <c r="AT199" s="1256"/>
      <c r="AU199" s="1256"/>
      <c r="AV199" s="1256"/>
      <c r="AW199" s="1256"/>
      <c r="AX199" s="1256"/>
      <c r="AY199" s="1728"/>
      <c r="AZ199" s="673"/>
      <c r="BA199" s="673"/>
      <c r="BB199" s="673"/>
      <c r="BC199" s="673"/>
      <c r="BD199" s="1737">
        <v>11</v>
      </c>
    </row>
    <row s="10851" customFormat="1" customHeight="1" ht="11.549999999999999">
      <c r="A200" s="1087"/>
      <c r="B200" s="1732"/>
      <c r="C200" s="1732"/>
      <c r="D200" s="458"/>
      <c r="AE200" s="4889"/>
      <c r="AF200" s="4889"/>
      <c r="AG200" s="4889"/>
      <c r="AI200" s="1256"/>
      <c r="AJ200" s="1732"/>
      <c r="AK200" s="1732"/>
      <c r="AL200" s="1256"/>
      <c r="AM200" s="1256"/>
      <c r="AN200" s="1256"/>
      <c r="AO200" s="1256"/>
      <c r="AP200" s="1732"/>
      <c r="AQ200" s="1256"/>
      <c r="AR200" s="1256"/>
      <c r="AS200" s="651"/>
      <c r="AT200" s="1256"/>
      <c r="AU200" s="1256"/>
      <c r="AV200" s="1256"/>
      <c r="AW200" s="1256"/>
      <c r="AX200" s="1256"/>
      <c r="AY200" s="1728"/>
      <c r="AZ200" s="673"/>
      <c r="BA200" s="673"/>
      <c r="BB200" s="673"/>
      <c r="BC200" s="673"/>
      <c r="BD200" s="1737">
        <v>11</v>
      </c>
    </row>
    <row s="10851" customFormat="1" customHeight="1" ht="11.549999999999999">
      <c r="A201" s="1087"/>
      <c r="B201" s="1732"/>
      <c r="C201" s="1732"/>
      <c r="D201" s="458"/>
      <c r="AE201" s="4889"/>
      <c r="AF201" s="4889"/>
      <c r="AG201" s="4889"/>
      <c r="AI201" s="1256"/>
      <c r="AJ201" s="1732"/>
      <c r="AK201" s="1732"/>
      <c r="AL201" s="1256"/>
      <c r="AM201" s="1256"/>
      <c r="AN201" s="1256"/>
      <c r="AO201" s="1256"/>
      <c r="AP201" s="1732"/>
      <c r="AQ201" s="1256"/>
      <c r="AR201" s="1256"/>
      <c r="AS201" s="651"/>
      <c r="AT201" s="1256"/>
      <c r="AU201" s="1256"/>
      <c r="AV201" s="1256"/>
      <c r="AW201" s="1256"/>
      <c r="AX201" s="1256"/>
      <c r="AY201" s="1728"/>
      <c r="AZ201" s="673"/>
      <c r="BA201" s="673"/>
      <c r="BB201" s="673"/>
      <c r="BC201" s="673"/>
      <c r="BD201" s="1737">
        <v>11</v>
      </c>
    </row>
    <row s="10851" customFormat="1" customHeight="1" ht="11.549999999999999">
      <c r="A202" s="1087"/>
      <c r="B202" s="1732"/>
      <c r="C202" s="1732"/>
      <c r="D202" s="458"/>
      <c r="AE202" s="4889"/>
      <c r="AF202" s="4889"/>
      <c r="AG202" s="4889"/>
      <c r="AI202" s="1256"/>
      <c r="AJ202" s="1732"/>
      <c r="AK202" s="1732"/>
      <c r="AL202" s="1256"/>
      <c r="AM202" s="1256"/>
      <c r="AN202" s="1256"/>
      <c r="AO202" s="1256"/>
      <c r="AP202" s="1732"/>
      <c r="AQ202" s="1256"/>
      <c r="AR202" s="1256"/>
      <c r="AS202" s="651"/>
      <c r="AT202" s="1256"/>
      <c r="AU202" s="1256"/>
      <c r="AV202" s="1256"/>
      <c r="AW202" s="1256"/>
      <c r="AX202" s="1256"/>
      <c r="AY202" s="1728"/>
      <c r="AZ202" s="673"/>
      <c r="BA202" s="673"/>
      <c r="BB202" s="673"/>
      <c r="BC202" s="673"/>
      <c r="BD202" s="1737">
        <v>11</v>
      </c>
    </row>
    <row s="10851" customFormat="1" customHeight="1" ht="11.549999999999999">
      <c r="A203" s="1087"/>
      <c r="B203" s="1732"/>
      <c r="C203" s="1732"/>
      <c r="D203" s="458"/>
      <c r="AE203" s="4889"/>
      <c r="AF203" s="4889"/>
      <c r="AG203" s="4889"/>
      <c r="AI203" s="1256"/>
      <c r="AJ203" s="1732"/>
      <c r="AK203" s="1732"/>
      <c r="AL203" s="1256"/>
      <c r="AM203" s="1256"/>
      <c r="AN203" s="1256"/>
      <c r="AO203" s="1256"/>
      <c r="AP203" s="1732"/>
      <c r="AQ203" s="1256"/>
      <c r="AR203" s="1256"/>
      <c r="AS203" s="651"/>
      <c r="AT203" s="1256"/>
      <c r="AU203" s="1256"/>
      <c r="AV203" s="1256"/>
      <c r="AW203" s="1256"/>
      <c r="AX203" s="1256"/>
      <c r="AY203" s="1728"/>
      <c r="AZ203" s="673"/>
      <c r="BA203" s="673"/>
      <c r="BB203" s="673"/>
      <c r="BC203" s="673"/>
      <c r="BD203" s="1737">
        <v>11</v>
      </c>
    </row>
    <row s="10851" customFormat="1" customHeight="1" ht="11.549999999999999">
      <c r="A204" s="1087"/>
      <c r="B204" s="1732"/>
      <c r="C204" s="1732"/>
      <c r="D204" s="458"/>
      <c r="AE204" s="4889"/>
      <c r="AF204" s="4889"/>
      <c r="AG204" s="4889"/>
      <c r="AI204" s="1256"/>
      <c r="AJ204" s="1732"/>
      <c r="AK204" s="1732"/>
      <c r="AL204" s="1256"/>
      <c r="AM204" s="1256"/>
      <c r="AN204" s="1256"/>
      <c r="AO204" s="1256"/>
      <c r="AP204" s="1732"/>
      <c r="AQ204" s="1256"/>
      <c r="AR204" s="1256"/>
      <c r="AS204" s="651"/>
      <c r="AT204" s="1256"/>
      <c r="AU204" s="1256"/>
      <c r="AV204" s="1256"/>
      <c r="AW204" s="1256"/>
      <c r="AX204" s="1256"/>
      <c r="AY204" s="1728"/>
      <c r="AZ204" s="673"/>
      <c r="BA204" s="673"/>
      <c r="BB204" s="673"/>
      <c r="BC204" s="673"/>
      <c r="BD204" s="1737">
        <v>11</v>
      </c>
    </row>
    <row s="10851" customFormat="1" customHeight="1" ht="11.549999999999999">
      <c r="A205" s="1087"/>
      <c r="B205" s="1732"/>
      <c r="C205" s="1732"/>
      <c r="D205" s="458"/>
      <c r="AE205" s="4889"/>
      <c r="AF205" s="4889"/>
      <c r="AG205" s="4889"/>
      <c r="AI205" s="1256"/>
      <c r="AJ205" s="1732"/>
      <c r="AK205" s="1732"/>
      <c r="AL205" s="1256"/>
      <c r="AM205" s="1256"/>
      <c r="AN205" s="1256"/>
      <c r="AO205" s="1256"/>
      <c r="AP205" s="1732"/>
      <c r="AQ205" s="1256"/>
      <c r="AR205" s="1256"/>
      <c r="AS205" s="651"/>
      <c r="AT205" s="1256"/>
      <c r="AU205" s="1256"/>
      <c r="AV205" s="1256"/>
      <c r="AW205" s="1256"/>
      <c r="AX205" s="1256"/>
      <c r="AY205" s="1728"/>
      <c r="AZ205" s="673"/>
      <c r="BA205" s="673"/>
      <c r="BB205" s="673"/>
      <c r="BC205" s="673"/>
      <c r="BD205" s="1737">
        <v>11</v>
      </c>
    </row>
    <row s="10851" customFormat="1" customHeight="1" ht="11.549999999999999">
      <c r="A206" s="1087"/>
      <c r="B206" s="1732"/>
      <c r="C206" s="1732"/>
      <c r="D206" s="458"/>
      <c r="AE206" s="4889"/>
      <c r="AF206" s="4889"/>
      <c r="AG206" s="4889"/>
      <c r="AI206" s="1256"/>
      <c r="AJ206" s="1732"/>
      <c r="AK206" s="1732"/>
      <c r="AL206" s="1256"/>
      <c r="AM206" s="1256"/>
      <c r="AN206" s="1256"/>
      <c r="AO206" s="1256"/>
      <c r="AP206" s="1732"/>
      <c r="AQ206" s="1256"/>
      <c r="AR206" s="1256"/>
      <c r="AS206" s="651"/>
      <c r="AT206" s="1256"/>
      <c r="AU206" s="1256"/>
      <c r="AV206" s="1256"/>
      <c r="AW206" s="1256"/>
      <c r="AX206" s="1256"/>
      <c r="AY206" s="1728"/>
      <c r="AZ206" s="673"/>
      <c r="BA206" s="673"/>
      <c r="BB206" s="673"/>
      <c r="BC206" s="673"/>
      <c r="BD206" s="1737">
        <v>11</v>
      </c>
    </row>
    <row s="10851" customFormat="1" customHeight="1" ht="11.549999999999999">
      <c r="A207" s="1087"/>
      <c r="B207" s="1732"/>
      <c r="C207" s="1732"/>
      <c r="D207" s="458"/>
      <c r="AE207" s="4889"/>
      <c r="AF207" s="4889"/>
      <c r="AG207" s="4889"/>
      <c r="AI207" s="1256"/>
      <c r="AJ207" s="1732"/>
      <c r="AK207" s="1732"/>
      <c r="AL207" s="1256"/>
      <c r="AM207" s="1256"/>
      <c r="AN207" s="1256"/>
      <c r="AO207" s="1256"/>
      <c r="AP207" s="1732"/>
      <c r="AQ207" s="1256"/>
      <c r="AR207" s="1256"/>
      <c r="AS207" s="651"/>
      <c r="AT207" s="1256"/>
      <c r="AU207" s="1256"/>
      <c r="AV207" s="1256"/>
      <c r="AW207" s="1256"/>
      <c r="AX207" s="1256"/>
      <c r="AY207" s="1728"/>
      <c r="AZ207" s="673"/>
      <c r="BA207" s="673"/>
      <c r="BB207" s="673"/>
      <c r="BC207" s="673"/>
      <c r="BD207" s="1737">
        <v>11</v>
      </c>
    </row>
    <row s="10851" customFormat="1" customHeight="1" ht="11.549999999999999">
      <c r="A208" s="1087"/>
      <c r="B208" s="1732"/>
      <c r="C208" s="1732"/>
      <c r="D208" s="458"/>
      <c r="AE208" s="4889"/>
      <c r="AF208" s="4889"/>
      <c r="AG208" s="4889"/>
      <c r="AI208" s="1256"/>
      <c r="AJ208" s="1732"/>
      <c r="AK208" s="1732"/>
      <c r="AL208" s="1256"/>
      <c r="AM208" s="1256"/>
      <c r="AN208" s="1256"/>
      <c r="AO208" s="1256"/>
      <c r="AP208" s="1732"/>
      <c r="AQ208" s="1256"/>
      <c r="AR208" s="1256"/>
      <c r="AS208" s="651"/>
      <c r="AT208" s="1256"/>
      <c r="AU208" s="1256"/>
      <c r="AV208" s="1256"/>
      <c r="AW208" s="1256"/>
      <c r="AX208" s="1256"/>
      <c r="AY208" s="1728"/>
      <c r="AZ208" s="673"/>
      <c r="BA208" s="673"/>
      <c r="BB208" s="673"/>
      <c r="BC208" s="673"/>
      <c r="BD208" s="1737">
        <v>11</v>
      </c>
    </row>
    <row s="10851" customFormat="1" customHeight="1" ht="11.549999999999999">
      <c r="A209" s="1087"/>
      <c r="B209" s="1732"/>
      <c r="C209" s="1732"/>
      <c r="D209" s="458"/>
      <c r="AE209" s="4889"/>
      <c r="AF209" s="4889"/>
      <c r="AG209" s="4889"/>
      <c r="AI209" s="1256"/>
      <c r="AJ209" s="1732"/>
      <c r="AK209" s="1732"/>
      <c r="AL209" s="1256"/>
      <c r="AM209" s="1256"/>
      <c r="AN209" s="1256"/>
      <c r="AO209" s="1256"/>
      <c r="AP209" s="1732"/>
      <c r="AQ209" s="1256"/>
      <c r="AR209" s="1256"/>
      <c r="AS209" s="651"/>
      <c r="AT209" s="1256"/>
      <c r="AU209" s="1256"/>
      <c r="AV209" s="1256"/>
      <c r="AW209" s="1256"/>
      <c r="AX209" s="1256"/>
      <c r="AY209" s="1728"/>
      <c r="AZ209" s="673"/>
      <c r="BA209" s="673"/>
      <c r="BB209" s="673"/>
      <c r="BC209" s="673"/>
      <c r="BD209" s="1737">
        <v>11</v>
      </c>
    </row>
    <row s="10851" customFormat="1" customHeight="1" ht="11.549999999999999">
      <c r="A210" s="1087"/>
      <c r="B210" s="1732"/>
      <c r="C210" s="1732"/>
      <c r="D210" s="458"/>
      <c r="AE210" s="4889"/>
      <c r="AF210" s="4889"/>
      <c r="AG210" s="4889"/>
      <c r="AI210" s="1256"/>
      <c r="AJ210" s="1732"/>
      <c r="AK210" s="1732"/>
      <c r="AL210" s="1256"/>
      <c r="AM210" s="1256"/>
      <c r="AN210" s="1256"/>
      <c r="AO210" s="1256"/>
      <c r="AP210" s="1732"/>
      <c r="AQ210" s="1256"/>
      <c r="AR210" s="1256"/>
      <c r="AS210" s="651"/>
      <c r="AT210" s="1256"/>
      <c r="AU210" s="1256"/>
      <c r="AV210" s="1256"/>
      <c r="AW210" s="1256"/>
      <c r="AX210" s="1256"/>
      <c r="AY210" s="1728"/>
      <c r="AZ210" s="673"/>
      <c r="BA210" s="673"/>
      <c r="BB210" s="673"/>
      <c r="BC210" s="673"/>
      <c r="BD210" s="1737">
        <v>11</v>
      </c>
    </row>
    <row s="10851" customFormat="1" customHeight="1" ht="11.549999999999999">
      <c r="A211" s="1087"/>
      <c r="B211" s="1732"/>
      <c r="C211" s="1732"/>
      <c r="D211" s="458"/>
      <c r="AE211" s="4889"/>
      <c r="AF211" s="4889"/>
      <c r="AG211" s="4889"/>
      <c r="AI211" s="1256"/>
      <c r="AJ211" s="1732"/>
      <c r="AK211" s="1732"/>
      <c r="AL211" s="1256"/>
      <c r="AM211" s="1256"/>
      <c r="AN211" s="1256"/>
      <c r="AO211" s="1256"/>
      <c r="AP211" s="1732"/>
      <c r="AQ211" s="1256"/>
      <c r="AR211" s="1256"/>
      <c r="AS211" s="651"/>
      <c r="AT211" s="1256"/>
      <c r="AU211" s="1256"/>
      <c r="AV211" s="1256"/>
      <c r="AW211" s="1256"/>
      <c r="AX211" s="1256"/>
      <c r="AY211" s="1728"/>
      <c r="AZ211" s="673"/>
      <c r="BA211" s="673"/>
      <c r="BB211" s="673"/>
      <c r="BC211" s="673"/>
      <c r="BD211" s="1737">
        <v>11</v>
      </c>
    </row>
    <row s="10851" customFormat="1" customHeight="1" ht="11.549999999999999">
      <c r="A212" s="1087"/>
      <c r="B212" s="1732"/>
      <c r="C212" s="1732"/>
      <c r="D212" s="458"/>
      <c r="AE212" s="4889"/>
      <c r="AF212" s="4889"/>
      <c r="AG212" s="4889"/>
      <c r="AI212" s="1256"/>
      <c r="AJ212" s="1732"/>
      <c r="AK212" s="1732"/>
      <c r="AL212" s="1256"/>
      <c r="AM212" s="1256"/>
      <c r="AN212" s="1256"/>
      <c r="AO212" s="1256"/>
      <c r="AP212" s="1732"/>
      <c r="AQ212" s="1256"/>
      <c r="AR212" s="1256"/>
      <c r="AS212" s="651"/>
      <c r="AT212" s="1256"/>
      <c r="AU212" s="1256"/>
      <c r="AV212" s="1256"/>
      <c r="AW212" s="1256"/>
      <c r="AX212" s="1256"/>
      <c r="AY212" s="1728"/>
      <c r="AZ212" s="673"/>
      <c r="BA212" s="673"/>
      <c r="BB212" s="673"/>
      <c r="BC212" s="673"/>
      <c r="BD212" s="1737">
        <v>11</v>
      </c>
    </row>
    <row s="10851" customFormat="1" customHeight="1" ht="11.549999999999999">
      <c r="A213" s="1087"/>
      <c r="B213" s="1732"/>
      <c r="C213" s="1732"/>
      <c r="D213" s="458"/>
      <c r="AE213" s="4889"/>
      <c r="AF213" s="4889"/>
      <c r="AG213" s="4889"/>
      <c r="AI213" s="1256"/>
      <c r="AJ213" s="1732"/>
      <c r="AK213" s="1732"/>
      <c r="AL213" s="1256"/>
      <c r="AM213" s="1256"/>
      <c r="AN213" s="1256"/>
      <c r="AO213" s="1256"/>
      <c r="AP213" s="1732"/>
      <c r="AQ213" s="1256"/>
      <c r="AR213" s="1256"/>
      <c r="AS213" s="651"/>
      <c r="AT213" s="1256"/>
      <c r="AU213" s="1256"/>
      <c r="AV213" s="1256"/>
      <c r="AW213" s="1256"/>
      <c r="AX213" s="1256"/>
      <c r="AY213" s="1728"/>
      <c r="AZ213" s="673"/>
      <c r="BA213" s="673"/>
      <c r="BB213" s="673"/>
      <c r="BC213" s="673"/>
      <c r="BD213" s="1737">
        <v>11</v>
      </c>
    </row>
    <row s="10851" customFormat="1" customHeight="1" ht="11.549999999999999">
      <c r="A214" s="1087"/>
      <c r="B214" s="1732"/>
      <c r="C214" s="1732"/>
      <c r="D214" s="458"/>
      <c r="AE214" s="4889"/>
      <c r="AF214" s="4889"/>
      <c r="AG214" s="4889"/>
      <c r="AI214" s="1256"/>
      <c r="AJ214" s="1732"/>
      <c r="AK214" s="1732"/>
      <c r="AL214" s="1256"/>
      <c r="AM214" s="1256"/>
      <c r="AN214" s="1256"/>
      <c r="AO214" s="1256"/>
      <c r="AP214" s="1732"/>
      <c r="AQ214" s="1256"/>
      <c r="AR214" s="1256"/>
      <c r="AS214" s="651"/>
      <c r="AT214" s="1256"/>
      <c r="AU214" s="1256"/>
      <c r="AV214" s="1256"/>
      <c r="AW214" s="1256"/>
      <c r="AX214" s="1256"/>
      <c r="AY214" s="1728"/>
      <c r="AZ214" s="673"/>
      <c r="BA214" s="673"/>
      <c r="BB214" s="673"/>
      <c r="BC214" s="673"/>
      <c r="BD214" s="1737">
        <v>11</v>
      </c>
    </row>
    <row s="10851" customFormat="1" customHeight="1" ht="11.549999999999999">
      <c r="A215" s="1087"/>
      <c r="B215" s="1732"/>
      <c r="C215" s="1732"/>
      <c r="D215" s="458"/>
      <c r="AE215" s="4889"/>
      <c r="AF215" s="4889"/>
      <c r="AG215" s="4889"/>
      <c r="AI215" s="1256"/>
      <c r="AJ215" s="1732"/>
      <c r="AK215" s="1732"/>
      <c r="AL215" s="1256"/>
      <c r="AM215" s="1256"/>
      <c r="AN215" s="1256"/>
      <c r="AO215" s="1256"/>
      <c r="AP215" s="1732"/>
      <c r="AQ215" s="1256"/>
      <c r="AR215" s="1256"/>
      <c r="AS215" s="651"/>
      <c r="AT215" s="1256"/>
      <c r="AU215" s="1256"/>
      <c r="AV215" s="1256"/>
      <c r="AW215" s="1256"/>
      <c r="AX215" s="1256"/>
      <c r="AY215" s="1728"/>
      <c r="AZ215" s="673"/>
      <c r="BA215" s="673"/>
      <c r="BB215" s="673"/>
      <c r="BC215" s="673"/>
      <c r="BD215" s="1737">
        <v>11</v>
      </c>
    </row>
    <row s="10851" customFormat="1" customHeight="1" ht="11.549999999999999">
      <c r="A216" s="1087"/>
      <c r="B216" s="1732"/>
      <c r="C216" s="1732"/>
      <c r="D216" s="458"/>
      <c r="AE216" s="4889"/>
      <c r="AF216" s="4889"/>
      <c r="AG216" s="4889"/>
      <c r="AI216" s="1256"/>
      <c r="AJ216" s="1732"/>
      <c r="AK216" s="1732"/>
      <c r="AL216" s="1256"/>
      <c r="AM216" s="1256"/>
      <c r="AN216" s="1256"/>
      <c r="AO216" s="1256"/>
      <c r="AP216" s="1732"/>
      <c r="AQ216" s="1256"/>
      <c r="AR216" s="1256"/>
      <c r="AS216" s="651"/>
      <c r="AT216" s="1256"/>
      <c r="AU216" s="1256"/>
      <c r="AV216" s="1256"/>
      <c r="AW216" s="1256"/>
      <c r="AX216" s="1256"/>
      <c r="AY216" s="1728"/>
      <c r="AZ216" s="673"/>
      <c r="BA216" s="673"/>
      <c r="BB216" s="673"/>
      <c r="BC216" s="673"/>
      <c r="BD216" s="1737">
        <v>11</v>
      </c>
    </row>
    <row s="10851" customFormat="1" customHeight="1" ht="11.549999999999999">
      <c r="A217" s="1087"/>
      <c r="B217" s="1732"/>
      <c r="C217" s="1732"/>
      <c r="D217" s="458"/>
      <c r="AE217" s="4889"/>
      <c r="AF217" s="4889"/>
      <c r="AG217" s="4889"/>
      <c r="AI217" s="1256"/>
      <c r="AJ217" s="1732"/>
      <c r="AK217" s="1732"/>
      <c r="AL217" s="1256"/>
      <c r="AM217" s="1256"/>
      <c r="AN217" s="1256"/>
      <c r="AO217" s="1256"/>
      <c r="AP217" s="1732"/>
      <c r="AQ217" s="1256"/>
      <c r="AR217" s="1256"/>
      <c r="AS217" s="651"/>
      <c r="AT217" s="1256"/>
      <c r="AU217" s="1256"/>
      <c r="AV217" s="1256"/>
      <c r="AW217" s="1256"/>
      <c r="AX217" s="1256"/>
      <c r="AY217" s="1728"/>
      <c r="AZ217" s="673"/>
      <c r="BA217" s="673"/>
      <c r="BB217" s="673"/>
      <c r="BC217" s="673"/>
      <c r="BD217" s="1737">
        <v>11</v>
      </c>
    </row>
    <row s="10851" customFormat="1" customHeight="1" ht="11.549999999999999">
      <c r="A218" s="1087"/>
      <c r="B218" s="1732"/>
      <c r="C218" s="1732"/>
      <c r="D218" s="458"/>
      <c r="AE218" s="4889"/>
      <c r="AF218" s="4889"/>
      <c r="AG218" s="4889"/>
      <c r="AI218" s="1256"/>
      <c r="AJ218" s="1732"/>
      <c r="AK218" s="1732"/>
      <c r="AL218" s="1256"/>
      <c r="AM218" s="1256"/>
      <c r="AN218" s="1256"/>
      <c r="AO218" s="1256"/>
      <c r="AP218" s="1732"/>
      <c r="AQ218" s="1256"/>
      <c r="AR218" s="1256"/>
      <c r="AS218" s="651"/>
      <c r="AT218" s="1256"/>
      <c r="AU218" s="1256"/>
      <c r="AV218" s="1256"/>
      <c r="AW218" s="1256"/>
      <c r="AX218" s="1256"/>
      <c r="AY218" s="1728"/>
      <c r="AZ218" s="673"/>
      <c r="BA218" s="673"/>
      <c r="BB218" s="673"/>
      <c r="BC218" s="673"/>
      <c r="BD218" s="1737">
        <v>11</v>
      </c>
    </row>
    <row s="10851" customFormat="1" customHeight="1" ht="11.549999999999999">
      <c r="A219" s="1087"/>
      <c r="B219" s="1732"/>
      <c r="C219" s="1732"/>
      <c r="D219" s="458"/>
      <c r="AE219" s="4889"/>
      <c r="AF219" s="4889"/>
      <c r="AG219" s="4889"/>
      <c r="AI219" s="1256"/>
      <c r="AJ219" s="1732"/>
      <c r="AK219" s="1732"/>
      <c r="AL219" s="1256"/>
      <c r="AM219" s="1256"/>
      <c r="AN219" s="1256"/>
      <c r="AO219" s="1256"/>
      <c r="AP219" s="1732"/>
      <c r="AQ219" s="1256"/>
      <c r="AR219" s="1256"/>
      <c r="AS219" s="651"/>
      <c r="AT219" s="1256"/>
      <c r="AU219" s="1256"/>
      <c r="AV219" s="1256"/>
      <c r="AW219" s="1256"/>
      <c r="AX219" s="1256"/>
      <c r="AY219" s="1728"/>
      <c r="AZ219" s="673"/>
      <c r="BA219" s="673"/>
      <c r="BB219" s="673"/>
      <c r="BC219" s="673"/>
      <c r="BD219" s="1737">
        <v>11</v>
      </c>
    </row>
    <row s="10851" customFormat="1" customHeight="1" ht="11.549999999999999">
      <c r="A220" s="1087"/>
      <c r="B220" s="1732"/>
      <c r="C220" s="1732"/>
      <c r="D220" s="458"/>
      <c r="AE220" s="4889"/>
      <c r="AF220" s="4889"/>
      <c r="AG220" s="4889"/>
      <c r="AI220" s="1256"/>
      <c r="AJ220" s="1732"/>
      <c r="AK220" s="1732"/>
      <c r="AL220" s="1256"/>
      <c r="AM220" s="1256"/>
      <c r="AN220" s="1256"/>
      <c r="AO220" s="1256"/>
      <c r="AP220" s="1732"/>
      <c r="AQ220" s="1256"/>
      <c r="AR220" s="1256"/>
      <c r="AS220" s="651"/>
      <c r="AT220" s="1256"/>
      <c r="AU220" s="1256"/>
      <c r="AV220" s="1256"/>
      <c r="AW220" s="1256"/>
      <c r="AX220" s="1256"/>
      <c r="AY220" s="1728"/>
      <c r="AZ220" s="673"/>
      <c r="BA220" s="673"/>
      <c r="BB220" s="673"/>
      <c r="BC220" s="673"/>
      <c r="BD220" s="1737">
        <v>11</v>
      </c>
    </row>
    <row s="10851" customFormat="1" customHeight="1" ht="11.549999999999999">
      <c r="A221" s="1087"/>
      <c r="B221" s="1732"/>
      <c r="C221" s="1732"/>
      <c r="D221" s="458"/>
      <c r="AE221" s="4889"/>
      <c r="AF221" s="4889"/>
      <c r="AG221" s="4889"/>
      <c r="AI221" s="1256"/>
      <c r="AJ221" s="1732"/>
      <c r="AK221" s="1732"/>
      <c r="AL221" s="1256"/>
      <c r="AM221" s="1256"/>
      <c r="AN221" s="1256"/>
      <c r="AO221" s="1256"/>
      <c r="AP221" s="1732"/>
      <c r="AQ221" s="1256"/>
      <c r="AR221" s="1256"/>
      <c r="AS221" s="651"/>
      <c r="AT221" s="1256"/>
      <c r="AU221" s="1256"/>
      <c r="AV221" s="1256"/>
      <c r="AW221" s="1256"/>
      <c r="AX221" s="1256"/>
      <c r="AY221" s="1728"/>
      <c r="AZ221" s="673"/>
      <c r="BA221" s="673"/>
      <c r="BB221" s="673"/>
      <c r="BC221" s="673"/>
      <c r="BD221" s="1737">
        <v>11</v>
      </c>
    </row>
    <row s="10851" customFormat="1" customHeight="1" ht="11.549999999999999">
      <c r="A222" s="1087"/>
      <c r="B222" s="1732"/>
      <c r="C222" s="1732"/>
      <c r="D222" s="458"/>
      <c r="AE222" s="4889"/>
      <c r="AF222" s="4889"/>
      <c r="AG222" s="4889"/>
      <c r="AI222" s="1256"/>
      <c r="AJ222" s="1732"/>
      <c r="AK222" s="1732"/>
      <c r="AL222" s="1256"/>
      <c r="AM222" s="1256"/>
      <c r="AN222" s="1256"/>
      <c r="AO222" s="1256"/>
      <c r="AP222" s="1732"/>
      <c r="AQ222" s="1256"/>
      <c r="AR222" s="1256"/>
      <c r="AS222" s="651"/>
      <c r="AT222" s="1256"/>
      <c r="AU222" s="1256"/>
      <c r="AV222" s="1256"/>
      <c r="AW222" s="1256"/>
      <c r="AX222" s="1256"/>
      <c r="AY222" s="1728"/>
      <c r="AZ222" s="673"/>
      <c r="BA222" s="673"/>
      <c r="BB222" s="673"/>
      <c r="BC222" s="673"/>
      <c r="BD222" s="1737">
        <v>11</v>
      </c>
    </row>
    <row s="10851" customFormat="1" customHeight="1" ht="11.549999999999999">
      <c r="A223" s="1087"/>
      <c r="B223" s="1732"/>
      <c r="C223" s="1732"/>
      <c r="D223" s="458"/>
      <c r="AE223" s="4889"/>
      <c r="AF223" s="4889"/>
      <c r="AG223" s="4889"/>
      <c r="AI223" s="1256"/>
      <c r="AJ223" s="1732"/>
      <c r="AK223" s="1732"/>
      <c r="AL223" s="1256"/>
      <c r="AM223" s="1256"/>
      <c r="AN223" s="1256"/>
      <c r="AO223" s="1256"/>
      <c r="AP223" s="1732"/>
      <c r="AQ223" s="1256"/>
      <c r="AR223" s="1256"/>
      <c r="AS223" s="651"/>
      <c r="AT223" s="1256"/>
      <c r="AU223" s="1256"/>
      <c r="AV223" s="1256"/>
      <c r="AW223" s="1256"/>
      <c r="AX223" s="1256"/>
      <c r="AY223" s="1728"/>
      <c r="AZ223" s="673"/>
      <c r="BA223" s="673"/>
      <c r="BB223" s="673"/>
      <c r="BC223" s="673"/>
      <c r="BD223" s="1737">
        <v>11</v>
      </c>
    </row>
    <row s="10851" customFormat="1" customHeight="1" ht="11.549999999999999">
      <c r="A224" s="1087"/>
      <c r="B224" s="1732"/>
      <c r="C224" s="1732"/>
      <c r="D224" s="458"/>
      <c r="AE224" s="4889"/>
      <c r="AF224" s="4889"/>
      <c r="AG224" s="4889"/>
      <c r="AI224" s="1256"/>
      <c r="AJ224" s="1732"/>
      <c r="AK224" s="1732"/>
      <c r="AL224" s="1256"/>
      <c r="AM224" s="1256"/>
      <c r="AN224" s="1256"/>
      <c r="AO224" s="1256"/>
      <c r="AP224" s="1732"/>
      <c r="AQ224" s="1256"/>
      <c r="AR224" s="1256"/>
      <c r="AS224" s="651"/>
      <c r="AT224" s="1256"/>
      <c r="AU224" s="1256"/>
      <c r="AV224" s="1256"/>
      <c r="AW224" s="1256"/>
      <c r="AX224" s="1256"/>
      <c r="AY224" s="1728"/>
      <c r="AZ224" s="673"/>
      <c r="BA224" s="673"/>
      <c r="BB224" s="673"/>
      <c r="BC224" s="673"/>
      <c r="BD224" s="1737">
        <v>11</v>
      </c>
    </row>
    <row s="10851" customFormat="1" customHeight="1" ht="11.549999999999999">
      <c r="A225" s="1087"/>
      <c r="B225" s="1732"/>
      <c r="C225" s="1732"/>
      <c r="D225" s="458"/>
      <c r="AE225" s="4889"/>
      <c r="AF225" s="4889"/>
      <c r="AG225" s="4889"/>
      <c r="AI225" s="1256"/>
      <c r="AJ225" s="1732"/>
      <c r="AK225" s="1732"/>
      <c r="AL225" s="1256"/>
      <c r="AM225" s="1256"/>
      <c r="AN225" s="1256"/>
      <c r="AO225" s="1256"/>
      <c r="AP225" s="1732"/>
      <c r="AQ225" s="1256"/>
      <c r="AR225" s="1256"/>
      <c r="AS225" s="651"/>
      <c r="AT225" s="1256"/>
      <c r="AU225" s="1256"/>
      <c r="AV225" s="1256"/>
      <c r="AW225" s="1256"/>
      <c r="AX225" s="1256"/>
      <c r="AY225" s="1728"/>
      <c r="AZ225" s="673"/>
      <c r="BA225" s="673"/>
      <c r="BB225" s="673"/>
      <c r="BC225" s="673"/>
      <c r="BD225" s="1737">
        <v>11</v>
      </c>
    </row>
    <row s="10851" customFormat="1" customHeight="1" ht="11.549999999999999">
      <c r="A226" s="1087"/>
      <c r="B226" s="1732"/>
      <c r="C226" s="1732"/>
      <c r="D226" s="458"/>
      <c r="AE226" s="4889"/>
      <c r="AF226" s="4889"/>
      <c r="AG226" s="4889"/>
      <c r="AI226" s="1256"/>
      <c r="AJ226" s="1732"/>
      <c r="AK226" s="1732"/>
      <c r="AL226" s="1256"/>
      <c r="AM226" s="1256"/>
      <c r="AN226" s="1256"/>
      <c r="AO226" s="1256"/>
      <c r="AP226" s="1732"/>
      <c r="AQ226" s="1256"/>
      <c r="AR226" s="1256"/>
      <c r="AS226" s="651"/>
      <c r="AT226" s="1256"/>
      <c r="AU226" s="1256"/>
      <c r="AV226" s="1256"/>
      <c r="AW226" s="1256"/>
      <c r="AX226" s="1256"/>
      <c r="AY226" s="1728"/>
      <c r="AZ226" s="673"/>
      <c r="BA226" s="673"/>
      <c r="BB226" s="673"/>
      <c r="BC226" s="673"/>
      <c r="BD226" s="1737">
        <v>11</v>
      </c>
    </row>
    <row s="10851" customFormat="1" customHeight="1" ht="11.549999999999999">
      <c r="A227" s="1087"/>
      <c r="B227" s="1732"/>
      <c r="C227" s="1732"/>
      <c r="D227" s="458"/>
      <c r="AE227" s="4889"/>
      <c r="AF227" s="4889"/>
      <c r="AG227" s="4889"/>
      <c r="AI227" s="1256"/>
      <c r="AJ227" s="1732"/>
      <c r="AK227" s="1732"/>
      <c r="AL227" s="1256"/>
      <c r="AM227" s="1256"/>
      <c r="AN227" s="1256"/>
      <c r="AO227" s="1256"/>
      <c r="AP227" s="1732"/>
      <c r="AQ227" s="1256"/>
      <c r="AR227" s="1256"/>
      <c r="AS227" s="651"/>
      <c r="AT227" s="1256"/>
      <c r="AU227" s="1256"/>
      <c r="AV227" s="1256"/>
      <c r="AW227" s="1256"/>
      <c r="AX227" s="1256"/>
      <c r="AY227" s="1728"/>
      <c r="AZ227" s="673"/>
      <c r="BA227" s="673"/>
      <c r="BB227" s="673"/>
      <c r="BC227" s="673"/>
      <c r="BD227" s="1737">
        <v>11</v>
      </c>
    </row>
    <row s="10851" customFormat="1" customHeight="1" ht="11.549999999999999">
      <c r="A228" s="1087"/>
      <c r="B228" s="1732"/>
      <c r="C228" s="1732"/>
      <c r="D228" s="458"/>
      <c r="AE228" s="4889"/>
      <c r="AF228" s="4889"/>
      <c r="AG228" s="4889"/>
      <c r="AI228" s="1256"/>
      <c r="AJ228" s="1732"/>
      <c r="AK228" s="1732"/>
      <c r="AL228" s="1256"/>
      <c r="AM228" s="1256"/>
      <c r="AN228" s="1256"/>
      <c r="AO228" s="1256"/>
      <c r="AP228" s="1732"/>
      <c r="AQ228" s="1256"/>
      <c r="AR228" s="1256"/>
      <c r="AS228" s="651"/>
      <c r="AT228" s="1256"/>
      <c r="AU228" s="1256"/>
      <c r="AV228" s="1256"/>
      <c r="AW228" s="1256"/>
      <c r="AX228" s="1256"/>
      <c r="AY228" s="1728"/>
      <c r="AZ228" s="673"/>
      <c r="BA228" s="673"/>
      <c r="BB228" s="673"/>
      <c r="BC228" s="673"/>
      <c r="BD228" s="1737">
        <v>11</v>
      </c>
    </row>
    <row s="10851" customFormat="1" customHeight="1" ht="11.549999999999999">
      <c r="A229" s="1087"/>
      <c r="B229" s="1732"/>
      <c r="C229" s="1732"/>
      <c r="D229" s="458"/>
      <c r="AE229" s="4889"/>
      <c r="AF229" s="4889"/>
      <c r="AG229" s="4889"/>
      <c r="AI229" s="1256"/>
      <c r="AJ229" s="1732"/>
      <c r="AK229" s="1732"/>
      <c r="AL229" s="1256"/>
      <c r="AM229" s="1256"/>
      <c r="AN229" s="1256"/>
      <c r="AO229" s="1256"/>
      <c r="AP229" s="1732"/>
      <c r="AQ229" s="1256"/>
      <c r="AR229" s="1256"/>
      <c r="AS229" s="651"/>
      <c r="AT229" s="1256"/>
      <c r="AU229" s="1256"/>
      <c r="AV229" s="1256"/>
      <c r="AW229" s="1256"/>
      <c r="AX229" s="1256"/>
      <c r="AY229" s="1728"/>
      <c r="AZ229" s="673"/>
      <c r="BA229" s="673"/>
      <c r="BB229" s="673"/>
      <c r="BC229" s="673"/>
      <c r="BD229" s="1737">
        <v>11</v>
      </c>
    </row>
    <row s="10851" customFormat="1" customHeight="1" ht="11.549999999999999">
      <c r="A230" s="1087"/>
      <c r="B230" s="1732"/>
      <c r="C230" s="1732"/>
      <c r="D230" s="458"/>
      <c r="AE230" s="4889"/>
      <c r="AF230" s="4889"/>
      <c r="AG230" s="4889"/>
      <c r="AI230" s="1256"/>
      <c r="AJ230" s="1732"/>
      <c r="AK230" s="1732"/>
      <c r="AL230" s="1256"/>
      <c r="AM230" s="1256"/>
      <c r="AN230" s="1256"/>
      <c r="AO230" s="1256"/>
      <c r="AP230" s="1732"/>
      <c r="AQ230" s="1256"/>
      <c r="AR230" s="1256"/>
      <c r="AS230" s="651"/>
      <c r="AT230" s="1256"/>
      <c r="AU230" s="1256"/>
      <c r="AV230" s="1256"/>
      <c r="AW230" s="1256"/>
      <c r="AX230" s="1256"/>
      <c r="AY230" s="1728"/>
      <c r="AZ230" s="673"/>
      <c r="BA230" s="673"/>
      <c r="BB230" s="673"/>
      <c r="BC230" s="673"/>
      <c r="BD230" s="1737">
        <v>11</v>
      </c>
    </row>
    <row s="10851" customFormat="1" customHeight="1" ht="11.549999999999999">
      <c r="A231" s="1087"/>
      <c r="B231" s="1732"/>
      <c r="C231" s="1732"/>
      <c r="D231" s="458"/>
      <c r="AE231" s="4889"/>
      <c r="AF231" s="4889"/>
      <c r="AG231" s="4889"/>
      <c r="AI231" s="1256"/>
      <c r="AJ231" s="1732"/>
      <c r="AK231" s="1732"/>
      <c r="AL231" s="1256"/>
      <c r="AM231" s="1256"/>
      <c r="AN231" s="1256"/>
      <c r="AO231" s="1256"/>
      <c r="AP231" s="1732"/>
      <c r="AQ231" s="1256"/>
      <c r="AR231" s="1256"/>
      <c r="AS231" s="651"/>
      <c r="AT231" s="1256"/>
      <c r="AU231" s="1256"/>
      <c r="AV231" s="1256"/>
      <c r="AW231" s="1256"/>
      <c r="AX231" s="1256"/>
      <c r="AY231" s="1728"/>
      <c r="AZ231" s="673"/>
      <c r="BA231" s="673"/>
      <c r="BB231" s="673"/>
      <c r="BC231" s="673"/>
      <c r="BD231" s="1737">
        <v>11</v>
      </c>
    </row>
    <row s="10851" customFormat="1" customHeight="1" ht="11.549999999999999">
      <c r="A232" s="1087"/>
      <c r="B232" s="1732"/>
      <c r="C232" s="1732"/>
      <c r="D232" s="458"/>
      <c r="AE232" s="4889"/>
      <c r="AF232" s="4889"/>
      <c r="AG232" s="4889"/>
      <c r="AI232" s="1256"/>
      <c r="AJ232" s="1732"/>
      <c r="AK232" s="1732"/>
      <c r="AL232" s="1256"/>
      <c r="AM232" s="1256"/>
      <c r="AN232" s="1256"/>
      <c r="AO232" s="1256"/>
      <c r="AP232" s="1732"/>
      <c r="AQ232" s="1256"/>
      <c r="AR232" s="1256"/>
      <c r="AS232" s="651"/>
      <c r="AT232" s="1256"/>
      <c r="AU232" s="1256"/>
      <c r="AV232" s="1256"/>
      <c r="AW232" s="1256"/>
      <c r="AX232" s="1256"/>
      <c r="AY232" s="1728"/>
      <c r="AZ232" s="673"/>
      <c r="BA232" s="673"/>
      <c r="BB232" s="673"/>
      <c r="BC232" s="673"/>
      <c r="BD232" s="1737">
        <v>11</v>
      </c>
    </row>
    <row s="10851" customFormat="1" customHeight="1" ht="11.549999999999999">
      <c r="A233" s="1087"/>
      <c r="B233" s="1732"/>
      <c r="C233" s="1732"/>
      <c r="D233" s="458"/>
      <c r="AE233" s="4889"/>
      <c r="AF233" s="4889"/>
      <c r="AG233" s="4889"/>
      <c r="AI233" s="1256"/>
      <c r="AJ233" s="1732"/>
      <c r="AK233" s="1732"/>
      <c r="AL233" s="1256"/>
      <c r="AM233" s="1256"/>
      <c r="AN233" s="1256"/>
      <c r="AO233" s="1256"/>
      <c r="AP233" s="1732"/>
      <c r="AQ233" s="1256"/>
      <c r="AR233" s="1256"/>
      <c r="AS233" s="651"/>
      <c r="AT233" s="1256"/>
      <c r="AU233" s="1256"/>
      <c r="AV233" s="1256"/>
      <c r="AW233" s="1256"/>
      <c r="AX233" s="1256"/>
      <c r="AY233" s="1728"/>
      <c r="AZ233" s="673"/>
      <c r="BA233" s="673"/>
      <c r="BB233" s="673"/>
      <c r="BC233" s="673"/>
      <c r="BD233" s="1737">
        <v>11</v>
      </c>
    </row>
    <row s="10851" customFormat="1" customHeight="1" ht="11.549999999999999">
      <c r="A234" s="1087"/>
      <c r="B234" s="1732"/>
      <c r="C234" s="1732"/>
      <c r="D234" s="458"/>
      <c r="AE234" s="4889"/>
      <c r="AF234" s="4889"/>
      <c r="AG234" s="4889"/>
      <c r="AI234" s="1256"/>
      <c r="AJ234" s="1732"/>
      <c r="AK234" s="1732"/>
      <c r="AL234" s="1256"/>
      <c r="AM234" s="1256"/>
      <c r="AN234" s="1256"/>
      <c r="AO234" s="1256"/>
      <c r="AP234" s="1732"/>
      <c r="AQ234" s="1256"/>
      <c r="AR234" s="1256"/>
      <c r="AS234" s="651"/>
      <c r="AT234" s="1256"/>
      <c r="AU234" s="1256"/>
      <c r="AV234" s="1256"/>
      <c r="AW234" s="1256"/>
      <c r="AX234" s="1256"/>
      <c r="AY234" s="1728"/>
      <c r="AZ234" s="673"/>
      <c r="BA234" s="673"/>
      <c r="BB234" s="673"/>
      <c r="BC234" s="673"/>
      <c r="BD234" s="1737">
        <v>11</v>
      </c>
    </row>
    <row s="10851" customFormat="1" customHeight="1" ht="11.549999999999999">
      <c r="A235" s="1087"/>
      <c r="B235" s="1732"/>
      <c r="C235" s="1732"/>
      <c r="D235" s="458"/>
      <c r="AE235" s="4889"/>
      <c r="AF235" s="4889"/>
      <c r="AG235" s="4889"/>
      <c r="AI235" s="1256"/>
      <c r="AJ235" s="1732"/>
      <c r="AK235" s="1732"/>
      <c r="AL235" s="1256"/>
      <c r="AM235" s="1256"/>
      <c r="AN235" s="1256"/>
      <c r="AO235" s="1256"/>
      <c r="AP235" s="1732"/>
      <c r="AQ235" s="1256"/>
      <c r="AR235" s="1256"/>
      <c r="AS235" s="651"/>
      <c r="AT235" s="1256"/>
      <c r="AU235" s="1256"/>
      <c r="AV235" s="1256"/>
      <c r="AW235" s="1256"/>
      <c r="AX235" s="1256"/>
      <c r="AY235" s="1728"/>
      <c r="AZ235" s="673"/>
      <c r="BA235" s="673"/>
      <c r="BB235" s="673"/>
      <c r="BC235" s="673"/>
      <c r="BD235" s="1737">
        <v>11</v>
      </c>
    </row>
    <row s="10851" customFormat="1" customHeight="1" ht="11.549999999999999">
      <c r="A236" s="1087"/>
      <c r="B236" s="1732"/>
      <c r="C236" s="1732"/>
      <c r="D236" s="458"/>
      <c r="AE236" s="4889"/>
      <c r="AF236" s="4889"/>
      <c r="AG236" s="4889"/>
      <c r="AI236" s="1256"/>
      <c r="AJ236" s="1732"/>
      <c r="AK236" s="1732"/>
      <c r="AL236" s="1256"/>
      <c r="AM236" s="1256"/>
      <c r="AN236" s="1256"/>
      <c r="AO236" s="1256"/>
      <c r="AP236" s="1732"/>
      <c r="AQ236" s="1256"/>
      <c r="AR236" s="1256"/>
      <c r="AS236" s="651"/>
      <c r="AT236" s="1256"/>
      <c r="AU236" s="1256"/>
      <c r="AV236" s="1256"/>
      <c r="AW236" s="1256"/>
      <c r="AX236" s="1256"/>
      <c r="AY236" s="1728"/>
      <c r="AZ236" s="673"/>
      <c r="BA236" s="673"/>
      <c r="BB236" s="673"/>
      <c r="BC236" s="673"/>
      <c r="BD236" s="1737">
        <v>11</v>
      </c>
    </row>
    <row s="10851" customFormat="1" customHeight="1" ht="11.549999999999999">
      <c r="A237" s="1087"/>
      <c r="B237" s="1732"/>
      <c r="C237" s="1732"/>
      <c r="D237" s="458"/>
      <c r="AE237" s="4889"/>
      <c r="AF237" s="4889"/>
      <c r="AG237" s="4889"/>
      <c r="AI237" s="1256"/>
      <c r="AJ237" s="1732"/>
      <c r="AK237" s="1732"/>
      <c r="AL237" s="1256"/>
      <c r="AM237" s="1256"/>
      <c r="AN237" s="1256"/>
      <c r="AO237" s="1256"/>
      <c r="AP237" s="1732"/>
      <c r="AQ237" s="1256"/>
      <c r="AR237" s="1256"/>
      <c r="AS237" s="651"/>
      <c r="AT237" s="1256"/>
      <c r="AU237" s="1256"/>
      <c r="AV237" s="1256"/>
      <c r="AW237" s="1256"/>
      <c r="AX237" s="1256"/>
      <c r="AY237" s="1728"/>
      <c r="AZ237" s="673"/>
      <c r="BA237" s="673"/>
      <c r="BB237" s="673"/>
      <c r="BC237" s="673"/>
      <c r="BD237" s="1737">
        <v>11</v>
      </c>
    </row>
    <row s="10851" customFormat="1" customHeight="1" ht="11.549999999999999">
      <c r="A238" s="1087"/>
      <c r="B238" s="1732"/>
      <c r="C238" s="1732"/>
      <c r="D238" s="458"/>
      <c r="AE238" s="4889"/>
      <c r="AF238" s="4889"/>
      <c r="AG238" s="4889"/>
      <c r="AI238" s="1256"/>
      <c r="AJ238" s="1732"/>
      <c r="AK238" s="1732"/>
      <c r="AL238" s="1256"/>
      <c r="AM238" s="1256"/>
      <c r="AN238" s="1256"/>
      <c r="AO238" s="1256"/>
      <c r="AP238" s="1732"/>
      <c r="AQ238" s="1256"/>
      <c r="AR238" s="1256"/>
      <c r="AS238" s="651"/>
      <c r="AT238" s="1256"/>
      <c r="AU238" s="1256"/>
      <c r="AV238" s="1256"/>
      <c r="AW238" s="1256"/>
      <c r="AX238" s="1256"/>
      <c r="AY238" s="1728"/>
      <c r="AZ238" s="673"/>
      <c r="BA238" s="673"/>
      <c r="BB238" s="673"/>
      <c r="BC238" s="673"/>
      <c r="BD238" s="1737">
        <v>11</v>
      </c>
    </row>
    <row s="10851" customFormat="1" customHeight="1" ht="11.549999999999999">
      <c r="A239" s="1087"/>
      <c r="B239" s="1732"/>
      <c r="C239" s="1732"/>
      <c r="D239" s="458"/>
      <c r="AE239" s="4889"/>
      <c r="AF239" s="4889"/>
      <c r="AG239" s="4889"/>
      <c r="AI239" s="1256"/>
      <c r="AJ239" s="1732"/>
      <c r="AK239" s="1732"/>
      <c r="AL239" s="1256"/>
      <c r="AM239" s="1256"/>
      <c r="AN239" s="1256"/>
      <c r="AO239" s="1256"/>
      <c r="AP239" s="1732"/>
      <c r="AQ239" s="1256"/>
      <c r="AR239" s="1256"/>
      <c r="AS239" s="651"/>
      <c r="AT239" s="1256"/>
      <c r="AU239" s="1256"/>
      <c r="AV239" s="1256"/>
      <c r="AW239" s="1256"/>
      <c r="AX239" s="1256"/>
      <c r="AY239" s="1728"/>
      <c r="AZ239" s="673"/>
      <c r="BA239" s="673"/>
      <c r="BB239" s="673"/>
      <c r="BC239" s="673"/>
      <c r="BD239" s="1737">
        <v>11</v>
      </c>
    </row>
    <row s="10851" customFormat="1" customHeight="1" ht="11.549999999999999">
      <c r="A240" s="1087"/>
      <c r="B240" s="1732"/>
      <c r="C240" s="1732"/>
      <c r="D240" s="458"/>
      <c r="AE240" s="4889"/>
      <c r="AF240" s="4889"/>
      <c r="AG240" s="4889"/>
      <c r="AI240" s="1256"/>
      <c r="AJ240" s="1732"/>
      <c r="AK240" s="1732"/>
      <c r="AL240" s="1256"/>
      <c r="AM240" s="1256"/>
      <c r="AN240" s="1256"/>
      <c r="AO240" s="1256"/>
      <c r="AP240" s="1732"/>
      <c r="AQ240" s="1256"/>
      <c r="AR240" s="1256"/>
      <c r="AS240" s="651"/>
      <c r="AT240" s="1256"/>
      <c r="AU240" s="1256"/>
      <c r="AV240" s="1256"/>
      <c r="AW240" s="1256"/>
      <c r="AX240" s="1256"/>
      <c r="AY240" s="1728"/>
      <c r="AZ240" s="673"/>
      <c r="BA240" s="673"/>
      <c r="BB240" s="673"/>
      <c r="BC240" s="673"/>
      <c r="BD240" s="1737">
        <v>11</v>
      </c>
    </row>
    <row s="10851" customFormat="1" customHeight="1" ht="11.549999999999999">
      <c r="A241" s="1087"/>
      <c r="B241" s="1732"/>
      <c r="C241" s="1732"/>
      <c r="D241" s="458"/>
      <c r="AE241" s="4889"/>
      <c r="AF241" s="4889"/>
      <c r="AG241" s="4889"/>
      <c r="AI241" s="1256"/>
      <c r="AJ241" s="1732"/>
      <c r="AK241" s="1732"/>
      <c r="AL241" s="1256"/>
      <c r="AM241" s="1256"/>
      <c r="AN241" s="1256"/>
      <c r="AO241" s="1256"/>
      <c r="AP241" s="1732"/>
      <c r="AQ241" s="1256"/>
      <c r="AR241" s="1256"/>
      <c r="AS241" s="651"/>
      <c r="AT241" s="1256"/>
      <c r="AU241" s="1256"/>
      <c r="AV241" s="1256"/>
      <c r="AW241" s="1256"/>
      <c r="AX241" s="1256"/>
      <c r="AY241" s="1728"/>
      <c r="AZ241" s="673"/>
      <c r="BA241" s="673"/>
      <c r="BB241" s="673"/>
      <c r="BC241" s="673"/>
      <c r="BD241" s="1737">
        <v>11</v>
      </c>
    </row>
    <row s="10851" customFormat="1" customHeight="1" ht="11.549999999999999">
      <c r="A242" s="1087"/>
      <c r="B242" s="1732"/>
      <c r="C242" s="1732"/>
      <c r="D242" s="458"/>
      <c r="AE242" s="4889"/>
      <c r="AF242" s="4889"/>
      <c r="AG242" s="4889"/>
      <c r="AI242" s="1256"/>
      <c r="AJ242" s="1732"/>
      <c r="AK242" s="1732"/>
      <c r="AL242" s="1256"/>
      <c r="AM242" s="1256"/>
      <c r="AN242" s="1256"/>
      <c r="AO242" s="1256"/>
      <c r="AP242" s="1732"/>
      <c r="AQ242" s="1256"/>
      <c r="AR242" s="1256"/>
      <c r="AS242" s="651"/>
      <c r="AT242" s="1256"/>
      <c r="AU242" s="1256"/>
      <c r="AV242" s="1256"/>
      <c r="AW242" s="1256"/>
      <c r="AX242" s="1256"/>
      <c r="AY242" s="1728"/>
      <c r="AZ242" s="673"/>
      <c r="BA242" s="673"/>
      <c r="BB242" s="673"/>
      <c r="BC242" s="673"/>
      <c r="BD242" s="1737">
        <v>11</v>
      </c>
    </row>
    <row s="10851" customFormat="1" customHeight="1" ht="11.549999999999999">
      <c r="A243" s="1087"/>
      <c r="B243" s="1732"/>
      <c r="C243" s="1732"/>
      <c r="D243" s="458"/>
      <c r="AE243" s="4889"/>
      <c r="AF243" s="4889"/>
      <c r="AG243" s="4889"/>
      <c r="AI243" s="1256"/>
      <c r="AJ243" s="1732"/>
      <c r="AK243" s="1732"/>
      <c r="AL243" s="1256"/>
      <c r="AM243" s="1256"/>
      <c r="AN243" s="1256"/>
      <c r="AO243" s="1256"/>
      <c r="AP243" s="1732"/>
      <c r="AQ243" s="1256"/>
      <c r="AR243" s="1256"/>
      <c r="AS243" s="651"/>
      <c r="AT243" s="1256"/>
      <c r="AU243" s="1256"/>
      <c r="AV243" s="1256"/>
      <c r="AW243" s="1256"/>
      <c r="AX243" s="1256"/>
      <c r="AY243" s="1728"/>
      <c r="AZ243" s="673"/>
      <c r="BA243" s="673"/>
      <c r="BB243" s="673"/>
      <c r="BC243" s="673"/>
      <c r="BD243" s="1737">
        <v>11</v>
      </c>
    </row>
    <row s="10851" customFormat="1" customHeight="1" ht="11.549999999999999">
      <c r="A244" s="1087"/>
      <c r="B244" s="1732"/>
      <c r="C244" s="1732"/>
      <c r="D244" s="458"/>
      <c r="AE244" s="4889"/>
      <c r="AF244" s="4889"/>
      <c r="AG244" s="4889"/>
      <c r="AI244" s="1256"/>
      <c r="AJ244" s="1732"/>
      <c r="AK244" s="1732"/>
      <c r="AL244" s="1256"/>
      <c r="AM244" s="1256"/>
      <c r="AN244" s="1256"/>
      <c r="AO244" s="1256"/>
      <c r="AP244" s="1732"/>
      <c r="AQ244" s="1256"/>
      <c r="AR244" s="1256"/>
      <c r="AS244" s="651"/>
      <c r="AT244" s="1256"/>
      <c r="AU244" s="1256"/>
      <c r="AV244" s="1256"/>
      <c r="AW244" s="1256"/>
      <c r="AX244" s="1256"/>
      <c r="AY244" s="1728"/>
      <c r="AZ244" s="673"/>
      <c r="BA244" s="673"/>
      <c r="BB244" s="673"/>
      <c r="BC244" s="673"/>
      <c r="BD244" s="1737">
        <v>11</v>
      </c>
    </row>
    <row s="10851" customFormat="1" customHeight="1" ht="11.549999999999999">
      <c r="A245" s="1087"/>
      <c r="B245" s="1732"/>
      <c r="C245" s="1732"/>
      <c r="D245" s="458"/>
      <c r="AE245" s="4889"/>
      <c r="AF245" s="4889"/>
      <c r="AG245" s="4889"/>
      <c r="AI245" s="1256"/>
      <c r="AJ245" s="1732"/>
      <c r="AK245" s="1732"/>
      <c r="AL245" s="1256"/>
      <c r="AM245" s="1256"/>
      <c r="AN245" s="1256"/>
      <c r="AO245" s="1256"/>
      <c r="AP245" s="1732"/>
      <c r="AQ245" s="1256"/>
      <c r="AR245" s="1256"/>
      <c r="AS245" s="651"/>
      <c r="AT245" s="1256"/>
      <c r="AU245" s="1256"/>
      <c r="AV245" s="1256"/>
      <c r="AW245" s="1256"/>
      <c r="AX245" s="1256"/>
      <c r="AY245" s="1728"/>
      <c r="AZ245" s="673"/>
      <c r="BA245" s="673"/>
      <c r="BB245" s="673"/>
      <c r="BC245" s="673"/>
      <c r="BD245" s="1737">
        <v>11</v>
      </c>
    </row>
    <row s="10851" customFormat="1" customHeight="1" ht="11.549999999999999">
      <c r="A246" s="1087"/>
      <c r="B246" s="1732"/>
      <c r="C246" s="1732"/>
      <c r="D246" s="458"/>
      <c r="AE246" s="4889"/>
      <c r="AF246" s="4889"/>
      <c r="AG246" s="4889"/>
      <c r="AI246" s="1256"/>
      <c r="AJ246" s="1732"/>
      <c r="AK246" s="1732"/>
      <c r="AL246" s="1256"/>
      <c r="AM246" s="1256"/>
      <c r="AN246" s="1256"/>
      <c r="AO246" s="1256"/>
      <c r="AP246" s="1732"/>
      <c r="AQ246" s="1256"/>
      <c r="AR246" s="1256"/>
      <c r="AS246" s="651"/>
      <c r="AT246" s="1256"/>
      <c r="AU246" s="1256"/>
      <c r="AV246" s="1256"/>
      <c r="AW246" s="1256"/>
      <c r="AX246" s="1256"/>
      <c r="AY246" s="1728"/>
      <c r="AZ246" s="673"/>
      <c r="BA246" s="673"/>
      <c r="BB246" s="673"/>
      <c r="BC246" s="673"/>
      <c r="BD246" s="1737">
        <v>11</v>
      </c>
    </row>
    <row s="10851" customFormat="1" customHeight="1" ht="11.549999999999999">
      <c r="A247" s="1087"/>
      <c r="B247" s="1732"/>
      <c r="C247" s="1732"/>
      <c r="D247" s="458"/>
      <c r="AE247" s="4889"/>
      <c r="AF247" s="4889"/>
      <c r="AG247" s="4889"/>
      <c r="AI247" s="1256"/>
      <c r="AJ247" s="1732"/>
      <c r="AK247" s="1732"/>
      <c r="AL247" s="1256"/>
      <c r="AM247" s="1256"/>
      <c r="AN247" s="1256"/>
      <c r="AO247" s="1256"/>
      <c r="AP247" s="1732"/>
      <c r="AQ247" s="1256"/>
      <c r="AR247" s="1256"/>
      <c r="AS247" s="651"/>
      <c r="AT247" s="1256"/>
      <c r="AU247" s="1256"/>
      <c r="AV247" s="1256"/>
      <c r="AW247" s="1256"/>
      <c r="AX247" s="1256"/>
      <c r="AY247" s="1728"/>
      <c r="AZ247" s="673"/>
      <c r="BA247" s="673"/>
      <c r="BB247" s="673"/>
      <c r="BC247" s="673"/>
      <c r="BD247" s="1737">
        <v>11</v>
      </c>
    </row>
    <row s="10851" customFormat="1" customHeight="1" ht="11.549999999999999">
      <c r="A248" s="1087"/>
      <c r="B248" s="1732"/>
      <c r="C248" s="1732"/>
      <c r="D248" s="458"/>
      <c r="AE248" s="4889"/>
      <c r="AF248" s="4889"/>
      <c r="AG248" s="4889"/>
      <c r="AI248" s="1256"/>
      <c r="AJ248" s="1732"/>
      <c r="AK248" s="1732"/>
      <c r="AL248" s="1256"/>
      <c r="AM248" s="1256"/>
      <c r="AN248" s="1256"/>
      <c r="AO248" s="1256"/>
      <c r="AP248" s="1732"/>
      <c r="AQ248" s="1256"/>
      <c r="AR248" s="1256"/>
      <c r="AS248" s="651"/>
      <c r="AT248" s="1256"/>
      <c r="AU248" s="1256"/>
      <c r="AV248" s="1256"/>
      <c r="AW248" s="1256"/>
      <c r="AX248" s="1256"/>
      <c r="AY248" s="1728"/>
      <c r="AZ248" s="673"/>
      <c r="BA248" s="673"/>
      <c r="BB248" s="673"/>
      <c r="BC248" s="673"/>
      <c r="BD248" s="1737">
        <v>11</v>
      </c>
    </row>
    <row s="10851" customFormat="1" customHeight="1" ht="11.549999999999999">
      <c r="A249" s="1087"/>
      <c r="B249" s="1732"/>
      <c r="C249" s="1732"/>
      <c r="D249" s="458"/>
      <c r="AE249" s="4889"/>
      <c r="AF249" s="4889"/>
      <c r="AG249" s="4889"/>
      <c r="AI249" s="1256"/>
      <c r="AJ249" s="1732"/>
      <c r="AK249" s="1732"/>
      <c r="AL249" s="1256"/>
      <c r="AM249" s="1256"/>
      <c r="AN249" s="1256"/>
      <c r="AO249" s="1256"/>
      <c r="AP249" s="1732"/>
      <c r="AQ249" s="1256"/>
      <c r="AR249" s="1256"/>
      <c r="AS249" s="651"/>
      <c r="AT249" s="1256"/>
      <c r="AU249" s="1256"/>
      <c r="AV249" s="1256"/>
      <c r="AW249" s="1256"/>
      <c r="AX249" s="1256"/>
      <c r="AY249" s="1728"/>
      <c r="AZ249" s="673"/>
      <c r="BA249" s="673"/>
      <c r="BB249" s="673"/>
      <c r="BC249" s="673"/>
      <c r="BD249" s="1737">
        <v>11</v>
      </c>
    </row>
    <row s="10851" customFormat="1" customHeight="1" ht="11.549999999999999">
      <c r="A250" s="1087"/>
      <c r="B250" s="1732"/>
      <c r="C250" s="1732"/>
      <c r="D250" s="458"/>
      <c r="AE250" s="4889"/>
      <c r="AF250" s="4889"/>
      <c r="AG250" s="4889"/>
      <c r="AI250" s="1256"/>
      <c r="AJ250" s="1732"/>
      <c r="AK250" s="1732"/>
      <c r="AL250" s="1256"/>
      <c r="AM250" s="1256"/>
      <c r="AN250" s="1256"/>
      <c r="AO250" s="1256"/>
      <c r="AP250" s="1732"/>
      <c r="AQ250" s="1256"/>
      <c r="AR250" s="1256"/>
      <c r="AS250" s="651"/>
      <c r="AT250" s="1256"/>
      <c r="AU250" s="1256"/>
      <c r="AV250" s="1256"/>
      <c r="AW250" s="1256"/>
      <c r="AX250" s="1256"/>
      <c r="AY250" s="1728"/>
      <c r="AZ250" s="673"/>
      <c r="BA250" s="673"/>
      <c r="BB250" s="673"/>
      <c r="BC250" s="673"/>
      <c r="BD250" s="1737">
        <v>11</v>
      </c>
    </row>
    <row s="10851" customFormat="1" customHeight="1" ht="11.549999999999999">
      <c r="A251" s="1087"/>
      <c r="B251" s="1732"/>
      <c r="C251" s="1732"/>
      <c r="D251" s="458"/>
      <c r="AE251" s="4889"/>
      <c r="AF251" s="4889"/>
      <c r="AG251" s="4889"/>
      <c r="AI251" s="1256"/>
      <c r="AJ251" s="1732"/>
      <c r="AK251" s="1732"/>
      <c r="AL251" s="1256"/>
      <c r="AM251" s="1256"/>
      <c r="AN251" s="1256"/>
      <c r="AO251" s="1256"/>
      <c r="AP251" s="1732"/>
      <c r="AQ251" s="1256"/>
      <c r="AR251" s="1256"/>
      <c r="AS251" s="651"/>
      <c r="AT251" s="1256"/>
      <c r="AU251" s="1256"/>
      <c r="AV251" s="1256"/>
      <c r="AW251" s="1256"/>
      <c r="AX251" s="1256"/>
      <c r="AY251" s="1728"/>
      <c r="AZ251" s="673"/>
      <c r="BA251" s="673"/>
      <c r="BB251" s="673"/>
      <c r="BC251" s="673"/>
      <c r="BD251" s="1737">
        <v>11</v>
      </c>
    </row>
    <row s="10851" customFormat="1" customHeight="1" ht="11.549999999999999">
      <c r="A252" s="1087"/>
      <c r="B252" s="1732"/>
      <c r="C252" s="1732"/>
      <c r="D252" s="458"/>
      <c r="AE252" s="4889"/>
      <c r="AF252" s="4889"/>
      <c r="AG252" s="4889"/>
      <c r="AI252" s="1256"/>
      <c r="AJ252" s="1732"/>
      <c r="AK252" s="1732"/>
      <c r="AL252" s="1256"/>
      <c r="AM252" s="1256"/>
      <c r="AN252" s="1256"/>
      <c r="AO252" s="1256"/>
      <c r="AP252" s="1732"/>
      <c r="AQ252" s="1256"/>
      <c r="AR252" s="1256"/>
      <c r="AS252" s="651"/>
      <c r="AT252" s="1256"/>
      <c r="AU252" s="1256"/>
      <c r="AV252" s="1256"/>
      <c r="AW252" s="1256"/>
      <c r="AX252" s="1256"/>
      <c r="AY252" s="1728"/>
      <c r="AZ252" s="673"/>
      <c r="BA252" s="673"/>
      <c r="BB252" s="673"/>
      <c r="BC252" s="673"/>
      <c r="BD252" s="1737">
        <v>11</v>
      </c>
    </row>
    <row s="10851" customFormat="1" customHeight="1" ht="11.549999999999999">
      <c r="A253" s="1087"/>
      <c r="B253" s="1732"/>
      <c r="C253" s="1732"/>
      <c r="D253" s="458"/>
      <c r="AE253" s="4889"/>
      <c r="AF253" s="4889"/>
      <c r="AG253" s="4889"/>
      <c r="AI253" s="1256"/>
      <c r="AJ253" s="1732"/>
      <c r="AK253" s="1732"/>
      <c r="AL253" s="1256"/>
      <c r="AM253" s="1256"/>
      <c r="AN253" s="1256"/>
      <c r="AO253" s="1256"/>
      <c r="AP253" s="1732"/>
      <c r="AQ253" s="1256"/>
      <c r="AR253" s="1256"/>
      <c r="AS253" s="651"/>
      <c r="AT253" s="1256"/>
      <c r="AU253" s="1256"/>
      <c r="AV253" s="1256"/>
      <c r="AW253" s="1256"/>
      <c r="AX253" s="1256"/>
      <c r="AY253" s="1728"/>
      <c r="AZ253" s="673"/>
      <c r="BA253" s="673"/>
      <c r="BB253" s="673"/>
      <c r="BC253" s="673"/>
      <c r="BD253" s="1737">
        <v>11</v>
      </c>
    </row>
    <row s="10851" customFormat="1" customHeight="1" ht="11.549999999999999">
      <c r="A254" s="1087"/>
      <c r="B254" s="1732"/>
      <c r="C254" s="1732"/>
      <c r="D254" s="458"/>
      <c r="AE254" s="4889"/>
      <c r="AF254" s="4889"/>
      <c r="AG254" s="4889"/>
      <c r="AI254" s="1256"/>
      <c r="AJ254" s="1732"/>
      <c r="AK254" s="1732"/>
      <c r="AL254" s="1256"/>
      <c r="AM254" s="1256"/>
      <c r="AN254" s="1256"/>
      <c r="AO254" s="1256"/>
      <c r="AP254" s="1732"/>
      <c r="AQ254" s="1256"/>
      <c r="AR254" s="1256"/>
      <c r="AS254" s="651"/>
      <c r="AT254" s="1256"/>
      <c r="AU254" s="1256"/>
      <c r="AV254" s="1256"/>
      <c r="AW254" s="1256"/>
      <c r="AX254" s="1256"/>
      <c r="AY254" s="1728"/>
      <c r="AZ254" s="673"/>
      <c r="BA254" s="673"/>
      <c r="BB254" s="673"/>
      <c r="BC254" s="673"/>
      <c r="BD254" s="1737">
        <v>11</v>
      </c>
    </row>
    <row s="10851" customFormat="1" customHeight="1" ht="11.549999999999999">
      <c r="A255" s="1087"/>
      <c r="B255" s="1732"/>
      <c r="C255" s="1732"/>
      <c r="D255" s="458"/>
      <c r="AE255" s="4889"/>
      <c r="AF255" s="4889"/>
      <c r="AG255" s="4889"/>
      <c r="AI255" s="1256"/>
      <c r="AJ255" s="1732"/>
      <c r="AK255" s="1732"/>
      <c r="AL255" s="1256"/>
      <c r="AM255" s="1256"/>
      <c r="AN255" s="1256"/>
      <c r="AO255" s="1256"/>
      <c r="AP255" s="1732"/>
      <c r="AQ255" s="1256"/>
      <c r="AR255" s="1256"/>
      <c r="AS255" s="651"/>
      <c r="AT255" s="1256"/>
      <c r="AU255" s="1256"/>
      <c r="AV255" s="1256"/>
      <c r="AW255" s="1256"/>
      <c r="AX255" s="1256"/>
      <c r="AY255" s="1728"/>
      <c r="AZ255" s="673"/>
      <c r="BA255" s="673"/>
      <c r="BB255" s="673"/>
      <c r="BC255" s="673"/>
      <c r="BD255" s="1737">
        <v>11</v>
      </c>
    </row>
    <row s="10851" customFormat="1" customHeight="1" ht="11.549999999999999">
      <c r="A256" s="1087"/>
      <c r="B256" s="1732"/>
      <c r="C256" s="1732"/>
      <c r="D256" s="458"/>
      <c r="AE256" s="4889"/>
      <c r="AF256" s="4889"/>
      <c r="AG256" s="4889"/>
      <c r="AI256" s="1256"/>
      <c r="AJ256" s="1732"/>
      <c r="AK256" s="1732"/>
      <c r="AL256" s="1256"/>
      <c r="AM256" s="1256"/>
      <c r="AN256" s="1256"/>
      <c r="AO256" s="1256"/>
      <c r="AP256" s="1732"/>
      <c r="AQ256" s="1256"/>
      <c r="AR256" s="1256"/>
      <c r="AS256" s="651"/>
      <c r="AT256" s="1256"/>
      <c r="AU256" s="1256"/>
      <c r="AV256" s="1256"/>
      <c r="AW256" s="1256"/>
      <c r="AX256" s="1256"/>
      <c r="AY256" s="1728"/>
      <c r="AZ256" s="673"/>
      <c r="BA256" s="673"/>
      <c r="BB256" s="673"/>
      <c r="BC256" s="673"/>
      <c r="BD256" s="1737">
        <v>11</v>
      </c>
    </row>
    <row s="10851" customFormat="1" customHeight="1" ht="11.549999999999999">
      <c r="A257" s="1087"/>
      <c r="B257" s="1732"/>
      <c r="C257" s="1732"/>
      <c r="D257" s="458"/>
      <c r="AE257" s="4889"/>
      <c r="AF257" s="4889"/>
      <c r="AG257" s="4889"/>
      <c r="AI257" s="1256"/>
      <c r="AJ257" s="1732"/>
      <c r="AK257" s="1732"/>
      <c r="AL257" s="1256"/>
      <c r="AM257" s="1256"/>
      <c r="AN257" s="1256"/>
      <c r="AO257" s="1256"/>
      <c r="AP257" s="1732"/>
      <c r="AQ257" s="1256"/>
      <c r="AR257" s="1256"/>
      <c r="AS257" s="651"/>
      <c r="AT257" s="1256"/>
      <c r="AU257" s="1256"/>
      <c r="AV257" s="1256"/>
      <c r="AW257" s="1256"/>
      <c r="AX257" s="1256"/>
      <c r="AY257" s="1728"/>
      <c r="AZ257" s="673"/>
      <c r="BA257" s="673"/>
      <c r="BB257" s="673"/>
      <c r="BC257" s="673"/>
      <c r="BD257" s="1737">
        <v>11</v>
      </c>
    </row>
    <row s="10851" customFormat="1" customHeight="1" ht="11.549999999999999">
      <c r="A258" s="1087"/>
      <c r="B258" s="1732"/>
      <c r="C258" s="1732"/>
      <c r="D258" s="458"/>
      <c r="AE258" s="4889"/>
      <c r="AF258" s="4889"/>
      <c r="AG258" s="4889"/>
      <c r="AI258" s="1256"/>
      <c r="AJ258" s="1732"/>
      <c r="AK258" s="1732"/>
      <c r="AL258" s="1256"/>
      <c r="AM258" s="1256"/>
      <c r="AN258" s="1256"/>
      <c r="AO258" s="1256"/>
      <c r="AP258" s="1732"/>
      <c r="AQ258" s="1256"/>
      <c r="AR258" s="1256"/>
      <c r="AS258" s="651"/>
      <c r="AT258" s="1256"/>
      <c r="AU258" s="1256"/>
      <c r="AV258" s="1256"/>
      <c r="AW258" s="1256"/>
      <c r="AX258" s="1256"/>
      <c r="AY258" s="1728"/>
      <c r="AZ258" s="673"/>
      <c r="BA258" s="673"/>
      <c r="BB258" s="673"/>
      <c r="BC258" s="673"/>
      <c r="BD258" s="1737">
        <v>11</v>
      </c>
    </row>
    <row s="10851" customFormat="1" customHeight="1" ht="11.549999999999999">
      <c r="A259" s="1087"/>
      <c r="B259" s="1732"/>
      <c r="C259" s="1732"/>
      <c r="D259" s="458"/>
      <c r="AE259" s="4889"/>
      <c r="AF259" s="4889"/>
      <c r="AG259" s="4889"/>
      <c r="AI259" s="1256"/>
      <c r="AJ259" s="1732"/>
      <c r="AK259" s="1732"/>
      <c r="AL259" s="1256"/>
      <c r="AM259" s="1256"/>
      <c r="AN259" s="1256"/>
      <c r="AO259" s="1256"/>
      <c r="AP259" s="1732"/>
      <c r="AQ259" s="1256"/>
      <c r="AR259" s="1256"/>
      <c r="AS259" s="651"/>
      <c r="AT259" s="1256"/>
      <c r="AU259" s="1256"/>
      <c r="AV259" s="1256"/>
      <c r="AW259" s="1256"/>
      <c r="AX259" s="1256"/>
      <c r="AY259" s="1728"/>
      <c r="AZ259" s="673"/>
      <c r="BA259" s="673"/>
      <c r="BB259" s="673"/>
      <c r="BC259" s="673"/>
      <c r="BD259" s="1737">
        <v>11</v>
      </c>
    </row>
    <row s="10851" customFormat="1" customHeight="1" ht="11.549999999999999">
      <c r="A260" s="1087"/>
      <c r="B260" s="1732"/>
      <c r="C260" s="1732"/>
      <c r="D260" s="458"/>
      <c r="AE260" s="4889"/>
      <c r="AF260" s="4889"/>
      <c r="AG260" s="4889"/>
      <c r="AI260" s="1256"/>
      <c r="AJ260" s="1732"/>
      <c r="AK260" s="1732"/>
      <c r="AL260" s="1256"/>
      <c r="AM260" s="1256"/>
      <c r="AN260" s="1256"/>
      <c r="AO260" s="1256"/>
      <c r="AP260" s="1732"/>
      <c r="AQ260" s="1256"/>
      <c r="AR260" s="1256"/>
      <c r="AS260" s="651"/>
      <c r="AT260" s="1256"/>
      <c r="AU260" s="1256"/>
      <c r="AV260" s="1256"/>
      <c r="AW260" s="1256"/>
      <c r="AX260" s="1256"/>
      <c r="AY260" s="1728"/>
      <c r="AZ260" s="673"/>
      <c r="BA260" s="673"/>
      <c r="BB260" s="673"/>
      <c r="BC260" s="673"/>
      <c r="BD260" s="1737">
        <v>11</v>
      </c>
    </row>
    <row s="10851" customFormat="1" customHeight="1" ht="11.549999999999999">
      <c r="A261" s="1087"/>
      <c r="B261" s="1732"/>
      <c r="C261" s="1732"/>
      <c r="D261" s="458"/>
      <c r="AE261" s="4889"/>
      <c r="AF261" s="4889"/>
      <c r="AG261" s="4889"/>
      <c r="AI261" s="1256"/>
      <c r="AJ261" s="1732"/>
      <c r="AK261" s="1732"/>
      <c r="AL261" s="1256"/>
      <c r="AM261" s="1256"/>
      <c r="AN261" s="1256"/>
      <c r="AO261" s="1256"/>
      <c r="AP261" s="1732"/>
      <c r="AQ261" s="1256"/>
      <c r="AR261" s="1256"/>
      <c r="AS261" s="651"/>
      <c r="AT261" s="1256"/>
      <c r="AU261" s="1256"/>
      <c r="AV261" s="1256"/>
      <c r="AW261" s="1256"/>
      <c r="AX261" s="1256"/>
      <c r="AY261" s="1728"/>
      <c r="AZ261" s="673"/>
      <c r="BA261" s="673"/>
      <c r="BB261" s="673"/>
      <c r="BC261" s="673"/>
      <c r="BD261" s="1737">
        <v>11</v>
      </c>
    </row>
    <row s="10851" customFormat="1" customHeight="1" ht="11.549999999999999">
      <c r="A262" s="1087"/>
      <c r="B262" s="1732"/>
      <c r="C262" s="1732"/>
      <c r="D262" s="458"/>
      <c r="AE262" s="4889"/>
      <c r="AF262" s="4889"/>
      <c r="AG262" s="4889"/>
      <c r="AI262" s="1256"/>
      <c r="AJ262" s="1732"/>
      <c r="AK262" s="1732"/>
      <c r="AL262" s="1256"/>
      <c r="AM262" s="1256"/>
      <c r="AN262" s="1256"/>
      <c r="AO262" s="1256"/>
      <c r="AP262" s="1732"/>
      <c r="AQ262" s="1256"/>
      <c r="AR262" s="1256"/>
      <c r="AS262" s="651"/>
      <c r="AT262" s="1256"/>
      <c r="AU262" s="1256"/>
      <c r="AV262" s="1256"/>
      <c r="AW262" s="1256"/>
      <c r="AX262" s="1256"/>
      <c r="AY262" s="1728"/>
      <c r="AZ262" s="673"/>
      <c r="BA262" s="673"/>
      <c r="BB262" s="673"/>
      <c r="BC262" s="673"/>
      <c r="BD262" s="1737">
        <v>11</v>
      </c>
    </row>
    <row s="10851" customFormat="1" customHeight="1" ht="11.549999999999999">
      <c r="A263" s="1087"/>
      <c r="B263" s="1732"/>
      <c r="C263" s="1732"/>
      <c r="D263" s="458"/>
      <c r="AE263" s="4889"/>
      <c r="AF263" s="4889"/>
      <c r="AG263" s="4889"/>
      <c r="AI263" s="1256"/>
      <c r="AJ263" s="1732"/>
      <c r="AK263" s="1732"/>
      <c r="AL263" s="1256"/>
      <c r="AM263" s="1256"/>
      <c r="AN263" s="1256"/>
      <c r="AO263" s="1256"/>
      <c r="AP263" s="1732"/>
      <c r="AQ263" s="1256"/>
      <c r="AR263" s="1256"/>
      <c r="AS263" s="651"/>
      <c r="AT263" s="1256"/>
      <c r="AU263" s="1256"/>
      <c r="AV263" s="1256"/>
      <c r="AW263" s="1256"/>
      <c r="AX263" s="1256"/>
      <c r="AY263" s="1728"/>
      <c r="AZ263" s="673"/>
      <c r="BA263" s="673"/>
      <c r="BB263" s="673"/>
      <c r="BC263" s="673"/>
      <c r="BD263" s="1737">
        <v>11</v>
      </c>
    </row>
    <row s="10851" customFormat="1" customHeight="1" ht="11.549999999999999">
      <c r="A264" s="1087"/>
      <c r="B264" s="1732"/>
      <c r="C264" s="1732"/>
      <c r="D264" s="458"/>
      <c r="AE264" s="4889"/>
      <c r="AF264" s="4889"/>
      <c r="AG264" s="4889"/>
      <c r="AI264" s="1256"/>
      <c r="AJ264" s="1732"/>
      <c r="AK264" s="1732"/>
      <c r="AL264" s="1256"/>
      <c r="AM264" s="1256"/>
      <c r="AN264" s="1256"/>
      <c r="AO264" s="1256"/>
      <c r="AP264" s="1732"/>
      <c r="AQ264" s="1256"/>
      <c r="AR264" s="1256"/>
      <c r="AS264" s="651"/>
      <c r="AT264" s="1256"/>
      <c r="AU264" s="1256"/>
      <c r="AV264" s="1256"/>
      <c r="AW264" s="1256"/>
      <c r="AX264" s="1256"/>
      <c r="AY264" s="1728"/>
      <c r="AZ264" s="673"/>
      <c r="BA264" s="673"/>
      <c r="BB264" s="673"/>
      <c r="BC264" s="673"/>
      <c r="BD264" s="1737">
        <v>11</v>
      </c>
    </row>
    <row s="10851" customFormat="1" customHeight="1" ht="11.549999999999999">
      <c r="A265" s="1087"/>
      <c r="B265" s="1732"/>
      <c r="C265" s="1732"/>
      <c r="D265" s="458"/>
      <c r="AE265" s="4889"/>
      <c r="AF265" s="4889"/>
      <c r="AG265" s="4889"/>
      <c r="AI265" s="1256"/>
      <c r="AJ265" s="1732"/>
      <c r="AK265" s="1732"/>
      <c r="AL265" s="1256"/>
      <c r="AM265" s="1256"/>
      <c r="AN265" s="1256"/>
      <c r="AO265" s="1256"/>
      <c r="AP265" s="1732"/>
      <c r="AQ265" s="1256"/>
      <c r="AR265" s="1256"/>
      <c r="AS265" s="651"/>
      <c r="AT265" s="1256"/>
      <c r="AU265" s="1256"/>
      <c r="AV265" s="1256"/>
      <c r="AW265" s="1256"/>
      <c r="AX265" s="1256"/>
      <c r="AY265" s="1728"/>
      <c r="AZ265" s="673"/>
      <c r="BA265" s="673"/>
      <c r="BB265" s="673"/>
      <c r="BC265" s="673"/>
      <c r="BD265" s="1737">
        <v>11</v>
      </c>
    </row>
    <row s="10851" customFormat="1" customHeight="1" ht="11.549999999999999">
      <c r="A266" s="1087"/>
      <c r="B266" s="1732"/>
      <c r="C266" s="1732"/>
      <c r="D266" s="458"/>
      <c r="AE266" s="4889"/>
      <c r="AF266" s="4889"/>
      <c r="AG266" s="4889"/>
      <c r="AI266" s="1256"/>
      <c r="AJ266" s="1732"/>
      <c r="AK266" s="1732"/>
      <c r="AL266" s="1256"/>
      <c r="AM266" s="1256"/>
      <c r="AN266" s="1256"/>
      <c r="AO266" s="1256"/>
      <c r="AP266" s="1732"/>
      <c r="AQ266" s="1256"/>
      <c r="AR266" s="1256"/>
      <c r="AS266" s="651"/>
      <c r="AT266" s="1256"/>
      <c r="AU266" s="1256"/>
      <c r="AV266" s="1256"/>
      <c r="AW266" s="1256"/>
      <c r="AX266" s="1256"/>
      <c r="AY266" s="1728"/>
      <c r="AZ266" s="673"/>
      <c r="BA266" s="673"/>
      <c r="BB266" s="673"/>
      <c r="BC266" s="673"/>
      <c r="BD266" s="1737">
        <v>11</v>
      </c>
    </row>
    <row s="10851" customFormat="1" customHeight="1" ht="11.549999999999999">
      <c r="A267" s="1087"/>
      <c r="B267" s="1732"/>
      <c r="C267" s="1732"/>
      <c r="D267" s="458"/>
      <c r="AE267" s="4889"/>
      <c r="AF267" s="4889"/>
      <c r="AG267" s="4889"/>
      <c r="AI267" s="1256"/>
      <c r="AJ267" s="1732"/>
      <c r="AK267" s="1732"/>
      <c r="AL267" s="1256"/>
      <c r="AM267" s="1256"/>
      <c r="AN267" s="1256"/>
      <c r="AO267" s="1256"/>
      <c r="AP267" s="1732"/>
      <c r="AQ267" s="1256"/>
      <c r="AR267" s="1256"/>
      <c r="AS267" s="651"/>
      <c r="AT267" s="1256"/>
      <c r="AU267" s="1256"/>
      <c r="AV267" s="1256"/>
      <c r="AW267" s="1256"/>
      <c r="AX267" s="1256"/>
      <c r="AY267" s="1728"/>
      <c r="AZ267" s="673"/>
      <c r="BA267" s="673"/>
      <c r="BB267" s="673"/>
      <c r="BC267" s="673"/>
      <c r="BD267" s="1737">
        <v>11</v>
      </c>
    </row>
    <row s="10851" customFormat="1" customHeight="1" ht="11.549999999999999">
      <c r="A268" s="1087"/>
      <c r="B268" s="1732"/>
      <c r="C268" s="1732"/>
      <c r="D268" s="458"/>
      <c r="AE268" s="4889"/>
      <c r="AF268" s="4889"/>
      <c r="AG268" s="4889"/>
      <c r="AI268" s="1256"/>
      <c r="AJ268" s="1732"/>
      <c r="AK268" s="1732"/>
      <c r="AL268" s="1256"/>
      <c r="AM268" s="1256"/>
      <c r="AN268" s="1256"/>
      <c r="AO268" s="1256"/>
      <c r="AP268" s="1732"/>
      <c r="AQ268" s="1256"/>
      <c r="AR268" s="1256"/>
      <c r="AS268" s="651"/>
      <c r="AT268" s="1256"/>
      <c r="AU268" s="1256"/>
      <c r="AV268" s="1256"/>
      <c r="AW268" s="1256"/>
      <c r="AX268" s="1256"/>
      <c r="AY268" s="1728"/>
      <c r="AZ268" s="673"/>
      <c r="BA268" s="673"/>
      <c r="BB268" s="673"/>
      <c r="BC268" s="673"/>
      <c r="BD268" s="1737">
        <v>11</v>
      </c>
    </row>
    <row s="10851" customFormat="1" customHeight="1" ht="11.549999999999999">
      <c r="A269" s="1087"/>
      <c r="B269" s="1732"/>
      <c r="C269" s="1732"/>
      <c r="D269" s="458"/>
      <c r="AE269" s="4889"/>
      <c r="AF269" s="4889"/>
      <c r="AG269" s="4889"/>
      <c r="AI269" s="1256"/>
      <c r="AJ269" s="1732"/>
      <c r="AK269" s="1732"/>
      <c r="AL269" s="1256"/>
      <c r="AM269" s="1256"/>
      <c r="AN269" s="1256"/>
      <c r="AO269" s="1256"/>
      <c r="AP269" s="1732"/>
      <c r="AQ269" s="1256"/>
      <c r="AR269" s="1256"/>
      <c r="AS269" s="651"/>
      <c r="AT269" s="1256"/>
      <c r="AU269" s="1256"/>
      <c r="AV269" s="1256"/>
      <c r="AW269" s="1256"/>
      <c r="AX269" s="1256"/>
      <c r="AY269" s="1728"/>
      <c r="AZ269" s="673"/>
      <c r="BA269" s="673"/>
      <c r="BB269" s="673"/>
      <c r="BC269" s="673"/>
      <c r="BD269" s="1737">
        <v>11</v>
      </c>
    </row>
    <row s="10851" customFormat="1" customHeight="1" ht="11.549999999999999">
      <c r="A270" s="1087"/>
      <c r="B270" s="1732"/>
      <c r="C270" s="1732"/>
      <c r="D270" s="458"/>
      <c r="AE270" s="4889"/>
      <c r="AF270" s="4889"/>
      <c r="AG270" s="4889"/>
      <c r="AI270" s="1256"/>
      <c r="AJ270" s="1732"/>
      <c r="AK270" s="1732"/>
      <c r="AL270" s="1256"/>
      <c r="AM270" s="1256"/>
      <c r="AN270" s="1256"/>
      <c r="AO270" s="1256"/>
      <c r="AP270" s="1732"/>
      <c r="AQ270" s="1256"/>
      <c r="AR270" s="1256"/>
      <c r="AS270" s="651"/>
      <c r="AT270" s="1256"/>
      <c r="AU270" s="1256"/>
      <c r="AV270" s="1256"/>
      <c r="AW270" s="1256"/>
      <c r="AX270" s="1256"/>
      <c r="AY270" s="1728"/>
      <c r="AZ270" s="673"/>
      <c r="BA270" s="673"/>
      <c r="BB270" s="673"/>
      <c r="BC270" s="673"/>
      <c r="BD270" s="1737">
        <v>11</v>
      </c>
    </row>
    <row s="10851" customFormat="1" customHeight="1" ht="11.549999999999999">
      <c r="A271" s="1087"/>
      <c r="B271" s="1732"/>
      <c r="C271" s="1732"/>
      <c r="D271" s="458"/>
      <c r="AE271" s="4889"/>
      <c r="AF271" s="4889"/>
      <c r="AG271" s="4889"/>
      <c r="AI271" s="1256"/>
      <c r="AJ271" s="1732"/>
      <c r="AK271" s="1732"/>
      <c r="AL271" s="1256"/>
      <c r="AM271" s="1256"/>
      <c r="AN271" s="1256"/>
      <c r="AO271" s="1256"/>
      <c r="AP271" s="1732"/>
      <c r="AQ271" s="1256"/>
      <c r="AR271" s="1256"/>
      <c r="AS271" s="651"/>
      <c r="AT271" s="1256"/>
      <c r="AU271" s="1256"/>
      <c r="AV271" s="1256"/>
      <c r="AW271" s="1256"/>
      <c r="AX271" s="1256"/>
      <c r="AY271" s="1728"/>
      <c r="AZ271" s="673"/>
      <c r="BA271" s="673"/>
      <c r="BB271" s="673"/>
      <c r="BC271" s="673"/>
      <c r="BD271" s="1737">
        <v>11</v>
      </c>
    </row>
    <row s="10851" customFormat="1" customHeight="1" ht="11.549999999999999">
      <c r="A272" s="1087"/>
      <c r="B272" s="1732"/>
      <c r="C272" s="1732"/>
      <c r="D272" s="458"/>
      <c r="AE272" s="4889"/>
      <c r="AF272" s="4889"/>
      <c r="AG272" s="4889"/>
      <c r="AI272" s="1256"/>
      <c r="AJ272" s="1732"/>
      <c r="AK272" s="1732"/>
      <c r="AL272" s="1256"/>
      <c r="AM272" s="1256"/>
      <c r="AN272" s="1256"/>
      <c r="AO272" s="1256"/>
      <c r="AP272" s="1732"/>
      <c r="AQ272" s="1256"/>
      <c r="AR272" s="1256"/>
      <c r="AS272" s="651"/>
      <c r="AT272" s="1256"/>
      <c r="AU272" s="1256"/>
      <c r="AV272" s="1256"/>
      <c r="AW272" s="1256"/>
      <c r="AX272" s="1256"/>
      <c r="AY272" s="1728"/>
      <c r="AZ272" s="673"/>
      <c r="BA272" s="673"/>
      <c r="BB272" s="673"/>
      <c r="BC272" s="673"/>
      <c r="BD272" s="1737">
        <v>11</v>
      </c>
    </row>
    <row s="10851" customFormat="1" customHeight="1" ht="11.549999999999999">
      <c r="A273" s="1087"/>
      <c r="B273" s="1732"/>
      <c r="C273" s="1732"/>
      <c r="D273" s="458"/>
      <c r="AE273" s="4889"/>
      <c r="AF273" s="4889"/>
      <c r="AG273" s="4889"/>
      <c r="AI273" s="1256"/>
      <c r="AJ273" s="1732"/>
      <c r="AK273" s="1732"/>
      <c r="AL273" s="1256"/>
      <c r="AM273" s="1256"/>
      <c r="AN273" s="1256"/>
      <c r="AO273" s="1256"/>
      <c r="AP273" s="1732"/>
      <c r="AQ273" s="1256"/>
      <c r="AR273" s="1256"/>
      <c r="AS273" s="651"/>
      <c r="AT273" s="1256"/>
      <c r="AU273" s="1256"/>
      <c r="AV273" s="1256"/>
      <c r="AW273" s="1256"/>
      <c r="AX273" s="1256"/>
      <c r="AY273" s="1728"/>
      <c r="AZ273" s="673"/>
      <c r="BA273" s="673"/>
      <c r="BB273" s="673"/>
      <c r="BC273" s="673"/>
      <c r="BD273" s="1737">
        <v>11</v>
      </c>
    </row>
    <row s="10851" customFormat="1" customHeight="1" ht="11.549999999999999">
      <c r="A274" s="1087"/>
      <c r="B274" s="1732"/>
      <c r="C274" s="1732"/>
      <c r="D274" s="458"/>
      <c r="AE274" s="4889"/>
      <c r="AF274" s="4889"/>
      <c r="AG274" s="4889"/>
      <c r="AI274" s="1256"/>
      <c r="AJ274" s="1732"/>
      <c r="AK274" s="1732"/>
      <c r="AL274" s="1256"/>
      <c r="AM274" s="1256"/>
      <c r="AN274" s="1256"/>
      <c r="AO274" s="1256"/>
      <c r="AP274" s="1732"/>
      <c r="AQ274" s="1256"/>
      <c r="AR274" s="1256"/>
      <c r="AS274" s="651"/>
      <c r="AT274" s="1256"/>
      <c r="AU274" s="1256"/>
      <c r="AV274" s="1256"/>
      <c r="AW274" s="1256"/>
      <c r="AX274" s="1256"/>
      <c r="AY274" s="1728"/>
      <c r="AZ274" s="673"/>
      <c r="BA274" s="673"/>
      <c r="BB274" s="673"/>
      <c r="BC274" s="673"/>
      <c r="BD274" s="1737">
        <v>11</v>
      </c>
    </row>
    <row s="10851" customFormat="1" customHeight="1" ht="11.549999999999999">
      <c r="A275" s="1087"/>
      <c r="B275" s="1732"/>
      <c r="C275" s="1732"/>
      <c r="D275" s="458"/>
      <c r="AE275" s="4889"/>
      <c r="AF275" s="4889"/>
      <c r="AG275" s="4889"/>
      <c r="AI275" s="1256"/>
      <c r="AJ275" s="1732"/>
      <c r="AK275" s="1732"/>
      <c r="AL275" s="1256"/>
      <c r="AM275" s="1256"/>
      <c r="AN275" s="1256"/>
      <c r="AO275" s="1256"/>
      <c r="AP275" s="1732"/>
      <c r="AQ275" s="1256"/>
      <c r="AR275" s="1256"/>
      <c r="AS275" s="651"/>
      <c r="AT275" s="1256"/>
      <c r="AU275" s="1256"/>
      <c r="AV275" s="1256"/>
      <c r="AW275" s="1256"/>
      <c r="AX275" s="1256"/>
      <c r="AY275" s="1728"/>
      <c r="AZ275" s="673"/>
      <c r="BA275" s="673"/>
      <c r="BB275" s="673"/>
      <c r="BC275" s="673"/>
      <c r="BD275" s="1737">
        <v>11</v>
      </c>
    </row>
    <row s="10851" customFormat="1" customHeight="1" ht="11.549999999999999">
      <c r="A276" s="1087"/>
      <c r="B276" s="1732"/>
      <c r="C276" s="1732"/>
      <c r="D276" s="458"/>
      <c r="AE276" s="4889"/>
      <c r="AF276" s="4889"/>
      <c r="AG276" s="4889"/>
      <c r="AI276" s="1256"/>
      <c r="AJ276" s="1732"/>
      <c r="AK276" s="1732"/>
      <c r="AL276" s="1256"/>
      <c r="AM276" s="1256"/>
      <c r="AN276" s="1256"/>
      <c r="AO276" s="1256"/>
      <c r="AP276" s="1732"/>
      <c r="AQ276" s="1256"/>
      <c r="AR276" s="1256"/>
      <c r="AS276" s="651"/>
      <c r="AT276" s="1256"/>
      <c r="AU276" s="1256"/>
      <c r="AV276" s="1256"/>
      <c r="AW276" s="1256"/>
      <c r="AX276" s="1256"/>
      <c r="AY276" s="1728"/>
      <c r="AZ276" s="673"/>
      <c r="BA276" s="673"/>
      <c r="BB276" s="673"/>
      <c r="BC276" s="673"/>
      <c r="BD276" s="1737">
        <v>11</v>
      </c>
    </row>
    <row s="10851" customFormat="1" customHeight="1" ht="11.549999999999999">
      <c r="A277" s="1087"/>
      <c r="B277" s="1732"/>
      <c r="C277" s="1732"/>
      <c r="D277" s="458"/>
      <c r="AE277" s="4889"/>
      <c r="AF277" s="4889"/>
      <c r="AG277" s="4889"/>
      <c r="AI277" s="1256"/>
      <c r="AJ277" s="1732"/>
      <c r="AK277" s="1732"/>
      <c r="AL277" s="1256"/>
      <c r="AM277" s="1256"/>
      <c r="AN277" s="1256"/>
      <c r="AO277" s="1256"/>
      <c r="AP277" s="1732"/>
      <c r="AQ277" s="1256"/>
      <c r="AR277" s="1256"/>
      <c r="AS277" s="651"/>
      <c r="AT277" s="1256"/>
      <c r="AU277" s="1256"/>
      <c r="AV277" s="1256"/>
      <c r="AW277" s="1256"/>
      <c r="AX277" s="1256"/>
      <c r="AY277" s="1728"/>
      <c r="AZ277" s="673"/>
      <c r="BA277" s="673"/>
      <c r="BB277" s="673"/>
      <c r="BC277" s="673"/>
      <c r="BD277" s="1737">
        <v>11</v>
      </c>
    </row>
    <row s="10851" customFormat="1" customHeight="1" ht="11.549999999999999">
      <c r="A278" s="1087"/>
      <c r="B278" s="1732"/>
      <c r="C278" s="1732"/>
      <c r="D278" s="458"/>
      <c r="AE278" s="4889"/>
      <c r="AF278" s="4889"/>
      <c r="AG278" s="4889"/>
      <c r="AI278" s="1256"/>
      <c r="AJ278" s="1732"/>
      <c r="AK278" s="1732"/>
      <c r="AL278" s="1256"/>
      <c r="AM278" s="1256"/>
      <c r="AN278" s="1256"/>
      <c r="AO278" s="1256"/>
      <c r="AP278" s="1732"/>
      <c r="AQ278" s="1256"/>
      <c r="AR278" s="1256"/>
      <c r="AS278" s="651"/>
      <c r="AT278" s="1256"/>
      <c r="AU278" s="1256"/>
      <c r="AV278" s="1256"/>
      <c r="AW278" s="1256"/>
      <c r="AX278" s="1256"/>
      <c r="AY278" s="1728"/>
      <c r="AZ278" s="673"/>
      <c r="BA278" s="673"/>
      <c r="BB278" s="673"/>
      <c r="BC278" s="673"/>
      <c r="BD278" s="1737">
        <v>11</v>
      </c>
    </row>
    <row s="10851" customFormat="1" customHeight="1" ht="11.549999999999999">
      <c r="A279" s="1087"/>
      <c r="B279" s="1732"/>
      <c r="C279" s="1732"/>
      <c r="D279" s="458"/>
      <c r="AE279" s="4889"/>
      <c r="AF279" s="4889"/>
      <c r="AG279" s="4889"/>
      <c r="AI279" s="1256"/>
      <c r="AJ279" s="1732"/>
      <c r="AK279" s="1732"/>
      <c r="AL279" s="1256"/>
      <c r="AM279" s="1256"/>
      <c r="AN279" s="1256"/>
      <c r="AO279" s="1256"/>
      <c r="AP279" s="1732"/>
      <c r="AQ279" s="1256"/>
      <c r="AR279" s="1256"/>
      <c r="AS279" s="651"/>
      <c r="AT279" s="1256"/>
      <c r="AU279" s="1256"/>
      <c r="AV279" s="1256"/>
      <c r="AW279" s="1256"/>
      <c r="AX279" s="1256"/>
      <c r="AY279" s="1728"/>
      <c r="AZ279" s="673"/>
      <c r="BA279" s="673"/>
      <c r="BB279" s="673"/>
      <c r="BC279" s="673"/>
      <c r="BD279" s="1737">
        <v>11</v>
      </c>
    </row>
    <row s="10851" customFormat="1" customHeight="1" ht="11.549999999999999">
      <c r="A280" s="1087"/>
      <c r="B280" s="1732"/>
      <c r="C280" s="1732"/>
      <c r="D280" s="458"/>
      <c r="AE280" s="4889"/>
      <c r="AF280" s="4889"/>
      <c r="AG280" s="4889"/>
      <c r="AI280" s="1256"/>
      <c r="AJ280" s="1732"/>
      <c r="AK280" s="1732"/>
      <c r="AL280" s="1256"/>
      <c r="AM280" s="1256"/>
      <c r="AN280" s="1256"/>
      <c r="AO280" s="1256"/>
      <c r="AP280" s="1732"/>
      <c r="AQ280" s="1256"/>
      <c r="AR280" s="1256"/>
      <c r="AS280" s="651"/>
      <c r="AT280" s="1256"/>
      <c r="AU280" s="1256"/>
      <c r="AV280" s="1256"/>
      <c r="AW280" s="1256"/>
      <c r="AX280" s="1256"/>
      <c r="AY280" s="1728"/>
      <c r="AZ280" s="673"/>
      <c r="BA280" s="673"/>
      <c r="BB280" s="673"/>
      <c r="BC280" s="673"/>
      <c r="BD280" s="1737">
        <v>11</v>
      </c>
    </row>
    <row s="10851" customFormat="1" customHeight="1" ht="11.549999999999999">
      <c r="A281" s="1087"/>
      <c r="B281" s="1732"/>
      <c r="C281" s="1732"/>
      <c r="D281" s="458"/>
      <c r="AE281" s="4889"/>
      <c r="AF281" s="4889"/>
      <c r="AG281" s="4889"/>
      <c r="AI281" s="1256"/>
      <c r="AJ281" s="1732"/>
      <c r="AK281" s="1732"/>
      <c r="AL281" s="1256"/>
      <c r="AM281" s="1256"/>
      <c r="AN281" s="1256"/>
      <c r="AO281" s="1256"/>
      <c r="AP281" s="1732"/>
      <c r="AQ281" s="1256"/>
      <c r="AR281" s="1256"/>
      <c r="AS281" s="651"/>
      <c r="AT281" s="1256"/>
      <c r="AU281" s="1256"/>
      <c r="AV281" s="1256"/>
      <c r="AW281" s="1256"/>
      <c r="AX281" s="1256"/>
      <c r="AY281" s="1728"/>
      <c r="AZ281" s="673"/>
      <c r="BA281" s="673"/>
      <c r="BB281" s="673"/>
      <c r="BC281" s="673"/>
      <c r="BD281" s="1737">
        <v>11</v>
      </c>
    </row>
    <row s="10851" customFormat="1" customHeight="1" ht="11.549999999999999">
      <c r="A282" s="1087"/>
      <c r="B282" s="1732"/>
      <c r="C282" s="1732"/>
      <c r="D282" s="458"/>
      <c r="AE282" s="4889"/>
      <c r="AF282" s="4889"/>
      <c r="AG282" s="4889"/>
      <c r="AI282" s="1256"/>
      <c r="AJ282" s="1732"/>
      <c r="AK282" s="1732"/>
      <c r="AL282" s="1256"/>
      <c r="AM282" s="1256"/>
      <c r="AN282" s="1256"/>
      <c r="AO282" s="1256"/>
      <c r="AP282" s="1732"/>
      <c r="AQ282" s="1256"/>
      <c r="AR282" s="1256"/>
      <c r="AS282" s="651"/>
      <c r="AT282" s="1256"/>
      <c r="AU282" s="1256"/>
      <c r="AV282" s="1256"/>
      <c r="AW282" s="1256"/>
      <c r="AX282" s="1256"/>
      <c r="AY282" s="1728"/>
      <c r="AZ282" s="673"/>
      <c r="BA282" s="673"/>
      <c r="BB282" s="673"/>
      <c r="BC282" s="673"/>
      <c r="BD282" s="1737">
        <v>11</v>
      </c>
    </row>
    <row s="10851" customFormat="1" customHeight="1" ht="11.549999999999999">
      <c r="A283" s="1087"/>
      <c r="B283" s="1732"/>
      <c r="C283" s="1732"/>
      <c r="D283" s="458"/>
      <c r="AE283" s="4889"/>
      <c r="AF283" s="4889"/>
      <c r="AG283" s="4889"/>
      <c r="AI283" s="1256"/>
      <c r="AJ283" s="1732"/>
      <c r="AK283" s="1732"/>
      <c r="AL283" s="1256"/>
      <c r="AM283" s="1256"/>
      <c r="AN283" s="1256"/>
      <c r="AO283" s="1256"/>
      <c r="AP283" s="1732"/>
      <c r="AQ283" s="1256"/>
      <c r="AR283" s="1256"/>
      <c r="AS283" s="651"/>
      <c r="AT283" s="1256"/>
      <c r="AU283" s="1256"/>
      <c r="AV283" s="1256"/>
      <c r="AW283" s="1256"/>
      <c r="AX283" s="1256"/>
      <c r="AY283" s="1728"/>
      <c r="AZ283" s="673"/>
      <c r="BA283" s="673"/>
      <c r="BB283" s="673"/>
      <c r="BC283" s="673"/>
      <c r="BD283" s="1737">
        <v>11</v>
      </c>
    </row>
    <row s="10851" customFormat="1" customHeight="1" ht="11.549999999999999">
      <c r="A284" s="1087"/>
      <c r="B284" s="1732"/>
      <c r="C284" s="1732"/>
      <c r="D284" s="458"/>
      <c r="AE284" s="4889"/>
      <c r="AF284" s="4889"/>
      <c r="AG284" s="4889"/>
      <c r="AI284" s="1256"/>
      <c r="AJ284" s="1732"/>
      <c r="AK284" s="1732"/>
      <c r="AL284" s="1256"/>
      <c r="AM284" s="1256"/>
      <c r="AN284" s="1256"/>
      <c r="AO284" s="1256"/>
      <c r="AP284" s="1732"/>
      <c r="AQ284" s="1256"/>
      <c r="AR284" s="1256"/>
      <c r="AS284" s="651"/>
      <c r="AT284" s="1256"/>
      <c r="AU284" s="1256"/>
      <c r="AV284" s="1256"/>
      <c r="AW284" s="1256"/>
      <c r="AX284" s="1256"/>
      <c r="AY284" s="1728"/>
      <c r="AZ284" s="673"/>
      <c r="BA284" s="673"/>
      <c r="BB284" s="673"/>
      <c r="BC284" s="673"/>
      <c r="BD284" s="1737">
        <v>11</v>
      </c>
    </row>
    <row s="10851" customFormat="1" customHeight="1" ht="11.549999999999999">
      <c r="A285" s="1087"/>
      <c r="B285" s="1732"/>
      <c r="C285" s="1732"/>
      <c r="D285" s="458"/>
      <c r="AE285" s="4889"/>
      <c r="AF285" s="4889"/>
      <c r="AG285" s="4889"/>
      <c r="AI285" s="1256"/>
      <c r="AJ285" s="1732"/>
      <c r="AK285" s="1732"/>
      <c r="AL285" s="1256"/>
      <c r="AM285" s="1256"/>
      <c r="AN285" s="1256"/>
      <c r="AO285" s="1256"/>
      <c r="AP285" s="1732"/>
      <c r="AQ285" s="1256"/>
      <c r="AR285" s="1256"/>
      <c r="AS285" s="651"/>
      <c r="AT285" s="1256"/>
      <c r="AU285" s="1256"/>
      <c r="AV285" s="1256"/>
      <c r="AW285" s="1256"/>
      <c r="AX285" s="1256"/>
      <c r="AY285" s="1728"/>
      <c r="AZ285" s="673"/>
      <c r="BA285" s="673"/>
      <c r="BB285" s="673"/>
      <c r="BC285" s="673"/>
      <c r="BD285" s="1737">
        <v>11</v>
      </c>
    </row>
    <row s="10851" customFormat="1" customHeight="1" ht="11.549999999999999">
      <c r="A286" s="1087"/>
      <c r="B286" s="1732"/>
      <c r="C286" s="1732"/>
      <c r="D286" s="458"/>
      <c r="AE286" s="4889"/>
      <c r="AF286" s="4889"/>
      <c r="AG286" s="4889"/>
      <c r="AI286" s="1256"/>
      <c r="AJ286" s="1732"/>
      <c r="AK286" s="1732"/>
      <c r="AL286" s="1256"/>
      <c r="AM286" s="1256"/>
      <c r="AN286" s="1256"/>
      <c r="AO286" s="1256"/>
      <c r="AP286" s="1732"/>
      <c r="AQ286" s="1256"/>
      <c r="AR286" s="1256"/>
      <c r="AS286" s="651"/>
      <c r="AT286" s="1256"/>
      <c r="AU286" s="1256"/>
      <c r="AV286" s="1256"/>
      <c r="AW286" s="1256"/>
      <c r="AX286" s="1256"/>
      <c r="AY286" s="1728"/>
      <c r="AZ286" s="673"/>
      <c r="BA286" s="673"/>
      <c r="BB286" s="673"/>
      <c r="BC286" s="673"/>
      <c r="BD286" s="1737">
        <v>11</v>
      </c>
    </row>
    <row s="10851" customFormat="1" customHeight="1" ht="11.549999999999999">
      <c r="A287" s="1087"/>
      <c r="B287" s="1732"/>
      <c r="C287" s="1732"/>
      <c r="D287" s="458"/>
      <c r="AE287" s="4889"/>
      <c r="AF287" s="4889"/>
      <c r="AG287" s="4889"/>
      <c r="AI287" s="1256"/>
      <c r="AJ287" s="1732"/>
      <c r="AK287" s="1732"/>
      <c r="AL287" s="1256"/>
      <c r="AM287" s="1256"/>
      <c r="AN287" s="1256"/>
      <c r="AO287" s="1256"/>
      <c r="AP287" s="1732"/>
      <c r="AQ287" s="1256"/>
      <c r="AR287" s="1256"/>
      <c r="AS287" s="651"/>
      <c r="AT287" s="1256"/>
      <c r="AU287" s="1256"/>
      <c r="AV287" s="1256"/>
      <c r="AW287" s="1256"/>
      <c r="AX287" s="1256"/>
      <c r="AY287" s="1728"/>
      <c r="AZ287" s="673"/>
      <c r="BA287" s="673"/>
      <c r="BB287" s="673"/>
      <c r="BC287" s="673"/>
      <c r="BD287" s="1737">
        <v>11</v>
      </c>
    </row>
    <row s="10851" customFormat="1" customHeight="1" ht="11.549999999999999">
      <c r="A288" s="1087"/>
      <c r="B288" s="1732"/>
      <c r="C288" s="1732"/>
      <c r="D288" s="458"/>
      <c r="AE288" s="4889"/>
      <c r="AF288" s="4889"/>
      <c r="AG288" s="4889"/>
      <c r="AI288" s="1256"/>
      <c r="AJ288" s="1732"/>
      <c r="AK288" s="1732"/>
      <c r="AL288" s="1256"/>
      <c r="AM288" s="1256"/>
      <c r="AN288" s="1256"/>
      <c r="AO288" s="1256"/>
      <c r="AP288" s="1732"/>
      <c r="AQ288" s="1256"/>
      <c r="AR288" s="1256"/>
      <c r="AS288" s="651"/>
      <c r="AT288" s="1256"/>
      <c r="AU288" s="1256"/>
      <c r="AV288" s="1256"/>
      <c r="AW288" s="1256"/>
      <c r="AX288" s="1256"/>
      <c r="AY288" s="1728"/>
      <c r="AZ288" s="673"/>
      <c r="BA288" s="673"/>
      <c r="BB288" s="673"/>
      <c r="BC288" s="673"/>
      <c r="BD288" s="1737">
        <v>11</v>
      </c>
    </row>
    <row s="10851" customFormat="1" customHeight="1" ht="11.549999999999999">
      <c r="A289" s="1087"/>
      <c r="B289" s="1732"/>
      <c r="C289" s="1732"/>
      <c r="D289" s="458"/>
      <c r="AE289" s="4889"/>
      <c r="AF289" s="4889"/>
      <c r="AG289" s="4889"/>
      <c r="AI289" s="1256"/>
      <c r="AJ289" s="1732"/>
      <c r="AK289" s="1732"/>
      <c r="AL289" s="1256"/>
      <c r="AM289" s="1256"/>
      <c r="AN289" s="1256"/>
      <c r="AO289" s="1256"/>
      <c r="AP289" s="1732"/>
      <c r="AQ289" s="1256"/>
      <c r="AR289" s="1256"/>
      <c r="AS289" s="651"/>
      <c r="AT289" s="1256"/>
      <c r="AU289" s="1256"/>
      <c r="AV289" s="1256"/>
      <c r="AW289" s="1256"/>
      <c r="AX289" s="1256"/>
      <c r="AY289" s="1728"/>
      <c r="AZ289" s="673"/>
      <c r="BA289" s="673"/>
      <c r="BB289" s="673"/>
      <c r="BC289" s="673"/>
      <c r="BD289" s="1737">
        <v>11</v>
      </c>
    </row>
    <row s="10851" customFormat="1" customHeight="1" ht="11.549999999999999">
      <c r="A290" s="1087"/>
      <c r="B290" s="1732"/>
      <c r="C290" s="1732"/>
      <c r="D290" s="458"/>
      <c r="AE290" s="4889"/>
      <c r="AF290" s="4889"/>
      <c r="AG290" s="4889"/>
      <c r="AI290" s="1256"/>
      <c r="AJ290" s="1732"/>
      <c r="AK290" s="1732"/>
      <c r="AL290" s="1256"/>
      <c r="AM290" s="1256"/>
      <c r="AN290" s="1256"/>
      <c r="AO290" s="1256"/>
      <c r="AP290" s="1732"/>
      <c r="AQ290" s="1256"/>
      <c r="AR290" s="1256"/>
      <c r="AS290" s="651"/>
      <c r="AT290" s="1256"/>
      <c r="AU290" s="1256"/>
      <c r="AV290" s="1256"/>
      <c r="AW290" s="1256"/>
      <c r="AX290" s="1256"/>
      <c r="AY290" s="1728"/>
      <c r="AZ290" s="673"/>
      <c r="BA290" s="673"/>
      <c r="BB290" s="673"/>
      <c r="BC290" s="673"/>
      <c r="BD290" s="1737">
        <v>11</v>
      </c>
    </row>
    <row s="10851" customFormat="1" customHeight="1" ht="11.549999999999999">
      <c r="A291" s="1087"/>
      <c r="B291" s="1732"/>
      <c r="C291" s="1732"/>
      <c r="D291" s="458"/>
      <c r="AE291" s="4889"/>
      <c r="AF291" s="4889"/>
      <c r="AG291" s="4889"/>
      <c r="AI291" s="1256"/>
      <c r="AJ291" s="1732"/>
      <c r="AK291" s="1732"/>
      <c r="AL291" s="1256"/>
      <c r="AM291" s="1256"/>
      <c r="AN291" s="1256"/>
      <c r="AO291" s="1256"/>
      <c r="AP291" s="1732"/>
      <c r="AQ291" s="1256"/>
      <c r="AR291" s="1256"/>
      <c r="AS291" s="651"/>
      <c r="AT291" s="1256"/>
      <c r="AU291" s="1256"/>
      <c r="AV291" s="1256"/>
      <c r="AW291" s="1256"/>
      <c r="AX291" s="1256"/>
      <c r="AY291" s="1728"/>
      <c r="AZ291" s="673"/>
      <c r="BA291" s="673"/>
      <c r="BB291" s="673"/>
      <c r="BC291" s="673"/>
      <c r="BD291" s="1737">
        <v>11</v>
      </c>
    </row>
    <row s="10851" customFormat="1" customHeight="1" ht="11.549999999999999">
      <c r="A292" s="1087"/>
      <c r="B292" s="1732"/>
      <c r="C292" s="1732"/>
      <c r="D292" s="458"/>
      <c r="AE292" s="4889"/>
      <c r="AF292" s="4889"/>
      <c r="AG292" s="4889"/>
      <c r="AI292" s="1256"/>
      <c r="AJ292" s="1732"/>
      <c r="AK292" s="1732"/>
      <c r="AL292" s="1256"/>
      <c r="AM292" s="1256"/>
      <c r="AN292" s="1256"/>
      <c r="AO292" s="1256"/>
      <c r="AP292" s="1732"/>
      <c r="AQ292" s="1256"/>
      <c r="AR292" s="1256"/>
      <c r="AS292" s="651"/>
      <c r="AT292" s="1256"/>
      <c r="AU292" s="1256"/>
      <c r="AV292" s="1256"/>
      <c r="AW292" s="1256"/>
      <c r="AX292" s="1256"/>
      <c r="AY292" s="1728"/>
      <c r="AZ292" s="673"/>
      <c r="BA292" s="673"/>
      <c r="BB292" s="673"/>
      <c r="BC292" s="673"/>
      <c r="BD292" s="1737">
        <v>11</v>
      </c>
    </row>
    <row s="10851" customFormat="1" customHeight="1" ht="11.549999999999999">
      <c r="A293" s="1087"/>
      <c r="B293" s="1732"/>
      <c r="C293" s="1732"/>
      <c r="D293" s="458"/>
      <c r="AE293" s="4889"/>
      <c r="AF293" s="4889"/>
      <c r="AG293" s="4889"/>
      <c r="AI293" s="1256"/>
      <c r="AJ293" s="1732"/>
      <c r="AK293" s="1732"/>
      <c r="AL293" s="1256"/>
      <c r="AM293" s="1256"/>
      <c r="AN293" s="1256"/>
      <c r="AO293" s="1256"/>
      <c r="AP293" s="1732"/>
      <c r="AQ293" s="1256"/>
      <c r="AR293" s="1256"/>
      <c r="AS293" s="651"/>
      <c r="AT293" s="1256"/>
      <c r="AU293" s="1256"/>
      <c r="AV293" s="1256"/>
      <c r="AW293" s="1256"/>
      <c r="AX293" s="1256"/>
      <c r="AY293" s="1728"/>
      <c r="AZ293" s="673"/>
      <c r="BA293" s="673"/>
      <c r="BB293" s="673"/>
      <c r="BC293" s="673"/>
      <c r="BD293" s="1737">
        <v>11</v>
      </c>
    </row>
    <row s="10851" customFormat="1" customHeight="1" ht="11.549999999999999">
      <c r="A294" s="1087"/>
      <c r="B294" s="1732"/>
      <c r="C294" s="1732"/>
      <c r="D294" s="458"/>
      <c r="AE294" s="4889"/>
      <c r="AF294" s="4889"/>
      <c r="AG294" s="4889"/>
      <c r="AI294" s="1256"/>
      <c r="AJ294" s="1732"/>
      <c r="AK294" s="1732"/>
      <c r="AL294" s="1256"/>
      <c r="AM294" s="1256"/>
      <c r="AN294" s="1256"/>
      <c r="AO294" s="1256"/>
      <c r="AP294" s="1732"/>
      <c r="AQ294" s="1256"/>
      <c r="AR294" s="1256"/>
      <c r="AS294" s="651"/>
      <c r="AT294" s="1256"/>
      <c r="AU294" s="1256"/>
      <c r="AV294" s="1256"/>
      <c r="AW294" s="1256"/>
      <c r="AX294" s="1256"/>
      <c r="AY294" s="1728"/>
      <c r="AZ294" s="673"/>
      <c r="BA294" s="673"/>
      <c r="BB294" s="673"/>
      <c r="BC294" s="673"/>
      <c r="BD294" s="1737">
        <v>11</v>
      </c>
    </row>
    <row s="10851" customFormat="1" customHeight="1" ht="11.549999999999999">
      <c r="A295" s="1087"/>
      <c r="B295" s="1732"/>
      <c r="C295" s="1732"/>
      <c r="D295" s="458"/>
      <c r="AE295" s="4889"/>
      <c r="AF295" s="4889"/>
      <c r="AG295" s="4889"/>
      <c r="AI295" s="1256"/>
      <c r="AJ295" s="1732"/>
      <c r="AK295" s="1732"/>
      <c r="AL295" s="1256"/>
      <c r="AM295" s="1256"/>
      <c r="AN295" s="1256"/>
      <c r="AO295" s="1256"/>
      <c r="AP295" s="1732"/>
      <c r="AQ295" s="1256"/>
      <c r="AR295" s="1256"/>
      <c r="AS295" s="651"/>
      <c r="AT295" s="1256"/>
      <c r="AU295" s="1256"/>
      <c r="AV295" s="1256"/>
      <c r="AW295" s="1256"/>
      <c r="AX295" s="1256"/>
      <c r="AY295" s="1728"/>
      <c r="AZ295" s="673"/>
      <c r="BA295" s="673"/>
      <c r="BB295" s="673"/>
      <c r="BC295" s="673"/>
      <c r="BD295" s="1737">
        <v>11</v>
      </c>
    </row>
    <row s="10851" customFormat="1" customHeight="1" ht="11.549999999999999">
      <c r="A296" s="1087"/>
      <c r="B296" s="1732"/>
      <c r="C296" s="1732"/>
      <c r="D296" s="458"/>
      <c r="AE296" s="4889"/>
      <c r="AF296" s="4889"/>
      <c r="AG296" s="4889"/>
      <c r="AI296" s="1256"/>
      <c r="AJ296" s="1732"/>
      <c r="AK296" s="1732"/>
      <c r="AL296" s="1256"/>
      <c r="AM296" s="1256"/>
      <c r="AN296" s="1256"/>
      <c r="AO296" s="1256"/>
      <c r="AP296" s="1732"/>
      <c r="AQ296" s="1256"/>
      <c r="AR296" s="1256"/>
      <c r="AS296" s="651"/>
      <c r="AT296" s="1256"/>
      <c r="AU296" s="1256"/>
      <c r="AV296" s="1256"/>
      <c r="AW296" s="1256"/>
      <c r="AX296" s="1256"/>
      <c r="AY296" s="1728"/>
      <c r="AZ296" s="673"/>
      <c r="BA296" s="673"/>
      <c r="BB296" s="673"/>
      <c r="BC296" s="673"/>
      <c r="BD296" s="1737">
        <v>11</v>
      </c>
    </row>
    <row s="10851" customFormat="1" customHeight="1" ht="11.549999999999999">
      <c r="A297" s="1087"/>
      <c r="B297" s="1732"/>
      <c r="C297" s="1732"/>
      <c r="D297" s="458"/>
      <c r="AE297" s="4889"/>
      <c r="AF297" s="4889"/>
      <c r="AG297" s="4889"/>
      <c r="AI297" s="1256"/>
      <c r="AJ297" s="1732"/>
      <c r="AK297" s="1732"/>
      <c r="AL297" s="1256"/>
      <c r="AM297" s="1256"/>
      <c r="AN297" s="1256"/>
      <c r="AO297" s="1256"/>
      <c r="AP297" s="1732"/>
      <c r="AQ297" s="1256"/>
      <c r="AR297" s="1256"/>
      <c r="AS297" s="651"/>
      <c r="AT297" s="1256"/>
      <c r="AU297" s="1256"/>
      <c r="AV297" s="1256"/>
      <c r="AW297" s="1256"/>
      <c r="AX297" s="1256"/>
      <c r="AY297" s="1728"/>
      <c r="AZ297" s="673"/>
      <c r="BA297" s="673"/>
      <c r="BB297" s="673"/>
      <c r="BC297" s="673"/>
      <c r="BD297" s="1737">
        <v>11</v>
      </c>
    </row>
    <row s="10851" customFormat="1" customHeight="1" ht="11.549999999999999">
      <c r="A298" s="1087"/>
      <c r="B298" s="1732"/>
      <c r="C298" s="1732"/>
      <c r="D298" s="458"/>
      <c r="AE298" s="4889"/>
      <c r="AF298" s="4889"/>
      <c r="AG298" s="4889"/>
      <c r="AI298" s="1256"/>
      <c r="AJ298" s="1732"/>
      <c r="AK298" s="1732"/>
      <c r="AL298" s="1256"/>
      <c r="AM298" s="1256"/>
      <c r="AN298" s="1256"/>
      <c r="AO298" s="1256"/>
      <c r="AP298" s="1732"/>
      <c r="AQ298" s="1256"/>
      <c r="AR298" s="1256"/>
      <c r="AS298" s="651"/>
      <c r="AT298" s="1256"/>
      <c r="AU298" s="1256"/>
      <c r="AV298" s="1256"/>
      <c r="AW298" s="1256"/>
      <c r="AX298" s="1256"/>
      <c r="AY298" s="1728"/>
      <c r="AZ298" s="673"/>
      <c r="BA298" s="673"/>
      <c r="BB298" s="673"/>
      <c r="BC298" s="673"/>
      <c r="BD298" s="1737">
        <v>11</v>
      </c>
    </row>
    <row s="10851" customFormat="1" customHeight="1" ht="11.549999999999999">
      <c r="A299" s="1087"/>
      <c r="B299" s="1732"/>
      <c r="C299" s="1732"/>
      <c r="D299" s="458"/>
      <c r="AE299" s="4889"/>
      <c r="AF299" s="4889"/>
      <c r="AG299" s="4889"/>
      <c r="AI299" s="1256"/>
      <c r="AJ299" s="1732"/>
      <c r="AK299" s="1732"/>
      <c r="AL299" s="1256"/>
      <c r="AM299" s="1256"/>
      <c r="AN299" s="1256"/>
      <c r="AO299" s="1256"/>
      <c r="AP299" s="1732"/>
      <c r="AQ299" s="1256"/>
      <c r="AR299" s="1256"/>
      <c r="AS299" s="651"/>
      <c r="AT299" s="1256"/>
      <c r="AU299" s="1256"/>
      <c r="AV299" s="1256"/>
      <c r="AW299" s="1256"/>
      <c r="AX299" s="1256"/>
      <c r="AY299" s="1728"/>
      <c r="AZ299" s="673"/>
      <c r="BA299" s="673"/>
      <c r="BB299" s="673"/>
      <c r="BC299" s="673"/>
      <c r="BD299" s="1737">
        <v>11</v>
      </c>
    </row>
    <row s="10851" customFormat="1" customHeight="1" ht="11.549999999999999">
      <c r="A300" s="1087"/>
      <c r="B300" s="1732"/>
      <c r="C300" s="1732"/>
      <c r="D300" s="458"/>
      <c r="AE300" s="4889"/>
      <c r="AF300" s="4889"/>
      <c r="AG300" s="4889"/>
      <c r="AI300" s="1256"/>
      <c r="AJ300" s="1732"/>
      <c r="AK300" s="1732"/>
      <c r="AL300" s="1256"/>
      <c r="AM300" s="1256"/>
      <c r="AN300" s="1256"/>
      <c r="AO300" s="1256"/>
      <c r="AP300" s="1732"/>
      <c r="AQ300" s="1256"/>
      <c r="AR300" s="1256"/>
      <c r="AS300" s="651"/>
      <c r="AT300" s="1256"/>
      <c r="AU300" s="1256"/>
      <c r="AV300" s="1256"/>
      <c r="AW300" s="1256"/>
      <c r="AX300" s="1256"/>
      <c r="AY300" s="1728"/>
      <c r="AZ300" s="673"/>
      <c r="BA300" s="673"/>
      <c r="BB300" s="673"/>
      <c r="BC300" s="673"/>
      <c r="BD300" s="1737">
        <v>11</v>
      </c>
    </row>
    <row s="10851" customFormat="1" customHeight="1" ht="11.549999999999999">
      <c r="A301" s="1087"/>
      <c r="B301" s="1732"/>
      <c r="C301" s="1732"/>
      <c r="D301" s="458"/>
      <c r="AE301" s="4889"/>
      <c r="AF301" s="4889"/>
      <c r="AG301" s="4889"/>
      <c r="AI301" s="1256"/>
      <c r="AJ301" s="1732"/>
      <c r="AK301" s="1732"/>
      <c r="AL301" s="1256"/>
      <c r="AM301" s="1256"/>
      <c r="AN301" s="1256"/>
      <c r="AO301" s="1256"/>
      <c r="AP301" s="1732"/>
      <c r="AQ301" s="1256"/>
      <c r="AR301" s="1256"/>
      <c r="AS301" s="651"/>
      <c r="AT301" s="1256"/>
      <c r="AU301" s="1256"/>
      <c r="AV301" s="1256"/>
      <c r="AW301" s="1256"/>
      <c r="AX301" s="1256"/>
      <c r="AY301" s="1728"/>
      <c r="AZ301" s="673"/>
      <c r="BA301" s="673"/>
      <c r="BB301" s="673"/>
      <c r="BC301" s="673"/>
      <c r="BD301" s="1737">
        <v>11</v>
      </c>
    </row>
    <row s="10851" customFormat="1" customHeight="1" ht="11.549999999999999">
      <c r="A302" s="1087"/>
      <c r="B302" s="1732"/>
      <c r="C302" s="1732"/>
      <c r="D302" s="458"/>
      <c r="AE302" s="4889"/>
      <c r="AF302" s="4889"/>
      <c r="AG302" s="4889"/>
      <c r="AI302" s="1256"/>
      <c r="AJ302" s="1732"/>
      <c r="AK302" s="1732"/>
      <c r="AL302" s="1256"/>
      <c r="AM302" s="1256"/>
      <c r="AN302" s="1256"/>
      <c r="AO302" s="1256"/>
      <c r="AP302" s="1732"/>
      <c r="AQ302" s="1256"/>
      <c r="AR302" s="1256"/>
      <c r="AS302" s="651"/>
      <c r="AT302" s="1256"/>
      <c r="AU302" s="1256"/>
      <c r="AV302" s="1256"/>
      <c r="AW302" s="1256"/>
      <c r="AX302" s="1256"/>
      <c r="AY302" s="1728"/>
      <c r="AZ302" s="673"/>
      <c r="BA302" s="673"/>
      <c r="BB302" s="673"/>
      <c r="BC302" s="673"/>
      <c r="BD302" s="1737">
        <v>11</v>
      </c>
    </row>
    <row s="10851" customFormat="1" customHeight="1" ht="11.549999999999999">
      <c r="A303" s="1087"/>
      <c r="B303" s="1732"/>
      <c r="C303" s="1732"/>
      <c r="D303" s="458"/>
      <c r="AE303" s="4889"/>
      <c r="AF303" s="4889"/>
      <c r="AG303" s="4889"/>
      <c r="AI303" s="1256"/>
      <c r="AJ303" s="1732"/>
      <c r="AK303" s="1732"/>
      <c r="AL303" s="1256"/>
      <c r="AM303" s="1256"/>
      <c r="AN303" s="1256"/>
      <c r="AO303" s="1256"/>
      <c r="AP303" s="1732"/>
      <c r="AQ303" s="1256"/>
      <c r="AR303" s="1256"/>
      <c r="AS303" s="651"/>
      <c r="AT303" s="1256"/>
      <c r="AU303" s="1256"/>
      <c r="AV303" s="1256"/>
      <c r="AW303" s="1256"/>
      <c r="AX303" s="1256"/>
      <c r="AY303" s="1728"/>
      <c r="AZ303" s="673"/>
      <c r="BA303" s="673"/>
      <c r="BB303" s="673"/>
      <c r="BC303" s="673"/>
      <c r="BD303" s="1737">
        <v>11</v>
      </c>
    </row>
    <row s="10851" customFormat="1" customHeight="1" ht="11.549999999999999">
      <c r="A304" s="1087"/>
      <c r="B304" s="1732"/>
      <c r="C304" s="1732"/>
      <c r="D304" s="458"/>
      <c r="AE304" s="4889"/>
      <c r="AF304" s="4889"/>
      <c r="AG304" s="4889"/>
      <c r="AI304" s="1256"/>
      <c r="AJ304" s="1732"/>
      <c r="AK304" s="1732"/>
      <c r="AL304" s="1256"/>
      <c r="AM304" s="1256"/>
      <c r="AN304" s="1256"/>
      <c r="AO304" s="1256"/>
      <c r="AP304" s="1732"/>
      <c r="AQ304" s="1256"/>
      <c r="AR304" s="1256"/>
      <c r="AS304" s="651"/>
      <c r="AT304" s="1256"/>
      <c r="AU304" s="1256"/>
      <c r="AV304" s="1256"/>
      <c r="AW304" s="1256"/>
      <c r="AX304" s="1256"/>
      <c r="AY304" s="1728"/>
      <c r="AZ304" s="673"/>
      <c r="BA304" s="673"/>
      <c r="BB304" s="673"/>
      <c r="BC304" s="673"/>
      <c r="BD304" s="1737">
        <v>11</v>
      </c>
    </row>
    <row s="10851" customFormat="1" customHeight="1" ht="11.549999999999999">
      <c r="A305" s="1087"/>
      <c r="B305" s="1732"/>
      <c r="C305" s="1732"/>
      <c r="D305" s="458"/>
      <c r="AE305" s="4889"/>
      <c r="AF305" s="4889"/>
      <c r="AG305" s="4889"/>
      <c r="AI305" s="1256"/>
      <c r="AJ305" s="1732"/>
      <c r="AK305" s="1732"/>
      <c r="AL305" s="1256"/>
      <c r="AM305" s="1256"/>
      <c r="AN305" s="1256"/>
      <c r="AO305" s="1256"/>
      <c r="AP305" s="1732"/>
      <c r="AQ305" s="1256"/>
      <c r="AR305" s="1256"/>
      <c r="AS305" s="651"/>
      <c r="AT305" s="1256"/>
      <c r="AU305" s="1256"/>
      <c r="AV305" s="1256"/>
      <c r="AW305" s="1256"/>
      <c r="AX305" s="1256"/>
      <c r="AY305" s="1728"/>
      <c r="AZ305" s="673"/>
      <c r="BA305" s="673"/>
      <c r="BB305" s="673"/>
      <c r="BC305" s="673"/>
      <c r="BD305" s="1737">
        <v>11</v>
      </c>
    </row>
    <row s="10851" customFormat="1" customHeight="1" ht="11.549999999999999">
      <c r="A306" s="1087"/>
      <c r="B306" s="1732"/>
      <c r="C306" s="1732"/>
      <c r="D306" s="458"/>
      <c r="AE306" s="4889"/>
      <c r="AF306" s="4889"/>
      <c r="AG306" s="4889"/>
      <c r="AI306" s="1256"/>
      <c r="AJ306" s="1732"/>
      <c r="AK306" s="1732"/>
      <c r="AL306" s="1256"/>
      <c r="AM306" s="1256"/>
      <c r="AN306" s="1256"/>
      <c r="AO306" s="1256"/>
      <c r="AP306" s="1732"/>
      <c r="AQ306" s="1256"/>
      <c r="AR306" s="1256"/>
      <c r="AS306" s="651"/>
      <c r="AT306" s="1256"/>
      <c r="AU306" s="1256"/>
      <c r="AV306" s="1256"/>
      <c r="AW306" s="1256"/>
      <c r="AX306" s="1256"/>
      <c r="AY306" s="1728"/>
      <c r="AZ306" s="673"/>
      <c r="BA306" s="673"/>
      <c r="BB306" s="673"/>
      <c r="BC306" s="673"/>
      <c r="BD306" s="1737">
        <v>11</v>
      </c>
    </row>
    <row s="10851" customFormat="1" customHeight="1" ht="11.549999999999999">
      <c r="A307" s="1087"/>
      <c r="B307" s="1732"/>
      <c r="C307" s="1732"/>
      <c r="D307" s="458"/>
      <c r="AE307" s="4889"/>
      <c r="AF307" s="4889"/>
      <c r="AG307" s="4889"/>
      <c r="AI307" s="1256"/>
      <c r="AJ307" s="1732"/>
      <c r="AK307" s="1732"/>
      <c r="AL307" s="1256"/>
      <c r="AM307" s="1256"/>
      <c r="AN307" s="1256"/>
      <c r="AO307" s="1256"/>
      <c r="AP307" s="1732"/>
      <c r="AQ307" s="1256"/>
      <c r="AR307" s="1256"/>
      <c r="AS307" s="651"/>
      <c r="AT307" s="1256"/>
      <c r="AU307" s="1256"/>
      <c r="AV307" s="1256"/>
      <c r="AW307" s="1256"/>
      <c r="AX307" s="1256"/>
      <c r="AY307" s="1728"/>
      <c r="AZ307" s="673"/>
      <c r="BA307" s="673"/>
      <c r="BB307" s="673"/>
      <c r="BC307" s="673"/>
      <c r="BD307" s="1737">
        <v>11</v>
      </c>
    </row>
    <row s="10851" customFormat="1" customHeight="1" ht="11.549999999999999">
      <c r="A308" s="1087"/>
      <c r="B308" s="1732"/>
      <c r="C308" s="1732"/>
      <c r="D308" s="458"/>
      <c r="AE308" s="4889"/>
      <c r="AF308" s="4889"/>
      <c r="AG308" s="4889"/>
      <c r="AI308" s="1256"/>
      <c r="AJ308" s="1732"/>
      <c r="AK308" s="1732"/>
      <c r="AL308" s="1256"/>
      <c r="AM308" s="1256"/>
      <c r="AN308" s="1256"/>
      <c r="AO308" s="1256"/>
      <c r="AP308" s="1732"/>
      <c r="AQ308" s="1256"/>
      <c r="AR308" s="1256"/>
      <c r="AS308" s="651"/>
      <c r="AT308" s="1256"/>
      <c r="AU308" s="1256"/>
      <c r="AV308" s="1256"/>
      <c r="AW308" s="1256"/>
      <c r="AX308" s="1256"/>
      <c r="AY308" s="1728"/>
      <c r="AZ308" s="673"/>
      <c r="BA308" s="673"/>
      <c r="BB308" s="673"/>
      <c r="BC308" s="673"/>
      <c r="BD308" s="1737">
        <v>11</v>
      </c>
    </row>
    <row s="10851" customFormat="1" customHeight="1" ht="11.549999999999999">
      <c r="A309" s="1087"/>
      <c r="B309" s="1732"/>
      <c r="C309" s="1732"/>
      <c r="D309" s="458"/>
      <c r="AE309" s="4889"/>
      <c r="AF309" s="4889"/>
      <c r="AG309" s="4889"/>
      <c r="AI309" s="1256"/>
      <c r="AJ309" s="1732"/>
      <c r="AK309" s="1732"/>
      <c r="AL309" s="1256"/>
      <c r="AM309" s="1256"/>
      <c r="AN309" s="1256"/>
      <c r="AO309" s="1256"/>
      <c r="AP309" s="1732"/>
      <c r="AQ309" s="1256"/>
      <c r="AR309" s="1256"/>
      <c r="AS309" s="651"/>
      <c r="AT309" s="1256"/>
      <c r="AU309" s="1256"/>
      <c r="AV309" s="1256"/>
      <c r="AW309" s="1256"/>
      <c r="AX309" s="1256"/>
      <c r="AY309" s="1728"/>
      <c r="AZ309" s="673"/>
      <c r="BA309" s="673"/>
      <c r="BB309" s="673"/>
      <c r="BC309" s="673"/>
      <c r="BD309" s="1737">
        <v>11</v>
      </c>
    </row>
    <row s="10851" customFormat="1" customHeight="1" ht="11.549999999999999">
      <c r="A310" s="1087"/>
      <c r="B310" s="1732"/>
      <c r="C310" s="1732"/>
      <c r="D310" s="458"/>
      <c r="AE310" s="4889"/>
      <c r="AF310" s="4889"/>
      <c r="AG310" s="4889"/>
      <c r="AI310" s="1256"/>
      <c r="AJ310" s="1732"/>
      <c r="AK310" s="1732"/>
      <c r="AL310" s="1256"/>
      <c r="AM310" s="1256"/>
      <c r="AN310" s="1256"/>
      <c r="AO310" s="1256"/>
      <c r="AP310" s="1732"/>
      <c r="AQ310" s="1256"/>
      <c r="AR310" s="1256"/>
      <c r="AS310" s="651"/>
      <c r="AT310" s="1256"/>
      <c r="AU310" s="1256"/>
      <c r="AV310" s="1256"/>
      <c r="AW310" s="1256"/>
      <c r="AX310" s="1256"/>
      <c r="AY310" s="1728"/>
      <c r="AZ310" s="673"/>
      <c r="BA310" s="673"/>
      <c r="BB310" s="673"/>
      <c r="BC310" s="673"/>
      <c r="BD310" s="1737">
        <v>11</v>
      </c>
    </row>
    <row s="10851" customFormat="1" customHeight="1" ht="11.549999999999999">
      <c r="A311" s="1087"/>
      <c r="B311" s="1732"/>
      <c r="C311" s="1732"/>
      <c r="D311" s="458"/>
      <c r="AE311" s="4889"/>
      <c r="AF311" s="4889"/>
      <c r="AG311" s="4889"/>
      <c r="AI311" s="1256"/>
      <c r="AJ311" s="1732"/>
      <c r="AK311" s="1732"/>
      <c r="AL311" s="1256"/>
      <c r="AM311" s="1256"/>
      <c r="AN311" s="1256"/>
      <c r="AO311" s="1256"/>
      <c r="AP311" s="1732"/>
      <c r="AQ311" s="1256"/>
      <c r="AR311" s="1256"/>
      <c r="AS311" s="651"/>
      <c r="AT311" s="1256"/>
      <c r="AU311" s="1256"/>
      <c r="AV311" s="1256"/>
      <c r="AW311" s="1256"/>
      <c r="AX311" s="1256"/>
      <c r="AY311" s="1728"/>
      <c r="AZ311" s="673"/>
      <c r="BA311" s="673"/>
      <c r="BB311" s="673"/>
      <c r="BC311" s="673"/>
      <c r="BD311" s="1737">
        <v>11</v>
      </c>
    </row>
    <row s="10851" customFormat="1" customHeight="1" ht="11.549999999999999">
      <c r="A312" s="1087"/>
      <c r="B312" s="1732"/>
      <c r="C312" s="1732"/>
      <c r="D312" s="458"/>
      <c r="AE312" s="4889"/>
      <c r="AF312" s="4889"/>
      <c r="AG312" s="4889"/>
      <c r="AI312" s="1256"/>
      <c r="AJ312" s="1732"/>
      <c r="AK312" s="1732"/>
      <c r="AL312" s="1256"/>
      <c r="AM312" s="1256"/>
      <c r="AN312" s="1256"/>
      <c r="AO312" s="1256"/>
      <c r="AP312" s="1732"/>
      <c r="AQ312" s="1256"/>
      <c r="AR312" s="1256"/>
      <c r="AS312" s="651"/>
      <c r="AT312" s="1256"/>
      <c r="AU312" s="1256"/>
      <c r="AV312" s="1256"/>
      <c r="AW312" s="1256"/>
      <c r="AX312" s="1256"/>
      <c r="AY312" s="1728"/>
      <c r="AZ312" s="673"/>
      <c r="BA312" s="673"/>
      <c r="BB312" s="673"/>
      <c r="BC312" s="673"/>
      <c r="BD312" s="1737">
        <v>11</v>
      </c>
    </row>
    <row s="10851" customFormat="1" customHeight="1" ht="11.549999999999999">
      <c r="A313" s="1087"/>
      <c r="B313" s="1732"/>
      <c r="C313" s="1732"/>
      <c r="D313" s="458"/>
      <c r="AE313" s="4889"/>
      <c r="AF313" s="4889"/>
      <c r="AG313" s="4889"/>
      <c r="AI313" s="1256"/>
      <c r="AJ313" s="1732"/>
      <c r="AK313" s="1732"/>
      <c r="AL313" s="1256"/>
      <c r="AM313" s="1256"/>
      <c r="AN313" s="1256"/>
      <c r="AO313" s="1256"/>
      <c r="AP313" s="1732"/>
      <c r="AQ313" s="1256"/>
      <c r="AR313" s="1256"/>
      <c r="AS313" s="651"/>
      <c r="AT313" s="1256"/>
      <c r="AU313" s="1256"/>
      <c r="AV313" s="1256"/>
      <c r="AW313" s="1256"/>
      <c r="AX313" s="1256"/>
      <c r="AY313" s="1728"/>
      <c r="AZ313" s="673"/>
      <c r="BA313" s="673"/>
      <c r="BB313" s="673"/>
      <c r="BC313" s="673"/>
      <c r="BD313" s="1737">
        <v>11</v>
      </c>
    </row>
    <row s="10851" customFormat="1" customHeight="1" ht="11.549999999999999">
      <c r="A314" s="1087"/>
      <c r="B314" s="1732"/>
      <c r="C314" s="1732"/>
      <c r="D314" s="458"/>
      <c r="AE314" s="4889"/>
      <c r="AF314" s="4889"/>
      <c r="AG314" s="4889"/>
      <c r="AI314" s="1256"/>
      <c r="AJ314" s="1732"/>
      <c r="AK314" s="1732"/>
      <c r="AL314" s="1256"/>
      <c r="AM314" s="1256"/>
      <c r="AN314" s="1256"/>
      <c r="AO314" s="1256"/>
      <c r="AP314" s="1732"/>
      <c r="AQ314" s="1256"/>
      <c r="AR314" s="1256"/>
      <c r="AS314" s="651"/>
      <c r="AT314" s="1256"/>
      <c r="AU314" s="1256"/>
      <c r="AV314" s="1256"/>
      <c r="AW314" s="1256"/>
      <c r="AX314" s="1256"/>
      <c r="AY314" s="1728"/>
      <c r="AZ314" s="673"/>
      <c r="BA314" s="673"/>
      <c r="BB314" s="673"/>
      <c r="BC314" s="673"/>
      <c r="BD314" s="1737">
        <v>11</v>
      </c>
    </row>
    <row s="10851" customFormat="1" customHeight="1" ht="11.549999999999999">
      <c r="A315" s="1087"/>
      <c r="B315" s="1732"/>
      <c r="C315" s="1732"/>
      <c r="D315" s="458"/>
      <c r="AE315" s="4889"/>
      <c r="AF315" s="4889"/>
      <c r="AG315" s="4889"/>
      <c r="AI315" s="1256"/>
      <c r="AJ315" s="1732"/>
      <c r="AK315" s="1732"/>
      <c r="AL315" s="1256"/>
      <c r="AM315" s="1256"/>
      <c r="AN315" s="1256"/>
      <c r="AO315" s="1256"/>
      <c r="AP315" s="1732"/>
      <c r="AQ315" s="1256"/>
      <c r="AR315" s="1256"/>
      <c r="AS315" s="651"/>
      <c r="AT315" s="1256"/>
      <c r="AU315" s="1256"/>
      <c r="AV315" s="1256"/>
      <c r="AW315" s="1256"/>
      <c r="AX315" s="1256"/>
      <c r="AY315" s="1728"/>
      <c r="AZ315" s="673"/>
      <c r="BA315" s="673"/>
      <c r="BB315" s="673"/>
      <c r="BC315" s="673"/>
      <c r="BD315" s="1737">
        <v>11</v>
      </c>
    </row>
    <row s="10851" customFormat="1" customHeight="1" ht="11.549999999999999">
      <c r="A316" s="1087"/>
      <c r="B316" s="1732"/>
      <c r="C316" s="1732"/>
      <c r="D316" s="458"/>
      <c r="AE316" s="4889"/>
      <c r="AF316" s="4889"/>
      <c r="AG316" s="4889"/>
      <c r="AI316" s="1256"/>
      <c r="AJ316" s="1732"/>
      <c r="AK316" s="1732"/>
      <c r="AL316" s="1256"/>
      <c r="AM316" s="1256"/>
      <c r="AN316" s="1256"/>
      <c r="AO316" s="1256"/>
      <c r="AP316" s="1732"/>
      <c r="AQ316" s="1256"/>
      <c r="AR316" s="1256"/>
      <c r="AS316" s="651"/>
      <c r="AT316" s="1256"/>
      <c r="AU316" s="1256"/>
      <c r="AV316" s="1256"/>
      <c r="AW316" s="1256"/>
      <c r="AX316" s="1256"/>
      <c r="AY316" s="1728"/>
      <c r="AZ316" s="673"/>
      <c r="BA316" s="673"/>
      <c r="BB316" s="673"/>
      <c r="BC316" s="673"/>
      <c r="BD316" s="1737">
        <v>11</v>
      </c>
    </row>
    <row s="10851" customFormat="1" customHeight="1" ht="11.549999999999999">
      <c r="A317" s="1087"/>
      <c r="B317" s="1732"/>
      <c r="C317" s="1732"/>
      <c r="D317" s="458"/>
      <c r="AE317" s="4889"/>
      <c r="AF317" s="4889"/>
      <c r="AG317" s="4889"/>
      <c r="AI317" s="1256"/>
      <c r="AJ317" s="1732"/>
      <c r="AK317" s="1732"/>
      <c r="AL317" s="1256"/>
      <c r="AM317" s="1256"/>
      <c r="AN317" s="1256"/>
      <c r="AO317" s="1256"/>
      <c r="AP317" s="1732"/>
      <c r="AQ317" s="1256"/>
      <c r="AR317" s="1256"/>
      <c r="AS317" s="651"/>
      <c r="AT317" s="1256"/>
      <c r="AU317" s="1256"/>
      <c r="AV317" s="1256"/>
      <c r="AW317" s="1256"/>
      <c r="AX317" s="1256"/>
      <c r="AY317" s="1728"/>
      <c r="AZ317" s="673"/>
      <c r="BA317" s="673"/>
      <c r="BB317" s="673"/>
      <c r="BC317" s="673"/>
      <c r="BD317" s="1737">
        <v>11</v>
      </c>
    </row>
    <row s="10851" customFormat="1" customHeight="1" ht="11.549999999999999">
      <c r="A318" s="1087"/>
      <c r="B318" s="1732"/>
      <c r="C318" s="1732"/>
      <c r="D318" s="458"/>
      <c r="AE318" s="4889"/>
      <c r="AF318" s="4889"/>
      <c r="AG318" s="4889"/>
      <c r="AI318" s="1256"/>
      <c r="AJ318" s="1732"/>
      <c r="AK318" s="1732"/>
      <c r="AL318" s="1256"/>
      <c r="AM318" s="1256"/>
      <c r="AN318" s="1256"/>
      <c r="AO318" s="1256"/>
      <c r="AP318" s="1732"/>
      <c r="AQ318" s="1256"/>
      <c r="AR318" s="1256"/>
      <c r="AS318" s="651"/>
      <c r="AT318" s="1256"/>
      <c r="AU318" s="1256"/>
      <c r="AV318" s="1256"/>
      <c r="AW318" s="1256"/>
      <c r="AX318" s="1256"/>
      <c r="AY318" s="1728"/>
      <c r="AZ318" s="673"/>
      <c r="BA318" s="673"/>
      <c r="BB318" s="673"/>
      <c r="BC318" s="673"/>
      <c r="BD318" s="1737">
        <v>11</v>
      </c>
    </row>
    <row customHeight="1" ht="11.549999999999999">
      <c r="AE319" s="4586"/>
      <c r="AF319" s="4586"/>
      <c r="AG319" s="4586"/>
      <c r="BD319" s="1727">
        <v>11</v>
      </c>
    </row>
    <row customHeight="1" ht="11.549999999999999">
      <c r="AE320" s="4586"/>
      <c r="AF320" s="4586"/>
      <c r="AG320" s="4586"/>
      <c r="BD320" s="1727">
        <v>11</v>
      </c>
    </row>
    <row customHeight="1" ht="11.549999999999999">
      <c r="AE321" s="4586"/>
      <c r="AF321" s="4586"/>
      <c r="AG321" s="4586"/>
      <c r="BD321" s="1727">
        <v>11</v>
      </c>
    </row>
    <row customHeight="1" ht="11.549999999999999">
      <c r="A322" s="1090"/>
      <c r="B322" s="1727"/>
      <c r="D322" s="1727"/>
      <c r="AE322" s="4586"/>
      <c r="AF322" s="4586"/>
      <c r="AG322" s="4586"/>
      <c r="AI322" s="1727"/>
      <c r="AL322" s="1727"/>
      <c r="AM322" s="1727"/>
      <c r="AN322" s="1727"/>
      <c r="AO322" s="1727"/>
      <c r="AQ322" s="1727"/>
      <c r="AR322" s="1727"/>
      <c r="AS322" s="1727"/>
      <c r="AT322" s="1727"/>
      <c r="AU322" s="1727"/>
      <c r="AV322" s="1727"/>
      <c r="AW322" s="1727"/>
      <c r="AX322" s="1727"/>
      <c r="AY322" s="1727"/>
      <c r="AZ322" s="1727"/>
      <c r="BA322" s="1727"/>
      <c r="BB322" s="1727"/>
      <c r="BC322" s="1727"/>
      <c r="BD322" s="1727">
        <v>11</v>
      </c>
    </row>
    <row customHeight="1" ht="11.549999999999999">
      <c r="A323" s="1090"/>
      <c r="B323" s="1727"/>
      <c r="D323" s="1727"/>
      <c r="AE323" s="4586"/>
      <c r="AF323" s="4586"/>
      <c r="AG323" s="4586"/>
      <c r="AI323" s="1727"/>
      <c r="AL323" s="1727"/>
      <c r="AM323" s="1727"/>
      <c r="AN323" s="1727"/>
      <c r="AO323" s="1727"/>
      <c r="AQ323" s="1727"/>
      <c r="AR323" s="1727"/>
      <c r="AS323" s="1727"/>
      <c r="AT323" s="1727"/>
      <c r="AU323" s="1727"/>
      <c r="AV323" s="1727"/>
      <c r="AW323" s="1727"/>
      <c r="AX323" s="1727"/>
      <c r="AY323" s="1727"/>
      <c r="AZ323" s="1727"/>
      <c r="BA323" s="1727"/>
      <c r="BB323" s="1727"/>
      <c r="BC323" s="1727"/>
      <c r="BD323" s="1727">
        <v>11</v>
      </c>
    </row>
    <row customHeight="1" ht="11.549999999999999">
      <c r="A324" s="1090"/>
      <c r="B324" s="1727"/>
      <c r="D324" s="1727"/>
      <c r="AE324" s="4586"/>
      <c r="AF324" s="4586"/>
      <c r="AG324" s="4586"/>
      <c r="AI324" s="1727"/>
      <c r="AL324" s="1727"/>
      <c r="AM324" s="1727"/>
      <c r="AN324" s="1727"/>
      <c r="AO324" s="1727"/>
      <c r="AQ324" s="1727"/>
      <c r="AR324" s="1727"/>
      <c r="AS324" s="1727"/>
      <c r="AT324" s="1727"/>
      <c r="AU324" s="1727"/>
      <c r="AV324" s="1727"/>
      <c r="AW324" s="1727"/>
      <c r="AX324" s="1727"/>
      <c r="AY324" s="1727"/>
      <c r="AZ324" s="1727"/>
      <c r="BA324" s="1727"/>
      <c r="BB324" s="1727"/>
      <c r="BC324" s="1727"/>
      <c r="BD324" s="1727">
        <v>11</v>
      </c>
    </row>
    <row customHeight="1" ht="11.549999999999999">
      <c r="A325" s="1090"/>
      <c r="B325" s="1727"/>
      <c r="D325" s="1727"/>
      <c r="AE325" s="4586"/>
      <c r="AF325" s="4586"/>
      <c r="AG325" s="4586"/>
      <c r="AI325" s="1727"/>
      <c r="AL325" s="1727"/>
      <c r="AM325" s="1727"/>
      <c r="AN325" s="1727"/>
      <c r="AO325" s="1727"/>
      <c r="AQ325" s="1727"/>
      <c r="AR325" s="1727"/>
      <c r="AS325" s="1727"/>
      <c r="AT325" s="1727"/>
      <c r="AU325" s="1727"/>
      <c r="AV325" s="1727"/>
      <c r="AW325" s="1727"/>
      <c r="AX325" s="1727"/>
      <c r="AY325" s="1727"/>
      <c r="AZ325" s="1727"/>
      <c r="BA325" s="1727"/>
      <c r="BB325" s="1727"/>
      <c r="BC325" s="1727"/>
      <c r="BD325" s="1727">
        <v>11</v>
      </c>
    </row>
    <row customHeight="1" ht="11.549999999999999">
      <c r="A326" s="1090"/>
      <c r="B326" s="1727"/>
      <c r="D326" s="1727"/>
      <c r="AE326" s="4586"/>
      <c r="AF326" s="4586"/>
      <c r="AG326" s="4586"/>
      <c r="AI326" s="1727"/>
      <c r="AL326" s="1727"/>
      <c r="AM326" s="1727"/>
      <c r="AN326" s="1727"/>
      <c r="AO326" s="1727"/>
      <c r="AQ326" s="1727"/>
      <c r="AR326" s="1727"/>
      <c r="AS326" s="1727"/>
      <c r="AT326" s="1727"/>
      <c r="AU326" s="1727"/>
      <c r="AV326" s="1727"/>
      <c r="AW326" s="1727"/>
      <c r="AX326" s="1727"/>
      <c r="AY326" s="1727"/>
      <c r="AZ326" s="1727"/>
      <c r="BA326" s="1727"/>
      <c r="BB326" s="1727"/>
      <c r="BC326" s="1727"/>
      <c r="BD326" s="1727">
        <v>11</v>
      </c>
    </row>
    <row customHeight="1" ht="11.549999999999999">
      <c r="A327" s="1090"/>
      <c r="B327" s="1727"/>
      <c r="D327" s="1727"/>
      <c r="AE327" s="4586"/>
      <c r="AF327" s="4586"/>
      <c r="AG327" s="4586"/>
      <c r="AI327" s="1727"/>
      <c r="AL327" s="1727"/>
      <c r="AM327" s="1727"/>
      <c r="AN327" s="1727"/>
      <c r="AO327" s="1727"/>
      <c r="AQ327" s="1727"/>
      <c r="AR327" s="1727"/>
      <c r="AS327" s="1727"/>
      <c r="AT327" s="1727"/>
      <c r="AU327" s="1727"/>
      <c r="AV327" s="1727"/>
      <c r="AW327" s="1727"/>
      <c r="AX327" s="1727"/>
      <c r="AY327" s="1727"/>
      <c r="AZ327" s="1727"/>
      <c r="BA327" s="1727"/>
      <c r="BB327" s="1727"/>
      <c r="BC327" s="1727"/>
      <c r="BD327" s="1727">
        <v>11</v>
      </c>
    </row>
    <row customHeight="1" ht="11.549999999999999">
      <c r="A328" s="1090"/>
      <c r="B328" s="1727"/>
      <c r="D328" s="1727"/>
      <c r="AE328" s="4586"/>
      <c r="AF328" s="4586"/>
      <c r="AG328" s="4586"/>
      <c r="AI328" s="1727"/>
      <c r="AL328" s="1727"/>
      <c r="AM328" s="1727"/>
      <c r="AN328" s="1727"/>
      <c r="AO328" s="1727"/>
      <c r="AQ328" s="1727"/>
      <c r="AR328" s="1727"/>
      <c r="AS328" s="1727"/>
      <c r="AT328" s="1727"/>
      <c r="AU328" s="1727"/>
      <c r="AV328" s="1727"/>
      <c r="AW328" s="1727"/>
      <c r="AX328" s="1727"/>
      <c r="AY328" s="1727"/>
      <c r="AZ328" s="1727"/>
      <c r="BA328" s="1727"/>
      <c r="BB328" s="1727"/>
      <c r="BC328" s="1727"/>
      <c r="BD328" s="1727">
        <v>11</v>
      </c>
    </row>
    <row customHeight="1" ht="11.549999999999999">
      <c r="A329" s="1090"/>
      <c r="B329" s="1727"/>
      <c r="D329" s="1727"/>
      <c r="AE329" s="4586"/>
      <c r="AF329" s="4586"/>
      <c r="AG329" s="4586"/>
      <c r="AI329" s="1727"/>
      <c r="AL329" s="1727"/>
      <c r="AM329" s="1727"/>
      <c r="AN329" s="1727"/>
      <c r="AO329" s="1727"/>
      <c r="AQ329" s="1727"/>
      <c r="AR329" s="1727"/>
      <c r="AS329" s="1727"/>
      <c r="AT329" s="1727"/>
      <c r="AU329" s="1727"/>
      <c r="AV329" s="1727"/>
      <c r="AW329" s="1727"/>
      <c r="AX329" s="1727"/>
      <c r="AY329" s="1727"/>
      <c r="AZ329" s="1727"/>
      <c r="BA329" s="1727"/>
      <c r="BB329" s="1727"/>
      <c r="BC329" s="1727"/>
      <c r="BD329" s="1727">
        <v>11</v>
      </c>
    </row>
    <row customHeight="1" ht="11.549999999999999">
      <c r="A330" s="1090"/>
      <c r="B330" s="1727"/>
      <c r="D330" s="1727"/>
      <c r="AE330" s="4586"/>
      <c r="AF330" s="4586"/>
      <c r="AG330" s="4586"/>
      <c r="AI330" s="1727"/>
      <c r="AL330" s="1727"/>
      <c r="AM330" s="1727"/>
      <c r="AN330" s="1727"/>
      <c r="AO330" s="1727"/>
      <c r="AQ330" s="1727"/>
      <c r="AR330" s="1727"/>
      <c r="AS330" s="1727"/>
      <c r="AT330" s="1727"/>
      <c r="AU330" s="1727"/>
      <c r="AV330" s="1727"/>
      <c r="AW330" s="1727"/>
      <c r="AX330" s="1727"/>
      <c r="AY330" s="1727"/>
      <c r="AZ330" s="1727"/>
      <c r="BA330" s="1727"/>
      <c r="BB330" s="1727"/>
      <c r="BC330" s="1727"/>
      <c r="BD330" s="1727">
        <v>11</v>
      </c>
    </row>
    <row customHeight="1" ht="11.549999999999999">
      <c r="A331" s="1090"/>
      <c r="B331" s="1727"/>
      <c r="D331" s="1727"/>
      <c r="AE331" s="4586"/>
      <c r="AF331" s="4586"/>
      <c r="AG331" s="4586"/>
      <c r="AI331" s="1727"/>
      <c r="AL331" s="1727"/>
      <c r="AM331" s="1727"/>
      <c r="AN331" s="1727"/>
      <c r="AO331" s="1727"/>
      <c r="AQ331" s="1727"/>
      <c r="AR331" s="1727"/>
      <c r="AS331" s="1727"/>
      <c r="AT331" s="1727"/>
      <c r="AU331" s="1727"/>
      <c r="AV331" s="1727"/>
      <c r="AW331" s="1727"/>
      <c r="AX331" s="1727"/>
      <c r="AY331" s="1727"/>
      <c r="AZ331" s="1727"/>
      <c r="BA331" s="1727"/>
      <c r="BB331" s="1727"/>
      <c r="BC331" s="1727"/>
      <c r="BD331" s="1727">
        <v>11</v>
      </c>
    </row>
    <row customHeight="1" ht="11.549999999999999">
      <c r="A332" s="1090"/>
      <c r="B332" s="1727"/>
      <c r="D332" s="1727"/>
      <c r="AE332" s="4586"/>
      <c r="AF332" s="4586"/>
      <c r="AG332" s="4586"/>
      <c r="AI332" s="1727"/>
      <c r="AL332" s="1727"/>
      <c r="AM332" s="1727"/>
      <c r="AN332" s="1727"/>
      <c r="AO332" s="1727"/>
      <c r="AQ332" s="1727"/>
      <c r="AR332" s="1727"/>
      <c r="AS332" s="1727"/>
      <c r="AT332" s="1727"/>
      <c r="AU332" s="1727"/>
      <c r="AV332" s="1727"/>
      <c r="AW332" s="1727"/>
      <c r="AX332" s="1727"/>
      <c r="AY332" s="1727"/>
      <c r="AZ332" s="1727"/>
      <c r="BA332" s="1727"/>
      <c r="BB332" s="1727"/>
      <c r="BC332" s="1727"/>
      <c r="BD332" s="1727">
        <v>11</v>
      </c>
    </row>
    <row customHeight="1" ht="11.25" hidden="1">
      <c r="A333" s="1087" t="s">
        <v>82</v>
      </c>
      <c r="B333" s="1256">
        <v>0</v>
      </c>
      <c r="C333" s="1732">
        <v>0</v>
      </c>
      <c r="D333" s="1731">
        <v>3</v>
      </c>
      <c r="E333" s="1727">
        <v>7</v>
      </c>
      <c r="F333" s="1727">
        <v>54</v>
      </c>
      <c r="G333" s="1727">
        <v>10</v>
      </c>
      <c r="H333" s="1727">
        <v>0</v>
      </c>
      <c r="I333" s="1727">
        <v>40</v>
      </c>
      <c r="J333" s="1731">
        <v>0</v>
      </c>
      <c r="K333" s="1731">
        <v>0</v>
      </c>
      <c r="L333" s="1731">
        <v>0</v>
      </c>
      <c r="M333" s="1731">
        <v>0</v>
      </c>
      <c r="N333" s="1731">
        <v>0</v>
      </c>
      <c r="O333" s="1731">
        <v>0</v>
      </c>
      <c r="P333" s="1731">
        <v>0</v>
      </c>
      <c r="Q333" s="1731">
        <v>0</v>
      </c>
      <c r="R333" s="1731">
        <v>0</v>
      </c>
      <c r="S333" s="1731">
        <v>0</v>
      </c>
      <c r="T333" s="1731">
        <v>0</v>
      </c>
      <c r="U333" s="1731">
        <v>0</v>
      </c>
      <c r="V333" s="1731">
        <v>0</v>
      </c>
      <c r="W333" s="1731">
        <v>0</v>
      </c>
      <c r="X333" s="1731">
        <v>0</v>
      </c>
      <c r="Y333" s="1731">
        <v>0</v>
      </c>
      <c r="Z333" s="1731">
        <v>0</v>
      </c>
      <c r="AA333" s="1731">
        <v>0</v>
      </c>
      <c r="AB333" s="1731">
        <v>0</v>
      </c>
      <c r="AC333" s="1731">
        <v>0</v>
      </c>
      <c r="AD333" s="1731">
        <v>0</v>
      </c>
      <c r="AE333" s="4586">
        <v>0</v>
      </c>
      <c r="AF333" s="4586">
        <v>0</v>
      </c>
      <c r="AG333" s="4586">
        <v>0</v>
      </c>
      <c r="AH333" s="1727">
        <v>102</v>
      </c>
      <c r="AI333" s="1256">
        <v>9</v>
      </c>
      <c r="AJ333" s="1732">
        <v>5</v>
      </c>
      <c r="AK333" s="1732">
        <v>3</v>
      </c>
      <c r="AL333" s="1256">
        <v>3</v>
      </c>
      <c r="AM333" s="1256">
        <v>3</v>
      </c>
      <c r="AN333" s="1256">
        <v>3</v>
      </c>
      <c r="AO333" s="1256">
        <v>3</v>
      </c>
      <c r="AP333" s="1732">
        <v>10</v>
      </c>
      <c r="AQ333" s="1256">
        <v>34</v>
      </c>
      <c r="AR333" s="1256">
        <v>9</v>
      </c>
      <c r="AS333" s="651">
        <v>8</v>
      </c>
      <c r="AT333" s="1256">
        <v>8</v>
      </c>
      <c r="AU333" s="1256">
        <v>8</v>
      </c>
      <c r="AV333" s="1256">
        <v>8</v>
      </c>
      <c r="AW333" s="1256">
        <v>8</v>
      </c>
      <c r="AX333" s="1256">
        <v>8</v>
      </c>
      <c r="AY333" s="1728">
        <v>8</v>
      </c>
      <c r="AZ333" s="1728">
        <v>8</v>
      </c>
      <c r="BA333" s="1728">
        <v>8</v>
      </c>
      <c r="BB333" s="1728">
        <v>8</v>
      </c>
      <c r="BC333" s="1728">
        <v>8</v>
      </c>
      <c r="BD333" s="1727">
        <v>11</v>
      </c>
    </row>
  </sheetData>
  <sheetProtection formatColumns="0" formatRows="0" autoFilter="0" sort="0" insertRows="0" insertColumns="1" deleteRows="0" deleteColumns="0"/>
  <mergeCells count="23">
    <mergeCell ref="B64:B69"/>
    <mergeCell ref="B2:B7"/>
    <mergeCell ref="AH25:AH29"/>
    <mergeCell ref="F25:G25"/>
    <mergeCell ref="F26:G26"/>
    <mergeCell ref="F27:G27"/>
    <mergeCell ref="E28:G28"/>
    <mergeCell ref="A150:A160"/>
    <mergeCell ref="E21:I21"/>
    <mergeCell ref="E22:I22"/>
    <mergeCell ref="A33:A70"/>
    <mergeCell ref="B34:B39"/>
    <mergeCell ref="A71:A73"/>
    <mergeCell ref="A97:A98"/>
    <mergeCell ref="A112:A120"/>
    <mergeCell ref="A121:A125"/>
    <mergeCell ref="A126:A128"/>
    <mergeCell ref="A129:A141"/>
    <mergeCell ref="A145:A149"/>
    <mergeCell ref="B40:B45"/>
    <mergeCell ref="B46:B51"/>
    <mergeCell ref="B52:B57"/>
    <mergeCell ref="B58:B63"/>
  </mergeCells>
  <dataValidations count="12">
    <dataValidation allowBlank="1" showInputMessage="1" showErrorMessage="1" prompt="Для выбора выполните двойной щелчок левой клавиши мыши по соответствующей ячейке." sqref="H96:AG96 H98:AG98"/>
    <dataValidation type="decimal" allowBlank="1" showErrorMessage="1" errorTitle="Ошибка" error="Введите значение от 0 до 100%" sqref="H125:AG125 H120:AG120">
      <formula1>0</formula1>
      <formula2>100</formula2>
    </dataValidation>
    <dataValidation type="decimal" allowBlank="1" showErrorMessage="1" errorTitle="Ошибка" error="Допускается ввод только действительных чисел!" sqref="H134:AG134 H105:AG110 H156:AG156 H150:AG150 H153:AG153">
      <formula1>-9.99999999999999E+37</formula1>
      <formula2>9.99999999999999E+37</formula2>
    </dataValidation>
    <dataValidation type="decimal" allowBlank="1" showErrorMessage="1" errorTitle="Ошибка" error="Допускается ввод только действительных чисел!" sqref="H102:AG10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11:AG111 H158:AG160">
      <formula1>900</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G123">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52 F58 F64">
      <formula1>kind_of_fuels</formula1>
    </dataValidation>
    <dataValidation type="decimal" allowBlank="1" showErrorMessage="1" errorTitle="Ошибка" error="Допускается ввод только неотрицательных чисел!" sqref="H42:AG44 H48:AG50 H54:AG56 H60:AG62 H66:AG68 H135:AG149 H126:AG133 H118:AG119 H104:AG104 H4:AG6 H15:AG15 H9:AG13 H17:AG17 H112:AG116 H70:AG95 H35:AG38 H32:AG33 H30:AG30 H157:AG157 H121:AG124 H99:AG99 H97:AG97">
      <formula1>0</formula1>
      <formula2>9.99999999999999E+23</formula2>
    </dataValidation>
    <dataValidation type="textLength" operator="lessThanOrEqual" allowBlank="1" showInputMessage="1" showErrorMessage="1" errorTitle="Ошибка" error="Допускается ввод не более 900 символов!" sqref="G4 H39:AG39 G42 G48 G54 G60 G66 H34:AG34">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100:AG100">
      <formula1>900</formula1>
    </dataValidation>
    <dataValidation type="list" allowBlank="1" showInputMessage="1" showErrorMessage="1" errorTitle="Ошибка" error="Выберите значение из списка" prompt="Выберите значение из списка" sqref="H45:AG45 H51:AG51 H57:AG57 H63:AG63 H69:AG69 H7:AG7">
      <formula1>kind_of_purchase_method</formula1>
    </dataValidation>
  </dataValidations>
  <hyperlinks>
    <hyperlink ref="AE111" r:id="rId1" xr:uid="{32567B52-A188-CB41-8C6B-96B1D58D2C3E}"/>
    <hyperlink ref="AF111" r:id="rId2" xr:uid="{6D8DF5AE-7D7C-C72B-B32A-21AC363CA9C1}"/>
    <hyperlink ref="AG111" r:id="rId3" xr:uid="{7D1C9356-0BFD-6FB6-0458-1B9F0F9DD39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25AA7-8312-97F2-5305-FC92C7AB89DB}" mc:Ignorable="x14ac xr xr2 xr3">
  <sheetPr>
    <tabColor theme="9" tint="-0.25"/>
  </sheetPr>
  <dimension ref="A1:CF335"/>
  <sheetViews>
    <sheetView topLeftCell="A1" showGridLines="0" zoomScale="90" workbookViewId="0">
      <selection activeCell="A320" sqref="A320:CF328"/>
    </sheetView>
  </sheetViews>
  <sheetFormatPr defaultColWidth="9.140625" customHeight="1" defaultRowHeight="11.25"/>
  <cols>
    <col min="1" max="1" style="11752" width="14.7109375" hidden="1" customWidth="1"/>
    <col min="2" max="2" style="10196" width="17.00390625" hidden="1" customWidth="1"/>
    <col min="3" max="3" style="10232" width="3.00390625" customWidth="1"/>
    <col min="4" max="4" style="10232" width="1.8515625" hidden="1" customWidth="1"/>
    <col min="5" max="6" style="10232" width="7.00390625" customWidth="1"/>
    <col min="7" max="7" style="10232" width="29.00390625" customWidth="1"/>
    <col min="8" max="8" style="10232" width="3.7109375" customWidth="1"/>
    <col min="9" max="9" style="10232" width="5.00390625" customWidth="1"/>
    <col min="10" max="11" style="10232" width="24.00390625" customWidth="1"/>
    <col min="12" max="12" style="10232" width="3.00390625" customWidth="1"/>
    <col min="13" max="13" style="10232" width="6.00390625" customWidth="1"/>
    <col min="14" max="14" style="10232" width="25.00390625" customWidth="1"/>
    <col min="15" max="18" style="10232" width="18.00390625" customWidth="1"/>
    <col min="19" max="19" style="10232" width="93.00390625" customWidth="1"/>
    <col min="20" max="20" style="10232" width="10.00390625" customWidth="1"/>
    <col min="21" max="21" style="10307" width="10.00390625" customWidth="1"/>
    <col min="22" max="22" style="10307" width="11.00390625" customWidth="1"/>
    <col min="23" max="27" style="10196" width="10.00390625" customWidth="1"/>
    <col min="28" max="83" style="10232" width="8.00390625" customWidth="1"/>
    <col min="84" max="84" style="10232" width="9.140625" hidden="1"/>
  </cols>
  <sheetData>
    <row customHeight="1" ht="22.5" hidden="1">
      <c r="CF1" s="612" t="s">
        <v>14</v>
      </c>
    </row>
    <row customHeight="1" ht="11.25" hidden="1">
      <c r="CF2" s="612">
        <v>0</v>
      </c>
    </row>
    <row customHeight="1" ht="11.25" hidden="1">
      <c r="CF3" s="612">
        <v>0</v>
      </c>
    </row>
    <row customHeight="1" ht="3">
      <c r="C4" s="616"/>
      <c r="D4" s="616"/>
      <c r="E4" s="616"/>
      <c r="F4" s="616"/>
      <c r="G4" s="616"/>
      <c r="H4" s="616"/>
      <c r="I4" s="616"/>
      <c r="J4" s="616"/>
      <c r="K4" s="274"/>
      <c r="L4" s="274"/>
      <c r="M4" s="274"/>
      <c r="CF4" s="612">
        <v>3</v>
      </c>
    </row>
    <row customHeight="1" ht="29.25">
      <c r="C5" s="616"/>
      <c r="D5" s="1157"/>
      <c r="E5" s="3096" t="str">
        <f>FHD20_NAME_FORM</f>
        <v>Форма 11. Информация о расходах на капитальный и текущий ремонт основных средств</v>
      </c>
      <c r="F5" s="3096"/>
      <c r="G5" s="3096"/>
      <c r="H5" s="3096"/>
      <c r="I5" s="3096"/>
      <c r="J5" s="3096"/>
      <c r="K5" s="3096"/>
      <c r="L5" s="720"/>
      <c r="M5" s="720"/>
      <c r="CF5" s="612">
        <v>28</v>
      </c>
    </row>
    <row s="10232" customFormat="1" customHeight="1" ht="16.8">
      <c r="A6" s="717"/>
      <c r="B6" s="864"/>
      <c r="C6" s="616"/>
      <c r="D6" s="1158"/>
      <c r="E6" s="3069" t="str">
        <f>IF(org=0,"Не определено",org)</f>
        <v>АО "ДГК"</v>
      </c>
      <c r="F6" s="3069"/>
      <c r="G6" s="3069"/>
      <c r="H6" s="3069"/>
      <c r="I6" s="3069"/>
      <c r="J6" s="3069"/>
      <c r="K6" s="3069"/>
      <c r="L6" s="720"/>
      <c r="M6" s="720"/>
      <c r="U6" s="718"/>
      <c r="V6" s="718"/>
      <c r="W6" s="719"/>
      <c r="X6" s="864"/>
      <c r="Y6" s="864"/>
      <c r="Z6" s="864"/>
      <c r="AA6" s="864"/>
      <c r="CF6" s="863">
        <v>16</v>
      </c>
    </row>
    <row customHeight="1" ht="11.549999999999999">
      <c r="C7" s="616"/>
      <c r="D7" s="616"/>
      <c r="E7" s="616"/>
      <c r="F7" s="616"/>
      <c r="G7" s="629"/>
      <c r="H7" s="629"/>
      <c r="I7" s="629"/>
      <c r="J7" s="629"/>
      <c r="K7" s="721"/>
      <c r="L7" s="721"/>
      <c r="M7" s="721"/>
      <c r="R7" s="859"/>
      <c r="CF7" s="612">
        <v>11</v>
      </c>
    </row>
    <row s="10851" customFormat="1" customHeight="1" ht="4.2">
      <c r="A8" s="728"/>
      <c r="B8" s="673"/>
      <c r="C8" s="458"/>
      <c r="D8" s="458"/>
      <c r="E8" s="458"/>
      <c r="F8" s="458"/>
      <c r="G8" s="1075"/>
      <c r="H8" s="1075"/>
      <c r="I8" s="1075"/>
      <c r="J8" s="1075"/>
      <c r="K8" s="1118"/>
      <c r="L8" s="1118"/>
      <c r="M8" s="1118"/>
      <c r="R8" s="1119"/>
      <c r="U8" s="718"/>
      <c r="V8" s="718"/>
      <c r="W8" s="729"/>
      <c r="X8" s="673"/>
      <c r="Y8" s="673"/>
      <c r="Z8" s="673"/>
      <c r="AA8" s="673"/>
      <c r="CF8" s="603">
        <v>4</v>
      </c>
    </row>
    <row customHeight="1" ht="19.95">
      <c r="D9" s="397"/>
      <c r="E9" s="2959" t="s">
        <v>385</v>
      </c>
      <c r="F9" s="2965"/>
      <c r="G9" s="2965"/>
      <c r="H9" s="2965"/>
      <c r="I9" s="2965"/>
      <c r="J9" s="2965"/>
      <c r="K9" s="2965"/>
      <c r="L9" s="2965"/>
      <c r="M9" s="2965"/>
      <c r="N9" s="2965"/>
      <c r="O9" s="2965"/>
      <c r="P9" s="2965"/>
      <c r="Q9" s="2965"/>
      <c r="R9" s="2958"/>
      <c r="S9" s="2978" t="s">
        <v>386</v>
      </c>
      <c r="T9" s="442"/>
      <c r="CF9" s="612">
        <v>19</v>
      </c>
    </row>
    <row customHeight="1" ht="48.29999999999999">
      <c r="D10" s="658" t="s">
        <v>88</v>
      </c>
      <c r="E10" s="2978" t="s">
        <v>88</v>
      </c>
      <c r="F10" s="2978"/>
      <c r="G10" s="628" t="s">
        <v>387</v>
      </c>
      <c r="H10" s="2978" t="s">
        <v>88</v>
      </c>
      <c r="I10" s="2978"/>
      <c r="J10" s="628" t="s">
        <v>697</v>
      </c>
      <c r="K10" s="628" t="s">
        <v>698</v>
      </c>
      <c r="L10" s="2978" t="s">
        <v>88</v>
      </c>
      <c r="M10" s="2978"/>
      <c r="N10" s="628" t="s">
        <v>699</v>
      </c>
      <c r="O10" s="628" t="s">
        <v>700</v>
      </c>
      <c r="P10" s="628" t="s">
        <v>701</v>
      </c>
      <c r="Q10" s="628" t="s">
        <v>702</v>
      </c>
      <c r="R10" s="628" t="s">
        <v>703</v>
      </c>
      <c r="S10" s="2978"/>
      <c r="T10" s="442"/>
      <c r="CF10" s="612">
        <v>46</v>
      </c>
    </row>
    <row s="10307" customFormat="1" customHeight="1" ht="15">
      <c r="A11" s="1152"/>
      <c r="D11" s="1125" t="s">
        <v>144</v>
      </c>
      <c r="E11" s="1125"/>
      <c r="F11" s="1125" t="s">
        <v>102</v>
      </c>
      <c r="G11" s="1125" t="s">
        <v>90</v>
      </c>
      <c r="H11" s="1125"/>
      <c r="I11" s="1125" t="s">
        <v>91</v>
      </c>
      <c r="J11" s="1125" t="s">
        <v>121</v>
      </c>
      <c r="K11" s="1125" t="s">
        <v>92</v>
      </c>
      <c r="L11" s="1125"/>
      <c r="M11" s="1125" t="s">
        <v>93</v>
      </c>
      <c r="N11" s="1125" t="s">
        <v>136</v>
      </c>
      <c r="O11" s="1125" t="s">
        <v>235</v>
      </c>
      <c r="P11" s="1125" t="s">
        <v>236</v>
      </c>
      <c r="Q11" s="1125" t="s">
        <v>237</v>
      </c>
      <c r="R11" s="1125" t="s">
        <v>238</v>
      </c>
      <c r="S11" s="1125" t="s">
        <v>239</v>
      </c>
      <c r="U11" s="718"/>
      <c r="V11" s="718"/>
      <c r="W11" s="718"/>
      <c r="CF11" s="618">
        <v>0</v>
      </c>
    </row>
    <row s="10232" customFormat="1" customHeight="1" ht="1.05">
      <c r="A12" s="722"/>
      <c r="B12" s="469"/>
      <c r="D12" s="655"/>
      <c r="E12" s="454"/>
      <c r="F12" s="454"/>
      <c r="Q12" s="723"/>
      <c r="R12" s="724"/>
      <c r="T12" s="725"/>
      <c r="U12" s="726"/>
      <c r="V12" s="726"/>
      <c r="W12" s="727"/>
      <c r="X12" s="469"/>
      <c r="Y12" s="469"/>
      <c r="Z12" s="469"/>
      <c r="AA12" s="469"/>
      <c r="CF12" s="616">
        <v>1</v>
      </c>
    </row>
    <row s="10851" customFormat="1" customHeight="1" ht="1.05">
      <c r="A13" s="728"/>
      <c r="B13" s="673"/>
      <c r="D13" s="655" t="s">
        <v>461</v>
      </c>
      <c r="E13" s="667"/>
      <c r="F13" s="667"/>
      <c r="G13" s="667"/>
      <c r="H13" s="667"/>
      <c r="I13" s="667"/>
      <c r="J13" s="667"/>
      <c r="K13" s="667"/>
      <c r="L13" s="667"/>
      <c r="M13" s="667"/>
      <c r="N13" s="667"/>
      <c r="O13" s="667"/>
      <c r="P13" s="667"/>
      <c r="Q13" s="667"/>
      <c r="R13" s="667"/>
      <c r="T13" s="442"/>
      <c r="U13" s="718"/>
      <c r="V13" s="718"/>
      <c r="W13" s="729"/>
      <c r="X13" s="673"/>
      <c r="Y13" s="673"/>
      <c r="Z13" s="673"/>
      <c r="AA13" s="673"/>
      <c r="CF13" s="603">
        <v>1</v>
      </c>
    </row>
    <row s="10365" customFormat="1" customHeight="1" ht="15">
      <c r="A14" s="730" t="s">
        <v>150</v>
      </c>
      <c r="B14" s="731"/>
      <c r="C14" s="731"/>
      <c r="D14" s="3208" t="s">
        <v>144</v>
      </c>
      <c r="E14" s="3215" t="s">
        <v>140</v>
      </c>
      <c r="F14" s="3216"/>
      <c r="G14" s="3217"/>
      <c r="H14" s="3211"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3211"/>
      <c r="J14" s="3211"/>
      <c r="K14" s="3211"/>
      <c r="L14" s="3211"/>
      <c r="M14" s="3211"/>
      <c r="N14" s="3211"/>
      <c r="O14" s="3211"/>
      <c r="P14" s="3211"/>
      <c r="Q14" s="3211"/>
      <c r="R14" s="3211"/>
      <c r="S14" s="826"/>
      <c r="T14" s="823"/>
      <c r="U14" s="732"/>
      <c r="V14" s="732"/>
      <c r="W14" s="733"/>
      <c r="X14" s="733"/>
      <c r="Y14" s="733"/>
      <c r="Z14" s="733"/>
      <c r="AA14" s="734"/>
      <c r="AB14" s="735"/>
      <c r="AC14" s="3214"/>
      <c r="AD14" s="736"/>
      <c r="AE14" s="737" t="s">
        <v>22</v>
      </c>
      <c r="AF14" s="737"/>
      <c r="AG14" s="738" t="s">
        <v>704</v>
      </c>
      <c r="AH14" s="739">
        <v>3</v>
      </c>
      <c r="AI14" s="732"/>
      <c r="AJ14" s="732"/>
      <c r="AK14" s="732"/>
      <c r="AL14" s="732"/>
      <c r="AM14" s="732"/>
      <c r="AN14" s="732"/>
      <c r="AO14" s="732"/>
      <c r="AP14" s="732"/>
      <c r="AQ14" s="732"/>
      <c r="AR14" s="732"/>
      <c r="AS14" s="732"/>
      <c r="AT14" s="732"/>
      <c r="AU14" s="732"/>
      <c r="AV14" s="732"/>
      <c r="AW14" s="732"/>
      <c r="AX14" s="732"/>
      <c r="AY14" s="732"/>
      <c r="AZ14" s="732"/>
      <c r="BA14" s="732"/>
      <c r="BB14" s="732"/>
      <c r="BC14" s="732"/>
      <c r="BD14" s="732"/>
      <c r="BE14" s="732"/>
      <c r="BF14" s="732"/>
      <c r="BG14" s="732"/>
      <c r="BH14" s="732"/>
      <c r="BI14" s="732"/>
      <c r="BJ14" s="732"/>
      <c r="BK14" s="732"/>
      <c r="BL14" s="732"/>
      <c r="BM14" s="732"/>
      <c r="BN14" s="732"/>
      <c r="BO14" s="732"/>
      <c r="BP14" s="732"/>
      <c r="BQ14" s="732"/>
      <c r="BR14" s="732"/>
      <c r="BS14" s="732"/>
      <c r="BT14" s="732"/>
      <c r="BU14" s="732"/>
      <c r="BV14" s="733"/>
      <c r="BW14" s="733"/>
      <c r="BX14" s="733"/>
      <c r="BY14" s="733"/>
      <c r="BZ14" s="733"/>
      <c r="CA14" s="733"/>
      <c r="CB14" s="733"/>
      <c r="CC14" s="733"/>
      <c r="CD14" s="733"/>
      <c r="CE14" s="733"/>
      <c r="CF14" s="401">
        <v>0</v>
      </c>
    </row>
    <row s="10365" customFormat="1" customHeight="1" ht="15">
      <c r="A15" s="730"/>
      <c r="B15" s="731"/>
      <c r="C15" s="731"/>
      <c r="D15" s="3209"/>
      <c r="E15" s="3215" t="s">
        <v>649</v>
      </c>
      <c r="F15" s="3216"/>
      <c r="G15" s="3217"/>
      <c r="H15" s="3211" t="str">
        <f>IF(A14="","",INDEX(DIFFERENTIATION_UNMERGE_AREA,MATCH(A14,DIFFERENTIATION_ID_DIFF,0)))</f>
        <v>Территория 1</v>
      </c>
      <c r="I15" s="3211"/>
      <c r="J15" s="3211"/>
      <c r="K15" s="3211"/>
      <c r="L15" s="3211"/>
      <c r="M15" s="3211"/>
      <c r="N15" s="3211"/>
      <c r="O15" s="3211"/>
      <c r="P15" s="3211"/>
      <c r="Q15" s="3211"/>
      <c r="R15" s="3211"/>
      <c r="S15" s="826"/>
      <c r="T15" s="823"/>
      <c r="U15" s="732"/>
      <c r="V15" s="732"/>
      <c r="W15" s="733"/>
      <c r="X15" s="733"/>
      <c r="Y15" s="733"/>
      <c r="Z15" s="733"/>
      <c r="AA15" s="734"/>
      <c r="AB15" s="735"/>
      <c r="AC15" s="3214"/>
      <c r="AD15" s="736"/>
      <c r="AE15" s="737"/>
      <c r="AF15" s="737"/>
      <c r="AG15" s="738"/>
      <c r="AH15" s="739"/>
      <c r="AI15" s="732"/>
      <c r="AJ15" s="732"/>
      <c r="AK15" s="732"/>
      <c r="AL15" s="732"/>
      <c r="AM15" s="732"/>
      <c r="AN15" s="732"/>
      <c r="AO15" s="732"/>
      <c r="AP15" s="732"/>
      <c r="AQ15" s="732"/>
      <c r="AR15" s="732"/>
      <c r="AS15" s="732"/>
      <c r="AT15" s="732"/>
      <c r="AU15" s="732"/>
      <c r="AV15" s="732"/>
      <c r="AW15" s="732"/>
      <c r="AX15" s="732"/>
      <c r="AY15" s="732"/>
      <c r="AZ15" s="732"/>
      <c r="BA15" s="732"/>
      <c r="BB15" s="732"/>
      <c r="BC15" s="732"/>
      <c r="BD15" s="732"/>
      <c r="BE15" s="732"/>
      <c r="BF15" s="732"/>
      <c r="BG15" s="732"/>
      <c r="BH15" s="732"/>
      <c r="BI15" s="732"/>
      <c r="BJ15" s="732"/>
      <c r="BK15" s="732"/>
      <c r="BL15" s="732"/>
      <c r="BM15" s="732"/>
      <c r="BN15" s="732"/>
      <c r="BO15" s="732"/>
      <c r="BP15" s="732"/>
      <c r="BQ15" s="732"/>
      <c r="BR15" s="732"/>
      <c r="BS15" s="732"/>
      <c r="BT15" s="732"/>
      <c r="BU15" s="732"/>
      <c r="BV15" s="733"/>
      <c r="BW15" s="733"/>
      <c r="BX15" s="733"/>
      <c r="BY15" s="733"/>
      <c r="BZ15" s="733"/>
      <c r="CA15" s="733"/>
      <c r="CB15" s="733"/>
      <c r="CC15" s="733"/>
      <c r="CD15" s="733"/>
      <c r="CE15" s="733"/>
      <c r="CF15" s="401">
        <v>0</v>
      </c>
    </row>
    <row s="10365" customFormat="1" customHeight="1" ht="15">
      <c r="A16" s="730"/>
      <c r="B16" s="731"/>
      <c r="C16" s="731"/>
      <c r="D16" s="3209"/>
      <c r="E16" s="3215" t="s">
        <v>650</v>
      </c>
      <c r="F16" s="3216"/>
      <c r="G16" s="3217"/>
      <c r="H16" s="3211" t="str">
        <f>IF(A14="","",INDEX(DIFFERENTIATION_UNMERGE_SYSTEM,MATCH(A14,DIFFERENTIATION_ID_DIFF,0)))</f>
        <v>Хабаровская ТЭЦ - 1</v>
      </c>
      <c r="I16" s="3211"/>
      <c r="J16" s="3211"/>
      <c r="K16" s="3211"/>
      <c r="L16" s="3211"/>
      <c r="M16" s="3211"/>
      <c r="N16" s="3211"/>
      <c r="O16" s="3211"/>
      <c r="P16" s="3211"/>
      <c r="Q16" s="3211"/>
      <c r="R16" s="3211"/>
      <c r="S16" s="826"/>
      <c r="T16" s="823"/>
      <c r="U16" s="732"/>
      <c r="V16" s="732"/>
      <c r="W16" s="733"/>
      <c r="X16" s="733"/>
      <c r="Y16" s="733"/>
      <c r="Z16" s="733"/>
      <c r="AA16" s="734"/>
      <c r="AB16" s="735"/>
      <c r="AC16" s="3214"/>
      <c r="AD16" s="736"/>
      <c r="AE16" s="737"/>
      <c r="AF16" s="737"/>
      <c r="AG16" s="738"/>
      <c r="AH16" s="739"/>
      <c r="AI16" s="732"/>
      <c r="AJ16" s="732"/>
      <c r="AK16" s="732"/>
      <c r="AL16" s="732"/>
      <c r="AM16" s="732"/>
      <c r="AN16" s="732"/>
      <c r="AO16" s="732"/>
      <c r="AP16" s="732"/>
      <c r="AQ16" s="732"/>
      <c r="AR16" s="732"/>
      <c r="AS16" s="732"/>
      <c r="AT16" s="732"/>
      <c r="AU16" s="732"/>
      <c r="AV16" s="732"/>
      <c r="AW16" s="732"/>
      <c r="AX16" s="732"/>
      <c r="AY16" s="732"/>
      <c r="AZ16" s="732"/>
      <c r="BA16" s="732"/>
      <c r="BB16" s="732"/>
      <c r="BC16" s="732"/>
      <c r="BD16" s="732"/>
      <c r="BE16" s="732"/>
      <c r="BF16" s="732"/>
      <c r="BG16" s="732"/>
      <c r="BH16" s="732"/>
      <c r="BI16" s="732"/>
      <c r="BJ16" s="732"/>
      <c r="BK16" s="732"/>
      <c r="BL16" s="732"/>
      <c r="BM16" s="732"/>
      <c r="BN16" s="732"/>
      <c r="BO16" s="732"/>
      <c r="BP16" s="732"/>
      <c r="BQ16" s="732"/>
      <c r="BR16" s="732"/>
      <c r="BS16" s="732"/>
      <c r="BT16" s="732"/>
      <c r="BU16" s="732"/>
      <c r="BV16" s="733"/>
      <c r="BW16" s="733"/>
      <c r="BX16" s="733"/>
      <c r="BY16" s="733"/>
      <c r="BZ16" s="733"/>
      <c r="CA16" s="733"/>
      <c r="CB16" s="733"/>
      <c r="CC16" s="733"/>
      <c r="CD16" s="733"/>
      <c r="CE16" s="733"/>
      <c r="CF16" s="401">
        <v>0</v>
      </c>
    </row>
    <row s="10365" customFormat="1" customHeight="1" ht="22.5">
      <c r="A17" s="740"/>
      <c r="B17" s="524"/>
      <c r="C17" s="519"/>
      <c r="D17" s="3209"/>
      <c r="E17" s="3213" t="s">
        <v>705</v>
      </c>
      <c r="F17" s="3213"/>
      <c r="G17" s="3213"/>
      <c r="H17" s="3213"/>
      <c r="I17" s="3213"/>
      <c r="J17" s="3213"/>
      <c r="K17" s="3213"/>
      <c r="L17" s="3213"/>
      <c r="M17" s="3213"/>
      <c r="N17" s="3213"/>
      <c r="O17" s="3213"/>
      <c r="P17" s="3213"/>
      <c r="Q17" s="665">
        <f>SUMIF(T18:T19,"i",Q18:Q19)</f>
        <v>0</v>
      </c>
      <c r="R17" s="1117"/>
      <c r="S17" s="997" t="s">
        <v>706</v>
      </c>
      <c r="T17" s="824" t="s">
        <v>707</v>
      </c>
      <c r="U17" s="3119">
        <v>1</v>
      </c>
      <c r="V17" s="3119" t="str">
        <f>INDEX(B_FHD_FLAG_INDEX_1,1,MATCH($A$14,B_FHD_FLAG_DIFFERENTIATION,0))</f>
        <v>отсутствует</v>
      </c>
      <c r="W17" s="524"/>
      <c r="X17" s="524"/>
      <c r="Y17" s="524"/>
      <c r="Z17" s="524"/>
      <c r="AA17" s="618"/>
      <c r="AB17" s="524"/>
      <c r="AC17" s="3214"/>
      <c r="AD17" s="736"/>
      <c r="AE17" s="524"/>
      <c r="AF17" s="524"/>
      <c r="AG17" s="618"/>
      <c r="AH17" s="618"/>
      <c r="AI17" s="618"/>
      <c r="AJ17" s="618"/>
      <c r="AK17" s="618"/>
      <c r="AL17" s="618"/>
      <c r="AM17" s="618"/>
      <c r="AN17" s="618"/>
      <c r="AO17" s="618"/>
      <c r="AP17" s="618"/>
      <c r="AQ17" s="618"/>
      <c r="AR17" s="618"/>
      <c r="AS17" s="618"/>
      <c r="AT17" s="618"/>
      <c r="AU17" s="618"/>
      <c r="AV17" s="618"/>
      <c r="AW17" s="618"/>
      <c r="AX17" s="618"/>
      <c r="AY17" s="618"/>
      <c r="AZ17" s="618"/>
      <c r="BA17" s="618"/>
      <c r="BB17" s="618"/>
      <c r="BC17" s="618"/>
      <c r="BD17" s="618"/>
      <c r="BE17" s="618"/>
      <c r="BF17" s="618"/>
      <c r="BG17" s="618"/>
      <c r="BH17" s="618"/>
      <c r="BI17" s="618"/>
      <c r="BJ17" s="618"/>
      <c r="BK17" s="618"/>
      <c r="BL17" s="618"/>
      <c r="BM17" s="618"/>
      <c r="BN17" s="618"/>
      <c r="BO17" s="618"/>
      <c r="BP17" s="618"/>
      <c r="BQ17" s="618"/>
      <c r="BR17" s="618"/>
      <c r="BS17" s="618"/>
      <c r="BT17" s="618"/>
      <c r="BU17" s="618"/>
      <c r="BV17" s="524"/>
      <c r="BW17" s="524"/>
      <c r="BX17" s="524"/>
      <c r="BY17" s="524"/>
      <c r="BZ17" s="524"/>
      <c r="CA17" s="524"/>
      <c r="CB17" s="524"/>
      <c r="CC17" s="524"/>
      <c r="CD17" s="524"/>
      <c r="CE17" s="524"/>
      <c r="CF17" s="401">
        <v>0</v>
      </c>
    </row>
    <row s="10365" customFormat="1" customHeight="1" ht="11.25" hidden="1">
      <c r="A18" s="741"/>
      <c r="B18" s="618"/>
      <c r="C18" s="618"/>
      <c r="D18" s="3209"/>
      <c r="E18" s="742"/>
      <c r="F18" s="742">
        <v>0</v>
      </c>
      <c r="G18" s="742"/>
      <c r="H18" s="742"/>
      <c r="I18" s="742"/>
      <c r="J18" s="742"/>
      <c r="K18" s="742"/>
      <c r="L18" s="742"/>
      <c r="M18" s="742"/>
      <c r="N18" s="742"/>
      <c r="O18" s="742"/>
      <c r="P18" s="742"/>
      <c r="Q18" s="742"/>
      <c r="R18" s="742"/>
      <c r="S18" s="743"/>
      <c r="T18" s="825"/>
      <c r="U18" s="3119"/>
      <c r="V18" s="3119"/>
      <c r="W18" s="618"/>
      <c r="X18" s="618"/>
      <c r="Y18" s="618"/>
      <c r="Z18" s="618"/>
      <c r="AA18" s="618"/>
      <c r="AB18" s="524"/>
      <c r="AC18" s="3214"/>
      <c r="AD18" s="736"/>
      <c r="AE18" s="524"/>
      <c r="AF18" s="524"/>
      <c r="AG18" s="618"/>
      <c r="AH18" s="618"/>
      <c r="AI18" s="618"/>
      <c r="AJ18" s="618"/>
      <c r="AK18" s="618"/>
      <c r="AL18" s="618"/>
      <c r="AM18" s="618"/>
      <c r="AN18" s="618"/>
      <c r="AO18" s="618"/>
      <c r="AP18" s="618"/>
      <c r="AQ18" s="618"/>
      <c r="AR18" s="618"/>
      <c r="AS18" s="618"/>
      <c r="AT18" s="618"/>
      <c r="AU18" s="618"/>
      <c r="AV18" s="618"/>
      <c r="AW18" s="618"/>
      <c r="AX18" s="618"/>
      <c r="AY18" s="618"/>
      <c r="AZ18" s="618"/>
      <c r="BA18" s="618"/>
      <c r="BB18" s="618"/>
      <c r="BC18" s="618"/>
      <c r="BD18" s="618"/>
      <c r="BE18" s="618"/>
      <c r="BF18" s="618"/>
      <c r="BG18" s="618"/>
      <c r="BH18" s="618"/>
      <c r="BI18" s="618"/>
      <c r="BJ18" s="618"/>
      <c r="BK18" s="618"/>
      <c r="BL18" s="618"/>
      <c r="BM18" s="618"/>
      <c r="BN18" s="618"/>
      <c r="BO18" s="618"/>
      <c r="BP18" s="618"/>
      <c r="BQ18" s="618"/>
      <c r="BR18" s="618"/>
      <c r="BS18" s="618"/>
      <c r="BT18" s="618"/>
      <c r="BU18" s="618"/>
      <c r="BV18" s="618"/>
      <c r="BW18" s="618"/>
      <c r="BX18" s="618"/>
      <c r="BY18" s="618"/>
      <c r="BZ18" s="618"/>
      <c r="CA18" s="618"/>
      <c r="CB18" s="618"/>
      <c r="CC18" s="618"/>
      <c r="CD18" s="618"/>
      <c r="CE18" s="618"/>
      <c r="CF18" s="401">
        <v>0</v>
      </c>
    </row>
    <row s="10365" customFormat="1" customHeight="1" ht="11.25">
      <c r="A19" s="740"/>
      <c r="B19" s="524"/>
      <c r="C19" s="519"/>
      <c r="D19" s="3209"/>
      <c r="E19" s="756" t="s">
        <v>22</v>
      </c>
      <c r="F19" s="757" t="s">
        <v>22</v>
      </c>
      <c r="G19" s="757" t="s">
        <v>22</v>
      </c>
      <c r="H19" s="758" t="s">
        <v>22</v>
      </c>
      <c r="I19" s="758"/>
      <c r="J19" s="758"/>
      <c r="K19" s="758"/>
      <c r="L19" s="758"/>
      <c r="M19" s="758"/>
      <c r="N19" s="758"/>
      <c r="O19" s="758"/>
      <c r="P19" s="758"/>
      <c r="Q19" s="758"/>
      <c r="R19" s="759"/>
      <c r="S19" s="1120"/>
      <c r="T19" s="825"/>
      <c r="U19" s="3119"/>
      <c r="V19" s="3119"/>
      <c r="W19" s="524"/>
      <c r="X19" s="524"/>
      <c r="Y19" s="524"/>
      <c r="Z19" s="524"/>
      <c r="AA19" s="618"/>
      <c r="AB19" s="524"/>
      <c r="AC19" s="3214"/>
      <c r="AD19" s="736"/>
      <c r="AE19" s="524"/>
      <c r="AF19" s="524"/>
      <c r="AG19" s="618"/>
      <c r="AH19" s="618"/>
      <c r="AI19" s="618"/>
      <c r="AJ19" s="618"/>
      <c r="AK19" s="618"/>
      <c r="AL19" s="618"/>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8"/>
      <c r="BM19" s="618"/>
      <c r="BN19" s="618"/>
      <c r="BO19" s="618"/>
      <c r="BP19" s="618"/>
      <c r="BQ19" s="618"/>
      <c r="BR19" s="618"/>
      <c r="BS19" s="618"/>
      <c r="BT19" s="618"/>
      <c r="BU19" s="618"/>
      <c r="BV19" s="524"/>
      <c r="BW19" s="524"/>
      <c r="BX19" s="524"/>
      <c r="BY19" s="524"/>
      <c r="BZ19" s="524"/>
      <c r="CA19" s="524"/>
      <c r="CB19" s="524"/>
      <c r="CC19" s="524"/>
      <c r="CD19" s="524"/>
      <c r="CE19" s="524"/>
      <c r="CF19" s="401">
        <v>0</v>
      </c>
    </row>
    <row s="10365" customFormat="1" customHeight="1" ht="22.5">
      <c r="A20" s="740"/>
      <c r="B20" s="524"/>
      <c r="C20" s="519"/>
      <c r="D20" s="3209"/>
      <c r="E20" s="3213" t="s">
        <v>708</v>
      </c>
      <c r="F20" s="3213"/>
      <c r="G20" s="3213"/>
      <c r="H20" s="3213"/>
      <c r="I20" s="3213"/>
      <c r="J20" s="3213"/>
      <c r="K20" s="3213"/>
      <c r="L20" s="3213"/>
      <c r="M20" s="3213"/>
      <c r="N20" s="3213"/>
      <c r="O20" s="3213"/>
      <c r="P20" s="3213"/>
      <c r="Q20" s="665">
        <f>SUMIF(T21:T22,"i",Q21:Q22)</f>
        <v>0</v>
      </c>
      <c r="R20" s="1117"/>
      <c r="S20" s="816" t="s">
        <v>709</v>
      </c>
      <c r="T20" s="824" t="s">
        <v>707</v>
      </c>
      <c r="U20" s="3119">
        <v>2</v>
      </c>
      <c r="V20" s="3119" t="str">
        <f>INDEX(B_FHD_FLAG_INDEX_2,1,MATCH(A14,B_FHD_FLAG_DIFFERENTIATION,0))</f>
        <v>отсутствует</v>
      </c>
      <c r="W20" s="524"/>
      <c r="X20" s="524"/>
      <c r="Y20" s="524"/>
      <c r="Z20" s="524"/>
      <c r="AA20" s="618"/>
      <c r="AB20" s="524"/>
      <c r="AC20" s="813"/>
      <c r="AD20" s="736"/>
      <c r="AE20" s="524"/>
      <c r="AF20" s="524"/>
      <c r="AG20" s="618"/>
      <c r="AH20" s="618"/>
      <c r="AI20" s="618"/>
      <c r="AJ20" s="618"/>
      <c r="AK20" s="618"/>
      <c r="AL20" s="618"/>
      <c r="AM20" s="618"/>
      <c r="AN20" s="618"/>
      <c r="AO20" s="618"/>
      <c r="AP20" s="618"/>
      <c r="AQ20" s="618"/>
      <c r="AR20" s="618"/>
      <c r="AS20" s="618"/>
      <c r="AT20" s="618"/>
      <c r="AU20" s="618"/>
      <c r="AV20" s="618"/>
      <c r="AW20" s="618"/>
      <c r="AX20" s="618"/>
      <c r="AY20" s="618"/>
      <c r="AZ20" s="618"/>
      <c r="BA20" s="618"/>
      <c r="BB20" s="618"/>
      <c r="BC20" s="618"/>
      <c r="BD20" s="618"/>
      <c r="BE20" s="618"/>
      <c r="BF20" s="618"/>
      <c r="BG20" s="618"/>
      <c r="BH20" s="618"/>
      <c r="BI20" s="618"/>
      <c r="BJ20" s="618"/>
      <c r="BK20" s="618"/>
      <c r="BL20" s="618"/>
      <c r="BM20" s="618"/>
      <c r="BN20" s="618"/>
      <c r="BO20" s="618"/>
      <c r="BP20" s="618"/>
      <c r="BQ20" s="618"/>
      <c r="BR20" s="618"/>
      <c r="BS20" s="618"/>
      <c r="BT20" s="618"/>
      <c r="BU20" s="618"/>
      <c r="BV20" s="524"/>
      <c r="BW20" s="524"/>
      <c r="BX20" s="524"/>
      <c r="BY20" s="524"/>
      <c r="BZ20" s="524"/>
      <c r="CA20" s="524"/>
      <c r="CB20" s="524"/>
      <c r="CC20" s="524"/>
      <c r="CD20" s="524"/>
      <c r="CE20" s="524"/>
      <c r="CF20" s="401">
        <v>0</v>
      </c>
    </row>
    <row s="10365" customFormat="1" customHeight="1" ht="11.25" hidden="1">
      <c r="A21" s="815"/>
      <c r="B21" s="618"/>
      <c r="C21" s="618"/>
      <c r="D21" s="3209"/>
      <c r="E21" s="742"/>
      <c r="F21" s="742">
        <v>0</v>
      </c>
      <c r="G21" s="742"/>
      <c r="H21" s="742"/>
      <c r="I21" s="742"/>
      <c r="J21" s="742"/>
      <c r="K21" s="742"/>
      <c r="L21" s="742"/>
      <c r="M21" s="742"/>
      <c r="N21" s="742"/>
      <c r="O21" s="742"/>
      <c r="P21" s="742"/>
      <c r="Q21" s="742"/>
      <c r="R21" s="742"/>
      <c r="S21" s="743"/>
      <c r="T21" s="825"/>
      <c r="U21" s="3119"/>
      <c r="V21" s="3119"/>
      <c r="W21" s="618"/>
      <c r="X21" s="618"/>
      <c r="Y21" s="618"/>
      <c r="Z21" s="618"/>
      <c r="AA21" s="618"/>
      <c r="AB21" s="524"/>
      <c r="AC21" s="813"/>
      <c r="AD21" s="736"/>
      <c r="AE21" s="524"/>
      <c r="AF21" s="524"/>
      <c r="AG21" s="618"/>
      <c r="AH21" s="618"/>
      <c r="AI21" s="618"/>
      <c r="AJ21" s="618"/>
      <c r="AK21" s="618"/>
      <c r="AL21" s="618"/>
      <c r="AM21" s="618"/>
      <c r="AN21" s="618"/>
      <c r="AO21" s="618"/>
      <c r="AP21" s="618"/>
      <c r="AQ21" s="618"/>
      <c r="AR21" s="618"/>
      <c r="AS21" s="618"/>
      <c r="AT21" s="618"/>
      <c r="AU21" s="618"/>
      <c r="AV21" s="618"/>
      <c r="AW21" s="618"/>
      <c r="AX21" s="618"/>
      <c r="AY21" s="618"/>
      <c r="AZ21" s="618"/>
      <c r="BA21" s="618"/>
      <c r="BB21" s="618"/>
      <c r="BC21" s="618"/>
      <c r="BD21" s="618"/>
      <c r="BE21" s="618"/>
      <c r="BF21" s="618"/>
      <c r="BG21" s="618"/>
      <c r="BH21" s="618"/>
      <c r="BI21" s="618"/>
      <c r="BJ21" s="618"/>
      <c r="BK21" s="618"/>
      <c r="BL21" s="618"/>
      <c r="BM21" s="618"/>
      <c r="BN21" s="618"/>
      <c r="BO21" s="618"/>
      <c r="BP21" s="618"/>
      <c r="BQ21" s="618"/>
      <c r="BR21" s="618"/>
      <c r="BS21" s="618"/>
      <c r="BT21" s="618"/>
      <c r="BU21" s="618"/>
      <c r="BV21" s="618"/>
      <c r="BW21" s="618"/>
      <c r="BX21" s="618"/>
      <c r="BY21" s="618"/>
      <c r="BZ21" s="618"/>
      <c r="CA21" s="618"/>
      <c r="CB21" s="618"/>
      <c r="CC21" s="618"/>
      <c r="CD21" s="618"/>
      <c r="CE21" s="618"/>
      <c r="CF21" s="401">
        <v>0</v>
      </c>
    </row>
    <row s="10365" customFormat="1" customHeight="1" ht="11.25">
      <c r="A22" s="740"/>
      <c r="B22" s="524"/>
      <c r="C22" s="519"/>
      <c r="D22" s="3210"/>
      <c r="E22" s="756" t="s">
        <v>22</v>
      </c>
      <c r="F22" s="757" t="s">
        <v>22</v>
      </c>
      <c r="G22" s="757" t="s">
        <v>22</v>
      </c>
      <c r="H22" s="758" t="s">
        <v>22</v>
      </c>
      <c r="I22" s="758"/>
      <c r="J22" s="758"/>
      <c r="K22" s="758"/>
      <c r="L22" s="758"/>
      <c r="M22" s="758"/>
      <c r="N22" s="758"/>
      <c r="O22" s="758"/>
      <c r="P22" s="758"/>
      <c r="Q22" s="758"/>
      <c r="R22" s="759"/>
      <c r="S22" s="1120"/>
      <c r="T22" s="825"/>
      <c r="U22" s="3119"/>
      <c r="V22" s="3119"/>
      <c r="W22" s="524"/>
      <c r="X22" s="524"/>
      <c r="Y22" s="524"/>
      <c r="Z22" s="524"/>
      <c r="AA22" s="618"/>
      <c r="AB22" s="524"/>
      <c r="AC22" s="813"/>
      <c r="AD22" s="736"/>
      <c r="AE22" s="524"/>
      <c r="AF22" s="524"/>
      <c r="AG22" s="618"/>
      <c r="AH22" s="618"/>
      <c r="AI22" s="618"/>
      <c r="AJ22" s="618"/>
      <c r="AK22" s="618"/>
      <c r="AL22" s="618"/>
      <c r="AM22" s="618"/>
      <c r="AN22" s="618"/>
      <c r="AO22" s="618"/>
      <c r="AP22" s="618"/>
      <c r="AQ22" s="618"/>
      <c r="AR22" s="618"/>
      <c r="AS22" s="618"/>
      <c r="AT22" s="618"/>
      <c r="AU22" s="618"/>
      <c r="AV22" s="618"/>
      <c r="AW22" s="618"/>
      <c r="AX22" s="618"/>
      <c r="AY22" s="618"/>
      <c r="AZ22" s="618"/>
      <c r="BA22" s="618"/>
      <c r="BB22" s="618"/>
      <c r="BC22" s="618"/>
      <c r="BD22" s="618"/>
      <c r="BE22" s="618"/>
      <c r="BF22" s="618"/>
      <c r="BG22" s="618"/>
      <c r="BH22" s="618"/>
      <c r="BI22" s="618"/>
      <c r="BJ22" s="618"/>
      <c r="BK22" s="618"/>
      <c r="BL22" s="618"/>
      <c r="BM22" s="618"/>
      <c r="BN22" s="618"/>
      <c r="BO22" s="618"/>
      <c r="BP22" s="618"/>
      <c r="BQ22" s="618"/>
      <c r="BR22" s="618"/>
      <c r="BS22" s="618"/>
      <c r="BT22" s="618"/>
      <c r="BU22" s="618"/>
      <c r="BV22" s="524"/>
      <c r="BW22" s="524"/>
      <c r="BX22" s="524"/>
      <c r="BY22" s="524"/>
      <c r="BZ22" s="524"/>
      <c r="CA22" s="524"/>
      <c r="CB22" s="524"/>
      <c r="CC22" s="524"/>
      <c r="CD22" s="524"/>
      <c r="CE22" s="524"/>
      <c r="CF22" s="401">
        <v>0</v>
      </c>
    </row>
    <row customHeight="1" ht="15" hidden="1">
      <c r="A23" s="730" t="s">
        <v>154</v>
      </c>
      <c r="B23" s="731"/>
      <c r="C23" s="731" t="s">
        <v>22</v>
      </c>
      <c r="D23" s="3218" t="s">
        <v>710</v>
      </c>
      <c r="E23" s="3215" t="s">
        <v>140</v>
      </c>
      <c r="F23" s="3216"/>
      <c r="G23" s="3217"/>
      <c r="H23" s="3211"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v>
      </c>
      <c r="I23" s="3211"/>
      <c r="J23" s="3211"/>
      <c r="K23" s="3211"/>
      <c r="L23" s="3211"/>
      <c r="M23" s="3211"/>
      <c r="N23" s="3211"/>
      <c r="O23" s="3211"/>
      <c r="P23" s="3211"/>
      <c r="Q23" s="3211"/>
      <c r="R23" s="3211"/>
      <c r="S23" s="826"/>
      <c r="T23" s="823"/>
      <c r="U23" s="732"/>
      <c r="V23" s="732"/>
      <c r="W23" s="733"/>
      <c r="X23" s="733"/>
      <c r="Y23" s="733"/>
      <c r="Z23" s="733"/>
      <c r="AA23" s="734"/>
      <c r="AB23" s="735"/>
      <c r="AC23" s="3214"/>
      <c r="AD23" s="736"/>
      <c r="AE23" s="737" t="s">
        <v>22</v>
      </c>
      <c r="AF23" s="737"/>
      <c r="AG23" s="738" t="s">
        <v>704</v>
      </c>
      <c r="AH23" s="739">
        <v>3</v>
      </c>
      <c r="AI23" s="732"/>
      <c r="AJ23" s="732"/>
      <c r="AK23" s="732"/>
      <c r="AL23" s="732"/>
      <c r="AM23" s="732"/>
      <c r="AN23" s="732"/>
      <c r="AO23" s="732"/>
      <c r="AP23" s="732"/>
      <c r="AQ23" s="732"/>
      <c r="AR23" s="732"/>
      <c r="AS23" s="732"/>
      <c r="AT23" s="732"/>
      <c r="AU23" s="732"/>
      <c r="AV23" s="732"/>
      <c r="AW23" s="732"/>
      <c r="AX23" s="732"/>
      <c r="AY23" s="732"/>
      <c r="AZ23" s="732"/>
      <c r="BA23" s="732"/>
      <c r="BB23" s="732"/>
      <c r="BC23" s="732"/>
      <c r="BD23" s="732"/>
      <c r="BE23" s="732"/>
      <c r="BF23" s="732"/>
      <c r="BG23" s="732"/>
      <c r="BH23" s="732"/>
      <c r="BI23" s="732"/>
      <c r="BJ23" s="732"/>
      <c r="BK23" s="732"/>
      <c r="BL23" s="732"/>
      <c r="BM23" s="732"/>
      <c r="BN23" s="732"/>
      <c r="BO23" s="732"/>
      <c r="BP23" s="732"/>
      <c r="BQ23" s="732"/>
      <c r="BR23" s="732"/>
      <c r="BS23" s="732"/>
      <c r="BT23" s="732"/>
      <c r="BU23" s="732"/>
      <c r="BV23" s="733"/>
      <c r="BW23" s="733"/>
      <c r="BX23" s="733"/>
      <c r="BY23" s="733"/>
      <c r="BZ23" s="733"/>
      <c r="CA23" s="733"/>
      <c r="CB23" s="733"/>
      <c r="CC23" s="733"/>
      <c r="CD23" s="733"/>
      <c r="CE23" s="733"/>
      <c r="CF23" s="1944"/>
    </row>
    <row customHeight="1" ht="15" hidden="1">
      <c r="A24" s="730"/>
      <c r="B24" s="731"/>
      <c r="C24" s="731"/>
      <c r="D24" s="3219"/>
      <c r="E24" s="3215" t="s">
        <v>649</v>
      </c>
      <c r="F24" s="3216"/>
      <c r="G24" s="3217"/>
      <c r="H24" s="3211" t="str">
        <f>IF(A23="","",INDEX(DIFFERENTIATION_UNMERGE_AREA,MATCH(A23,DIFFERENTIATION_ID_DIFF,0)))</f>
        <v>Территория 1</v>
      </c>
      <c r="I24" s="3211"/>
      <c r="J24" s="3211"/>
      <c r="K24" s="3211"/>
      <c r="L24" s="3211"/>
      <c r="M24" s="3211"/>
      <c r="N24" s="3211"/>
      <c r="O24" s="3211"/>
      <c r="P24" s="3211"/>
      <c r="Q24" s="3211"/>
      <c r="R24" s="3211"/>
      <c r="S24" s="826"/>
      <c r="T24" s="823"/>
      <c r="U24" s="732"/>
      <c r="V24" s="732"/>
      <c r="W24" s="733"/>
      <c r="X24" s="733"/>
      <c r="Y24" s="733"/>
      <c r="Z24" s="733"/>
      <c r="AA24" s="734"/>
      <c r="AB24" s="735"/>
      <c r="AC24" s="3214"/>
      <c r="AD24" s="736"/>
      <c r="AE24" s="737"/>
      <c r="AF24" s="737"/>
      <c r="AG24" s="738"/>
      <c r="AH24" s="739"/>
      <c r="AI24" s="732"/>
      <c r="AJ24" s="732"/>
      <c r="AK24" s="732"/>
      <c r="AL24" s="732"/>
      <c r="AM24" s="732"/>
      <c r="AN24" s="732"/>
      <c r="AO24" s="732"/>
      <c r="AP24" s="732"/>
      <c r="AQ24" s="732"/>
      <c r="AR24" s="732"/>
      <c r="AS24" s="732"/>
      <c r="AT24" s="732"/>
      <c r="AU24" s="732"/>
      <c r="AV24" s="732"/>
      <c r="AW24" s="732"/>
      <c r="AX24" s="732"/>
      <c r="AY24" s="732"/>
      <c r="AZ24" s="732"/>
      <c r="BA24" s="732"/>
      <c r="BB24" s="732"/>
      <c r="BC24" s="732"/>
      <c r="BD24" s="732"/>
      <c r="BE24" s="732"/>
      <c r="BF24" s="732"/>
      <c r="BG24" s="732"/>
      <c r="BH24" s="732"/>
      <c r="BI24" s="732"/>
      <c r="BJ24" s="732"/>
      <c r="BK24" s="732"/>
      <c r="BL24" s="732"/>
      <c r="BM24" s="732"/>
      <c r="BN24" s="732"/>
      <c r="BO24" s="732"/>
      <c r="BP24" s="732"/>
      <c r="BQ24" s="732"/>
      <c r="BR24" s="732"/>
      <c r="BS24" s="732"/>
      <c r="BT24" s="732"/>
      <c r="BU24" s="732"/>
      <c r="BV24" s="733"/>
      <c r="BW24" s="733"/>
      <c r="BX24" s="733"/>
      <c r="BY24" s="733"/>
      <c r="BZ24" s="733"/>
      <c r="CA24" s="733"/>
      <c r="CB24" s="733"/>
      <c r="CC24" s="733"/>
      <c r="CD24" s="733"/>
      <c r="CE24" s="733"/>
      <c r="CF24" s="1944"/>
    </row>
    <row customHeight="1" ht="15" hidden="1">
      <c r="A25" s="730"/>
      <c r="B25" s="731"/>
      <c r="C25" s="731"/>
      <c r="D25" s="3219"/>
      <c r="E25" s="3215" t="s">
        <v>650</v>
      </c>
      <c r="F25" s="3216"/>
      <c r="G25" s="3217"/>
      <c r="H25" s="3211" t="str">
        <f>IF(A23="","",INDEX(DIFFERENTIATION_UNMERGE_SYSTEM,MATCH(A23,DIFFERENTIATION_ID_DIFF,0)))</f>
        <v>Хабаровская ТЭЦ - 3</v>
      </c>
      <c r="I25" s="3211"/>
      <c r="J25" s="3211"/>
      <c r="K25" s="3211"/>
      <c r="L25" s="3211"/>
      <c r="M25" s="3211"/>
      <c r="N25" s="3211"/>
      <c r="O25" s="3211"/>
      <c r="P25" s="3211"/>
      <c r="Q25" s="3211"/>
      <c r="R25" s="3211"/>
      <c r="S25" s="826"/>
      <c r="T25" s="823"/>
      <c r="U25" s="732"/>
      <c r="V25" s="732"/>
      <c r="W25" s="733"/>
      <c r="X25" s="733"/>
      <c r="Y25" s="733"/>
      <c r="Z25" s="733"/>
      <c r="AA25" s="734"/>
      <c r="AB25" s="735"/>
      <c r="AC25" s="3214"/>
      <c r="AD25" s="736"/>
      <c r="AE25" s="737"/>
      <c r="AF25" s="737"/>
      <c r="AG25" s="738"/>
      <c r="AH25" s="739"/>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2"/>
      <c r="BH25" s="732"/>
      <c r="BI25" s="732"/>
      <c r="BJ25" s="732"/>
      <c r="BK25" s="732"/>
      <c r="BL25" s="732"/>
      <c r="BM25" s="732"/>
      <c r="BN25" s="732"/>
      <c r="BO25" s="732"/>
      <c r="BP25" s="732"/>
      <c r="BQ25" s="732"/>
      <c r="BR25" s="732"/>
      <c r="BS25" s="732"/>
      <c r="BT25" s="732"/>
      <c r="BU25" s="732"/>
      <c r="BV25" s="733"/>
      <c r="BW25" s="733"/>
      <c r="BX25" s="733"/>
      <c r="BY25" s="733"/>
      <c r="BZ25" s="733"/>
      <c r="CA25" s="733"/>
      <c r="CB25" s="733"/>
      <c r="CC25" s="733"/>
      <c r="CD25" s="733"/>
      <c r="CE25" s="733"/>
      <c r="CF25" s="1944"/>
    </row>
    <row customHeight="1" ht="24.75" hidden="1">
      <c r="A26" s="1901"/>
      <c r="B26" s="1256"/>
      <c r="C26" s="519"/>
      <c r="D26" s="3219"/>
      <c r="E26" s="3213" t="s">
        <v>705</v>
      </c>
      <c r="F26" s="3213"/>
      <c r="G26" s="3213"/>
      <c r="H26" s="3213"/>
      <c r="I26" s="3213"/>
      <c r="J26" s="3213"/>
      <c r="K26" s="3213"/>
      <c r="L26" s="3213"/>
      <c r="M26" s="3213"/>
      <c r="N26" s="3213"/>
      <c r="O26" s="3213"/>
      <c r="P26" s="3213"/>
      <c r="Q26" s="665">
        <f>SUMIF(T27:T28,"i",Q27:Q28)</f>
        <v>0</v>
      </c>
      <c r="R26" s="1117"/>
      <c r="S26" s="1893" t="s">
        <v>706</v>
      </c>
      <c r="T26" s="824" t="s">
        <v>707</v>
      </c>
      <c r="U26" s="3119">
        <v>1</v>
      </c>
      <c r="V26" s="3119" t="str">
        <f>INDEX(B_FHD_FLAG_INDEX_1,1,MATCH($A$23,B_FHD_FLAG_DIFFERENTIATION,0))</f>
        <v>отсутствует</v>
      </c>
      <c r="W26" s="1256"/>
      <c r="X26" s="1256"/>
      <c r="Y26" s="1256"/>
      <c r="Z26" s="1256"/>
      <c r="AA26" s="1732"/>
      <c r="AB26" s="1256"/>
      <c r="AC26" s="3214"/>
      <c r="AD26" s="736"/>
      <c r="AE26" s="1256"/>
      <c r="AF26" s="1256"/>
      <c r="AG26" s="1732"/>
      <c r="AH26" s="1732"/>
      <c r="AI26" s="1732"/>
      <c r="AJ26" s="1732"/>
      <c r="AK26" s="1732"/>
      <c r="AL26" s="1732"/>
      <c r="AM26" s="1732"/>
      <c r="AN26" s="1732"/>
      <c r="AO26" s="1732"/>
      <c r="AP26" s="1732"/>
      <c r="AQ26" s="1732"/>
      <c r="AR26" s="1732"/>
      <c r="AS26" s="1732"/>
      <c r="AT26" s="1732"/>
      <c r="AU26" s="1732"/>
      <c r="AV26" s="1732"/>
      <c r="AW26" s="1732"/>
      <c r="AX26" s="1732"/>
      <c r="AY26" s="1732"/>
      <c r="AZ26" s="1732"/>
      <c r="BA26" s="1732"/>
      <c r="BB26" s="1732"/>
      <c r="BC26" s="1732"/>
      <c r="BD26" s="1732"/>
      <c r="BE26" s="1732"/>
      <c r="BF26" s="1732"/>
      <c r="BG26" s="1732"/>
      <c r="BH26" s="1732"/>
      <c r="BI26" s="1732"/>
      <c r="BJ26" s="1732"/>
      <c r="BK26" s="1732"/>
      <c r="BL26" s="1732"/>
      <c r="BM26" s="1732"/>
      <c r="BN26" s="1732"/>
      <c r="BO26" s="1732"/>
      <c r="BP26" s="1732"/>
      <c r="BQ26" s="1732"/>
      <c r="BR26" s="1732"/>
      <c r="BS26" s="1732"/>
      <c r="BT26" s="1732"/>
      <c r="BU26" s="1732"/>
      <c r="BV26" s="1256"/>
      <c r="BW26" s="1256"/>
      <c r="BX26" s="1256"/>
      <c r="BY26" s="1256"/>
      <c r="BZ26" s="1256"/>
      <c r="CA26" s="1256"/>
      <c r="CB26" s="1256"/>
      <c r="CC26" s="1256"/>
      <c r="CD26" s="1256"/>
      <c r="CE26" s="1256"/>
      <c r="CF26" s="1944"/>
    </row>
    <row customHeight="1" ht="11.25" hidden="1">
      <c r="A27" s="1888"/>
      <c r="B27" s="1732"/>
      <c r="C27" s="1732"/>
      <c r="D27" s="3219"/>
      <c r="E27" s="742"/>
      <c r="F27" s="742">
        <v>0</v>
      </c>
      <c r="G27" s="742"/>
      <c r="H27" s="742"/>
      <c r="I27" s="742"/>
      <c r="J27" s="742"/>
      <c r="K27" s="742"/>
      <c r="L27" s="742"/>
      <c r="M27" s="742"/>
      <c r="N27" s="742"/>
      <c r="O27" s="742"/>
      <c r="P27" s="742"/>
      <c r="Q27" s="742"/>
      <c r="R27" s="742"/>
      <c r="S27" s="743"/>
      <c r="T27" s="825"/>
      <c r="U27" s="3119"/>
      <c r="V27" s="3119"/>
      <c r="W27" s="1732"/>
      <c r="X27" s="1732"/>
      <c r="Y27" s="1732"/>
      <c r="Z27" s="1732"/>
      <c r="AA27" s="1732"/>
      <c r="AB27" s="1256"/>
      <c r="AC27" s="3214"/>
      <c r="AD27" s="736"/>
      <c r="AE27" s="1256"/>
      <c r="AF27" s="1256"/>
      <c r="AG27" s="1732"/>
      <c r="AH27" s="1732"/>
      <c r="AI27" s="1732"/>
      <c r="AJ27" s="1732"/>
      <c r="AK27" s="1732"/>
      <c r="AL27" s="1732"/>
      <c r="AM27" s="1732"/>
      <c r="AN27" s="1732"/>
      <c r="AO27" s="1732"/>
      <c r="AP27" s="1732"/>
      <c r="AQ27" s="1732"/>
      <c r="AR27" s="1732"/>
      <c r="AS27" s="1732"/>
      <c r="AT27" s="1732"/>
      <c r="AU27" s="1732"/>
      <c r="AV27" s="1732"/>
      <c r="AW27" s="1732"/>
      <c r="AX27" s="1732"/>
      <c r="AY27" s="1732"/>
      <c r="AZ27" s="1732"/>
      <c r="BA27" s="1732"/>
      <c r="BB27" s="1732"/>
      <c r="BC27" s="1732"/>
      <c r="BD27" s="1732"/>
      <c r="BE27" s="1732"/>
      <c r="BF27" s="1732"/>
      <c r="BG27" s="1732"/>
      <c r="BH27" s="1732"/>
      <c r="BI27" s="1732"/>
      <c r="BJ27" s="1732"/>
      <c r="BK27" s="1732"/>
      <c r="BL27" s="1732"/>
      <c r="BM27" s="1732"/>
      <c r="BN27" s="1732"/>
      <c r="BO27" s="1732"/>
      <c r="BP27" s="1732"/>
      <c r="BQ27" s="1732"/>
      <c r="BR27" s="1732"/>
      <c r="BS27" s="1732"/>
      <c r="BT27" s="1732"/>
      <c r="BU27" s="1732"/>
      <c r="BV27" s="1732"/>
      <c r="BW27" s="1732"/>
      <c r="BX27" s="1732"/>
      <c r="BY27" s="1732"/>
      <c r="BZ27" s="1732"/>
      <c r="CA27" s="1732"/>
      <c r="CB27" s="1732"/>
      <c r="CC27" s="1732"/>
      <c r="CD27" s="1732"/>
      <c r="CE27" s="1732"/>
      <c r="CF27" s="1944"/>
    </row>
    <row customHeight="1" ht="11.25" hidden="1">
      <c r="A28" s="1901"/>
      <c r="B28" s="1256"/>
      <c r="C28" s="519"/>
      <c r="D28" s="3219"/>
      <c r="E28" s="756" t="s">
        <v>22</v>
      </c>
      <c r="F28" s="1264" t="s">
        <v>22</v>
      </c>
      <c r="G28" s="1264" t="s">
        <v>711</v>
      </c>
      <c r="H28" s="758" t="s">
        <v>22</v>
      </c>
      <c r="I28" s="758"/>
      <c r="J28" s="758"/>
      <c r="K28" s="758"/>
      <c r="L28" s="758"/>
      <c r="M28" s="758"/>
      <c r="N28" s="758"/>
      <c r="O28" s="758"/>
      <c r="P28" s="758"/>
      <c r="Q28" s="758"/>
      <c r="R28" s="759"/>
      <c r="S28" s="760"/>
      <c r="T28" s="825"/>
      <c r="U28" s="3119"/>
      <c r="V28" s="3119"/>
      <c r="W28" s="1256"/>
      <c r="X28" s="1256"/>
      <c r="Y28" s="1256"/>
      <c r="Z28" s="1256"/>
      <c r="AA28" s="1732"/>
      <c r="AB28" s="1256"/>
      <c r="AC28" s="3214"/>
      <c r="AD28" s="736"/>
      <c r="AE28" s="1256"/>
      <c r="AF28" s="1256"/>
      <c r="AG28" s="1732"/>
      <c r="AH28" s="1732"/>
      <c r="AI28" s="1732"/>
      <c r="AJ28" s="1732"/>
      <c r="AK28" s="1732"/>
      <c r="AL28" s="1732"/>
      <c r="AM28" s="1732"/>
      <c r="AN28" s="1732"/>
      <c r="AO28" s="1732"/>
      <c r="AP28" s="1732"/>
      <c r="AQ28" s="1732"/>
      <c r="AR28" s="1732"/>
      <c r="AS28" s="1732"/>
      <c r="AT28" s="1732"/>
      <c r="AU28" s="1732"/>
      <c r="AV28" s="1732"/>
      <c r="AW28" s="1732"/>
      <c r="AX28" s="1732"/>
      <c r="AY28" s="1732"/>
      <c r="AZ28" s="1732"/>
      <c r="BA28" s="1732"/>
      <c r="BB28" s="1732"/>
      <c r="BC28" s="1732"/>
      <c r="BD28" s="1732"/>
      <c r="BE28" s="1732"/>
      <c r="BF28" s="1732"/>
      <c r="BG28" s="1732"/>
      <c r="BH28" s="1732"/>
      <c r="BI28" s="1732"/>
      <c r="BJ28" s="1732"/>
      <c r="BK28" s="1732"/>
      <c r="BL28" s="1732"/>
      <c r="BM28" s="1732"/>
      <c r="BN28" s="1732"/>
      <c r="BO28" s="1732"/>
      <c r="BP28" s="1732"/>
      <c r="BQ28" s="1732"/>
      <c r="BR28" s="1732"/>
      <c r="BS28" s="1732"/>
      <c r="BT28" s="1732"/>
      <c r="BU28" s="1732"/>
      <c r="BV28" s="1256"/>
      <c r="BW28" s="1256"/>
      <c r="BX28" s="1256"/>
      <c r="BY28" s="1256"/>
      <c r="BZ28" s="1256"/>
      <c r="CA28" s="1256"/>
      <c r="CB28" s="1256"/>
      <c r="CC28" s="1256"/>
      <c r="CD28" s="1256"/>
      <c r="CE28" s="1256"/>
      <c r="CF28" s="1944"/>
    </row>
    <row customHeight="1" ht="5.25" hidden="1">
      <c r="A29" s="1888"/>
      <c r="B29" s="1732"/>
      <c r="C29" s="1732"/>
      <c r="D29" s="3219"/>
      <c r="E29" s="1139"/>
      <c r="F29" s="1139"/>
      <c r="G29" s="1139"/>
      <c r="H29" s="1139"/>
      <c r="I29" s="1139"/>
      <c r="J29" s="1139"/>
      <c r="K29" s="1139"/>
      <c r="L29" s="1139"/>
      <c r="M29" s="1139"/>
      <c r="N29" s="1139"/>
      <c r="O29" s="1139"/>
      <c r="P29" s="1139"/>
      <c r="Q29" s="1140"/>
      <c r="R29" s="1141"/>
      <c r="S29" s="1142"/>
      <c r="T29" s="824" t="s">
        <v>707</v>
      </c>
      <c r="U29" s="3119">
        <v>1</v>
      </c>
      <c r="V29" s="3119" t="s">
        <v>669</v>
      </c>
      <c r="W29" s="1732"/>
      <c r="X29" s="1732"/>
      <c r="Y29" s="1732"/>
      <c r="Z29" s="1732"/>
      <c r="AA29" s="1732"/>
      <c r="AB29" s="1732"/>
      <c r="AC29" s="1137"/>
      <c r="AD29" s="1138"/>
      <c r="AE29" s="1732"/>
      <c r="AF29" s="1732"/>
      <c r="AG29" s="1732"/>
      <c r="AH29" s="1732"/>
      <c r="AI29" s="1732"/>
      <c r="AJ29" s="1732"/>
      <c r="AK29" s="1732"/>
      <c r="AL29" s="1732"/>
      <c r="AM29" s="1732"/>
      <c r="AN29" s="1732"/>
      <c r="AO29" s="1732"/>
      <c r="AP29" s="1732"/>
      <c r="AQ29" s="1732"/>
      <c r="AR29" s="1732"/>
      <c r="AS29" s="1732"/>
      <c r="AT29" s="1732"/>
      <c r="AU29" s="1732"/>
      <c r="AV29" s="1732"/>
      <c r="AW29" s="1732"/>
      <c r="AX29" s="1732"/>
      <c r="AY29" s="1732"/>
      <c r="AZ29" s="1732"/>
      <c r="BA29" s="1732"/>
      <c r="BB29" s="1732"/>
      <c r="BC29" s="1732"/>
      <c r="BD29" s="1732"/>
      <c r="BE29" s="1732"/>
      <c r="BF29" s="1732"/>
      <c r="BG29" s="1732"/>
      <c r="BH29" s="1732"/>
      <c r="BI29" s="1732"/>
      <c r="BJ29" s="1732"/>
      <c r="BK29" s="1732"/>
      <c r="BL29" s="1732"/>
      <c r="BM29" s="1732"/>
      <c r="BN29" s="1732"/>
      <c r="BO29" s="1732"/>
      <c r="BP29" s="1732"/>
      <c r="BQ29" s="1732"/>
      <c r="BR29" s="1732"/>
      <c r="BS29" s="1732"/>
      <c r="BT29" s="1732"/>
      <c r="BU29" s="1732"/>
      <c r="BV29" s="1732"/>
      <c r="BW29" s="1732"/>
      <c r="BX29" s="1732"/>
      <c r="BY29" s="1732"/>
      <c r="BZ29" s="1732"/>
      <c r="CA29" s="1732"/>
      <c r="CB29" s="1732"/>
      <c r="CC29" s="1732"/>
      <c r="CD29" s="1732"/>
      <c r="CE29" s="1732"/>
      <c r="CF29" s="1412"/>
    </row>
    <row customHeight="1" ht="5.25" hidden="1">
      <c r="A30" s="1888"/>
      <c r="B30" s="1732"/>
      <c r="C30" s="1732"/>
      <c r="D30" s="3219"/>
      <c r="E30" s="742"/>
      <c r="F30" s="742"/>
      <c r="G30" s="742"/>
      <c r="H30" s="742"/>
      <c r="I30" s="742"/>
      <c r="J30" s="742"/>
      <c r="K30" s="742"/>
      <c r="L30" s="742"/>
      <c r="M30" s="742"/>
      <c r="N30" s="742"/>
      <c r="O30" s="742"/>
      <c r="P30" s="742"/>
      <c r="Q30" s="742"/>
      <c r="R30" s="742"/>
      <c r="S30" s="743"/>
      <c r="T30" s="825"/>
      <c r="U30" s="3119"/>
      <c r="V30" s="3119"/>
      <c r="W30" s="1732"/>
      <c r="X30" s="1732"/>
      <c r="Y30" s="1732"/>
      <c r="Z30" s="1732"/>
      <c r="AA30" s="1732"/>
      <c r="AB30" s="1732"/>
      <c r="AC30" s="1137"/>
      <c r="AD30" s="1138"/>
      <c r="AE30" s="1732"/>
      <c r="AF30" s="1732"/>
      <c r="AG30" s="1732"/>
      <c r="AH30" s="1732"/>
      <c r="AI30" s="1732"/>
      <c r="AJ30" s="1732"/>
      <c r="AK30" s="1732"/>
      <c r="AL30" s="1732"/>
      <c r="AM30" s="1732"/>
      <c r="AN30" s="1732"/>
      <c r="AO30" s="1732"/>
      <c r="AP30" s="1732"/>
      <c r="AQ30" s="1732"/>
      <c r="AR30" s="1732"/>
      <c r="AS30" s="1732"/>
      <c r="AT30" s="1732"/>
      <c r="AU30" s="1732"/>
      <c r="AV30" s="1732"/>
      <c r="AW30" s="1732"/>
      <c r="AX30" s="1732"/>
      <c r="AY30" s="1732"/>
      <c r="AZ30" s="1732"/>
      <c r="BA30" s="1732"/>
      <c r="BB30" s="1732"/>
      <c r="BC30" s="1732"/>
      <c r="BD30" s="1732"/>
      <c r="BE30" s="1732"/>
      <c r="BF30" s="1732"/>
      <c r="BG30" s="1732"/>
      <c r="BH30" s="1732"/>
      <c r="BI30" s="1732"/>
      <c r="BJ30" s="1732"/>
      <c r="BK30" s="1732"/>
      <c r="BL30" s="1732"/>
      <c r="BM30" s="1732"/>
      <c r="BN30" s="1732"/>
      <c r="BO30" s="1732"/>
      <c r="BP30" s="1732"/>
      <c r="BQ30" s="1732"/>
      <c r="BR30" s="1732"/>
      <c r="BS30" s="1732"/>
      <c r="BT30" s="1732"/>
      <c r="BU30" s="1732"/>
      <c r="BV30" s="1732"/>
      <c r="BW30" s="1732"/>
      <c r="BX30" s="1732"/>
      <c r="BY30" s="1732"/>
      <c r="BZ30" s="1732"/>
      <c r="CA30" s="1732"/>
      <c r="CB30" s="1732"/>
      <c r="CC30" s="1732"/>
      <c r="CD30" s="1732"/>
      <c r="CE30" s="1732"/>
      <c r="CF30" s="1412"/>
    </row>
    <row customHeight="1" ht="5.25" hidden="1">
      <c r="A31" s="1888"/>
      <c r="B31" s="1732"/>
      <c r="C31" s="1732"/>
      <c r="D31" s="3220"/>
      <c r="E31" s="1143"/>
      <c r="F31" s="1144"/>
      <c r="G31" s="1144"/>
      <c r="H31" s="1145"/>
      <c r="I31" s="1145"/>
      <c r="J31" s="1145"/>
      <c r="K31" s="1145"/>
      <c r="L31" s="1145"/>
      <c r="M31" s="1145"/>
      <c r="N31" s="1145"/>
      <c r="O31" s="1145"/>
      <c r="P31" s="1145"/>
      <c r="Q31" s="1145"/>
      <c r="R31" s="1046"/>
      <c r="S31" s="1146"/>
      <c r="T31" s="825"/>
      <c r="U31" s="3119"/>
      <c r="V31" s="3119"/>
      <c r="W31" s="1732"/>
      <c r="X31" s="1732"/>
      <c r="Y31" s="1732"/>
      <c r="Z31" s="1732"/>
      <c r="AA31" s="1732"/>
      <c r="AB31" s="1732"/>
      <c r="AC31" s="1137"/>
      <c r="AD31" s="1138"/>
      <c r="AE31" s="1732"/>
      <c r="AF31" s="1732"/>
      <c r="AG31" s="1732"/>
      <c r="AH31" s="1732"/>
      <c r="AI31" s="1732"/>
      <c r="AJ31" s="1732"/>
      <c r="AK31" s="1732"/>
      <c r="AL31" s="1732"/>
      <c r="AM31" s="1732"/>
      <c r="AN31" s="1732"/>
      <c r="AO31" s="1732"/>
      <c r="AP31" s="1732"/>
      <c r="AQ31" s="1732"/>
      <c r="AR31" s="1732"/>
      <c r="AS31" s="1732"/>
      <c r="AT31" s="1732"/>
      <c r="AU31" s="1732"/>
      <c r="AV31" s="1732"/>
      <c r="AW31" s="1732"/>
      <c r="AX31" s="1732"/>
      <c r="AY31" s="1732"/>
      <c r="AZ31" s="1732"/>
      <c r="BA31" s="1732"/>
      <c r="BB31" s="1732"/>
      <c r="BC31" s="1732"/>
      <c r="BD31" s="1732"/>
      <c r="BE31" s="1732"/>
      <c r="BF31" s="1732"/>
      <c r="BG31" s="1732"/>
      <c r="BH31" s="1732"/>
      <c r="BI31" s="1732"/>
      <c r="BJ31" s="1732"/>
      <c r="BK31" s="1732"/>
      <c r="BL31" s="1732"/>
      <c r="BM31" s="1732"/>
      <c r="BN31" s="1732"/>
      <c r="BO31" s="1732"/>
      <c r="BP31" s="1732"/>
      <c r="BQ31" s="1732"/>
      <c r="BR31" s="1732"/>
      <c r="BS31" s="1732"/>
      <c r="BT31" s="1732"/>
      <c r="BU31" s="1732"/>
      <c r="BV31" s="1732"/>
      <c r="BW31" s="1732"/>
      <c r="BX31" s="1732"/>
      <c r="BY31" s="1732"/>
      <c r="BZ31" s="1732"/>
      <c r="CA31" s="1732"/>
      <c r="CB31" s="1732"/>
      <c r="CC31" s="1732"/>
      <c r="CD31" s="1732"/>
      <c r="CE31" s="1732"/>
      <c r="CF31" s="1412"/>
    </row>
    <row customHeight="1" ht="15" hidden="1">
      <c r="A32" s="730" t="s">
        <v>157</v>
      </c>
      <c r="B32" s="731"/>
      <c r="C32" s="731" t="s">
        <v>22</v>
      </c>
      <c r="D32" s="3218" t="s">
        <v>712</v>
      </c>
      <c r="E32" s="3215" t="s">
        <v>140</v>
      </c>
      <c r="F32" s="3216"/>
      <c r="G32" s="3217"/>
      <c r="H32" s="3211"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v>
      </c>
      <c r="I32" s="3211"/>
      <c r="J32" s="3211"/>
      <c r="K32" s="3211"/>
      <c r="L32" s="3211"/>
      <c r="M32" s="3211"/>
      <c r="N32" s="3211"/>
      <c r="O32" s="3211"/>
      <c r="P32" s="3211"/>
      <c r="Q32" s="3211"/>
      <c r="R32" s="3211"/>
      <c r="S32" s="826"/>
      <c r="T32" s="823"/>
      <c r="U32" s="732"/>
      <c r="V32" s="732"/>
      <c r="W32" s="733"/>
      <c r="X32" s="733"/>
      <c r="Y32" s="733"/>
      <c r="Z32" s="733"/>
      <c r="AA32" s="734"/>
      <c r="AB32" s="735"/>
      <c r="AC32" s="3214"/>
      <c r="AD32" s="736"/>
      <c r="AE32" s="737" t="s">
        <v>22</v>
      </c>
      <c r="AF32" s="737"/>
      <c r="AG32" s="738" t="s">
        <v>704</v>
      </c>
      <c r="AH32" s="739">
        <v>3</v>
      </c>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2"/>
      <c r="BJ32" s="732"/>
      <c r="BK32" s="732"/>
      <c r="BL32" s="732"/>
      <c r="BM32" s="732"/>
      <c r="BN32" s="732"/>
      <c r="BO32" s="732"/>
      <c r="BP32" s="732"/>
      <c r="BQ32" s="732"/>
      <c r="BR32" s="732"/>
      <c r="BS32" s="732"/>
      <c r="BT32" s="732"/>
      <c r="BU32" s="732"/>
      <c r="BV32" s="733"/>
      <c r="BW32" s="733"/>
      <c r="BX32" s="733"/>
      <c r="BY32" s="733"/>
      <c r="BZ32" s="733"/>
      <c r="CA32" s="733"/>
      <c r="CB32" s="733"/>
      <c r="CC32" s="733"/>
      <c r="CD32" s="733"/>
      <c r="CE32" s="733"/>
      <c r="CF32" s="1944"/>
    </row>
    <row customHeight="1" ht="15" hidden="1">
      <c r="A33" s="730"/>
      <c r="B33" s="731"/>
      <c r="C33" s="731"/>
      <c r="D33" s="3219"/>
      <c r="E33" s="3215" t="s">
        <v>649</v>
      </c>
      <c r="F33" s="3216"/>
      <c r="G33" s="3217"/>
      <c r="H33" s="3211" t="str">
        <f>IF(A32="","",INDEX(DIFFERENTIATION_UNMERGE_AREA,MATCH(A32,DIFFERENTIATION_ID_DIFF,0)))</f>
        <v>Территория 2</v>
      </c>
      <c r="I33" s="3211"/>
      <c r="J33" s="3211"/>
      <c r="K33" s="3211"/>
      <c r="L33" s="3211"/>
      <c r="M33" s="3211"/>
      <c r="N33" s="3211"/>
      <c r="O33" s="3211"/>
      <c r="P33" s="3211"/>
      <c r="Q33" s="3211"/>
      <c r="R33" s="3211"/>
      <c r="S33" s="826"/>
      <c r="T33" s="823"/>
      <c r="U33" s="732"/>
      <c r="V33" s="732"/>
      <c r="W33" s="733"/>
      <c r="X33" s="733"/>
      <c r="Y33" s="733"/>
      <c r="Z33" s="733"/>
      <c r="AA33" s="734"/>
      <c r="AB33" s="735"/>
      <c r="AC33" s="3214"/>
      <c r="AD33" s="736"/>
      <c r="AE33" s="737"/>
      <c r="AF33" s="737"/>
      <c r="AG33" s="738"/>
      <c r="AH33" s="739"/>
      <c r="AI33" s="732"/>
      <c r="AJ33" s="732"/>
      <c r="AK33" s="732"/>
      <c r="AL33" s="732"/>
      <c r="AM33" s="732"/>
      <c r="AN33" s="732"/>
      <c r="AO33" s="732"/>
      <c r="AP33" s="732"/>
      <c r="AQ33" s="732"/>
      <c r="AR33" s="732"/>
      <c r="AS33" s="732"/>
      <c r="AT33" s="732"/>
      <c r="AU33" s="732"/>
      <c r="AV33" s="732"/>
      <c r="AW33" s="732"/>
      <c r="AX33" s="732"/>
      <c r="AY33" s="732"/>
      <c r="AZ33" s="732"/>
      <c r="BA33" s="732"/>
      <c r="BB33" s="732"/>
      <c r="BC33" s="732"/>
      <c r="BD33" s="732"/>
      <c r="BE33" s="732"/>
      <c r="BF33" s="732"/>
      <c r="BG33" s="732"/>
      <c r="BH33" s="732"/>
      <c r="BI33" s="732"/>
      <c r="BJ33" s="732"/>
      <c r="BK33" s="732"/>
      <c r="BL33" s="732"/>
      <c r="BM33" s="732"/>
      <c r="BN33" s="732"/>
      <c r="BO33" s="732"/>
      <c r="BP33" s="732"/>
      <c r="BQ33" s="732"/>
      <c r="BR33" s="732"/>
      <c r="BS33" s="732"/>
      <c r="BT33" s="732"/>
      <c r="BU33" s="732"/>
      <c r="BV33" s="733"/>
      <c r="BW33" s="733"/>
      <c r="BX33" s="733"/>
      <c r="BY33" s="733"/>
      <c r="BZ33" s="733"/>
      <c r="CA33" s="733"/>
      <c r="CB33" s="733"/>
      <c r="CC33" s="733"/>
      <c r="CD33" s="733"/>
      <c r="CE33" s="733"/>
      <c r="CF33" s="1944"/>
    </row>
    <row customHeight="1" ht="15" hidden="1">
      <c r="A34" s="730"/>
      <c r="B34" s="731"/>
      <c r="C34" s="731"/>
      <c r="D34" s="3219"/>
      <c r="E34" s="3215" t="s">
        <v>650</v>
      </c>
      <c r="F34" s="3216"/>
      <c r="G34" s="3217"/>
      <c r="H34" s="3211" t="str">
        <f>IF(A32="","",INDEX(DIFFERENTIATION_UNMERGE_SYSTEM,MATCH(A32,DIFFERENTIATION_ID_DIFF,0)))</f>
        <v>Комсомольская ТЭЦ - 2</v>
      </c>
      <c r="I34" s="3211"/>
      <c r="J34" s="3211"/>
      <c r="K34" s="3211"/>
      <c r="L34" s="3211"/>
      <c r="M34" s="3211"/>
      <c r="N34" s="3211"/>
      <c r="O34" s="3211"/>
      <c r="P34" s="3211"/>
      <c r="Q34" s="3211"/>
      <c r="R34" s="3211"/>
      <c r="S34" s="826"/>
      <c r="T34" s="823"/>
      <c r="U34" s="732"/>
      <c r="V34" s="732"/>
      <c r="W34" s="733"/>
      <c r="X34" s="733"/>
      <c r="Y34" s="733"/>
      <c r="Z34" s="733"/>
      <c r="AA34" s="734"/>
      <c r="AB34" s="735"/>
      <c r="AC34" s="3214"/>
      <c r="AD34" s="736"/>
      <c r="AE34" s="737"/>
      <c r="AF34" s="737"/>
      <c r="AG34" s="738"/>
      <c r="AH34" s="739"/>
      <c r="AI34" s="732"/>
      <c r="AJ34" s="732"/>
      <c r="AK34" s="732"/>
      <c r="AL34" s="732"/>
      <c r="AM34" s="732"/>
      <c r="AN34" s="732"/>
      <c r="AO34" s="732"/>
      <c r="AP34" s="732"/>
      <c r="AQ34" s="732"/>
      <c r="AR34" s="732"/>
      <c r="AS34" s="732"/>
      <c r="AT34" s="732"/>
      <c r="AU34" s="732"/>
      <c r="AV34" s="732"/>
      <c r="AW34" s="732"/>
      <c r="AX34" s="732"/>
      <c r="AY34" s="732"/>
      <c r="AZ34" s="732"/>
      <c r="BA34" s="732"/>
      <c r="BB34" s="732"/>
      <c r="BC34" s="732"/>
      <c r="BD34" s="732"/>
      <c r="BE34" s="732"/>
      <c r="BF34" s="732"/>
      <c r="BG34" s="732"/>
      <c r="BH34" s="732"/>
      <c r="BI34" s="732"/>
      <c r="BJ34" s="732"/>
      <c r="BK34" s="732"/>
      <c r="BL34" s="732"/>
      <c r="BM34" s="732"/>
      <c r="BN34" s="732"/>
      <c r="BO34" s="732"/>
      <c r="BP34" s="732"/>
      <c r="BQ34" s="732"/>
      <c r="BR34" s="732"/>
      <c r="BS34" s="732"/>
      <c r="BT34" s="732"/>
      <c r="BU34" s="732"/>
      <c r="BV34" s="733"/>
      <c r="BW34" s="733"/>
      <c r="BX34" s="733"/>
      <c r="BY34" s="733"/>
      <c r="BZ34" s="733"/>
      <c r="CA34" s="733"/>
      <c r="CB34" s="733"/>
      <c r="CC34" s="733"/>
      <c r="CD34" s="733"/>
      <c r="CE34" s="733"/>
      <c r="CF34" s="1944"/>
    </row>
    <row customHeight="1" ht="24.75" hidden="1">
      <c r="A35" s="1901"/>
      <c r="B35" s="1256"/>
      <c r="C35" s="519"/>
      <c r="D35" s="3219"/>
      <c r="E35" s="3213" t="s">
        <v>705</v>
      </c>
      <c r="F35" s="3213"/>
      <c r="G35" s="3213"/>
      <c r="H35" s="3213"/>
      <c r="I35" s="3213"/>
      <c r="J35" s="3213"/>
      <c r="K35" s="3213"/>
      <c r="L35" s="3213"/>
      <c r="M35" s="3213"/>
      <c r="N35" s="3213"/>
      <c r="O35" s="3213"/>
      <c r="P35" s="3213"/>
      <c r="Q35" s="665">
        <f>SUMIF(T36:T37,"i",Q36:Q37)</f>
        <v>0</v>
      </c>
      <c r="R35" s="1117"/>
      <c r="S35" s="1893" t="s">
        <v>706</v>
      </c>
      <c r="T35" s="824" t="s">
        <v>707</v>
      </c>
      <c r="U35" s="3119">
        <v>1</v>
      </c>
      <c r="V35" s="3119" t="str">
        <f>INDEX(B_FHD_FLAG_INDEX_1,1,MATCH($A$32,B_FHD_FLAG_DIFFERENTIATION,0))</f>
        <v>отсутствует</v>
      </c>
      <c r="W35" s="1256"/>
      <c r="X35" s="1256"/>
      <c r="Y35" s="1256"/>
      <c r="Z35" s="1256"/>
      <c r="AA35" s="1732"/>
      <c r="AB35" s="1256"/>
      <c r="AC35" s="3214"/>
      <c r="AD35" s="736"/>
      <c r="AE35" s="1256"/>
      <c r="AF35" s="1256"/>
      <c r="AG35" s="1732"/>
      <c r="AH35" s="1732"/>
      <c r="AI35" s="1732"/>
      <c r="AJ35" s="1732"/>
      <c r="AK35" s="1732"/>
      <c r="AL35" s="1732"/>
      <c r="AM35" s="1732"/>
      <c r="AN35" s="1732"/>
      <c r="AO35" s="1732"/>
      <c r="AP35" s="1732"/>
      <c r="AQ35" s="1732"/>
      <c r="AR35" s="1732"/>
      <c r="AS35" s="1732"/>
      <c r="AT35" s="1732"/>
      <c r="AU35" s="1732"/>
      <c r="AV35" s="1732"/>
      <c r="AW35" s="1732"/>
      <c r="AX35" s="1732"/>
      <c r="AY35" s="1732"/>
      <c r="AZ35" s="1732"/>
      <c r="BA35" s="1732"/>
      <c r="BB35" s="1732"/>
      <c r="BC35" s="1732"/>
      <c r="BD35" s="1732"/>
      <c r="BE35" s="1732"/>
      <c r="BF35" s="1732"/>
      <c r="BG35" s="1732"/>
      <c r="BH35" s="1732"/>
      <c r="BI35" s="1732"/>
      <c r="BJ35" s="1732"/>
      <c r="BK35" s="1732"/>
      <c r="BL35" s="1732"/>
      <c r="BM35" s="1732"/>
      <c r="BN35" s="1732"/>
      <c r="BO35" s="1732"/>
      <c r="BP35" s="1732"/>
      <c r="BQ35" s="1732"/>
      <c r="BR35" s="1732"/>
      <c r="BS35" s="1732"/>
      <c r="BT35" s="1732"/>
      <c r="BU35" s="1732"/>
      <c r="BV35" s="1256"/>
      <c r="BW35" s="1256"/>
      <c r="BX35" s="1256"/>
      <c r="BY35" s="1256"/>
      <c r="BZ35" s="1256"/>
      <c r="CA35" s="1256"/>
      <c r="CB35" s="1256"/>
      <c r="CC35" s="1256"/>
      <c r="CD35" s="1256"/>
      <c r="CE35" s="1256"/>
      <c r="CF35" s="1944"/>
    </row>
    <row customHeight="1" ht="11.25" hidden="1">
      <c r="A36" s="1888"/>
      <c r="B36" s="1732"/>
      <c r="C36" s="1732"/>
      <c r="D36" s="3219"/>
      <c r="E36" s="742"/>
      <c r="F36" s="742">
        <v>0</v>
      </c>
      <c r="G36" s="742"/>
      <c r="H36" s="742"/>
      <c r="I36" s="742"/>
      <c r="J36" s="742"/>
      <c r="K36" s="742"/>
      <c r="L36" s="742"/>
      <c r="M36" s="742"/>
      <c r="N36" s="742"/>
      <c r="O36" s="742"/>
      <c r="P36" s="742"/>
      <c r="Q36" s="742"/>
      <c r="R36" s="742"/>
      <c r="S36" s="743"/>
      <c r="T36" s="825"/>
      <c r="U36" s="3119"/>
      <c r="V36" s="3119"/>
      <c r="W36" s="1732"/>
      <c r="X36" s="1732"/>
      <c r="Y36" s="1732"/>
      <c r="Z36" s="1732"/>
      <c r="AA36" s="1732"/>
      <c r="AB36" s="1256"/>
      <c r="AC36" s="3214"/>
      <c r="AD36" s="736"/>
      <c r="AE36" s="1256"/>
      <c r="AF36" s="1256"/>
      <c r="AG36" s="1732"/>
      <c r="AH36" s="1732"/>
      <c r="AI36" s="1732"/>
      <c r="AJ36" s="1732"/>
      <c r="AK36" s="1732"/>
      <c r="AL36" s="1732"/>
      <c r="AM36" s="1732"/>
      <c r="AN36" s="1732"/>
      <c r="AO36" s="1732"/>
      <c r="AP36" s="1732"/>
      <c r="AQ36" s="1732"/>
      <c r="AR36" s="1732"/>
      <c r="AS36" s="1732"/>
      <c r="AT36" s="1732"/>
      <c r="AU36" s="1732"/>
      <c r="AV36" s="1732"/>
      <c r="AW36" s="1732"/>
      <c r="AX36" s="1732"/>
      <c r="AY36" s="1732"/>
      <c r="AZ36" s="1732"/>
      <c r="BA36" s="1732"/>
      <c r="BB36" s="1732"/>
      <c r="BC36" s="1732"/>
      <c r="BD36" s="1732"/>
      <c r="BE36" s="1732"/>
      <c r="BF36" s="1732"/>
      <c r="BG36" s="1732"/>
      <c r="BH36" s="1732"/>
      <c r="BI36" s="1732"/>
      <c r="BJ36" s="1732"/>
      <c r="BK36" s="1732"/>
      <c r="BL36" s="1732"/>
      <c r="BM36" s="1732"/>
      <c r="BN36" s="1732"/>
      <c r="BO36" s="1732"/>
      <c r="BP36" s="1732"/>
      <c r="BQ36" s="1732"/>
      <c r="BR36" s="1732"/>
      <c r="BS36" s="1732"/>
      <c r="BT36" s="1732"/>
      <c r="BU36" s="1732"/>
      <c r="BV36" s="1732"/>
      <c r="BW36" s="1732"/>
      <c r="BX36" s="1732"/>
      <c r="BY36" s="1732"/>
      <c r="BZ36" s="1732"/>
      <c r="CA36" s="1732"/>
      <c r="CB36" s="1732"/>
      <c r="CC36" s="1732"/>
      <c r="CD36" s="1732"/>
      <c r="CE36" s="1732"/>
      <c r="CF36" s="1944"/>
    </row>
    <row customHeight="1" ht="11.25" hidden="1">
      <c r="A37" s="1901"/>
      <c r="B37" s="1256"/>
      <c r="C37" s="519"/>
      <c r="D37" s="3219"/>
      <c r="E37" s="756" t="s">
        <v>22</v>
      </c>
      <c r="F37" s="1264" t="s">
        <v>22</v>
      </c>
      <c r="G37" s="1264" t="s">
        <v>711</v>
      </c>
      <c r="H37" s="758" t="s">
        <v>22</v>
      </c>
      <c r="I37" s="758"/>
      <c r="J37" s="758"/>
      <c r="K37" s="758"/>
      <c r="L37" s="758"/>
      <c r="M37" s="758"/>
      <c r="N37" s="758"/>
      <c r="O37" s="758"/>
      <c r="P37" s="758"/>
      <c r="Q37" s="758"/>
      <c r="R37" s="759"/>
      <c r="S37" s="760"/>
      <c r="T37" s="825"/>
      <c r="U37" s="3119"/>
      <c r="V37" s="3119"/>
      <c r="W37" s="1256"/>
      <c r="X37" s="1256"/>
      <c r="Y37" s="1256"/>
      <c r="Z37" s="1256"/>
      <c r="AA37" s="1732"/>
      <c r="AB37" s="1256"/>
      <c r="AC37" s="3214"/>
      <c r="AD37" s="736"/>
      <c r="AE37" s="1256"/>
      <c r="AF37" s="1256"/>
      <c r="AG37" s="1732"/>
      <c r="AH37" s="1732"/>
      <c r="AI37" s="1732"/>
      <c r="AJ37" s="1732"/>
      <c r="AK37" s="1732"/>
      <c r="AL37" s="1732"/>
      <c r="AM37" s="1732"/>
      <c r="AN37" s="1732"/>
      <c r="AO37" s="1732"/>
      <c r="AP37" s="1732"/>
      <c r="AQ37" s="1732"/>
      <c r="AR37" s="1732"/>
      <c r="AS37" s="1732"/>
      <c r="AT37" s="1732"/>
      <c r="AU37" s="1732"/>
      <c r="AV37" s="1732"/>
      <c r="AW37" s="1732"/>
      <c r="AX37" s="1732"/>
      <c r="AY37" s="1732"/>
      <c r="AZ37" s="1732"/>
      <c r="BA37" s="1732"/>
      <c r="BB37" s="1732"/>
      <c r="BC37" s="1732"/>
      <c r="BD37" s="1732"/>
      <c r="BE37" s="1732"/>
      <c r="BF37" s="1732"/>
      <c r="BG37" s="1732"/>
      <c r="BH37" s="1732"/>
      <c r="BI37" s="1732"/>
      <c r="BJ37" s="1732"/>
      <c r="BK37" s="1732"/>
      <c r="BL37" s="1732"/>
      <c r="BM37" s="1732"/>
      <c r="BN37" s="1732"/>
      <c r="BO37" s="1732"/>
      <c r="BP37" s="1732"/>
      <c r="BQ37" s="1732"/>
      <c r="BR37" s="1732"/>
      <c r="BS37" s="1732"/>
      <c r="BT37" s="1732"/>
      <c r="BU37" s="1732"/>
      <c r="BV37" s="1256"/>
      <c r="BW37" s="1256"/>
      <c r="BX37" s="1256"/>
      <c r="BY37" s="1256"/>
      <c r="BZ37" s="1256"/>
      <c r="CA37" s="1256"/>
      <c r="CB37" s="1256"/>
      <c r="CC37" s="1256"/>
      <c r="CD37" s="1256"/>
      <c r="CE37" s="1256"/>
      <c r="CF37" s="1944"/>
    </row>
    <row customHeight="1" ht="5.25" hidden="1">
      <c r="A38" s="1888"/>
      <c r="B38" s="1732"/>
      <c r="C38" s="1732"/>
      <c r="D38" s="3219"/>
      <c r="E38" s="1139"/>
      <c r="F38" s="1139"/>
      <c r="G38" s="1139"/>
      <c r="H38" s="1139"/>
      <c r="I38" s="1139"/>
      <c r="J38" s="1139"/>
      <c r="K38" s="1139"/>
      <c r="L38" s="1139"/>
      <c r="M38" s="1139"/>
      <c r="N38" s="1139"/>
      <c r="O38" s="1139"/>
      <c r="P38" s="1139"/>
      <c r="Q38" s="1140"/>
      <c r="R38" s="1141"/>
      <c r="S38" s="1142"/>
      <c r="T38" s="824" t="s">
        <v>707</v>
      </c>
      <c r="U38" s="3119">
        <v>1</v>
      </c>
      <c r="V38" s="3119" t="s">
        <v>669</v>
      </c>
      <c r="W38" s="1732"/>
      <c r="X38" s="1732"/>
      <c r="Y38" s="1732"/>
      <c r="Z38" s="1732"/>
      <c r="AA38" s="1732"/>
      <c r="AB38" s="1732"/>
      <c r="AC38" s="1137"/>
      <c r="AD38" s="1138"/>
      <c r="AE38" s="1732"/>
      <c r="AF38" s="1732"/>
      <c r="AG38" s="1732"/>
      <c r="AH38" s="1732"/>
      <c r="AI38" s="1732"/>
      <c r="AJ38" s="1732"/>
      <c r="AK38" s="1732"/>
      <c r="AL38" s="1732"/>
      <c r="AM38" s="1732"/>
      <c r="AN38" s="1732"/>
      <c r="AO38" s="1732"/>
      <c r="AP38" s="1732"/>
      <c r="AQ38" s="1732"/>
      <c r="AR38" s="1732"/>
      <c r="AS38" s="1732"/>
      <c r="AT38" s="1732"/>
      <c r="AU38" s="1732"/>
      <c r="AV38" s="1732"/>
      <c r="AW38" s="1732"/>
      <c r="AX38" s="1732"/>
      <c r="AY38" s="1732"/>
      <c r="AZ38" s="1732"/>
      <c r="BA38" s="1732"/>
      <c r="BB38" s="1732"/>
      <c r="BC38" s="1732"/>
      <c r="BD38" s="1732"/>
      <c r="BE38" s="1732"/>
      <c r="BF38" s="1732"/>
      <c r="BG38" s="1732"/>
      <c r="BH38" s="1732"/>
      <c r="BI38" s="1732"/>
      <c r="BJ38" s="1732"/>
      <c r="BK38" s="1732"/>
      <c r="BL38" s="1732"/>
      <c r="BM38" s="1732"/>
      <c r="BN38" s="1732"/>
      <c r="BO38" s="1732"/>
      <c r="BP38" s="1732"/>
      <c r="BQ38" s="1732"/>
      <c r="BR38" s="1732"/>
      <c r="BS38" s="1732"/>
      <c r="BT38" s="1732"/>
      <c r="BU38" s="1732"/>
      <c r="BV38" s="1732"/>
      <c r="BW38" s="1732"/>
      <c r="BX38" s="1732"/>
      <c r="BY38" s="1732"/>
      <c r="BZ38" s="1732"/>
      <c r="CA38" s="1732"/>
      <c r="CB38" s="1732"/>
      <c r="CC38" s="1732"/>
      <c r="CD38" s="1732"/>
      <c r="CE38" s="1732"/>
      <c r="CF38" s="1412"/>
    </row>
    <row customHeight="1" ht="5.25" hidden="1">
      <c r="A39" s="1888"/>
      <c r="B39" s="1732"/>
      <c r="C39" s="1732"/>
      <c r="D39" s="3219"/>
      <c r="E39" s="742"/>
      <c r="F39" s="742"/>
      <c r="G39" s="742"/>
      <c r="H39" s="742"/>
      <c r="I39" s="742"/>
      <c r="J39" s="742"/>
      <c r="K39" s="742"/>
      <c r="L39" s="742"/>
      <c r="M39" s="742"/>
      <c r="N39" s="742"/>
      <c r="O39" s="742"/>
      <c r="P39" s="742"/>
      <c r="Q39" s="742"/>
      <c r="R39" s="742"/>
      <c r="S39" s="743"/>
      <c r="T39" s="825"/>
      <c r="U39" s="3119"/>
      <c r="V39" s="3119"/>
      <c r="W39" s="1732"/>
      <c r="X39" s="1732"/>
      <c r="Y39" s="1732"/>
      <c r="Z39" s="1732"/>
      <c r="AA39" s="1732"/>
      <c r="AB39" s="1732"/>
      <c r="AC39" s="1137"/>
      <c r="AD39" s="1138"/>
      <c r="AE39" s="1732"/>
      <c r="AF39" s="1732"/>
      <c r="AG39" s="1732"/>
      <c r="AH39" s="1732"/>
      <c r="AI39" s="1732"/>
      <c r="AJ39" s="1732"/>
      <c r="AK39" s="1732"/>
      <c r="AL39" s="1732"/>
      <c r="AM39" s="1732"/>
      <c r="AN39" s="1732"/>
      <c r="AO39" s="1732"/>
      <c r="AP39" s="1732"/>
      <c r="AQ39" s="1732"/>
      <c r="AR39" s="1732"/>
      <c r="AS39" s="1732"/>
      <c r="AT39" s="1732"/>
      <c r="AU39" s="1732"/>
      <c r="AV39" s="1732"/>
      <c r="AW39" s="1732"/>
      <c r="AX39" s="1732"/>
      <c r="AY39" s="1732"/>
      <c r="AZ39" s="1732"/>
      <c r="BA39" s="1732"/>
      <c r="BB39" s="1732"/>
      <c r="BC39" s="1732"/>
      <c r="BD39" s="1732"/>
      <c r="BE39" s="1732"/>
      <c r="BF39" s="1732"/>
      <c r="BG39" s="1732"/>
      <c r="BH39" s="1732"/>
      <c r="BI39" s="1732"/>
      <c r="BJ39" s="1732"/>
      <c r="BK39" s="1732"/>
      <c r="BL39" s="1732"/>
      <c r="BM39" s="1732"/>
      <c r="BN39" s="1732"/>
      <c r="BO39" s="1732"/>
      <c r="BP39" s="1732"/>
      <c r="BQ39" s="1732"/>
      <c r="BR39" s="1732"/>
      <c r="BS39" s="1732"/>
      <c r="BT39" s="1732"/>
      <c r="BU39" s="1732"/>
      <c r="BV39" s="1732"/>
      <c r="BW39" s="1732"/>
      <c r="BX39" s="1732"/>
      <c r="BY39" s="1732"/>
      <c r="BZ39" s="1732"/>
      <c r="CA39" s="1732"/>
      <c r="CB39" s="1732"/>
      <c r="CC39" s="1732"/>
      <c r="CD39" s="1732"/>
      <c r="CE39" s="1732"/>
      <c r="CF39" s="1412"/>
    </row>
    <row customHeight="1" ht="5.25" hidden="1">
      <c r="A40" s="1888"/>
      <c r="B40" s="1732"/>
      <c r="C40" s="1732"/>
      <c r="D40" s="3220"/>
      <c r="E40" s="1143"/>
      <c r="F40" s="1144"/>
      <c r="G40" s="1144"/>
      <c r="H40" s="1145"/>
      <c r="I40" s="1145"/>
      <c r="J40" s="1145"/>
      <c r="K40" s="1145"/>
      <c r="L40" s="1145"/>
      <c r="M40" s="1145"/>
      <c r="N40" s="1145"/>
      <c r="O40" s="1145"/>
      <c r="P40" s="1145"/>
      <c r="Q40" s="1145"/>
      <c r="R40" s="1046"/>
      <c r="S40" s="1146"/>
      <c r="T40" s="825"/>
      <c r="U40" s="3119"/>
      <c r="V40" s="3119"/>
      <c r="W40" s="1732"/>
      <c r="X40" s="1732"/>
      <c r="Y40" s="1732"/>
      <c r="Z40" s="1732"/>
      <c r="AA40" s="1732"/>
      <c r="AB40" s="1732"/>
      <c r="AC40" s="1137"/>
      <c r="AD40" s="1138"/>
      <c r="AE40" s="1732"/>
      <c r="AF40" s="1732"/>
      <c r="AG40" s="1732"/>
      <c r="AH40" s="1732"/>
      <c r="AI40" s="1732"/>
      <c r="AJ40" s="1732"/>
      <c r="AK40" s="1732"/>
      <c r="AL40" s="1732"/>
      <c r="AM40" s="1732"/>
      <c r="AN40" s="1732"/>
      <c r="AO40" s="1732"/>
      <c r="AP40" s="1732"/>
      <c r="AQ40" s="1732"/>
      <c r="AR40" s="1732"/>
      <c r="AS40" s="1732"/>
      <c r="AT40" s="1732"/>
      <c r="AU40" s="1732"/>
      <c r="AV40" s="1732"/>
      <c r="AW40" s="1732"/>
      <c r="AX40" s="1732"/>
      <c r="AY40" s="1732"/>
      <c r="AZ40" s="1732"/>
      <c r="BA40" s="1732"/>
      <c r="BB40" s="1732"/>
      <c r="BC40" s="1732"/>
      <c r="BD40" s="1732"/>
      <c r="BE40" s="1732"/>
      <c r="BF40" s="1732"/>
      <c r="BG40" s="1732"/>
      <c r="BH40" s="1732"/>
      <c r="BI40" s="1732"/>
      <c r="BJ40" s="1732"/>
      <c r="BK40" s="1732"/>
      <c r="BL40" s="1732"/>
      <c r="BM40" s="1732"/>
      <c r="BN40" s="1732"/>
      <c r="BO40" s="1732"/>
      <c r="BP40" s="1732"/>
      <c r="BQ40" s="1732"/>
      <c r="BR40" s="1732"/>
      <c r="BS40" s="1732"/>
      <c r="BT40" s="1732"/>
      <c r="BU40" s="1732"/>
      <c r="BV40" s="1732"/>
      <c r="BW40" s="1732"/>
      <c r="BX40" s="1732"/>
      <c r="BY40" s="1732"/>
      <c r="BZ40" s="1732"/>
      <c r="CA40" s="1732"/>
      <c r="CB40" s="1732"/>
      <c r="CC40" s="1732"/>
      <c r="CD40" s="1732"/>
      <c r="CE40" s="1732"/>
      <c r="CF40" s="1412"/>
    </row>
    <row customHeight="1" ht="15" hidden="1">
      <c r="A41" s="730" t="s">
        <v>159</v>
      </c>
      <c r="B41" s="731"/>
      <c r="C41" s="731" t="s">
        <v>22</v>
      </c>
      <c r="D41" s="3218" t="s">
        <v>713</v>
      </c>
      <c r="E41" s="3215" t="s">
        <v>140</v>
      </c>
      <c r="F41" s="3216"/>
      <c r="G41" s="3217"/>
      <c r="H41" s="3211"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25 МВт и более</v>
      </c>
      <c r="I41" s="3211"/>
      <c r="J41" s="3211"/>
      <c r="K41" s="3211"/>
      <c r="L41" s="3211"/>
      <c r="M41" s="3211"/>
      <c r="N41" s="3211"/>
      <c r="O41" s="3211"/>
      <c r="P41" s="3211"/>
      <c r="Q41" s="3211"/>
      <c r="R41" s="3211"/>
      <c r="S41" s="826"/>
      <c r="T41" s="823"/>
      <c r="U41" s="732"/>
      <c r="V41" s="732"/>
      <c r="W41" s="733"/>
      <c r="X41" s="733"/>
      <c r="Y41" s="733"/>
      <c r="Z41" s="733"/>
      <c r="AA41" s="734"/>
      <c r="AB41" s="735"/>
      <c r="AC41" s="3214"/>
      <c r="AD41" s="736"/>
      <c r="AE41" s="737" t="s">
        <v>22</v>
      </c>
      <c r="AF41" s="737"/>
      <c r="AG41" s="738" t="s">
        <v>704</v>
      </c>
      <c r="AH41" s="739">
        <v>3</v>
      </c>
      <c r="AI41" s="732"/>
      <c r="AJ41" s="732"/>
      <c r="AK41" s="732"/>
      <c r="AL41" s="732"/>
      <c r="AM41" s="732"/>
      <c r="AN41" s="732"/>
      <c r="AO41" s="732"/>
      <c r="AP41" s="732"/>
      <c r="AQ41" s="732"/>
      <c r="AR41" s="732"/>
      <c r="AS41" s="732"/>
      <c r="AT41" s="732"/>
      <c r="AU41" s="732"/>
      <c r="AV41" s="732"/>
      <c r="AW41" s="732"/>
      <c r="AX41" s="732"/>
      <c r="AY41" s="732"/>
      <c r="AZ41" s="732"/>
      <c r="BA41" s="732"/>
      <c r="BB41" s="732"/>
      <c r="BC41" s="732"/>
      <c r="BD41" s="732"/>
      <c r="BE41" s="732"/>
      <c r="BF41" s="732"/>
      <c r="BG41" s="732"/>
      <c r="BH41" s="732"/>
      <c r="BI41" s="732"/>
      <c r="BJ41" s="732"/>
      <c r="BK41" s="732"/>
      <c r="BL41" s="732"/>
      <c r="BM41" s="732"/>
      <c r="BN41" s="732"/>
      <c r="BO41" s="732"/>
      <c r="BP41" s="732"/>
      <c r="BQ41" s="732"/>
      <c r="BR41" s="732"/>
      <c r="BS41" s="732"/>
      <c r="BT41" s="732"/>
      <c r="BU41" s="732"/>
      <c r="BV41" s="733"/>
      <c r="BW41" s="733"/>
      <c r="BX41" s="733"/>
      <c r="BY41" s="733"/>
      <c r="BZ41" s="733"/>
      <c r="CA41" s="733"/>
      <c r="CB41" s="733"/>
      <c r="CC41" s="733"/>
      <c r="CD41" s="733"/>
      <c r="CE41" s="733"/>
      <c r="CF41" s="1944"/>
    </row>
    <row customHeight="1" ht="15" hidden="1">
      <c r="A42" s="730"/>
      <c r="B42" s="731"/>
      <c r="C42" s="731"/>
      <c r="D42" s="3219"/>
      <c r="E42" s="3215" t="s">
        <v>649</v>
      </c>
      <c r="F42" s="3216"/>
      <c r="G42" s="3217"/>
      <c r="H42" s="3211" t="str">
        <f>IF(A41="","",INDEX(DIFFERENTIATION_UNMERGE_AREA,MATCH(A41,DIFFERENTIATION_ID_DIFF,0)))</f>
        <v>Территория 2</v>
      </c>
      <c r="I42" s="3211"/>
      <c r="J42" s="3211"/>
      <c r="K42" s="3211"/>
      <c r="L42" s="3211"/>
      <c r="M42" s="3211"/>
      <c r="N42" s="3211"/>
      <c r="O42" s="3211"/>
      <c r="P42" s="3211"/>
      <c r="Q42" s="3211"/>
      <c r="R42" s="3211"/>
      <c r="S42" s="826"/>
      <c r="T42" s="823"/>
      <c r="U42" s="732"/>
      <c r="V42" s="732"/>
      <c r="W42" s="733"/>
      <c r="X42" s="733"/>
      <c r="Y42" s="733"/>
      <c r="Z42" s="733"/>
      <c r="AA42" s="734"/>
      <c r="AB42" s="735"/>
      <c r="AC42" s="3214"/>
      <c r="AD42" s="736"/>
      <c r="AE42" s="737"/>
      <c r="AF42" s="737"/>
      <c r="AG42" s="738"/>
      <c r="AH42" s="739"/>
      <c r="AI42" s="732"/>
      <c r="AJ42" s="732"/>
      <c r="AK42" s="732"/>
      <c r="AL42" s="732"/>
      <c r="AM42" s="732"/>
      <c r="AN42" s="732"/>
      <c r="AO42" s="732"/>
      <c r="AP42" s="732"/>
      <c r="AQ42" s="732"/>
      <c r="AR42" s="732"/>
      <c r="AS42" s="732"/>
      <c r="AT42" s="732"/>
      <c r="AU42" s="732"/>
      <c r="AV42" s="732"/>
      <c r="AW42" s="732"/>
      <c r="AX42" s="732"/>
      <c r="AY42" s="732"/>
      <c r="AZ42" s="732"/>
      <c r="BA42" s="732"/>
      <c r="BB42" s="732"/>
      <c r="BC42" s="732"/>
      <c r="BD42" s="732"/>
      <c r="BE42" s="732"/>
      <c r="BF42" s="732"/>
      <c r="BG42" s="732"/>
      <c r="BH42" s="732"/>
      <c r="BI42" s="732"/>
      <c r="BJ42" s="732"/>
      <c r="BK42" s="732"/>
      <c r="BL42" s="732"/>
      <c r="BM42" s="732"/>
      <c r="BN42" s="732"/>
      <c r="BO42" s="732"/>
      <c r="BP42" s="732"/>
      <c r="BQ42" s="732"/>
      <c r="BR42" s="732"/>
      <c r="BS42" s="732"/>
      <c r="BT42" s="732"/>
      <c r="BU42" s="732"/>
      <c r="BV42" s="733"/>
      <c r="BW42" s="733"/>
      <c r="BX42" s="733"/>
      <c r="BY42" s="733"/>
      <c r="BZ42" s="733"/>
      <c r="CA42" s="733"/>
      <c r="CB42" s="733"/>
      <c r="CC42" s="733"/>
      <c r="CD42" s="733"/>
      <c r="CE42" s="733"/>
      <c r="CF42" s="1944"/>
    </row>
    <row customHeight="1" ht="15" hidden="1">
      <c r="A43" s="730"/>
      <c r="B43" s="731"/>
      <c r="C43" s="731"/>
      <c r="D43" s="3219"/>
      <c r="E43" s="3215" t="s">
        <v>650</v>
      </c>
      <c r="F43" s="3216"/>
      <c r="G43" s="3217"/>
      <c r="H43" s="3211" t="str">
        <f>IF(A41="","",INDEX(DIFFERENTIATION_UNMERGE_SYSTEM,MATCH(A41,DIFFERENTIATION_ID_DIFF,0)))</f>
        <v>Комсомольская ТЭЦ - 3</v>
      </c>
      <c r="I43" s="3211"/>
      <c r="J43" s="3211"/>
      <c r="K43" s="3211"/>
      <c r="L43" s="3211"/>
      <c r="M43" s="3211"/>
      <c r="N43" s="3211"/>
      <c r="O43" s="3211"/>
      <c r="P43" s="3211"/>
      <c r="Q43" s="3211"/>
      <c r="R43" s="3211"/>
      <c r="S43" s="826"/>
      <c r="T43" s="823"/>
      <c r="U43" s="732"/>
      <c r="V43" s="732"/>
      <c r="W43" s="733"/>
      <c r="X43" s="733"/>
      <c r="Y43" s="733"/>
      <c r="Z43" s="733"/>
      <c r="AA43" s="734"/>
      <c r="AB43" s="735"/>
      <c r="AC43" s="3214"/>
      <c r="AD43" s="736"/>
      <c r="AE43" s="737"/>
      <c r="AF43" s="737"/>
      <c r="AG43" s="738"/>
      <c r="AH43" s="739"/>
      <c r="AI43" s="732"/>
      <c r="AJ43" s="732"/>
      <c r="AK43" s="732"/>
      <c r="AL43" s="732"/>
      <c r="AM43" s="732"/>
      <c r="AN43" s="732"/>
      <c r="AO43" s="732"/>
      <c r="AP43" s="732"/>
      <c r="AQ43" s="732"/>
      <c r="AR43" s="732"/>
      <c r="AS43" s="732"/>
      <c r="AT43" s="732"/>
      <c r="AU43" s="732"/>
      <c r="AV43" s="732"/>
      <c r="AW43" s="732"/>
      <c r="AX43" s="732"/>
      <c r="AY43" s="732"/>
      <c r="AZ43" s="732"/>
      <c r="BA43" s="732"/>
      <c r="BB43" s="732"/>
      <c r="BC43" s="732"/>
      <c r="BD43" s="732"/>
      <c r="BE43" s="732"/>
      <c r="BF43" s="732"/>
      <c r="BG43" s="732"/>
      <c r="BH43" s="732"/>
      <c r="BI43" s="732"/>
      <c r="BJ43" s="732"/>
      <c r="BK43" s="732"/>
      <c r="BL43" s="732"/>
      <c r="BM43" s="732"/>
      <c r="BN43" s="732"/>
      <c r="BO43" s="732"/>
      <c r="BP43" s="732"/>
      <c r="BQ43" s="732"/>
      <c r="BR43" s="732"/>
      <c r="BS43" s="732"/>
      <c r="BT43" s="732"/>
      <c r="BU43" s="732"/>
      <c r="BV43" s="733"/>
      <c r="BW43" s="733"/>
      <c r="BX43" s="733"/>
      <c r="BY43" s="733"/>
      <c r="BZ43" s="733"/>
      <c r="CA43" s="733"/>
      <c r="CB43" s="733"/>
      <c r="CC43" s="733"/>
      <c r="CD43" s="733"/>
      <c r="CE43" s="733"/>
      <c r="CF43" s="1944"/>
    </row>
    <row customHeight="1" ht="24.75" hidden="1">
      <c r="A44" s="1901"/>
      <c r="B44" s="1256"/>
      <c r="C44" s="519"/>
      <c r="D44" s="3219"/>
      <c r="E44" s="3213" t="s">
        <v>705</v>
      </c>
      <c r="F44" s="3213"/>
      <c r="G44" s="3213"/>
      <c r="H44" s="3213"/>
      <c r="I44" s="3213"/>
      <c r="J44" s="3213"/>
      <c r="K44" s="3213"/>
      <c r="L44" s="3213"/>
      <c r="M44" s="3213"/>
      <c r="N44" s="3213"/>
      <c r="O44" s="3213"/>
      <c r="P44" s="3213"/>
      <c r="Q44" s="665">
        <f>SUMIF(T45:T46,"i",Q45:Q46)</f>
        <v>0</v>
      </c>
      <c r="R44" s="1117"/>
      <c r="S44" s="1893" t="s">
        <v>706</v>
      </c>
      <c r="T44" s="824" t="s">
        <v>707</v>
      </c>
      <c r="U44" s="3119">
        <v>1</v>
      </c>
      <c r="V44" s="3119" t="str">
        <f>INDEX(B_FHD_FLAG_INDEX_1,1,MATCH($A$41,B_FHD_FLAG_DIFFERENTIATION,0))</f>
        <v>отсутствует</v>
      </c>
      <c r="W44" s="1256"/>
      <c r="X44" s="1256"/>
      <c r="Y44" s="1256"/>
      <c r="Z44" s="1256"/>
      <c r="AA44" s="1732"/>
      <c r="AB44" s="1256"/>
      <c r="AC44" s="3214"/>
      <c r="AD44" s="736"/>
      <c r="AE44" s="1256"/>
      <c r="AF44" s="1256"/>
      <c r="AG44" s="1732"/>
      <c r="AH44" s="1732"/>
      <c r="AI44" s="1732"/>
      <c r="AJ44" s="1732"/>
      <c r="AK44" s="1732"/>
      <c r="AL44" s="1732"/>
      <c r="AM44" s="1732"/>
      <c r="AN44" s="1732"/>
      <c r="AO44" s="1732"/>
      <c r="AP44" s="1732"/>
      <c r="AQ44" s="1732"/>
      <c r="AR44" s="1732"/>
      <c r="AS44" s="1732"/>
      <c r="AT44" s="1732"/>
      <c r="AU44" s="1732"/>
      <c r="AV44" s="1732"/>
      <c r="AW44" s="1732"/>
      <c r="AX44" s="1732"/>
      <c r="AY44" s="1732"/>
      <c r="AZ44" s="1732"/>
      <c r="BA44" s="1732"/>
      <c r="BB44" s="1732"/>
      <c r="BC44" s="1732"/>
      <c r="BD44" s="1732"/>
      <c r="BE44" s="1732"/>
      <c r="BF44" s="1732"/>
      <c r="BG44" s="1732"/>
      <c r="BH44" s="1732"/>
      <c r="BI44" s="1732"/>
      <c r="BJ44" s="1732"/>
      <c r="BK44" s="1732"/>
      <c r="BL44" s="1732"/>
      <c r="BM44" s="1732"/>
      <c r="BN44" s="1732"/>
      <c r="BO44" s="1732"/>
      <c r="BP44" s="1732"/>
      <c r="BQ44" s="1732"/>
      <c r="BR44" s="1732"/>
      <c r="BS44" s="1732"/>
      <c r="BT44" s="1732"/>
      <c r="BU44" s="1732"/>
      <c r="BV44" s="1256"/>
      <c r="BW44" s="1256"/>
      <c r="BX44" s="1256"/>
      <c r="BY44" s="1256"/>
      <c r="BZ44" s="1256"/>
      <c r="CA44" s="1256"/>
      <c r="CB44" s="1256"/>
      <c r="CC44" s="1256"/>
      <c r="CD44" s="1256"/>
      <c r="CE44" s="1256"/>
      <c r="CF44" s="1944"/>
    </row>
    <row customHeight="1" ht="11.25" hidden="1">
      <c r="A45" s="1888"/>
      <c r="B45" s="1732"/>
      <c r="C45" s="1732"/>
      <c r="D45" s="3219"/>
      <c r="E45" s="742"/>
      <c r="F45" s="742">
        <v>0</v>
      </c>
      <c r="G45" s="742"/>
      <c r="H45" s="742"/>
      <c r="I45" s="742"/>
      <c r="J45" s="742"/>
      <c r="K45" s="742"/>
      <c r="L45" s="742"/>
      <c r="M45" s="742"/>
      <c r="N45" s="742"/>
      <c r="O45" s="742"/>
      <c r="P45" s="742"/>
      <c r="Q45" s="742"/>
      <c r="R45" s="742"/>
      <c r="S45" s="743"/>
      <c r="T45" s="825"/>
      <c r="U45" s="3119"/>
      <c r="V45" s="3119"/>
      <c r="W45" s="1732"/>
      <c r="X45" s="1732"/>
      <c r="Y45" s="1732"/>
      <c r="Z45" s="1732"/>
      <c r="AA45" s="1732"/>
      <c r="AB45" s="1256"/>
      <c r="AC45" s="3214"/>
      <c r="AD45" s="736"/>
      <c r="AE45" s="1256"/>
      <c r="AF45" s="1256"/>
      <c r="AG45" s="1732"/>
      <c r="AH45" s="1732"/>
      <c r="AI45" s="1732"/>
      <c r="AJ45" s="1732"/>
      <c r="AK45" s="1732"/>
      <c r="AL45" s="1732"/>
      <c r="AM45" s="1732"/>
      <c r="AN45" s="1732"/>
      <c r="AO45" s="1732"/>
      <c r="AP45" s="1732"/>
      <c r="AQ45" s="1732"/>
      <c r="AR45" s="1732"/>
      <c r="AS45" s="1732"/>
      <c r="AT45" s="1732"/>
      <c r="AU45" s="1732"/>
      <c r="AV45" s="1732"/>
      <c r="AW45" s="1732"/>
      <c r="AX45" s="1732"/>
      <c r="AY45" s="1732"/>
      <c r="AZ45" s="1732"/>
      <c r="BA45" s="1732"/>
      <c r="BB45" s="1732"/>
      <c r="BC45" s="1732"/>
      <c r="BD45" s="1732"/>
      <c r="BE45" s="1732"/>
      <c r="BF45" s="1732"/>
      <c r="BG45" s="1732"/>
      <c r="BH45" s="1732"/>
      <c r="BI45" s="1732"/>
      <c r="BJ45" s="1732"/>
      <c r="BK45" s="1732"/>
      <c r="BL45" s="1732"/>
      <c r="BM45" s="1732"/>
      <c r="BN45" s="1732"/>
      <c r="BO45" s="1732"/>
      <c r="BP45" s="1732"/>
      <c r="BQ45" s="1732"/>
      <c r="BR45" s="1732"/>
      <c r="BS45" s="1732"/>
      <c r="BT45" s="1732"/>
      <c r="BU45" s="1732"/>
      <c r="BV45" s="1732"/>
      <c r="BW45" s="1732"/>
      <c r="BX45" s="1732"/>
      <c r="BY45" s="1732"/>
      <c r="BZ45" s="1732"/>
      <c r="CA45" s="1732"/>
      <c r="CB45" s="1732"/>
      <c r="CC45" s="1732"/>
      <c r="CD45" s="1732"/>
      <c r="CE45" s="1732"/>
      <c r="CF45" s="1944"/>
    </row>
    <row customHeight="1" ht="11.25" hidden="1">
      <c r="A46" s="1901"/>
      <c r="B46" s="1256"/>
      <c r="C46" s="519"/>
      <c r="D46" s="3219"/>
      <c r="E46" s="756" t="s">
        <v>22</v>
      </c>
      <c r="F46" s="1264" t="s">
        <v>22</v>
      </c>
      <c r="G46" s="1264" t="s">
        <v>711</v>
      </c>
      <c r="H46" s="758" t="s">
        <v>22</v>
      </c>
      <c r="I46" s="758"/>
      <c r="J46" s="758"/>
      <c r="K46" s="758"/>
      <c r="L46" s="758"/>
      <c r="M46" s="758"/>
      <c r="N46" s="758"/>
      <c r="O46" s="758"/>
      <c r="P46" s="758"/>
      <c r="Q46" s="758"/>
      <c r="R46" s="759"/>
      <c r="S46" s="760"/>
      <c r="T46" s="825"/>
      <c r="U46" s="3119"/>
      <c r="V46" s="3119"/>
      <c r="W46" s="1256"/>
      <c r="X46" s="1256"/>
      <c r="Y46" s="1256"/>
      <c r="Z46" s="1256"/>
      <c r="AA46" s="1732"/>
      <c r="AB46" s="1256"/>
      <c r="AC46" s="3214"/>
      <c r="AD46" s="736"/>
      <c r="AE46" s="1256"/>
      <c r="AF46" s="1256"/>
      <c r="AG46" s="1732"/>
      <c r="AH46" s="1732"/>
      <c r="AI46" s="1732"/>
      <c r="AJ46" s="1732"/>
      <c r="AK46" s="1732"/>
      <c r="AL46" s="1732"/>
      <c r="AM46" s="1732"/>
      <c r="AN46" s="1732"/>
      <c r="AO46" s="1732"/>
      <c r="AP46" s="1732"/>
      <c r="AQ46" s="1732"/>
      <c r="AR46" s="1732"/>
      <c r="AS46" s="1732"/>
      <c r="AT46" s="1732"/>
      <c r="AU46" s="1732"/>
      <c r="AV46" s="1732"/>
      <c r="AW46" s="1732"/>
      <c r="AX46" s="1732"/>
      <c r="AY46" s="1732"/>
      <c r="AZ46" s="1732"/>
      <c r="BA46" s="1732"/>
      <c r="BB46" s="1732"/>
      <c r="BC46" s="1732"/>
      <c r="BD46" s="1732"/>
      <c r="BE46" s="1732"/>
      <c r="BF46" s="1732"/>
      <c r="BG46" s="1732"/>
      <c r="BH46" s="1732"/>
      <c r="BI46" s="1732"/>
      <c r="BJ46" s="1732"/>
      <c r="BK46" s="1732"/>
      <c r="BL46" s="1732"/>
      <c r="BM46" s="1732"/>
      <c r="BN46" s="1732"/>
      <c r="BO46" s="1732"/>
      <c r="BP46" s="1732"/>
      <c r="BQ46" s="1732"/>
      <c r="BR46" s="1732"/>
      <c r="BS46" s="1732"/>
      <c r="BT46" s="1732"/>
      <c r="BU46" s="1732"/>
      <c r="BV46" s="1256"/>
      <c r="BW46" s="1256"/>
      <c r="BX46" s="1256"/>
      <c r="BY46" s="1256"/>
      <c r="BZ46" s="1256"/>
      <c r="CA46" s="1256"/>
      <c r="CB46" s="1256"/>
      <c r="CC46" s="1256"/>
      <c r="CD46" s="1256"/>
      <c r="CE46" s="1256"/>
      <c r="CF46" s="1944"/>
    </row>
    <row customHeight="1" ht="5.25" hidden="1">
      <c r="A47" s="1888"/>
      <c r="B47" s="1732"/>
      <c r="C47" s="1732"/>
      <c r="D47" s="3219"/>
      <c r="E47" s="1139"/>
      <c r="F47" s="1139"/>
      <c r="G47" s="1139"/>
      <c r="H47" s="1139"/>
      <c r="I47" s="1139"/>
      <c r="J47" s="1139"/>
      <c r="K47" s="1139"/>
      <c r="L47" s="1139"/>
      <c r="M47" s="1139"/>
      <c r="N47" s="1139"/>
      <c r="O47" s="1139"/>
      <c r="P47" s="1139"/>
      <c r="Q47" s="1140"/>
      <c r="R47" s="1141"/>
      <c r="S47" s="1142"/>
      <c r="T47" s="824" t="s">
        <v>707</v>
      </c>
      <c r="U47" s="3119">
        <v>1</v>
      </c>
      <c r="V47" s="3119" t="s">
        <v>669</v>
      </c>
      <c r="W47" s="1732"/>
      <c r="X47" s="1732"/>
      <c r="Y47" s="1732"/>
      <c r="Z47" s="1732"/>
      <c r="AA47" s="1732"/>
      <c r="AB47" s="1732"/>
      <c r="AC47" s="1137"/>
      <c r="AD47" s="1138"/>
      <c r="AE47" s="1732"/>
      <c r="AF47" s="1732"/>
      <c r="AG47" s="1732"/>
      <c r="AH47" s="1732"/>
      <c r="AI47" s="1732"/>
      <c r="AJ47" s="1732"/>
      <c r="AK47" s="1732"/>
      <c r="AL47" s="1732"/>
      <c r="AM47" s="1732"/>
      <c r="AN47" s="1732"/>
      <c r="AO47" s="1732"/>
      <c r="AP47" s="1732"/>
      <c r="AQ47" s="1732"/>
      <c r="AR47" s="1732"/>
      <c r="AS47" s="1732"/>
      <c r="AT47" s="1732"/>
      <c r="AU47" s="1732"/>
      <c r="AV47" s="1732"/>
      <c r="AW47" s="1732"/>
      <c r="AX47" s="1732"/>
      <c r="AY47" s="1732"/>
      <c r="AZ47" s="1732"/>
      <c r="BA47" s="1732"/>
      <c r="BB47" s="1732"/>
      <c r="BC47" s="1732"/>
      <c r="BD47" s="1732"/>
      <c r="BE47" s="1732"/>
      <c r="BF47" s="1732"/>
      <c r="BG47" s="1732"/>
      <c r="BH47" s="1732"/>
      <c r="BI47" s="1732"/>
      <c r="BJ47" s="1732"/>
      <c r="BK47" s="1732"/>
      <c r="BL47" s="1732"/>
      <c r="BM47" s="1732"/>
      <c r="BN47" s="1732"/>
      <c r="BO47" s="1732"/>
      <c r="BP47" s="1732"/>
      <c r="BQ47" s="1732"/>
      <c r="BR47" s="1732"/>
      <c r="BS47" s="1732"/>
      <c r="BT47" s="1732"/>
      <c r="BU47" s="1732"/>
      <c r="BV47" s="1732"/>
      <c r="BW47" s="1732"/>
      <c r="BX47" s="1732"/>
      <c r="BY47" s="1732"/>
      <c r="BZ47" s="1732"/>
      <c r="CA47" s="1732"/>
      <c r="CB47" s="1732"/>
      <c r="CC47" s="1732"/>
      <c r="CD47" s="1732"/>
      <c r="CE47" s="1732"/>
      <c r="CF47" s="1412"/>
    </row>
    <row customHeight="1" ht="5.25" hidden="1">
      <c r="A48" s="1888"/>
      <c r="B48" s="1732"/>
      <c r="C48" s="1732"/>
      <c r="D48" s="3219"/>
      <c r="E48" s="742"/>
      <c r="F48" s="742"/>
      <c r="G48" s="742"/>
      <c r="H48" s="742"/>
      <c r="I48" s="742"/>
      <c r="J48" s="742"/>
      <c r="K48" s="742"/>
      <c r="L48" s="742"/>
      <c r="M48" s="742"/>
      <c r="N48" s="742"/>
      <c r="O48" s="742"/>
      <c r="P48" s="742"/>
      <c r="Q48" s="742"/>
      <c r="R48" s="742"/>
      <c r="S48" s="743"/>
      <c r="T48" s="825"/>
      <c r="U48" s="3119"/>
      <c r="V48" s="3119"/>
      <c r="W48" s="1732"/>
      <c r="X48" s="1732"/>
      <c r="Y48" s="1732"/>
      <c r="Z48" s="1732"/>
      <c r="AA48" s="1732"/>
      <c r="AB48" s="1732"/>
      <c r="AC48" s="1137"/>
      <c r="AD48" s="1138"/>
      <c r="AE48" s="1732"/>
      <c r="AF48" s="1732"/>
      <c r="AG48" s="1732"/>
      <c r="AH48" s="1732"/>
      <c r="AI48" s="1732"/>
      <c r="AJ48" s="1732"/>
      <c r="AK48" s="1732"/>
      <c r="AL48" s="1732"/>
      <c r="AM48" s="1732"/>
      <c r="AN48" s="1732"/>
      <c r="AO48" s="1732"/>
      <c r="AP48" s="1732"/>
      <c r="AQ48" s="1732"/>
      <c r="AR48" s="1732"/>
      <c r="AS48" s="1732"/>
      <c r="AT48" s="1732"/>
      <c r="AU48" s="1732"/>
      <c r="AV48" s="1732"/>
      <c r="AW48" s="1732"/>
      <c r="AX48" s="1732"/>
      <c r="AY48" s="1732"/>
      <c r="AZ48" s="1732"/>
      <c r="BA48" s="1732"/>
      <c r="BB48" s="1732"/>
      <c r="BC48" s="1732"/>
      <c r="BD48" s="1732"/>
      <c r="BE48" s="1732"/>
      <c r="BF48" s="1732"/>
      <c r="BG48" s="1732"/>
      <c r="BH48" s="1732"/>
      <c r="BI48" s="1732"/>
      <c r="BJ48" s="1732"/>
      <c r="BK48" s="1732"/>
      <c r="BL48" s="1732"/>
      <c r="BM48" s="1732"/>
      <c r="BN48" s="1732"/>
      <c r="BO48" s="1732"/>
      <c r="BP48" s="1732"/>
      <c r="BQ48" s="1732"/>
      <c r="BR48" s="1732"/>
      <c r="BS48" s="1732"/>
      <c r="BT48" s="1732"/>
      <c r="BU48" s="1732"/>
      <c r="BV48" s="1732"/>
      <c r="BW48" s="1732"/>
      <c r="BX48" s="1732"/>
      <c r="BY48" s="1732"/>
      <c r="BZ48" s="1732"/>
      <c r="CA48" s="1732"/>
      <c r="CB48" s="1732"/>
      <c r="CC48" s="1732"/>
      <c r="CD48" s="1732"/>
      <c r="CE48" s="1732"/>
      <c r="CF48" s="1412"/>
    </row>
    <row customHeight="1" ht="5.25" hidden="1">
      <c r="A49" s="1888"/>
      <c r="B49" s="1732"/>
      <c r="C49" s="1732"/>
      <c r="D49" s="3220"/>
      <c r="E49" s="1143"/>
      <c r="F49" s="1144"/>
      <c r="G49" s="1144"/>
      <c r="H49" s="1145"/>
      <c r="I49" s="1145"/>
      <c r="J49" s="1145"/>
      <c r="K49" s="1145"/>
      <c r="L49" s="1145"/>
      <c r="M49" s="1145"/>
      <c r="N49" s="1145"/>
      <c r="O49" s="1145"/>
      <c r="P49" s="1145"/>
      <c r="Q49" s="1145"/>
      <c r="R49" s="1046"/>
      <c r="S49" s="1146"/>
      <c r="T49" s="825"/>
      <c r="U49" s="3119"/>
      <c r="V49" s="3119"/>
      <c r="W49" s="1732"/>
      <c r="X49" s="1732"/>
      <c r="Y49" s="1732"/>
      <c r="Z49" s="1732"/>
      <c r="AA49" s="1732"/>
      <c r="AB49" s="1732"/>
      <c r="AC49" s="1137"/>
      <c r="AD49" s="1138"/>
      <c r="AE49" s="1732"/>
      <c r="AF49" s="1732"/>
      <c r="AG49" s="1732"/>
      <c r="AH49" s="1732"/>
      <c r="AI49" s="1732"/>
      <c r="AJ49" s="1732"/>
      <c r="AK49" s="1732"/>
      <c r="AL49" s="1732"/>
      <c r="AM49" s="1732"/>
      <c r="AN49" s="1732"/>
      <c r="AO49" s="1732"/>
      <c r="AP49" s="1732"/>
      <c r="AQ49" s="1732"/>
      <c r="AR49" s="1732"/>
      <c r="AS49" s="1732"/>
      <c r="AT49" s="1732"/>
      <c r="AU49" s="1732"/>
      <c r="AV49" s="1732"/>
      <c r="AW49" s="1732"/>
      <c r="AX49" s="1732"/>
      <c r="AY49" s="1732"/>
      <c r="AZ49" s="1732"/>
      <c r="BA49" s="1732"/>
      <c r="BB49" s="1732"/>
      <c r="BC49" s="1732"/>
      <c r="BD49" s="1732"/>
      <c r="BE49" s="1732"/>
      <c r="BF49" s="1732"/>
      <c r="BG49" s="1732"/>
      <c r="BH49" s="1732"/>
      <c r="BI49" s="1732"/>
      <c r="BJ49" s="1732"/>
      <c r="BK49" s="1732"/>
      <c r="BL49" s="1732"/>
      <c r="BM49" s="1732"/>
      <c r="BN49" s="1732"/>
      <c r="BO49" s="1732"/>
      <c r="BP49" s="1732"/>
      <c r="BQ49" s="1732"/>
      <c r="BR49" s="1732"/>
      <c r="BS49" s="1732"/>
      <c r="BT49" s="1732"/>
      <c r="BU49" s="1732"/>
      <c r="BV49" s="1732"/>
      <c r="BW49" s="1732"/>
      <c r="BX49" s="1732"/>
      <c r="BY49" s="1732"/>
      <c r="BZ49" s="1732"/>
      <c r="CA49" s="1732"/>
      <c r="CB49" s="1732"/>
      <c r="CC49" s="1732"/>
      <c r="CD49" s="1732"/>
      <c r="CE49" s="1732"/>
      <c r="CF49" s="1412"/>
    </row>
    <row customHeight="1" ht="15" hidden="1">
      <c r="A50" s="730" t="s">
        <v>161</v>
      </c>
      <c r="B50" s="731"/>
      <c r="C50" s="731" t="s">
        <v>22</v>
      </c>
      <c r="D50" s="3218" t="s">
        <v>714</v>
      </c>
      <c r="E50" s="3215" t="s">
        <v>140</v>
      </c>
      <c r="F50" s="3216"/>
      <c r="G50" s="3217"/>
      <c r="H50" s="3211" t="str">
        <f>IF(A50="","",INDEX(DIFFERENTIATION_UNMERGE_VD,MATCH(A50,DIFFERENTIATION_ID_DIFF,0)))</f>
        <v>Производство тепловой энергии. Комбинированная выработка с уст. мощностью производства электрической энергии 25 МВт и более</v>
      </c>
      <c r="I50" s="3211"/>
      <c r="J50" s="3211"/>
      <c r="K50" s="3211"/>
      <c r="L50" s="3211"/>
      <c r="M50" s="3211"/>
      <c r="N50" s="3211"/>
      <c r="O50" s="3211"/>
      <c r="P50" s="3211"/>
      <c r="Q50" s="3211"/>
      <c r="R50" s="3211"/>
      <c r="S50" s="826"/>
      <c r="T50" s="823"/>
      <c r="U50" s="732"/>
      <c r="V50" s="732"/>
      <c r="W50" s="733"/>
      <c r="X50" s="733"/>
      <c r="Y50" s="733"/>
      <c r="Z50" s="733"/>
      <c r="AA50" s="734"/>
      <c r="AB50" s="735"/>
      <c r="AC50" s="3214"/>
      <c r="AD50" s="736"/>
      <c r="AE50" s="737" t="s">
        <v>22</v>
      </c>
      <c r="AF50" s="737"/>
      <c r="AG50" s="738" t="s">
        <v>704</v>
      </c>
      <c r="AH50" s="739">
        <v>3</v>
      </c>
      <c r="AI50" s="732"/>
      <c r="AJ50" s="732"/>
      <c r="AK50" s="732"/>
      <c r="AL50" s="732"/>
      <c r="AM50" s="732"/>
      <c r="AN50" s="732"/>
      <c r="AO50" s="732"/>
      <c r="AP50" s="732"/>
      <c r="AQ50" s="732"/>
      <c r="AR50" s="732"/>
      <c r="AS50" s="732"/>
      <c r="AT50" s="732"/>
      <c r="AU50" s="732"/>
      <c r="AV50" s="732"/>
      <c r="AW50" s="732"/>
      <c r="AX50" s="732"/>
      <c r="AY50" s="732"/>
      <c r="AZ50" s="732"/>
      <c r="BA50" s="732"/>
      <c r="BB50" s="732"/>
      <c r="BC50" s="732"/>
      <c r="BD50" s="732"/>
      <c r="BE50" s="732"/>
      <c r="BF50" s="732"/>
      <c r="BG50" s="732"/>
      <c r="BH50" s="732"/>
      <c r="BI50" s="732"/>
      <c r="BJ50" s="732"/>
      <c r="BK50" s="732"/>
      <c r="BL50" s="732"/>
      <c r="BM50" s="732"/>
      <c r="BN50" s="732"/>
      <c r="BO50" s="732"/>
      <c r="BP50" s="732"/>
      <c r="BQ50" s="732"/>
      <c r="BR50" s="732"/>
      <c r="BS50" s="732"/>
      <c r="BT50" s="732"/>
      <c r="BU50" s="732"/>
      <c r="BV50" s="733"/>
      <c r="BW50" s="733"/>
      <c r="BX50" s="733"/>
      <c r="BY50" s="733"/>
      <c r="BZ50" s="733"/>
      <c r="CA50" s="733"/>
      <c r="CB50" s="733"/>
      <c r="CC50" s="733"/>
      <c r="CD50" s="733"/>
      <c r="CE50" s="733"/>
      <c r="CF50" s="1944"/>
    </row>
    <row customHeight="1" ht="15" hidden="1">
      <c r="A51" s="730"/>
      <c r="B51" s="731"/>
      <c r="C51" s="731"/>
      <c r="D51" s="3219"/>
      <c r="E51" s="3215" t="s">
        <v>649</v>
      </c>
      <c r="F51" s="3216"/>
      <c r="G51" s="3217"/>
      <c r="H51" s="3211" t="str">
        <f>IF(A50="","",INDEX(DIFFERENTIATION_UNMERGE_AREA,MATCH(A50,DIFFERENTIATION_ID_DIFF,0)))</f>
        <v>Территория 3</v>
      </c>
      <c r="I51" s="3211"/>
      <c r="J51" s="3211"/>
      <c r="K51" s="3211"/>
      <c r="L51" s="3211"/>
      <c r="M51" s="3211"/>
      <c r="N51" s="3211"/>
      <c r="O51" s="3211"/>
      <c r="P51" s="3211"/>
      <c r="Q51" s="3211"/>
      <c r="R51" s="3211"/>
      <c r="S51" s="826"/>
      <c r="T51" s="823"/>
      <c r="U51" s="732"/>
      <c r="V51" s="732"/>
      <c r="W51" s="733"/>
      <c r="X51" s="733"/>
      <c r="Y51" s="733"/>
      <c r="Z51" s="733"/>
      <c r="AA51" s="734"/>
      <c r="AB51" s="735"/>
      <c r="AC51" s="3214"/>
      <c r="AD51" s="736"/>
      <c r="AE51" s="737"/>
      <c r="AF51" s="737"/>
      <c r="AG51" s="738"/>
      <c r="AH51" s="739"/>
      <c r="AI51" s="732"/>
      <c r="AJ51" s="732"/>
      <c r="AK51" s="732"/>
      <c r="AL51" s="732"/>
      <c r="AM51" s="732"/>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732"/>
      <c r="BR51" s="732"/>
      <c r="BS51" s="732"/>
      <c r="BT51" s="732"/>
      <c r="BU51" s="732"/>
      <c r="BV51" s="733"/>
      <c r="BW51" s="733"/>
      <c r="BX51" s="733"/>
      <c r="BY51" s="733"/>
      <c r="BZ51" s="733"/>
      <c r="CA51" s="733"/>
      <c r="CB51" s="733"/>
      <c r="CC51" s="733"/>
      <c r="CD51" s="733"/>
      <c r="CE51" s="733"/>
      <c r="CF51" s="1944"/>
    </row>
    <row customHeight="1" ht="15" hidden="1">
      <c r="A52" s="730"/>
      <c r="B52" s="731"/>
      <c r="C52" s="731"/>
      <c r="D52" s="3219"/>
      <c r="E52" s="3215" t="s">
        <v>650</v>
      </c>
      <c r="F52" s="3216"/>
      <c r="G52" s="3217"/>
      <c r="H52" s="3211" t="str">
        <f>IF(A50="","",INDEX(DIFFERENTIATION_UNMERGE_SYSTEM,MATCH(A50,DIFFERENTIATION_ID_DIFF,0)))</f>
        <v>Амурская ТЭЦ - 1</v>
      </c>
      <c r="I52" s="3211"/>
      <c r="J52" s="3211"/>
      <c r="K52" s="3211"/>
      <c r="L52" s="3211"/>
      <c r="M52" s="3211"/>
      <c r="N52" s="3211"/>
      <c r="O52" s="3211"/>
      <c r="P52" s="3211"/>
      <c r="Q52" s="3211"/>
      <c r="R52" s="3211"/>
      <c r="S52" s="826"/>
      <c r="T52" s="823"/>
      <c r="U52" s="732"/>
      <c r="V52" s="732"/>
      <c r="W52" s="733"/>
      <c r="X52" s="733"/>
      <c r="Y52" s="733"/>
      <c r="Z52" s="733"/>
      <c r="AA52" s="734"/>
      <c r="AB52" s="735"/>
      <c r="AC52" s="3214"/>
      <c r="AD52" s="736"/>
      <c r="AE52" s="737"/>
      <c r="AF52" s="737"/>
      <c r="AG52" s="738"/>
      <c r="AH52" s="739"/>
      <c r="AI52" s="732"/>
      <c r="AJ52" s="732"/>
      <c r="AK52" s="732"/>
      <c r="AL52" s="732"/>
      <c r="AM52" s="732"/>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732"/>
      <c r="BR52" s="732"/>
      <c r="BS52" s="732"/>
      <c r="BT52" s="732"/>
      <c r="BU52" s="732"/>
      <c r="BV52" s="733"/>
      <c r="BW52" s="733"/>
      <c r="BX52" s="733"/>
      <c r="BY52" s="733"/>
      <c r="BZ52" s="733"/>
      <c r="CA52" s="733"/>
      <c r="CB52" s="733"/>
      <c r="CC52" s="733"/>
      <c r="CD52" s="733"/>
      <c r="CE52" s="733"/>
      <c r="CF52" s="1944"/>
    </row>
    <row customHeight="1" ht="24.75" hidden="1">
      <c r="A53" s="1901"/>
      <c r="B53" s="1256"/>
      <c r="C53" s="519"/>
      <c r="D53" s="3219"/>
      <c r="E53" s="3213" t="s">
        <v>705</v>
      </c>
      <c r="F53" s="3213"/>
      <c r="G53" s="3213"/>
      <c r="H53" s="3213"/>
      <c r="I53" s="3213"/>
      <c r="J53" s="3213"/>
      <c r="K53" s="3213"/>
      <c r="L53" s="3213"/>
      <c r="M53" s="3213"/>
      <c r="N53" s="3213"/>
      <c r="O53" s="3213"/>
      <c r="P53" s="3213"/>
      <c r="Q53" s="665">
        <f>SUMIF(T54:T55,"i",Q54:Q55)</f>
        <v>0</v>
      </c>
      <c r="R53" s="1117"/>
      <c r="S53" s="1893" t="s">
        <v>706</v>
      </c>
      <c r="T53" s="824" t="s">
        <v>707</v>
      </c>
      <c r="U53" s="3119">
        <v>1</v>
      </c>
      <c r="V53" s="3119" t="str">
        <f>INDEX(B_FHD_FLAG_INDEX_1,1,MATCH($A$50,B_FHD_FLAG_DIFFERENTIATION,0))</f>
        <v>отсутствует</v>
      </c>
      <c r="W53" s="1256"/>
      <c r="X53" s="1256"/>
      <c r="Y53" s="1256"/>
      <c r="Z53" s="1256"/>
      <c r="AA53" s="1732"/>
      <c r="AB53" s="1256"/>
      <c r="AC53" s="3214"/>
      <c r="AD53" s="736"/>
      <c r="AE53" s="1256"/>
      <c r="AF53" s="1256"/>
      <c r="AG53" s="1732"/>
      <c r="AH53" s="1732"/>
      <c r="AI53" s="1732"/>
      <c r="AJ53" s="1732"/>
      <c r="AK53" s="1732"/>
      <c r="AL53" s="1732"/>
      <c r="AM53" s="1732"/>
      <c r="AN53" s="1732"/>
      <c r="AO53" s="1732"/>
      <c r="AP53" s="1732"/>
      <c r="AQ53" s="1732"/>
      <c r="AR53" s="1732"/>
      <c r="AS53" s="1732"/>
      <c r="AT53" s="1732"/>
      <c r="AU53" s="1732"/>
      <c r="AV53" s="1732"/>
      <c r="AW53" s="1732"/>
      <c r="AX53" s="1732"/>
      <c r="AY53" s="1732"/>
      <c r="AZ53" s="1732"/>
      <c r="BA53" s="1732"/>
      <c r="BB53" s="1732"/>
      <c r="BC53" s="1732"/>
      <c r="BD53" s="1732"/>
      <c r="BE53" s="1732"/>
      <c r="BF53" s="1732"/>
      <c r="BG53" s="1732"/>
      <c r="BH53" s="1732"/>
      <c r="BI53" s="1732"/>
      <c r="BJ53" s="1732"/>
      <c r="BK53" s="1732"/>
      <c r="BL53" s="1732"/>
      <c r="BM53" s="1732"/>
      <c r="BN53" s="1732"/>
      <c r="BO53" s="1732"/>
      <c r="BP53" s="1732"/>
      <c r="BQ53" s="1732"/>
      <c r="BR53" s="1732"/>
      <c r="BS53" s="1732"/>
      <c r="BT53" s="1732"/>
      <c r="BU53" s="1732"/>
      <c r="BV53" s="1256"/>
      <c r="BW53" s="1256"/>
      <c r="BX53" s="1256"/>
      <c r="BY53" s="1256"/>
      <c r="BZ53" s="1256"/>
      <c r="CA53" s="1256"/>
      <c r="CB53" s="1256"/>
      <c r="CC53" s="1256"/>
      <c r="CD53" s="1256"/>
      <c r="CE53" s="1256"/>
      <c r="CF53" s="1944"/>
    </row>
    <row customHeight="1" ht="11.25" hidden="1">
      <c r="A54" s="1888"/>
      <c r="B54" s="1732"/>
      <c r="C54" s="1732"/>
      <c r="D54" s="3219"/>
      <c r="E54" s="742"/>
      <c r="F54" s="742">
        <v>0</v>
      </c>
      <c r="G54" s="742"/>
      <c r="H54" s="742"/>
      <c r="I54" s="742"/>
      <c r="J54" s="742"/>
      <c r="K54" s="742"/>
      <c r="L54" s="742"/>
      <c r="M54" s="742"/>
      <c r="N54" s="742"/>
      <c r="O54" s="742"/>
      <c r="P54" s="742"/>
      <c r="Q54" s="742"/>
      <c r="R54" s="742"/>
      <c r="S54" s="743"/>
      <c r="T54" s="825"/>
      <c r="U54" s="3119"/>
      <c r="V54" s="3119"/>
      <c r="W54" s="1732"/>
      <c r="X54" s="1732"/>
      <c r="Y54" s="1732"/>
      <c r="Z54" s="1732"/>
      <c r="AA54" s="1732"/>
      <c r="AB54" s="1256"/>
      <c r="AC54" s="3214"/>
      <c r="AD54" s="736"/>
      <c r="AE54" s="1256"/>
      <c r="AF54" s="1256"/>
      <c r="AG54" s="1732"/>
      <c r="AH54" s="1732"/>
      <c r="AI54" s="1732"/>
      <c r="AJ54" s="1732"/>
      <c r="AK54" s="1732"/>
      <c r="AL54" s="1732"/>
      <c r="AM54" s="1732"/>
      <c r="AN54" s="1732"/>
      <c r="AO54" s="1732"/>
      <c r="AP54" s="1732"/>
      <c r="AQ54" s="1732"/>
      <c r="AR54" s="1732"/>
      <c r="AS54" s="1732"/>
      <c r="AT54" s="1732"/>
      <c r="AU54" s="1732"/>
      <c r="AV54" s="1732"/>
      <c r="AW54" s="1732"/>
      <c r="AX54" s="1732"/>
      <c r="AY54" s="1732"/>
      <c r="AZ54" s="1732"/>
      <c r="BA54" s="1732"/>
      <c r="BB54" s="1732"/>
      <c r="BC54" s="1732"/>
      <c r="BD54" s="1732"/>
      <c r="BE54" s="1732"/>
      <c r="BF54" s="1732"/>
      <c r="BG54" s="1732"/>
      <c r="BH54" s="1732"/>
      <c r="BI54" s="1732"/>
      <c r="BJ54" s="1732"/>
      <c r="BK54" s="1732"/>
      <c r="BL54" s="1732"/>
      <c r="BM54" s="1732"/>
      <c r="BN54" s="1732"/>
      <c r="BO54" s="1732"/>
      <c r="BP54" s="1732"/>
      <c r="BQ54" s="1732"/>
      <c r="BR54" s="1732"/>
      <c r="BS54" s="1732"/>
      <c r="BT54" s="1732"/>
      <c r="BU54" s="1732"/>
      <c r="BV54" s="1732"/>
      <c r="BW54" s="1732"/>
      <c r="BX54" s="1732"/>
      <c r="BY54" s="1732"/>
      <c r="BZ54" s="1732"/>
      <c r="CA54" s="1732"/>
      <c r="CB54" s="1732"/>
      <c r="CC54" s="1732"/>
      <c r="CD54" s="1732"/>
      <c r="CE54" s="1732"/>
      <c r="CF54" s="1944"/>
    </row>
    <row customHeight="1" ht="11.25" hidden="1">
      <c r="A55" s="1901"/>
      <c r="B55" s="1256"/>
      <c r="C55" s="519"/>
      <c r="D55" s="3219"/>
      <c r="E55" s="756" t="s">
        <v>22</v>
      </c>
      <c r="F55" s="1264" t="s">
        <v>22</v>
      </c>
      <c r="G55" s="1264" t="s">
        <v>711</v>
      </c>
      <c r="H55" s="758" t="s">
        <v>22</v>
      </c>
      <c r="I55" s="758"/>
      <c r="J55" s="758"/>
      <c r="K55" s="758"/>
      <c r="L55" s="758"/>
      <c r="M55" s="758"/>
      <c r="N55" s="758"/>
      <c r="O55" s="758"/>
      <c r="P55" s="758"/>
      <c r="Q55" s="758"/>
      <c r="R55" s="759"/>
      <c r="S55" s="760"/>
      <c r="T55" s="825"/>
      <c r="U55" s="3119"/>
      <c r="V55" s="3119"/>
      <c r="W55" s="1256"/>
      <c r="X55" s="1256"/>
      <c r="Y55" s="1256"/>
      <c r="Z55" s="1256"/>
      <c r="AA55" s="1732"/>
      <c r="AB55" s="1256"/>
      <c r="AC55" s="3214"/>
      <c r="AD55" s="736"/>
      <c r="AE55" s="1256"/>
      <c r="AF55" s="1256"/>
      <c r="AG55" s="1732"/>
      <c r="AH55" s="1732"/>
      <c r="AI55" s="1732"/>
      <c r="AJ55" s="1732"/>
      <c r="AK55" s="1732"/>
      <c r="AL55" s="1732"/>
      <c r="AM55" s="1732"/>
      <c r="AN55" s="1732"/>
      <c r="AO55" s="1732"/>
      <c r="AP55" s="1732"/>
      <c r="AQ55" s="1732"/>
      <c r="AR55" s="1732"/>
      <c r="AS55" s="1732"/>
      <c r="AT55" s="1732"/>
      <c r="AU55" s="1732"/>
      <c r="AV55" s="1732"/>
      <c r="AW55" s="1732"/>
      <c r="AX55" s="1732"/>
      <c r="AY55" s="1732"/>
      <c r="AZ55" s="1732"/>
      <c r="BA55" s="1732"/>
      <c r="BB55" s="1732"/>
      <c r="BC55" s="1732"/>
      <c r="BD55" s="1732"/>
      <c r="BE55" s="1732"/>
      <c r="BF55" s="1732"/>
      <c r="BG55" s="1732"/>
      <c r="BH55" s="1732"/>
      <c r="BI55" s="1732"/>
      <c r="BJ55" s="1732"/>
      <c r="BK55" s="1732"/>
      <c r="BL55" s="1732"/>
      <c r="BM55" s="1732"/>
      <c r="BN55" s="1732"/>
      <c r="BO55" s="1732"/>
      <c r="BP55" s="1732"/>
      <c r="BQ55" s="1732"/>
      <c r="BR55" s="1732"/>
      <c r="BS55" s="1732"/>
      <c r="BT55" s="1732"/>
      <c r="BU55" s="1732"/>
      <c r="BV55" s="1256"/>
      <c r="BW55" s="1256"/>
      <c r="BX55" s="1256"/>
      <c r="BY55" s="1256"/>
      <c r="BZ55" s="1256"/>
      <c r="CA55" s="1256"/>
      <c r="CB55" s="1256"/>
      <c r="CC55" s="1256"/>
      <c r="CD55" s="1256"/>
      <c r="CE55" s="1256"/>
      <c r="CF55" s="1944"/>
    </row>
    <row customHeight="1" ht="5.25" hidden="1">
      <c r="A56" s="1888"/>
      <c r="B56" s="1732"/>
      <c r="C56" s="1732"/>
      <c r="D56" s="3219"/>
      <c r="E56" s="1139"/>
      <c r="F56" s="1139"/>
      <c r="G56" s="1139"/>
      <c r="H56" s="1139"/>
      <c r="I56" s="1139"/>
      <c r="J56" s="1139"/>
      <c r="K56" s="1139"/>
      <c r="L56" s="1139"/>
      <c r="M56" s="1139"/>
      <c r="N56" s="1139"/>
      <c r="O56" s="1139"/>
      <c r="P56" s="1139"/>
      <c r="Q56" s="1140"/>
      <c r="R56" s="1141"/>
      <c r="S56" s="1142"/>
      <c r="T56" s="824" t="s">
        <v>707</v>
      </c>
      <c r="U56" s="3119">
        <v>1</v>
      </c>
      <c r="V56" s="3119" t="s">
        <v>669</v>
      </c>
      <c r="W56" s="1732"/>
      <c r="X56" s="1732"/>
      <c r="Y56" s="1732"/>
      <c r="Z56" s="1732"/>
      <c r="AA56" s="1732"/>
      <c r="AB56" s="1732"/>
      <c r="AC56" s="1137"/>
      <c r="AD56" s="1138"/>
      <c r="AE56" s="1732"/>
      <c r="AF56" s="1732"/>
      <c r="AG56" s="1732"/>
      <c r="AH56" s="1732"/>
      <c r="AI56" s="1732"/>
      <c r="AJ56" s="1732"/>
      <c r="AK56" s="1732"/>
      <c r="AL56" s="1732"/>
      <c r="AM56" s="1732"/>
      <c r="AN56" s="1732"/>
      <c r="AO56" s="1732"/>
      <c r="AP56" s="1732"/>
      <c r="AQ56" s="1732"/>
      <c r="AR56" s="1732"/>
      <c r="AS56" s="1732"/>
      <c r="AT56" s="1732"/>
      <c r="AU56" s="1732"/>
      <c r="AV56" s="1732"/>
      <c r="AW56" s="1732"/>
      <c r="AX56" s="1732"/>
      <c r="AY56" s="1732"/>
      <c r="AZ56" s="1732"/>
      <c r="BA56" s="1732"/>
      <c r="BB56" s="1732"/>
      <c r="BC56" s="1732"/>
      <c r="BD56" s="1732"/>
      <c r="BE56" s="1732"/>
      <c r="BF56" s="1732"/>
      <c r="BG56" s="1732"/>
      <c r="BH56" s="1732"/>
      <c r="BI56" s="1732"/>
      <c r="BJ56" s="1732"/>
      <c r="BK56" s="1732"/>
      <c r="BL56" s="1732"/>
      <c r="BM56" s="1732"/>
      <c r="BN56" s="1732"/>
      <c r="BO56" s="1732"/>
      <c r="BP56" s="1732"/>
      <c r="BQ56" s="1732"/>
      <c r="BR56" s="1732"/>
      <c r="BS56" s="1732"/>
      <c r="BT56" s="1732"/>
      <c r="BU56" s="1732"/>
      <c r="BV56" s="1732"/>
      <c r="BW56" s="1732"/>
      <c r="BX56" s="1732"/>
      <c r="BY56" s="1732"/>
      <c r="BZ56" s="1732"/>
      <c r="CA56" s="1732"/>
      <c r="CB56" s="1732"/>
      <c r="CC56" s="1732"/>
      <c r="CD56" s="1732"/>
      <c r="CE56" s="1732"/>
      <c r="CF56" s="1412"/>
    </row>
    <row customHeight="1" ht="5.25" hidden="1">
      <c r="A57" s="1888"/>
      <c r="B57" s="1732"/>
      <c r="C57" s="1732"/>
      <c r="D57" s="3219"/>
      <c r="E57" s="742"/>
      <c r="F57" s="742"/>
      <c r="G57" s="742"/>
      <c r="H57" s="742"/>
      <c r="I57" s="742"/>
      <c r="J57" s="742"/>
      <c r="K57" s="742"/>
      <c r="L57" s="742"/>
      <c r="M57" s="742"/>
      <c r="N57" s="742"/>
      <c r="O57" s="742"/>
      <c r="P57" s="742"/>
      <c r="Q57" s="742"/>
      <c r="R57" s="742"/>
      <c r="S57" s="743"/>
      <c r="T57" s="825"/>
      <c r="U57" s="3119"/>
      <c r="V57" s="3119"/>
      <c r="W57" s="1732"/>
      <c r="X57" s="1732"/>
      <c r="Y57" s="1732"/>
      <c r="Z57" s="1732"/>
      <c r="AA57" s="1732"/>
      <c r="AB57" s="1732"/>
      <c r="AC57" s="1137"/>
      <c r="AD57" s="1138"/>
      <c r="AE57" s="1732"/>
      <c r="AF57" s="1732"/>
      <c r="AG57" s="1732"/>
      <c r="AH57" s="1732"/>
      <c r="AI57" s="1732"/>
      <c r="AJ57" s="1732"/>
      <c r="AK57" s="1732"/>
      <c r="AL57" s="1732"/>
      <c r="AM57" s="1732"/>
      <c r="AN57" s="1732"/>
      <c r="AO57" s="1732"/>
      <c r="AP57" s="1732"/>
      <c r="AQ57" s="1732"/>
      <c r="AR57" s="1732"/>
      <c r="AS57" s="1732"/>
      <c r="AT57" s="1732"/>
      <c r="AU57" s="1732"/>
      <c r="AV57" s="1732"/>
      <c r="AW57" s="1732"/>
      <c r="AX57" s="1732"/>
      <c r="AY57" s="1732"/>
      <c r="AZ57" s="1732"/>
      <c r="BA57" s="1732"/>
      <c r="BB57" s="1732"/>
      <c r="BC57" s="1732"/>
      <c r="BD57" s="1732"/>
      <c r="BE57" s="1732"/>
      <c r="BF57" s="1732"/>
      <c r="BG57" s="1732"/>
      <c r="BH57" s="1732"/>
      <c r="BI57" s="1732"/>
      <c r="BJ57" s="1732"/>
      <c r="BK57" s="1732"/>
      <c r="BL57" s="1732"/>
      <c r="BM57" s="1732"/>
      <c r="BN57" s="1732"/>
      <c r="BO57" s="1732"/>
      <c r="BP57" s="1732"/>
      <c r="BQ57" s="1732"/>
      <c r="BR57" s="1732"/>
      <c r="BS57" s="1732"/>
      <c r="BT57" s="1732"/>
      <c r="BU57" s="1732"/>
      <c r="BV57" s="1732"/>
      <c r="BW57" s="1732"/>
      <c r="BX57" s="1732"/>
      <c r="BY57" s="1732"/>
      <c r="BZ57" s="1732"/>
      <c r="CA57" s="1732"/>
      <c r="CB57" s="1732"/>
      <c r="CC57" s="1732"/>
      <c r="CD57" s="1732"/>
      <c r="CE57" s="1732"/>
      <c r="CF57" s="1412"/>
    </row>
    <row customHeight="1" ht="5.25" hidden="1">
      <c r="A58" s="1888"/>
      <c r="B58" s="1732"/>
      <c r="C58" s="1732"/>
      <c r="D58" s="3220"/>
      <c r="E58" s="1143"/>
      <c r="F58" s="1144"/>
      <c r="G58" s="1144"/>
      <c r="H58" s="1145"/>
      <c r="I58" s="1145"/>
      <c r="J58" s="1145"/>
      <c r="K58" s="1145"/>
      <c r="L58" s="1145"/>
      <c r="M58" s="1145"/>
      <c r="N58" s="1145"/>
      <c r="O58" s="1145"/>
      <c r="P58" s="1145"/>
      <c r="Q58" s="1145"/>
      <c r="R58" s="1046"/>
      <c r="S58" s="1146"/>
      <c r="T58" s="825"/>
      <c r="U58" s="3119"/>
      <c r="V58" s="3119"/>
      <c r="W58" s="1732"/>
      <c r="X58" s="1732"/>
      <c r="Y58" s="1732"/>
      <c r="Z58" s="1732"/>
      <c r="AA58" s="1732"/>
      <c r="AB58" s="1732"/>
      <c r="AC58" s="1137"/>
      <c r="AD58" s="1138"/>
      <c r="AE58" s="1732"/>
      <c r="AF58" s="1732"/>
      <c r="AG58" s="1732"/>
      <c r="AH58" s="1732"/>
      <c r="AI58" s="1732"/>
      <c r="AJ58" s="1732"/>
      <c r="AK58" s="1732"/>
      <c r="AL58" s="1732"/>
      <c r="AM58" s="1732"/>
      <c r="AN58" s="1732"/>
      <c r="AO58" s="1732"/>
      <c r="AP58" s="1732"/>
      <c r="AQ58" s="1732"/>
      <c r="AR58" s="1732"/>
      <c r="AS58" s="1732"/>
      <c r="AT58" s="1732"/>
      <c r="AU58" s="1732"/>
      <c r="AV58" s="1732"/>
      <c r="AW58" s="1732"/>
      <c r="AX58" s="1732"/>
      <c r="AY58" s="1732"/>
      <c r="AZ58" s="1732"/>
      <c r="BA58" s="1732"/>
      <c r="BB58" s="1732"/>
      <c r="BC58" s="1732"/>
      <c r="BD58" s="1732"/>
      <c r="BE58" s="1732"/>
      <c r="BF58" s="1732"/>
      <c r="BG58" s="1732"/>
      <c r="BH58" s="1732"/>
      <c r="BI58" s="1732"/>
      <c r="BJ58" s="1732"/>
      <c r="BK58" s="1732"/>
      <c r="BL58" s="1732"/>
      <c r="BM58" s="1732"/>
      <c r="BN58" s="1732"/>
      <c r="BO58" s="1732"/>
      <c r="BP58" s="1732"/>
      <c r="BQ58" s="1732"/>
      <c r="BR58" s="1732"/>
      <c r="BS58" s="1732"/>
      <c r="BT58" s="1732"/>
      <c r="BU58" s="1732"/>
      <c r="BV58" s="1732"/>
      <c r="BW58" s="1732"/>
      <c r="BX58" s="1732"/>
      <c r="BY58" s="1732"/>
      <c r="BZ58" s="1732"/>
      <c r="CA58" s="1732"/>
      <c r="CB58" s="1732"/>
      <c r="CC58" s="1732"/>
      <c r="CD58" s="1732"/>
      <c r="CE58" s="1732"/>
      <c r="CF58" s="1412"/>
    </row>
    <row customHeight="1" ht="15" hidden="1">
      <c r="A59" s="730" t="s">
        <v>163</v>
      </c>
      <c r="B59" s="731"/>
      <c r="C59" s="731" t="s">
        <v>22</v>
      </c>
      <c r="D59" s="3218" t="s">
        <v>715</v>
      </c>
      <c r="E59" s="3215" t="s">
        <v>140</v>
      </c>
      <c r="F59" s="3216"/>
      <c r="G59" s="3217"/>
      <c r="H59" s="3211" t="str">
        <f>IF(A59="","",INDEX(DIFFERENTIATION_UNMERGE_VD,MATCH(A59,DIFFERENTIATION_ID_DIFF,0)))</f>
        <v>Производство тепловой энергии. Комбинированная выработка с уст. мощностью производства электрической энергии 25 МВт и более</v>
      </c>
      <c r="I59" s="3211"/>
      <c r="J59" s="3211"/>
      <c r="K59" s="3211"/>
      <c r="L59" s="3211"/>
      <c r="M59" s="3211"/>
      <c r="N59" s="3211"/>
      <c r="O59" s="3211"/>
      <c r="P59" s="3211"/>
      <c r="Q59" s="3211"/>
      <c r="R59" s="3211"/>
      <c r="S59" s="826"/>
      <c r="T59" s="823"/>
      <c r="U59" s="732"/>
      <c r="V59" s="732"/>
      <c r="W59" s="733"/>
      <c r="X59" s="733"/>
      <c r="Y59" s="733"/>
      <c r="Z59" s="733"/>
      <c r="AA59" s="734"/>
      <c r="AB59" s="735"/>
      <c r="AC59" s="3214"/>
      <c r="AD59" s="736"/>
      <c r="AE59" s="737" t="s">
        <v>22</v>
      </c>
      <c r="AF59" s="737"/>
      <c r="AG59" s="738" t="s">
        <v>704</v>
      </c>
      <c r="AH59" s="739">
        <v>3</v>
      </c>
      <c r="AI59" s="732"/>
      <c r="AJ59" s="732"/>
      <c r="AK59" s="732"/>
      <c r="AL59" s="732"/>
      <c r="AM59" s="732"/>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732"/>
      <c r="BR59" s="732"/>
      <c r="BS59" s="732"/>
      <c r="BT59" s="732"/>
      <c r="BU59" s="732"/>
      <c r="BV59" s="733"/>
      <c r="BW59" s="733"/>
      <c r="BX59" s="733"/>
      <c r="BY59" s="733"/>
      <c r="BZ59" s="733"/>
      <c r="CA59" s="733"/>
      <c r="CB59" s="733"/>
      <c r="CC59" s="733"/>
      <c r="CD59" s="733"/>
      <c r="CE59" s="733"/>
      <c r="CF59" s="1944"/>
    </row>
    <row customHeight="1" ht="15" hidden="1">
      <c r="A60" s="730"/>
      <c r="B60" s="731"/>
      <c r="C60" s="731"/>
      <c r="D60" s="3219"/>
      <c r="E60" s="3215" t="s">
        <v>649</v>
      </c>
      <c r="F60" s="3216"/>
      <c r="G60" s="3217"/>
      <c r="H60" s="3211" t="str">
        <f>IF(A59="","",INDEX(DIFFERENTIATION_UNMERGE_AREA,MATCH(A59,DIFFERENTIATION_ID_DIFF,0)))</f>
        <v>Территория 4</v>
      </c>
      <c r="I60" s="3211"/>
      <c r="J60" s="3211"/>
      <c r="K60" s="3211"/>
      <c r="L60" s="3211"/>
      <c r="M60" s="3211"/>
      <c r="N60" s="3211"/>
      <c r="O60" s="3211"/>
      <c r="P60" s="3211"/>
      <c r="Q60" s="3211"/>
      <c r="R60" s="3211"/>
      <c r="S60" s="826"/>
      <c r="T60" s="823"/>
      <c r="U60" s="732"/>
      <c r="V60" s="732"/>
      <c r="W60" s="733"/>
      <c r="X60" s="733"/>
      <c r="Y60" s="733"/>
      <c r="Z60" s="733"/>
      <c r="AA60" s="734"/>
      <c r="AB60" s="735"/>
      <c r="AC60" s="3214"/>
      <c r="AD60" s="736"/>
      <c r="AE60" s="737"/>
      <c r="AF60" s="737"/>
      <c r="AG60" s="738"/>
      <c r="AH60" s="739"/>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732"/>
      <c r="BE60" s="732"/>
      <c r="BF60" s="732"/>
      <c r="BG60" s="732"/>
      <c r="BH60" s="732"/>
      <c r="BI60" s="732"/>
      <c r="BJ60" s="732"/>
      <c r="BK60" s="732"/>
      <c r="BL60" s="732"/>
      <c r="BM60" s="732"/>
      <c r="BN60" s="732"/>
      <c r="BO60" s="732"/>
      <c r="BP60" s="732"/>
      <c r="BQ60" s="732"/>
      <c r="BR60" s="732"/>
      <c r="BS60" s="732"/>
      <c r="BT60" s="732"/>
      <c r="BU60" s="732"/>
      <c r="BV60" s="733"/>
      <c r="BW60" s="733"/>
      <c r="BX60" s="733"/>
      <c r="BY60" s="733"/>
      <c r="BZ60" s="733"/>
      <c r="CA60" s="733"/>
      <c r="CB60" s="733"/>
      <c r="CC60" s="733"/>
      <c r="CD60" s="733"/>
      <c r="CE60" s="733"/>
      <c r="CF60" s="1944"/>
    </row>
    <row customHeight="1" ht="15" hidden="1">
      <c r="A61" s="730"/>
      <c r="B61" s="731"/>
      <c r="C61" s="731"/>
      <c r="D61" s="3219"/>
      <c r="E61" s="3215" t="s">
        <v>650</v>
      </c>
      <c r="F61" s="3216"/>
      <c r="G61" s="3217"/>
      <c r="H61" s="3211" t="str">
        <f>IF(A59="","",INDEX(DIFFERENTIATION_UNMERGE_SYSTEM,MATCH(A59,DIFFERENTIATION_ID_DIFF,0)))</f>
        <v>Майская ГРЭС</v>
      </c>
      <c r="I61" s="3211"/>
      <c r="J61" s="3211"/>
      <c r="K61" s="3211"/>
      <c r="L61" s="3211"/>
      <c r="M61" s="3211"/>
      <c r="N61" s="3211"/>
      <c r="O61" s="3211"/>
      <c r="P61" s="3211"/>
      <c r="Q61" s="3211"/>
      <c r="R61" s="3211"/>
      <c r="S61" s="826"/>
      <c r="T61" s="823"/>
      <c r="U61" s="732"/>
      <c r="V61" s="732"/>
      <c r="W61" s="733"/>
      <c r="X61" s="733"/>
      <c r="Y61" s="733"/>
      <c r="Z61" s="733"/>
      <c r="AA61" s="734"/>
      <c r="AB61" s="735"/>
      <c r="AC61" s="3214"/>
      <c r="AD61" s="736"/>
      <c r="AE61" s="737"/>
      <c r="AF61" s="737"/>
      <c r="AG61" s="738"/>
      <c r="AH61" s="739"/>
      <c r="AI61" s="732"/>
      <c r="AJ61" s="732"/>
      <c r="AK61" s="732"/>
      <c r="AL61" s="732"/>
      <c r="AM61" s="732"/>
      <c r="AN61" s="732"/>
      <c r="AO61" s="732"/>
      <c r="AP61" s="732"/>
      <c r="AQ61" s="732"/>
      <c r="AR61" s="732"/>
      <c r="AS61" s="732"/>
      <c r="AT61" s="732"/>
      <c r="AU61" s="732"/>
      <c r="AV61" s="732"/>
      <c r="AW61" s="732"/>
      <c r="AX61" s="732"/>
      <c r="AY61" s="732"/>
      <c r="AZ61" s="732"/>
      <c r="BA61" s="732"/>
      <c r="BB61" s="732"/>
      <c r="BC61" s="732"/>
      <c r="BD61" s="732"/>
      <c r="BE61" s="732"/>
      <c r="BF61" s="732"/>
      <c r="BG61" s="732"/>
      <c r="BH61" s="732"/>
      <c r="BI61" s="732"/>
      <c r="BJ61" s="732"/>
      <c r="BK61" s="732"/>
      <c r="BL61" s="732"/>
      <c r="BM61" s="732"/>
      <c r="BN61" s="732"/>
      <c r="BO61" s="732"/>
      <c r="BP61" s="732"/>
      <c r="BQ61" s="732"/>
      <c r="BR61" s="732"/>
      <c r="BS61" s="732"/>
      <c r="BT61" s="732"/>
      <c r="BU61" s="732"/>
      <c r="BV61" s="733"/>
      <c r="BW61" s="733"/>
      <c r="BX61" s="733"/>
      <c r="BY61" s="733"/>
      <c r="BZ61" s="733"/>
      <c r="CA61" s="733"/>
      <c r="CB61" s="733"/>
      <c r="CC61" s="733"/>
      <c r="CD61" s="733"/>
      <c r="CE61" s="733"/>
      <c r="CF61" s="1944"/>
    </row>
    <row customHeight="1" ht="24.75" hidden="1">
      <c r="A62" s="1901"/>
      <c r="B62" s="1256"/>
      <c r="C62" s="519"/>
      <c r="D62" s="3219"/>
      <c r="E62" s="3213" t="s">
        <v>705</v>
      </c>
      <c r="F62" s="3213"/>
      <c r="G62" s="3213"/>
      <c r="H62" s="3213"/>
      <c r="I62" s="3213"/>
      <c r="J62" s="3213"/>
      <c r="K62" s="3213"/>
      <c r="L62" s="3213"/>
      <c r="M62" s="3213"/>
      <c r="N62" s="3213"/>
      <c r="O62" s="3213"/>
      <c r="P62" s="3213"/>
      <c r="Q62" s="665">
        <f>SUMIF(T63:T64,"i",Q63:Q64)</f>
        <v>0</v>
      </c>
      <c r="R62" s="1117"/>
      <c r="S62" s="1893" t="s">
        <v>706</v>
      </c>
      <c r="T62" s="824" t="s">
        <v>707</v>
      </c>
      <c r="U62" s="3119">
        <v>1</v>
      </c>
      <c r="V62" s="3119" t="str">
        <f>INDEX(B_FHD_FLAG_INDEX_1,1,MATCH($A$59,B_FHD_FLAG_DIFFERENTIATION,0))</f>
        <v>отсутствует</v>
      </c>
      <c r="W62" s="1256"/>
      <c r="X62" s="1256"/>
      <c r="Y62" s="1256"/>
      <c r="Z62" s="1256"/>
      <c r="AA62" s="1732"/>
      <c r="AB62" s="1256"/>
      <c r="AC62" s="3214"/>
      <c r="AD62" s="736"/>
      <c r="AE62" s="1256"/>
      <c r="AF62" s="1256"/>
      <c r="AG62" s="1732"/>
      <c r="AH62" s="1732"/>
      <c r="AI62" s="1732"/>
      <c r="AJ62" s="1732"/>
      <c r="AK62" s="1732"/>
      <c r="AL62" s="1732"/>
      <c r="AM62" s="1732"/>
      <c r="AN62" s="1732"/>
      <c r="AO62" s="1732"/>
      <c r="AP62" s="1732"/>
      <c r="AQ62" s="1732"/>
      <c r="AR62" s="1732"/>
      <c r="AS62" s="1732"/>
      <c r="AT62" s="1732"/>
      <c r="AU62" s="1732"/>
      <c r="AV62" s="1732"/>
      <c r="AW62" s="1732"/>
      <c r="AX62" s="1732"/>
      <c r="AY62" s="1732"/>
      <c r="AZ62" s="1732"/>
      <c r="BA62" s="1732"/>
      <c r="BB62" s="1732"/>
      <c r="BC62" s="1732"/>
      <c r="BD62" s="1732"/>
      <c r="BE62" s="1732"/>
      <c r="BF62" s="1732"/>
      <c r="BG62" s="1732"/>
      <c r="BH62" s="1732"/>
      <c r="BI62" s="1732"/>
      <c r="BJ62" s="1732"/>
      <c r="BK62" s="1732"/>
      <c r="BL62" s="1732"/>
      <c r="BM62" s="1732"/>
      <c r="BN62" s="1732"/>
      <c r="BO62" s="1732"/>
      <c r="BP62" s="1732"/>
      <c r="BQ62" s="1732"/>
      <c r="BR62" s="1732"/>
      <c r="BS62" s="1732"/>
      <c r="BT62" s="1732"/>
      <c r="BU62" s="1732"/>
      <c r="BV62" s="1256"/>
      <c r="BW62" s="1256"/>
      <c r="BX62" s="1256"/>
      <c r="BY62" s="1256"/>
      <c r="BZ62" s="1256"/>
      <c r="CA62" s="1256"/>
      <c r="CB62" s="1256"/>
      <c r="CC62" s="1256"/>
      <c r="CD62" s="1256"/>
      <c r="CE62" s="1256"/>
      <c r="CF62" s="1944"/>
    </row>
    <row customHeight="1" ht="11.25" hidden="1">
      <c r="A63" s="1888"/>
      <c r="B63" s="1732"/>
      <c r="C63" s="1732"/>
      <c r="D63" s="3219"/>
      <c r="E63" s="742"/>
      <c r="F63" s="742">
        <v>0</v>
      </c>
      <c r="G63" s="742"/>
      <c r="H63" s="742"/>
      <c r="I63" s="742"/>
      <c r="J63" s="742"/>
      <c r="K63" s="742"/>
      <c r="L63" s="742"/>
      <c r="M63" s="742"/>
      <c r="N63" s="742"/>
      <c r="O63" s="742"/>
      <c r="P63" s="742"/>
      <c r="Q63" s="742"/>
      <c r="R63" s="742"/>
      <c r="S63" s="743"/>
      <c r="T63" s="825"/>
      <c r="U63" s="3119"/>
      <c r="V63" s="3119"/>
      <c r="W63" s="1732"/>
      <c r="X63" s="1732"/>
      <c r="Y63" s="1732"/>
      <c r="Z63" s="1732"/>
      <c r="AA63" s="1732"/>
      <c r="AB63" s="1256"/>
      <c r="AC63" s="3214"/>
      <c r="AD63" s="736"/>
      <c r="AE63" s="1256"/>
      <c r="AF63" s="1256"/>
      <c r="AG63" s="1732"/>
      <c r="AH63" s="1732"/>
      <c r="AI63" s="1732"/>
      <c r="AJ63" s="1732"/>
      <c r="AK63" s="1732"/>
      <c r="AL63" s="1732"/>
      <c r="AM63" s="1732"/>
      <c r="AN63" s="1732"/>
      <c r="AO63" s="1732"/>
      <c r="AP63" s="1732"/>
      <c r="AQ63" s="1732"/>
      <c r="AR63" s="1732"/>
      <c r="AS63" s="1732"/>
      <c r="AT63" s="1732"/>
      <c r="AU63" s="1732"/>
      <c r="AV63" s="1732"/>
      <c r="AW63" s="1732"/>
      <c r="AX63" s="1732"/>
      <c r="AY63" s="1732"/>
      <c r="AZ63" s="1732"/>
      <c r="BA63" s="1732"/>
      <c r="BB63" s="1732"/>
      <c r="BC63" s="1732"/>
      <c r="BD63" s="1732"/>
      <c r="BE63" s="1732"/>
      <c r="BF63" s="1732"/>
      <c r="BG63" s="1732"/>
      <c r="BH63" s="1732"/>
      <c r="BI63" s="1732"/>
      <c r="BJ63" s="1732"/>
      <c r="BK63" s="1732"/>
      <c r="BL63" s="1732"/>
      <c r="BM63" s="1732"/>
      <c r="BN63" s="1732"/>
      <c r="BO63" s="1732"/>
      <c r="BP63" s="1732"/>
      <c r="BQ63" s="1732"/>
      <c r="BR63" s="1732"/>
      <c r="BS63" s="1732"/>
      <c r="BT63" s="1732"/>
      <c r="BU63" s="1732"/>
      <c r="BV63" s="1732"/>
      <c r="BW63" s="1732"/>
      <c r="BX63" s="1732"/>
      <c r="BY63" s="1732"/>
      <c r="BZ63" s="1732"/>
      <c r="CA63" s="1732"/>
      <c r="CB63" s="1732"/>
      <c r="CC63" s="1732"/>
      <c r="CD63" s="1732"/>
      <c r="CE63" s="1732"/>
      <c r="CF63" s="1944"/>
    </row>
    <row customHeight="1" ht="11.25" hidden="1">
      <c r="A64" s="1901"/>
      <c r="B64" s="1256"/>
      <c r="C64" s="519"/>
      <c r="D64" s="3219"/>
      <c r="E64" s="756" t="s">
        <v>22</v>
      </c>
      <c r="F64" s="1264" t="s">
        <v>22</v>
      </c>
      <c r="G64" s="1264" t="s">
        <v>711</v>
      </c>
      <c r="H64" s="758" t="s">
        <v>22</v>
      </c>
      <c r="I64" s="758"/>
      <c r="J64" s="758"/>
      <c r="K64" s="758"/>
      <c r="L64" s="758"/>
      <c r="M64" s="758"/>
      <c r="N64" s="758"/>
      <c r="O64" s="758"/>
      <c r="P64" s="758"/>
      <c r="Q64" s="758"/>
      <c r="R64" s="759"/>
      <c r="S64" s="760"/>
      <c r="T64" s="825"/>
      <c r="U64" s="3119"/>
      <c r="V64" s="3119"/>
      <c r="W64" s="1256"/>
      <c r="X64" s="1256"/>
      <c r="Y64" s="1256"/>
      <c r="Z64" s="1256"/>
      <c r="AA64" s="1732"/>
      <c r="AB64" s="1256"/>
      <c r="AC64" s="3214"/>
      <c r="AD64" s="736"/>
      <c r="AE64" s="1256"/>
      <c r="AF64" s="1256"/>
      <c r="AG64" s="1732"/>
      <c r="AH64" s="1732"/>
      <c r="AI64" s="1732"/>
      <c r="AJ64" s="1732"/>
      <c r="AK64" s="1732"/>
      <c r="AL64" s="1732"/>
      <c r="AM64" s="1732"/>
      <c r="AN64" s="1732"/>
      <c r="AO64" s="1732"/>
      <c r="AP64" s="1732"/>
      <c r="AQ64" s="1732"/>
      <c r="AR64" s="1732"/>
      <c r="AS64" s="1732"/>
      <c r="AT64" s="1732"/>
      <c r="AU64" s="1732"/>
      <c r="AV64" s="1732"/>
      <c r="AW64" s="1732"/>
      <c r="AX64" s="1732"/>
      <c r="AY64" s="1732"/>
      <c r="AZ64" s="1732"/>
      <c r="BA64" s="1732"/>
      <c r="BB64" s="1732"/>
      <c r="BC64" s="1732"/>
      <c r="BD64" s="1732"/>
      <c r="BE64" s="1732"/>
      <c r="BF64" s="1732"/>
      <c r="BG64" s="1732"/>
      <c r="BH64" s="1732"/>
      <c r="BI64" s="1732"/>
      <c r="BJ64" s="1732"/>
      <c r="BK64" s="1732"/>
      <c r="BL64" s="1732"/>
      <c r="BM64" s="1732"/>
      <c r="BN64" s="1732"/>
      <c r="BO64" s="1732"/>
      <c r="BP64" s="1732"/>
      <c r="BQ64" s="1732"/>
      <c r="BR64" s="1732"/>
      <c r="BS64" s="1732"/>
      <c r="BT64" s="1732"/>
      <c r="BU64" s="1732"/>
      <c r="BV64" s="1256"/>
      <c r="BW64" s="1256"/>
      <c r="BX64" s="1256"/>
      <c r="BY64" s="1256"/>
      <c r="BZ64" s="1256"/>
      <c r="CA64" s="1256"/>
      <c r="CB64" s="1256"/>
      <c r="CC64" s="1256"/>
      <c r="CD64" s="1256"/>
      <c r="CE64" s="1256"/>
      <c r="CF64" s="1944"/>
    </row>
    <row customHeight="1" ht="5.25" hidden="1">
      <c r="A65" s="1888"/>
      <c r="B65" s="1732"/>
      <c r="C65" s="1732"/>
      <c r="D65" s="3219"/>
      <c r="E65" s="1139"/>
      <c r="F65" s="1139"/>
      <c r="G65" s="1139"/>
      <c r="H65" s="1139"/>
      <c r="I65" s="1139"/>
      <c r="J65" s="1139"/>
      <c r="K65" s="1139"/>
      <c r="L65" s="1139"/>
      <c r="M65" s="1139"/>
      <c r="N65" s="1139"/>
      <c r="O65" s="1139"/>
      <c r="P65" s="1139"/>
      <c r="Q65" s="1140"/>
      <c r="R65" s="1141"/>
      <c r="S65" s="1142"/>
      <c r="T65" s="824" t="s">
        <v>707</v>
      </c>
      <c r="U65" s="3119">
        <v>1</v>
      </c>
      <c r="V65" s="3119" t="s">
        <v>669</v>
      </c>
      <c r="W65" s="1732"/>
      <c r="X65" s="1732"/>
      <c r="Y65" s="1732"/>
      <c r="Z65" s="1732"/>
      <c r="AA65" s="1732"/>
      <c r="AB65" s="1732"/>
      <c r="AC65" s="1137"/>
      <c r="AD65" s="1138"/>
      <c r="AE65" s="1732"/>
      <c r="AF65" s="1732"/>
      <c r="AG65" s="1732"/>
      <c r="AH65" s="1732"/>
      <c r="AI65" s="1732"/>
      <c r="AJ65" s="1732"/>
      <c r="AK65" s="1732"/>
      <c r="AL65" s="1732"/>
      <c r="AM65" s="1732"/>
      <c r="AN65" s="1732"/>
      <c r="AO65" s="1732"/>
      <c r="AP65" s="1732"/>
      <c r="AQ65" s="1732"/>
      <c r="AR65" s="1732"/>
      <c r="AS65" s="1732"/>
      <c r="AT65" s="1732"/>
      <c r="AU65" s="1732"/>
      <c r="AV65" s="1732"/>
      <c r="AW65" s="1732"/>
      <c r="AX65" s="1732"/>
      <c r="AY65" s="1732"/>
      <c r="AZ65" s="1732"/>
      <c r="BA65" s="1732"/>
      <c r="BB65" s="1732"/>
      <c r="BC65" s="1732"/>
      <c r="BD65" s="1732"/>
      <c r="BE65" s="1732"/>
      <c r="BF65" s="1732"/>
      <c r="BG65" s="1732"/>
      <c r="BH65" s="1732"/>
      <c r="BI65" s="1732"/>
      <c r="BJ65" s="1732"/>
      <c r="BK65" s="1732"/>
      <c r="BL65" s="1732"/>
      <c r="BM65" s="1732"/>
      <c r="BN65" s="1732"/>
      <c r="BO65" s="1732"/>
      <c r="BP65" s="1732"/>
      <c r="BQ65" s="1732"/>
      <c r="BR65" s="1732"/>
      <c r="BS65" s="1732"/>
      <c r="BT65" s="1732"/>
      <c r="BU65" s="1732"/>
      <c r="BV65" s="1732"/>
      <c r="BW65" s="1732"/>
      <c r="BX65" s="1732"/>
      <c r="BY65" s="1732"/>
      <c r="BZ65" s="1732"/>
      <c r="CA65" s="1732"/>
      <c r="CB65" s="1732"/>
      <c r="CC65" s="1732"/>
      <c r="CD65" s="1732"/>
      <c r="CE65" s="1732"/>
      <c r="CF65" s="1412"/>
    </row>
    <row customHeight="1" ht="5.25" hidden="1">
      <c r="A66" s="1888"/>
      <c r="B66" s="1732"/>
      <c r="C66" s="1732"/>
      <c r="D66" s="3219"/>
      <c r="E66" s="742"/>
      <c r="F66" s="742"/>
      <c r="G66" s="742"/>
      <c r="H66" s="742"/>
      <c r="I66" s="742"/>
      <c r="J66" s="742"/>
      <c r="K66" s="742"/>
      <c r="L66" s="742"/>
      <c r="M66" s="742"/>
      <c r="N66" s="742"/>
      <c r="O66" s="742"/>
      <c r="P66" s="742"/>
      <c r="Q66" s="742"/>
      <c r="R66" s="742"/>
      <c r="S66" s="743"/>
      <c r="T66" s="825"/>
      <c r="U66" s="3119"/>
      <c r="V66" s="3119"/>
      <c r="W66" s="1732"/>
      <c r="X66" s="1732"/>
      <c r="Y66" s="1732"/>
      <c r="Z66" s="1732"/>
      <c r="AA66" s="1732"/>
      <c r="AB66" s="1732"/>
      <c r="AC66" s="1137"/>
      <c r="AD66" s="1138"/>
      <c r="AE66" s="1732"/>
      <c r="AF66" s="1732"/>
      <c r="AG66" s="1732"/>
      <c r="AH66" s="1732"/>
      <c r="AI66" s="1732"/>
      <c r="AJ66" s="1732"/>
      <c r="AK66" s="1732"/>
      <c r="AL66" s="1732"/>
      <c r="AM66" s="1732"/>
      <c r="AN66" s="1732"/>
      <c r="AO66" s="1732"/>
      <c r="AP66" s="1732"/>
      <c r="AQ66" s="1732"/>
      <c r="AR66" s="1732"/>
      <c r="AS66" s="1732"/>
      <c r="AT66" s="1732"/>
      <c r="AU66" s="1732"/>
      <c r="AV66" s="1732"/>
      <c r="AW66" s="1732"/>
      <c r="AX66" s="1732"/>
      <c r="AY66" s="1732"/>
      <c r="AZ66" s="1732"/>
      <c r="BA66" s="1732"/>
      <c r="BB66" s="1732"/>
      <c r="BC66" s="1732"/>
      <c r="BD66" s="1732"/>
      <c r="BE66" s="1732"/>
      <c r="BF66" s="1732"/>
      <c r="BG66" s="1732"/>
      <c r="BH66" s="1732"/>
      <c r="BI66" s="1732"/>
      <c r="BJ66" s="1732"/>
      <c r="BK66" s="1732"/>
      <c r="BL66" s="1732"/>
      <c r="BM66" s="1732"/>
      <c r="BN66" s="1732"/>
      <c r="BO66" s="1732"/>
      <c r="BP66" s="1732"/>
      <c r="BQ66" s="1732"/>
      <c r="BR66" s="1732"/>
      <c r="BS66" s="1732"/>
      <c r="BT66" s="1732"/>
      <c r="BU66" s="1732"/>
      <c r="BV66" s="1732"/>
      <c r="BW66" s="1732"/>
      <c r="BX66" s="1732"/>
      <c r="BY66" s="1732"/>
      <c r="BZ66" s="1732"/>
      <c r="CA66" s="1732"/>
      <c r="CB66" s="1732"/>
      <c r="CC66" s="1732"/>
      <c r="CD66" s="1732"/>
      <c r="CE66" s="1732"/>
      <c r="CF66" s="1412"/>
    </row>
    <row customHeight="1" ht="5.25" hidden="1">
      <c r="A67" s="1888"/>
      <c r="B67" s="1732"/>
      <c r="C67" s="1732"/>
      <c r="D67" s="3220"/>
      <c r="E67" s="1143"/>
      <c r="F67" s="1144"/>
      <c r="G67" s="1144"/>
      <c r="H67" s="1145"/>
      <c r="I67" s="1145"/>
      <c r="J67" s="1145"/>
      <c r="K67" s="1145"/>
      <c r="L67" s="1145"/>
      <c r="M67" s="1145"/>
      <c r="N67" s="1145"/>
      <c r="O67" s="1145"/>
      <c r="P67" s="1145"/>
      <c r="Q67" s="1145"/>
      <c r="R67" s="1046"/>
      <c r="S67" s="1146"/>
      <c r="T67" s="825"/>
      <c r="U67" s="3119"/>
      <c r="V67" s="3119"/>
      <c r="W67" s="1732"/>
      <c r="X67" s="1732"/>
      <c r="Y67" s="1732"/>
      <c r="Z67" s="1732"/>
      <c r="AA67" s="1732"/>
      <c r="AB67" s="1732"/>
      <c r="AC67" s="1137"/>
      <c r="AD67" s="1138"/>
      <c r="AE67" s="1732"/>
      <c r="AF67" s="1732"/>
      <c r="AG67" s="1732"/>
      <c r="AH67" s="1732"/>
      <c r="AI67" s="1732"/>
      <c r="AJ67" s="1732"/>
      <c r="AK67" s="1732"/>
      <c r="AL67" s="1732"/>
      <c r="AM67" s="1732"/>
      <c r="AN67" s="1732"/>
      <c r="AO67" s="1732"/>
      <c r="AP67" s="1732"/>
      <c r="AQ67" s="1732"/>
      <c r="AR67" s="1732"/>
      <c r="AS67" s="1732"/>
      <c r="AT67" s="1732"/>
      <c r="AU67" s="1732"/>
      <c r="AV67" s="1732"/>
      <c r="AW67" s="1732"/>
      <c r="AX67" s="1732"/>
      <c r="AY67" s="1732"/>
      <c r="AZ67" s="1732"/>
      <c r="BA67" s="1732"/>
      <c r="BB67" s="1732"/>
      <c r="BC67" s="1732"/>
      <c r="BD67" s="1732"/>
      <c r="BE67" s="1732"/>
      <c r="BF67" s="1732"/>
      <c r="BG67" s="1732"/>
      <c r="BH67" s="1732"/>
      <c r="BI67" s="1732"/>
      <c r="BJ67" s="1732"/>
      <c r="BK67" s="1732"/>
      <c r="BL67" s="1732"/>
      <c r="BM67" s="1732"/>
      <c r="BN67" s="1732"/>
      <c r="BO67" s="1732"/>
      <c r="BP67" s="1732"/>
      <c r="BQ67" s="1732"/>
      <c r="BR67" s="1732"/>
      <c r="BS67" s="1732"/>
      <c r="BT67" s="1732"/>
      <c r="BU67" s="1732"/>
      <c r="BV67" s="1732"/>
      <c r="BW67" s="1732"/>
      <c r="BX67" s="1732"/>
      <c r="BY67" s="1732"/>
      <c r="BZ67" s="1732"/>
      <c r="CA67" s="1732"/>
      <c r="CB67" s="1732"/>
      <c r="CC67" s="1732"/>
      <c r="CD67" s="1732"/>
      <c r="CE67" s="1732"/>
      <c r="CF67" s="1412"/>
    </row>
    <row customHeight="1" ht="15" hidden="1">
      <c r="A68" s="730" t="s">
        <v>165</v>
      </c>
      <c r="B68" s="731"/>
      <c r="C68" s="731" t="s">
        <v>22</v>
      </c>
      <c r="D68" s="3218" t="s">
        <v>716</v>
      </c>
      <c r="E68" s="3215" t="s">
        <v>140</v>
      </c>
      <c r="F68" s="3216"/>
      <c r="G68" s="3217"/>
      <c r="H68" s="3211" t="str">
        <f>IF(A68="","",INDEX(DIFFERENTIATION_UNMERGE_VD,MATCH(A68,DIFFERENTIATION_ID_DIFF,0)))</f>
        <v>Производство тепловой энергии. Комбинированная выработка с уст. мощностью производства электрической энергии 25 МВт и более</v>
      </c>
      <c r="I68" s="3211"/>
      <c r="J68" s="3211"/>
      <c r="K68" s="3211"/>
      <c r="L68" s="3211"/>
      <c r="M68" s="3211"/>
      <c r="N68" s="3211"/>
      <c r="O68" s="3211"/>
      <c r="P68" s="3211"/>
      <c r="Q68" s="3211"/>
      <c r="R68" s="3211"/>
      <c r="S68" s="826"/>
      <c r="T68" s="823"/>
      <c r="U68" s="732"/>
      <c r="V68" s="732"/>
      <c r="W68" s="733"/>
      <c r="X68" s="733"/>
      <c r="Y68" s="733"/>
      <c r="Z68" s="733"/>
      <c r="AA68" s="734"/>
      <c r="AB68" s="735"/>
      <c r="AC68" s="3214"/>
      <c r="AD68" s="736"/>
      <c r="AE68" s="737" t="s">
        <v>22</v>
      </c>
      <c r="AF68" s="737"/>
      <c r="AG68" s="738" t="s">
        <v>704</v>
      </c>
      <c r="AH68" s="739">
        <v>3</v>
      </c>
      <c r="AI68" s="732"/>
      <c r="AJ68" s="732"/>
      <c r="AK68" s="732"/>
      <c r="AL68" s="732"/>
      <c r="AM68" s="732"/>
      <c r="AN68" s="732"/>
      <c r="AO68" s="732"/>
      <c r="AP68" s="732"/>
      <c r="AQ68" s="732"/>
      <c r="AR68" s="732"/>
      <c r="AS68" s="732"/>
      <c r="AT68" s="732"/>
      <c r="AU68" s="732"/>
      <c r="AV68" s="732"/>
      <c r="AW68" s="732"/>
      <c r="AX68" s="732"/>
      <c r="AY68" s="732"/>
      <c r="AZ68" s="732"/>
      <c r="BA68" s="732"/>
      <c r="BB68" s="732"/>
      <c r="BC68" s="732"/>
      <c r="BD68" s="732"/>
      <c r="BE68" s="732"/>
      <c r="BF68" s="732"/>
      <c r="BG68" s="732"/>
      <c r="BH68" s="732"/>
      <c r="BI68" s="732"/>
      <c r="BJ68" s="732"/>
      <c r="BK68" s="732"/>
      <c r="BL68" s="732"/>
      <c r="BM68" s="732"/>
      <c r="BN68" s="732"/>
      <c r="BO68" s="732"/>
      <c r="BP68" s="732"/>
      <c r="BQ68" s="732"/>
      <c r="BR68" s="732"/>
      <c r="BS68" s="732"/>
      <c r="BT68" s="732"/>
      <c r="BU68" s="732"/>
      <c r="BV68" s="733"/>
      <c r="BW68" s="733"/>
      <c r="BX68" s="733"/>
      <c r="BY68" s="733"/>
      <c r="BZ68" s="733"/>
      <c r="CA68" s="733"/>
      <c r="CB68" s="733"/>
      <c r="CC68" s="733"/>
      <c r="CD68" s="733"/>
      <c r="CE68" s="733"/>
      <c r="CF68" s="1944"/>
    </row>
    <row customHeight="1" ht="15" hidden="1">
      <c r="A69" s="730"/>
      <c r="B69" s="731"/>
      <c r="C69" s="731"/>
      <c r="D69" s="3219"/>
      <c r="E69" s="3215" t="s">
        <v>649</v>
      </c>
      <c r="F69" s="3216"/>
      <c r="G69" s="3217"/>
      <c r="H69" s="3211" t="str">
        <f>IF(A68="","",INDEX(DIFFERENTIATION_UNMERGE_AREA,MATCH(A68,DIFFERENTIATION_ID_DIFF,0)))</f>
        <v>Территория 5</v>
      </c>
      <c r="I69" s="3211"/>
      <c r="J69" s="3211"/>
      <c r="K69" s="3211"/>
      <c r="L69" s="3211"/>
      <c r="M69" s="3211"/>
      <c r="N69" s="3211"/>
      <c r="O69" s="3211"/>
      <c r="P69" s="3211"/>
      <c r="Q69" s="3211"/>
      <c r="R69" s="3211"/>
      <c r="S69" s="826"/>
      <c r="T69" s="823"/>
      <c r="U69" s="732"/>
      <c r="V69" s="732"/>
      <c r="W69" s="733"/>
      <c r="X69" s="733"/>
      <c r="Y69" s="733"/>
      <c r="Z69" s="733"/>
      <c r="AA69" s="734"/>
      <c r="AB69" s="735"/>
      <c r="AC69" s="3214"/>
      <c r="AD69" s="736"/>
      <c r="AE69" s="737"/>
      <c r="AF69" s="737"/>
      <c r="AG69" s="738"/>
      <c r="AH69" s="739"/>
      <c r="AI69" s="732"/>
      <c r="AJ69" s="732"/>
      <c r="AK69" s="732"/>
      <c r="AL69" s="732"/>
      <c r="AM69" s="732"/>
      <c r="AN69" s="732"/>
      <c r="AO69" s="732"/>
      <c r="AP69" s="732"/>
      <c r="AQ69" s="732"/>
      <c r="AR69" s="732"/>
      <c r="AS69" s="732"/>
      <c r="AT69" s="732"/>
      <c r="AU69" s="732"/>
      <c r="AV69" s="732"/>
      <c r="AW69" s="732"/>
      <c r="AX69" s="732"/>
      <c r="AY69" s="732"/>
      <c r="AZ69" s="732"/>
      <c r="BA69" s="732"/>
      <c r="BB69" s="732"/>
      <c r="BC69" s="732"/>
      <c r="BD69" s="732"/>
      <c r="BE69" s="732"/>
      <c r="BF69" s="732"/>
      <c r="BG69" s="732"/>
      <c r="BH69" s="732"/>
      <c r="BI69" s="732"/>
      <c r="BJ69" s="732"/>
      <c r="BK69" s="732"/>
      <c r="BL69" s="732"/>
      <c r="BM69" s="732"/>
      <c r="BN69" s="732"/>
      <c r="BO69" s="732"/>
      <c r="BP69" s="732"/>
      <c r="BQ69" s="732"/>
      <c r="BR69" s="732"/>
      <c r="BS69" s="732"/>
      <c r="BT69" s="732"/>
      <c r="BU69" s="732"/>
      <c r="BV69" s="733"/>
      <c r="BW69" s="733"/>
      <c r="BX69" s="733"/>
      <c r="BY69" s="733"/>
      <c r="BZ69" s="733"/>
      <c r="CA69" s="733"/>
      <c r="CB69" s="733"/>
      <c r="CC69" s="733"/>
      <c r="CD69" s="733"/>
      <c r="CE69" s="733"/>
      <c r="CF69" s="1944"/>
    </row>
    <row customHeight="1" ht="15" hidden="1">
      <c r="A70" s="730"/>
      <c r="B70" s="731"/>
      <c r="C70" s="731"/>
      <c r="D70" s="3219"/>
      <c r="E70" s="3215" t="s">
        <v>650</v>
      </c>
      <c r="F70" s="3216"/>
      <c r="G70" s="3217"/>
      <c r="H70" s="3211" t="str">
        <f>IF(A68="","",INDEX(DIFFERENTIATION_UNMERGE_SYSTEM,MATCH(A68,DIFFERENTIATION_ID_DIFF,0)))</f>
        <v>Николаевская ТЭЦ</v>
      </c>
      <c r="I70" s="3211"/>
      <c r="J70" s="3211"/>
      <c r="K70" s="3211"/>
      <c r="L70" s="3211"/>
      <c r="M70" s="3211"/>
      <c r="N70" s="3211"/>
      <c r="O70" s="3211"/>
      <c r="P70" s="3211"/>
      <c r="Q70" s="3211"/>
      <c r="R70" s="3211"/>
      <c r="S70" s="826"/>
      <c r="T70" s="823"/>
      <c r="U70" s="732"/>
      <c r="V70" s="732"/>
      <c r="W70" s="733"/>
      <c r="X70" s="733"/>
      <c r="Y70" s="733"/>
      <c r="Z70" s="733"/>
      <c r="AA70" s="734"/>
      <c r="AB70" s="735"/>
      <c r="AC70" s="3214"/>
      <c r="AD70" s="736"/>
      <c r="AE70" s="737"/>
      <c r="AF70" s="737"/>
      <c r="AG70" s="738"/>
      <c r="AH70" s="739"/>
      <c r="AI70" s="732"/>
      <c r="AJ70" s="732"/>
      <c r="AK70" s="732"/>
      <c r="AL70" s="732"/>
      <c r="AM70" s="732"/>
      <c r="AN70" s="732"/>
      <c r="AO70" s="732"/>
      <c r="AP70" s="732"/>
      <c r="AQ70" s="732"/>
      <c r="AR70" s="732"/>
      <c r="AS70" s="732"/>
      <c r="AT70" s="732"/>
      <c r="AU70" s="732"/>
      <c r="AV70" s="732"/>
      <c r="AW70" s="732"/>
      <c r="AX70" s="732"/>
      <c r="AY70" s="732"/>
      <c r="AZ70" s="732"/>
      <c r="BA70" s="732"/>
      <c r="BB70" s="732"/>
      <c r="BC70" s="732"/>
      <c r="BD70" s="732"/>
      <c r="BE70" s="732"/>
      <c r="BF70" s="732"/>
      <c r="BG70" s="732"/>
      <c r="BH70" s="732"/>
      <c r="BI70" s="732"/>
      <c r="BJ70" s="732"/>
      <c r="BK70" s="732"/>
      <c r="BL70" s="732"/>
      <c r="BM70" s="732"/>
      <c r="BN70" s="732"/>
      <c r="BO70" s="732"/>
      <c r="BP70" s="732"/>
      <c r="BQ70" s="732"/>
      <c r="BR70" s="732"/>
      <c r="BS70" s="732"/>
      <c r="BT70" s="732"/>
      <c r="BU70" s="732"/>
      <c r="BV70" s="733"/>
      <c r="BW70" s="733"/>
      <c r="BX70" s="733"/>
      <c r="BY70" s="733"/>
      <c r="BZ70" s="733"/>
      <c r="CA70" s="733"/>
      <c r="CB70" s="733"/>
      <c r="CC70" s="733"/>
      <c r="CD70" s="733"/>
      <c r="CE70" s="733"/>
      <c r="CF70" s="1944"/>
    </row>
    <row customHeight="1" ht="24.75" hidden="1">
      <c r="A71" s="1901"/>
      <c r="B71" s="1256"/>
      <c r="C71" s="519"/>
      <c r="D71" s="3219"/>
      <c r="E71" s="3213" t="s">
        <v>705</v>
      </c>
      <c r="F71" s="3213"/>
      <c r="G71" s="3213"/>
      <c r="H71" s="3213"/>
      <c r="I71" s="3213"/>
      <c r="J71" s="3213"/>
      <c r="K71" s="3213"/>
      <c r="L71" s="3213"/>
      <c r="M71" s="3213"/>
      <c r="N71" s="3213"/>
      <c r="O71" s="3213"/>
      <c r="P71" s="3213"/>
      <c r="Q71" s="665">
        <f>SUMIF(T72:T73,"i",Q72:Q73)</f>
        <v>0</v>
      </c>
      <c r="R71" s="1117"/>
      <c r="S71" s="1893" t="s">
        <v>706</v>
      </c>
      <c r="T71" s="824" t="s">
        <v>707</v>
      </c>
      <c r="U71" s="3119">
        <v>1</v>
      </c>
      <c r="V71" s="3119" t="str">
        <f>INDEX(B_FHD_FLAG_INDEX_1,1,MATCH($A$68,B_FHD_FLAG_DIFFERENTIATION,0))</f>
        <v>отсутствует</v>
      </c>
      <c r="W71" s="1256"/>
      <c r="X71" s="1256"/>
      <c r="Y71" s="1256"/>
      <c r="Z71" s="1256"/>
      <c r="AA71" s="1732"/>
      <c r="AB71" s="1256"/>
      <c r="AC71" s="3214"/>
      <c r="AD71" s="736"/>
      <c r="AE71" s="1256"/>
      <c r="AF71" s="1256"/>
      <c r="AG71" s="1732"/>
      <c r="AH71" s="1732"/>
      <c r="AI71" s="1732"/>
      <c r="AJ71" s="1732"/>
      <c r="AK71" s="1732"/>
      <c r="AL71" s="1732"/>
      <c r="AM71" s="1732"/>
      <c r="AN71" s="1732"/>
      <c r="AO71" s="1732"/>
      <c r="AP71" s="1732"/>
      <c r="AQ71" s="1732"/>
      <c r="AR71" s="1732"/>
      <c r="AS71" s="1732"/>
      <c r="AT71" s="1732"/>
      <c r="AU71" s="1732"/>
      <c r="AV71" s="1732"/>
      <c r="AW71" s="1732"/>
      <c r="AX71" s="1732"/>
      <c r="AY71" s="1732"/>
      <c r="AZ71" s="1732"/>
      <c r="BA71" s="1732"/>
      <c r="BB71" s="1732"/>
      <c r="BC71" s="1732"/>
      <c r="BD71" s="1732"/>
      <c r="BE71" s="1732"/>
      <c r="BF71" s="1732"/>
      <c r="BG71" s="1732"/>
      <c r="BH71" s="1732"/>
      <c r="BI71" s="1732"/>
      <c r="BJ71" s="1732"/>
      <c r="BK71" s="1732"/>
      <c r="BL71" s="1732"/>
      <c r="BM71" s="1732"/>
      <c r="BN71" s="1732"/>
      <c r="BO71" s="1732"/>
      <c r="BP71" s="1732"/>
      <c r="BQ71" s="1732"/>
      <c r="BR71" s="1732"/>
      <c r="BS71" s="1732"/>
      <c r="BT71" s="1732"/>
      <c r="BU71" s="1732"/>
      <c r="BV71" s="1256"/>
      <c r="BW71" s="1256"/>
      <c r="BX71" s="1256"/>
      <c r="BY71" s="1256"/>
      <c r="BZ71" s="1256"/>
      <c r="CA71" s="1256"/>
      <c r="CB71" s="1256"/>
      <c r="CC71" s="1256"/>
      <c r="CD71" s="1256"/>
      <c r="CE71" s="1256"/>
      <c r="CF71" s="1944"/>
    </row>
    <row customHeight="1" ht="11.25" hidden="1">
      <c r="A72" s="1888"/>
      <c r="B72" s="1732"/>
      <c r="C72" s="1732"/>
      <c r="D72" s="3219"/>
      <c r="E72" s="742"/>
      <c r="F72" s="742">
        <v>0</v>
      </c>
      <c r="G72" s="742"/>
      <c r="H72" s="742"/>
      <c r="I72" s="742"/>
      <c r="J72" s="742"/>
      <c r="K72" s="742"/>
      <c r="L72" s="742"/>
      <c r="M72" s="742"/>
      <c r="N72" s="742"/>
      <c r="O72" s="742"/>
      <c r="P72" s="742"/>
      <c r="Q72" s="742"/>
      <c r="R72" s="742"/>
      <c r="S72" s="743"/>
      <c r="T72" s="825"/>
      <c r="U72" s="3119"/>
      <c r="V72" s="3119"/>
      <c r="W72" s="1732"/>
      <c r="X72" s="1732"/>
      <c r="Y72" s="1732"/>
      <c r="Z72" s="1732"/>
      <c r="AA72" s="1732"/>
      <c r="AB72" s="1256"/>
      <c r="AC72" s="3214"/>
      <c r="AD72" s="736"/>
      <c r="AE72" s="1256"/>
      <c r="AF72" s="1256"/>
      <c r="AG72" s="1732"/>
      <c r="AH72" s="1732"/>
      <c r="AI72" s="1732"/>
      <c r="AJ72" s="1732"/>
      <c r="AK72" s="1732"/>
      <c r="AL72" s="1732"/>
      <c r="AM72" s="1732"/>
      <c r="AN72" s="1732"/>
      <c r="AO72" s="1732"/>
      <c r="AP72" s="1732"/>
      <c r="AQ72" s="1732"/>
      <c r="AR72" s="1732"/>
      <c r="AS72" s="1732"/>
      <c r="AT72" s="1732"/>
      <c r="AU72" s="1732"/>
      <c r="AV72" s="1732"/>
      <c r="AW72" s="1732"/>
      <c r="AX72" s="1732"/>
      <c r="AY72" s="1732"/>
      <c r="AZ72" s="1732"/>
      <c r="BA72" s="1732"/>
      <c r="BB72" s="1732"/>
      <c r="BC72" s="1732"/>
      <c r="BD72" s="1732"/>
      <c r="BE72" s="1732"/>
      <c r="BF72" s="1732"/>
      <c r="BG72" s="1732"/>
      <c r="BH72" s="1732"/>
      <c r="BI72" s="1732"/>
      <c r="BJ72" s="1732"/>
      <c r="BK72" s="1732"/>
      <c r="BL72" s="1732"/>
      <c r="BM72" s="1732"/>
      <c r="BN72" s="1732"/>
      <c r="BO72" s="1732"/>
      <c r="BP72" s="1732"/>
      <c r="BQ72" s="1732"/>
      <c r="BR72" s="1732"/>
      <c r="BS72" s="1732"/>
      <c r="BT72" s="1732"/>
      <c r="BU72" s="1732"/>
      <c r="BV72" s="1732"/>
      <c r="BW72" s="1732"/>
      <c r="BX72" s="1732"/>
      <c r="BY72" s="1732"/>
      <c r="BZ72" s="1732"/>
      <c r="CA72" s="1732"/>
      <c r="CB72" s="1732"/>
      <c r="CC72" s="1732"/>
      <c r="CD72" s="1732"/>
      <c r="CE72" s="1732"/>
      <c r="CF72" s="1944"/>
    </row>
    <row customHeight="1" ht="11.25" hidden="1">
      <c r="A73" s="1901"/>
      <c r="B73" s="1256"/>
      <c r="C73" s="519"/>
      <c r="D73" s="3219"/>
      <c r="E73" s="756" t="s">
        <v>22</v>
      </c>
      <c r="F73" s="1264" t="s">
        <v>22</v>
      </c>
      <c r="G73" s="1264" t="s">
        <v>711</v>
      </c>
      <c r="H73" s="758" t="s">
        <v>22</v>
      </c>
      <c r="I73" s="758"/>
      <c r="J73" s="758"/>
      <c r="K73" s="758"/>
      <c r="L73" s="758"/>
      <c r="M73" s="758"/>
      <c r="N73" s="758"/>
      <c r="O73" s="758"/>
      <c r="P73" s="758"/>
      <c r="Q73" s="758"/>
      <c r="R73" s="759"/>
      <c r="S73" s="760"/>
      <c r="T73" s="825"/>
      <c r="U73" s="3119"/>
      <c r="V73" s="3119"/>
      <c r="W73" s="1256"/>
      <c r="X73" s="1256"/>
      <c r="Y73" s="1256"/>
      <c r="Z73" s="1256"/>
      <c r="AA73" s="1732"/>
      <c r="AB73" s="1256"/>
      <c r="AC73" s="3214"/>
      <c r="AD73" s="736"/>
      <c r="AE73" s="1256"/>
      <c r="AF73" s="1256"/>
      <c r="AG73" s="1732"/>
      <c r="AH73" s="1732"/>
      <c r="AI73" s="1732"/>
      <c r="AJ73" s="1732"/>
      <c r="AK73" s="1732"/>
      <c r="AL73" s="173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c r="BG73" s="1732"/>
      <c r="BH73" s="1732"/>
      <c r="BI73" s="1732"/>
      <c r="BJ73" s="1732"/>
      <c r="BK73" s="1732"/>
      <c r="BL73" s="1732"/>
      <c r="BM73" s="1732"/>
      <c r="BN73" s="1732"/>
      <c r="BO73" s="1732"/>
      <c r="BP73" s="1732"/>
      <c r="BQ73" s="1732"/>
      <c r="BR73" s="1732"/>
      <c r="BS73" s="1732"/>
      <c r="BT73" s="1732"/>
      <c r="BU73" s="1732"/>
      <c r="BV73" s="1256"/>
      <c r="BW73" s="1256"/>
      <c r="BX73" s="1256"/>
      <c r="BY73" s="1256"/>
      <c r="BZ73" s="1256"/>
      <c r="CA73" s="1256"/>
      <c r="CB73" s="1256"/>
      <c r="CC73" s="1256"/>
      <c r="CD73" s="1256"/>
      <c r="CE73" s="1256"/>
      <c r="CF73" s="1944"/>
    </row>
    <row customHeight="1" ht="5.25" hidden="1">
      <c r="A74" s="1888"/>
      <c r="B74" s="1732"/>
      <c r="C74" s="1732"/>
      <c r="D74" s="3219"/>
      <c r="E74" s="1139"/>
      <c r="F74" s="1139"/>
      <c r="G74" s="1139"/>
      <c r="H74" s="1139"/>
      <c r="I74" s="1139"/>
      <c r="J74" s="1139"/>
      <c r="K74" s="1139"/>
      <c r="L74" s="1139"/>
      <c r="M74" s="1139"/>
      <c r="N74" s="1139"/>
      <c r="O74" s="1139"/>
      <c r="P74" s="1139"/>
      <c r="Q74" s="1140"/>
      <c r="R74" s="1141"/>
      <c r="S74" s="1142"/>
      <c r="T74" s="824" t="s">
        <v>707</v>
      </c>
      <c r="U74" s="3119">
        <v>1</v>
      </c>
      <c r="V74" s="3119" t="s">
        <v>669</v>
      </c>
      <c r="W74" s="1732"/>
      <c r="X74" s="1732"/>
      <c r="Y74" s="1732"/>
      <c r="Z74" s="1732"/>
      <c r="AA74" s="1732"/>
      <c r="AB74" s="1732"/>
      <c r="AC74" s="1137"/>
      <c r="AD74" s="1138"/>
      <c r="AE74" s="1732"/>
      <c r="AF74" s="1732"/>
      <c r="AG74" s="1732"/>
      <c r="AH74" s="1732"/>
      <c r="AI74" s="1732"/>
      <c r="AJ74" s="1732"/>
      <c r="AK74" s="1732"/>
      <c r="AL74" s="1732"/>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c r="BG74" s="1732"/>
      <c r="BH74" s="1732"/>
      <c r="BI74" s="1732"/>
      <c r="BJ74" s="1732"/>
      <c r="BK74" s="1732"/>
      <c r="BL74" s="1732"/>
      <c r="BM74" s="1732"/>
      <c r="BN74" s="1732"/>
      <c r="BO74" s="1732"/>
      <c r="BP74" s="1732"/>
      <c r="BQ74" s="1732"/>
      <c r="BR74" s="1732"/>
      <c r="BS74" s="1732"/>
      <c r="BT74" s="1732"/>
      <c r="BU74" s="1732"/>
      <c r="BV74" s="1732"/>
      <c r="BW74" s="1732"/>
      <c r="BX74" s="1732"/>
      <c r="BY74" s="1732"/>
      <c r="BZ74" s="1732"/>
      <c r="CA74" s="1732"/>
      <c r="CB74" s="1732"/>
      <c r="CC74" s="1732"/>
      <c r="CD74" s="1732"/>
      <c r="CE74" s="1732"/>
      <c r="CF74" s="1412"/>
    </row>
    <row customHeight="1" ht="5.25" hidden="1">
      <c r="A75" s="1888"/>
      <c r="B75" s="1732"/>
      <c r="C75" s="1732"/>
      <c r="D75" s="3219"/>
      <c r="E75" s="742"/>
      <c r="F75" s="742"/>
      <c r="G75" s="742"/>
      <c r="H75" s="742"/>
      <c r="I75" s="742"/>
      <c r="J75" s="742"/>
      <c r="K75" s="742"/>
      <c r="L75" s="742"/>
      <c r="M75" s="742"/>
      <c r="N75" s="742"/>
      <c r="O75" s="742"/>
      <c r="P75" s="742"/>
      <c r="Q75" s="742"/>
      <c r="R75" s="742"/>
      <c r="S75" s="743"/>
      <c r="T75" s="825"/>
      <c r="U75" s="3119"/>
      <c r="V75" s="3119"/>
      <c r="W75" s="1732"/>
      <c r="X75" s="1732"/>
      <c r="Y75" s="1732"/>
      <c r="Z75" s="1732"/>
      <c r="AA75" s="1732"/>
      <c r="AB75" s="1732"/>
      <c r="AC75" s="1137"/>
      <c r="AD75" s="1138"/>
      <c r="AE75" s="1732"/>
      <c r="AF75" s="1732"/>
      <c r="AG75" s="1732"/>
      <c r="AH75" s="1732"/>
      <c r="AI75" s="1732"/>
      <c r="AJ75" s="1732"/>
      <c r="AK75" s="1732"/>
      <c r="AL75" s="1732"/>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c r="BG75" s="1732"/>
      <c r="BH75" s="1732"/>
      <c r="BI75" s="1732"/>
      <c r="BJ75" s="1732"/>
      <c r="BK75" s="1732"/>
      <c r="BL75" s="1732"/>
      <c r="BM75" s="1732"/>
      <c r="BN75" s="1732"/>
      <c r="BO75" s="1732"/>
      <c r="BP75" s="1732"/>
      <c r="BQ75" s="1732"/>
      <c r="BR75" s="1732"/>
      <c r="BS75" s="1732"/>
      <c r="BT75" s="1732"/>
      <c r="BU75" s="1732"/>
      <c r="BV75" s="1732"/>
      <c r="BW75" s="1732"/>
      <c r="BX75" s="1732"/>
      <c r="BY75" s="1732"/>
      <c r="BZ75" s="1732"/>
      <c r="CA75" s="1732"/>
      <c r="CB75" s="1732"/>
      <c r="CC75" s="1732"/>
      <c r="CD75" s="1732"/>
      <c r="CE75" s="1732"/>
      <c r="CF75" s="1412"/>
    </row>
    <row customHeight="1" ht="5.25" hidden="1">
      <c r="A76" s="1888"/>
      <c r="B76" s="1732"/>
      <c r="C76" s="1732"/>
      <c r="D76" s="3220"/>
      <c r="E76" s="1143"/>
      <c r="F76" s="1144"/>
      <c r="G76" s="1144"/>
      <c r="H76" s="1145"/>
      <c r="I76" s="1145"/>
      <c r="J76" s="1145"/>
      <c r="K76" s="1145"/>
      <c r="L76" s="1145"/>
      <c r="M76" s="1145"/>
      <c r="N76" s="1145"/>
      <c r="O76" s="1145"/>
      <c r="P76" s="1145"/>
      <c r="Q76" s="1145"/>
      <c r="R76" s="1046"/>
      <c r="S76" s="1146"/>
      <c r="T76" s="825"/>
      <c r="U76" s="3119"/>
      <c r="V76" s="3119"/>
      <c r="W76" s="1732"/>
      <c r="X76" s="1732"/>
      <c r="Y76" s="1732"/>
      <c r="Z76" s="1732"/>
      <c r="AA76" s="1732"/>
      <c r="AB76" s="1732"/>
      <c r="AC76" s="1137"/>
      <c r="AD76" s="1138"/>
      <c r="AE76" s="1732"/>
      <c r="AF76" s="1732"/>
      <c r="AG76" s="1732"/>
      <c r="AH76" s="1732"/>
      <c r="AI76" s="1732"/>
      <c r="AJ76" s="1732"/>
      <c r="AK76" s="1732"/>
      <c r="AL76" s="1732"/>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c r="BG76" s="1732"/>
      <c r="BH76" s="1732"/>
      <c r="BI76" s="1732"/>
      <c r="BJ76" s="1732"/>
      <c r="BK76" s="1732"/>
      <c r="BL76" s="1732"/>
      <c r="BM76" s="1732"/>
      <c r="BN76" s="1732"/>
      <c r="BO76" s="1732"/>
      <c r="BP76" s="1732"/>
      <c r="BQ76" s="1732"/>
      <c r="BR76" s="1732"/>
      <c r="BS76" s="1732"/>
      <c r="BT76" s="1732"/>
      <c r="BU76" s="1732"/>
      <c r="BV76" s="1732"/>
      <c r="BW76" s="1732"/>
      <c r="BX76" s="1732"/>
      <c r="BY76" s="1732"/>
      <c r="BZ76" s="1732"/>
      <c r="CA76" s="1732"/>
      <c r="CB76" s="1732"/>
      <c r="CC76" s="1732"/>
      <c r="CD76" s="1732"/>
      <c r="CE76" s="1732"/>
      <c r="CF76" s="1412"/>
    </row>
    <row customHeight="1" ht="15" hidden="1">
      <c r="A77" s="730" t="s">
        <v>168</v>
      </c>
      <c r="B77" s="731"/>
      <c r="C77" s="731" t="s">
        <v>22</v>
      </c>
      <c r="D77" s="3218" t="s">
        <v>717</v>
      </c>
      <c r="E77" s="3215" t="s">
        <v>140</v>
      </c>
      <c r="F77" s="3216"/>
      <c r="G77" s="3217"/>
      <c r="H77" s="3211" t="str">
        <f>IF(A77="","",INDEX(DIFFERENTIATION_UNMERGE_VD,MATCH(A77,DIFFERENTIATION_ID_DIFF,0)))</f>
        <v>Производство. Теплоноситель</v>
      </c>
      <c r="I77" s="3211"/>
      <c r="J77" s="3211"/>
      <c r="K77" s="3211"/>
      <c r="L77" s="3211"/>
      <c r="M77" s="3211"/>
      <c r="N77" s="3211"/>
      <c r="O77" s="3211"/>
      <c r="P77" s="3211"/>
      <c r="Q77" s="3211"/>
      <c r="R77" s="3211"/>
      <c r="S77" s="826"/>
      <c r="T77" s="823"/>
      <c r="U77" s="732"/>
      <c r="V77" s="732"/>
      <c r="W77" s="733"/>
      <c r="X77" s="733"/>
      <c r="Y77" s="733"/>
      <c r="Z77" s="733"/>
      <c r="AA77" s="734"/>
      <c r="AB77" s="735"/>
      <c r="AC77" s="3214"/>
      <c r="AD77" s="736"/>
      <c r="AE77" s="737" t="s">
        <v>22</v>
      </c>
      <c r="AF77" s="737"/>
      <c r="AG77" s="738" t="s">
        <v>704</v>
      </c>
      <c r="AH77" s="739">
        <v>3</v>
      </c>
      <c r="AI77" s="732"/>
      <c r="AJ77" s="732"/>
      <c r="AK77" s="732"/>
      <c r="AL77" s="732"/>
      <c r="AM77" s="732"/>
      <c r="AN77" s="732"/>
      <c r="AO77" s="732"/>
      <c r="AP77" s="732"/>
      <c r="AQ77" s="732"/>
      <c r="AR77" s="732"/>
      <c r="AS77" s="732"/>
      <c r="AT77" s="732"/>
      <c r="AU77" s="732"/>
      <c r="AV77" s="732"/>
      <c r="AW77" s="732"/>
      <c r="AX77" s="732"/>
      <c r="AY77" s="732"/>
      <c r="AZ77" s="732"/>
      <c r="BA77" s="732"/>
      <c r="BB77" s="732"/>
      <c r="BC77" s="732"/>
      <c r="BD77" s="732"/>
      <c r="BE77" s="732"/>
      <c r="BF77" s="732"/>
      <c r="BG77" s="732"/>
      <c r="BH77" s="732"/>
      <c r="BI77" s="732"/>
      <c r="BJ77" s="732"/>
      <c r="BK77" s="732"/>
      <c r="BL77" s="732"/>
      <c r="BM77" s="732"/>
      <c r="BN77" s="732"/>
      <c r="BO77" s="732"/>
      <c r="BP77" s="732"/>
      <c r="BQ77" s="732"/>
      <c r="BR77" s="732"/>
      <c r="BS77" s="732"/>
      <c r="BT77" s="732"/>
      <c r="BU77" s="732"/>
      <c r="BV77" s="733"/>
      <c r="BW77" s="733"/>
      <c r="BX77" s="733"/>
      <c r="BY77" s="733"/>
      <c r="BZ77" s="733"/>
      <c r="CA77" s="733"/>
      <c r="CB77" s="733"/>
      <c r="CC77" s="733"/>
      <c r="CD77" s="733"/>
      <c r="CE77" s="733"/>
      <c r="CF77" s="1944"/>
    </row>
    <row customHeight="1" ht="15" hidden="1">
      <c r="A78" s="730"/>
      <c r="B78" s="731"/>
      <c r="C78" s="731"/>
      <c r="D78" s="3219"/>
      <c r="E78" s="3215" t="s">
        <v>649</v>
      </c>
      <c r="F78" s="3216"/>
      <c r="G78" s="3217"/>
      <c r="H78" s="3211" t="str">
        <f>IF(A77="","",INDEX(DIFFERENTIATION_UNMERGE_AREA,MATCH(A77,DIFFERENTIATION_ID_DIFF,0)))</f>
        <v>Территория 1</v>
      </c>
      <c r="I78" s="3211"/>
      <c r="J78" s="3211"/>
      <c r="K78" s="3211"/>
      <c r="L78" s="3211"/>
      <c r="M78" s="3211"/>
      <c r="N78" s="3211"/>
      <c r="O78" s="3211"/>
      <c r="P78" s="3211"/>
      <c r="Q78" s="3211"/>
      <c r="R78" s="3211"/>
      <c r="S78" s="826"/>
      <c r="T78" s="823"/>
      <c r="U78" s="732"/>
      <c r="V78" s="732"/>
      <c r="W78" s="733"/>
      <c r="X78" s="733"/>
      <c r="Y78" s="733"/>
      <c r="Z78" s="733"/>
      <c r="AA78" s="734"/>
      <c r="AB78" s="735"/>
      <c r="AC78" s="3214"/>
      <c r="AD78" s="736"/>
      <c r="AE78" s="737"/>
      <c r="AF78" s="737"/>
      <c r="AG78" s="738"/>
      <c r="AH78" s="739"/>
      <c r="AI78" s="732"/>
      <c r="AJ78" s="732"/>
      <c r="AK78" s="732"/>
      <c r="AL78" s="732"/>
      <c r="AM78" s="732"/>
      <c r="AN78" s="732"/>
      <c r="AO78" s="732"/>
      <c r="AP78" s="732"/>
      <c r="AQ78" s="732"/>
      <c r="AR78" s="732"/>
      <c r="AS78" s="732"/>
      <c r="AT78" s="732"/>
      <c r="AU78" s="732"/>
      <c r="AV78" s="732"/>
      <c r="AW78" s="732"/>
      <c r="AX78" s="732"/>
      <c r="AY78" s="732"/>
      <c r="AZ78" s="732"/>
      <c r="BA78" s="732"/>
      <c r="BB78" s="732"/>
      <c r="BC78" s="732"/>
      <c r="BD78" s="732"/>
      <c r="BE78" s="732"/>
      <c r="BF78" s="732"/>
      <c r="BG78" s="732"/>
      <c r="BH78" s="732"/>
      <c r="BI78" s="732"/>
      <c r="BJ78" s="732"/>
      <c r="BK78" s="732"/>
      <c r="BL78" s="732"/>
      <c r="BM78" s="732"/>
      <c r="BN78" s="732"/>
      <c r="BO78" s="732"/>
      <c r="BP78" s="732"/>
      <c r="BQ78" s="732"/>
      <c r="BR78" s="732"/>
      <c r="BS78" s="732"/>
      <c r="BT78" s="732"/>
      <c r="BU78" s="732"/>
      <c r="BV78" s="733"/>
      <c r="BW78" s="733"/>
      <c r="BX78" s="733"/>
      <c r="BY78" s="733"/>
      <c r="BZ78" s="733"/>
      <c r="CA78" s="733"/>
      <c r="CB78" s="733"/>
      <c r="CC78" s="733"/>
      <c r="CD78" s="733"/>
      <c r="CE78" s="733"/>
      <c r="CF78" s="1944"/>
    </row>
    <row customHeight="1" ht="15" hidden="1">
      <c r="A79" s="730"/>
      <c r="B79" s="731"/>
      <c r="C79" s="731"/>
      <c r="D79" s="3219"/>
      <c r="E79" s="3215" t="s">
        <v>650</v>
      </c>
      <c r="F79" s="3216"/>
      <c r="G79" s="3217"/>
      <c r="H79" s="3211" t="str">
        <f>IF(A77="","",INDEX(DIFFERENTIATION_UNMERGE_SYSTEM,MATCH(A77,DIFFERENTIATION_ID_DIFF,0)))</f>
        <v>г. Хабаровск, Хабаровский муниципальный район</v>
      </c>
      <c r="I79" s="3211"/>
      <c r="J79" s="3211"/>
      <c r="K79" s="3211"/>
      <c r="L79" s="3211"/>
      <c r="M79" s="3211"/>
      <c r="N79" s="3211"/>
      <c r="O79" s="3211"/>
      <c r="P79" s="3211"/>
      <c r="Q79" s="3211"/>
      <c r="R79" s="3211"/>
      <c r="S79" s="826"/>
      <c r="T79" s="823"/>
      <c r="U79" s="732"/>
      <c r="V79" s="732"/>
      <c r="W79" s="733"/>
      <c r="X79" s="733"/>
      <c r="Y79" s="733"/>
      <c r="Z79" s="733"/>
      <c r="AA79" s="734"/>
      <c r="AB79" s="735"/>
      <c r="AC79" s="3214"/>
      <c r="AD79" s="736"/>
      <c r="AE79" s="737"/>
      <c r="AF79" s="737"/>
      <c r="AG79" s="738"/>
      <c r="AH79" s="739"/>
      <c r="AI79" s="732"/>
      <c r="AJ79" s="732"/>
      <c r="AK79" s="732"/>
      <c r="AL79" s="732"/>
      <c r="AM79" s="732"/>
      <c r="AN79" s="732"/>
      <c r="AO79" s="732"/>
      <c r="AP79" s="732"/>
      <c r="AQ79" s="732"/>
      <c r="AR79" s="732"/>
      <c r="AS79" s="732"/>
      <c r="AT79" s="732"/>
      <c r="AU79" s="732"/>
      <c r="AV79" s="732"/>
      <c r="AW79" s="732"/>
      <c r="AX79" s="732"/>
      <c r="AY79" s="732"/>
      <c r="AZ79" s="732"/>
      <c r="BA79" s="732"/>
      <c r="BB79" s="732"/>
      <c r="BC79" s="732"/>
      <c r="BD79" s="732"/>
      <c r="BE79" s="732"/>
      <c r="BF79" s="732"/>
      <c r="BG79" s="732"/>
      <c r="BH79" s="732"/>
      <c r="BI79" s="732"/>
      <c r="BJ79" s="732"/>
      <c r="BK79" s="732"/>
      <c r="BL79" s="732"/>
      <c r="BM79" s="732"/>
      <c r="BN79" s="732"/>
      <c r="BO79" s="732"/>
      <c r="BP79" s="732"/>
      <c r="BQ79" s="732"/>
      <c r="BR79" s="732"/>
      <c r="BS79" s="732"/>
      <c r="BT79" s="732"/>
      <c r="BU79" s="732"/>
      <c r="BV79" s="733"/>
      <c r="BW79" s="733"/>
      <c r="BX79" s="733"/>
      <c r="BY79" s="733"/>
      <c r="BZ79" s="733"/>
      <c r="CA79" s="733"/>
      <c r="CB79" s="733"/>
      <c r="CC79" s="733"/>
      <c r="CD79" s="733"/>
      <c r="CE79" s="733"/>
      <c r="CF79" s="1944"/>
    </row>
    <row customHeight="1" ht="24.75" hidden="1">
      <c r="A80" s="1901"/>
      <c r="B80" s="1256"/>
      <c r="C80" s="519"/>
      <c r="D80" s="3219"/>
      <c r="E80" s="3213" t="s">
        <v>705</v>
      </c>
      <c r="F80" s="3213"/>
      <c r="G80" s="3213"/>
      <c r="H80" s="3213"/>
      <c r="I80" s="3213"/>
      <c r="J80" s="3213"/>
      <c r="K80" s="3213"/>
      <c r="L80" s="3213"/>
      <c r="M80" s="3213"/>
      <c r="N80" s="3213"/>
      <c r="O80" s="3213"/>
      <c r="P80" s="3213"/>
      <c r="Q80" s="665">
        <f>SUMIF(T81:T82,"i",Q81:Q82)</f>
        <v>0</v>
      </c>
      <c r="R80" s="1117"/>
      <c r="S80" s="1893" t="s">
        <v>706</v>
      </c>
      <c r="T80" s="824" t="s">
        <v>707</v>
      </c>
      <c r="U80" s="3119">
        <v>1</v>
      </c>
      <c r="V80" s="3119" t="str">
        <f>INDEX(B_FHD_FLAG_INDEX_1,1,MATCH($A$77,B_FHD_FLAG_DIFFERENTIATION,0))</f>
        <v>отсутствует</v>
      </c>
      <c r="W80" s="1256"/>
      <c r="X80" s="1256"/>
      <c r="Y80" s="1256"/>
      <c r="Z80" s="1256"/>
      <c r="AA80" s="1732"/>
      <c r="AB80" s="1256"/>
      <c r="AC80" s="3214"/>
      <c r="AD80" s="736"/>
      <c r="AE80" s="1256"/>
      <c r="AF80" s="1256"/>
      <c r="AG80" s="1732"/>
      <c r="AH80" s="1732"/>
      <c r="AI80" s="1732"/>
      <c r="AJ80" s="1732"/>
      <c r="AK80" s="1732"/>
      <c r="AL80" s="1732"/>
      <c r="AM80" s="1732"/>
      <c r="AN80" s="1732"/>
      <c r="AO80" s="1732"/>
      <c r="AP80" s="1732"/>
      <c r="AQ80" s="1732"/>
      <c r="AR80" s="1732"/>
      <c r="AS80" s="1732"/>
      <c r="AT80" s="1732"/>
      <c r="AU80" s="1732"/>
      <c r="AV80" s="1732"/>
      <c r="AW80" s="1732"/>
      <c r="AX80" s="1732"/>
      <c r="AY80" s="1732"/>
      <c r="AZ80" s="1732"/>
      <c r="BA80" s="1732"/>
      <c r="BB80" s="1732"/>
      <c r="BC80" s="1732"/>
      <c r="BD80" s="1732"/>
      <c r="BE80" s="1732"/>
      <c r="BF80" s="1732"/>
      <c r="BG80" s="1732"/>
      <c r="BH80" s="1732"/>
      <c r="BI80" s="1732"/>
      <c r="BJ80" s="1732"/>
      <c r="BK80" s="1732"/>
      <c r="BL80" s="1732"/>
      <c r="BM80" s="1732"/>
      <c r="BN80" s="1732"/>
      <c r="BO80" s="1732"/>
      <c r="BP80" s="1732"/>
      <c r="BQ80" s="1732"/>
      <c r="BR80" s="1732"/>
      <c r="BS80" s="1732"/>
      <c r="BT80" s="1732"/>
      <c r="BU80" s="1732"/>
      <c r="BV80" s="1256"/>
      <c r="BW80" s="1256"/>
      <c r="BX80" s="1256"/>
      <c r="BY80" s="1256"/>
      <c r="BZ80" s="1256"/>
      <c r="CA80" s="1256"/>
      <c r="CB80" s="1256"/>
      <c r="CC80" s="1256"/>
      <c r="CD80" s="1256"/>
      <c r="CE80" s="1256"/>
      <c r="CF80" s="1944"/>
    </row>
    <row customHeight="1" ht="11.25" hidden="1">
      <c r="A81" s="1888"/>
      <c r="B81" s="1732"/>
      <c r="C81" s="1732"/>
      <c r="D81" s="3219"/>
      <c r="E81" s="742"/>
      <c r="F81" s="742">
        <v>0</v>
      </c>
      <c r="G81" s="742"/>
      <c r="H81" s="742"/>
      <c r="I81" s="742"/>
      <c r="J81" s="742"/>
      <c r="K81" s="742"/>
      <c r="L81" s="742"/>
      <c r="M81" s="742"/>
      <c r="N81" s="742"/>
      <c r="O81" s="742"/>
      <c r="P81" s="742"/>
      <c r="Q81" s="742"/>
      <c r="R81" s="742"/>
      <c r="S81" s="743"/>
      <c r="T81" s="825"/>
      <c r="U81" s="3119"/>
      <c r="V81" s="3119"/>
      <c r="W81" s="1732"/>
      <c r="X81" s="1732"/>
      <c r="Y81" s="1732"/>
      <c r="Z81" s="1732"/>
      <c r="AA81" s="1732"/>
      <c r="AB81" s="1256"/>
      <c r="AC81" s="3214"/>
      <c r="AD81" s="736"/>
      <c r="AE81" s="1256"/>
      <c r="AF81" s="1256"/>
      <c r="AG81" s="1732"/>
      <c r="AH81" s="1732"/>
      <c r="AI81" s="1732"/>
      <c r="AJ81" s="1732"/>
      <c r="AK81" s="1732"/>
      <c r="AL81" s="1732"/>
      <c r="AM81" s="1732"/>
      <c r="AN81" s="1732"/>
      <c r="AO81" s="1732"/>
      <c r="AP81" s="1732"/>
      <c r="AQ81" s="1732"/>
      <c r="AR81" s="1732"/>
      <c r="AS81" s="1732"/>
      <c r="AT81" s="1732"/>
      <c r="AU81" s="1732"/>
      <c r="AV81" s="1732"/>
      <c r="AW81" s="1732"/>
      <c r="AX81" s="1732"/>
      <c r="AY81" s="1732"/>
      <c r="AZ81" s="1732"/>
      <c r="BA81" s="1732"/>
      <c r="BB81" s="1732"/>
      <c r="BC81" s="1732"/>
      <c r="BD81" s="1732"/>
      <c r="BE81" s="1732"/>
      <c r="BF81" s="1732"/>
      <c r="BG81" s="1732"/>
      <c r="BH81" s="1732"/>
      <c r="BI81" s="1732"/>
      <c r="BJ81" s="1732"/>
      <c r="BK81" s="1732"/>
      <c r="BL81" s="1732"/>
      <c r="BM81" s="1732"/>
      <c r="BN81" s="1732"/>
      <c r="BO81" s="1732"/>
      <c r="BP81" s="1732"/>
      <c r="BQ81" s="1732"/>
      <c r="BR81" s="1732"/>
      <c r="BS81" s="1732"/>
      <c r="BT81" s="1732"/>
      <c r="BU81" s="1732"/>
      <c r="BV81" s="1732"/>
      <c r="BW81" s="1732"/>
      <c r="BX81" s="1732"/>
      <c r="BY81" s="1732"/>
      <c r="BZ81" s="1732"/>
      <c r="CA81" s="1732"/>
      <c r="CB81" s="1732"/>
      <c r="CC81" s="1732"/>
      <c r="CD81" s="1732"/>
      <c r="CE81" s="1732"/>
      <c r="CF81" s="1944"/>
    </row>
    <row customHeight="1" ht="11.25" hidden="1">
      <c r="A82" s="1901"/>
      <c r="B82" s="1256"/>
      <c r="C82" s="519"/>
      <c r="D82" s="3219"/>
      <c r="E82" s="756" t="s">
        <v>22</v>
      </c>
      <c r="F82" s="1264" t="s">
        <v>22</v>
      </c>
      <c r="G82" s="1264" t="s">
        <v>711</v>
      </c>
      <c r="H82" s="758" t="s">
        <v>22</v>
      </c>
      <c r="I82" s="758"/>
      <c r="J82" s="758"/>
      <c r="K82" s="758"/>
      <c r="L82" s="758"/>
      <c r="M82" s="758"/>
      <c r="N82" s="758"/>
      <c r="O82" s="758"/>
      <c r="P82" s="758"/>
      <c r="Q82" s="758"/>
      <c r="R82" s="759"/>
      <c r="S82" s="760"/>
      <c r="T82" s="825"/>
      <c r="U82" s="3119"/>
      <c r="V82" s="3119"/>
      <c r="W82" s="1256"/>
      <c r="X82" s="1256"/>
      <c r="Y82" s="1256"/>
      <c r="Z82" s="1256"/>
      <c r="AA82" s="1732"/>
      <c r="AB82" s="1256"/>
      <c r="AC82" s="3214"/>
      <c r="AD82" s="736"/>
      <c r="AE82" s="1256"/>
      <c r="AF82" s="1256"/>
      <c r="AG82" s="1732"/>
      <c r="AH82" s="1732"/>
      <c r="AI82" s="1732"/>
      <c r="AJ82" s="1732"/>
      <c r="AK82" s="1732"/>
      <c r="AL82" s="1732"/>
      <c r="AM82" s="1732"/>
      <c r="AN82" s="1732"/>
      <c r="AO82" s="1732"/>
      <c r="AP82" s="1732"/>
      <c r="AQ82" s="1732"/>
      <c r="AR82" s="1732"/>
      <c r="AS82" s="1732"/>
      <c r="AT82" s="1732"/>
      <c r="AU82" s="1732"/>
      <c r="AV82" s="1732"/>
      <c r="AW82" s="1732"/>
      <c r="AX82" s="1732"/>
      <c r="AY82" s="1732"/>
      <c r="AZ82" s="1732"/>
      <c r="BA82" s="1732"/>
      <c r="BB82" s="1732"/>
      <c r="BC82" s="1732"/>
      <c r="BD82" s="1732"/>
      <c r="BE82" s="1732"/>
      <c r="BF82" s="1732"/>
      <c r="BG82" s="1732"/>
      <c r="BH82" s="1732"/>
      <c r="BI82" s="1732"/>
      <c r="BJ82" s="1732"/>
      <c r="BK82" s="1732"/>
      <c r="BL82" s="1732"/>
      <c r="BM82" s="1732"/>
      <c r="BN82" s="1732"/>
      <c r="BO82" s="1732"/>
      <c r="BP82" s="1732"/>
      <c r="BQ82" s="1732"/>
      <c r="BR82" s="1732"/>
      <c r="BS82" s="1732"/>
      <c r="BT82" s="1732"/>
      <c r="BU82" s="1732"/>
      <c r="BV82" s="1256"/>
      <c r="BW82" s="1256"/>
      <c r="BX82" s="1256"/>
      <c r="BY82" s="1256"/>
      <c r="BZ82" s="1256"/>
      <c r="CA82" s="1256"/>
      <c r="CB82" s="1256"/>
      <c r="CC82" s="1256"/>
      <c r="CD82" s="1256"/>
      <c r="CE82" s="1256"/>
      <c r="CF82" s="1944"/>
    </row>
    <row customHeight="1" ht="5.25" hidden="1">
      <c r="A83" s="1888"/>
      <c r="B83" s="1732"/>
      <c r="C83" s="1732"/>
      <c r="D83" s="3219"/>
      <c r="E83" s="1139"/>
      <c r="F83" s="1139"/>
      <c r="G83" s="1139"/>
      <c r="H83" s="1139"/>
      <c r="I83" s="1139"/>
      <c r="J83" s="1139"/>
      <c r="K83" s="1139"/>
      <c r="L83" s="1139"/>
      <c r="M83" s="1139"/>
      <c r="N83" s="1139"/>
      <c r="O83" s="1139"/>
      <c r="P83" s="1139"/>
      <c r="Q83" s="1140"/>
      <c r="R83" s="1141"/>
      <c r="S83" s="1142"/>
      <c r="T83" s="824" t="s">
        <v>707</v>
      </c>
      <c r="U83" s="3119">
        <v>1</v>
      </c>
      <c r="V83" s="3119" t="s">
        <v>669</v>
      </c>
      <c r="W83" s="1732"/>
      <c r="X83" s="1732"/>
      <c r="Y83" s="1732"/>
      <c r="Z83" s="1732"/>
      <c r="AA83" s="1732"/>
      <c r="AB83" s="1732"/>
      <c r="AC83" s="1137"/>
      <c r="AD83" s="1138"/>
      <c r="AE83" s="1732"/>
      <c r="AF83" s="1732"/>
      <c r="AG83" s="1732"/>
      <c r="AH83" s="1732"/>
      <c r="AI83" s="1732"/>
      <c r="AJ83" s="1732"/>
      <c r="AK83" s="1732"/>
      <c r="AL83" s="1732"/>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c r="BG83" s="1732"/>
      <c r="BH83" s="1732"/>
      <c r="BI83" s="1732"/>
      <c r="BJ83" s="1732"/>
      <c r="BK83" s="1732"/>
      <c r="BL83" s="1732"/>
      <c r="BM83" s="1732"/>
      <c r="BN83" s="1732"/>
      <c r="BO83" s="1732"/>
      <c r="BP83" s="1732"/>
      <c r="BQ83" s="1732"/>
      <c r="BR83" s="1732"/>
      <c r="BS83" s="1732"/>
      <c r="BT83" s="1732"/>
      <c r="BU83" s="1732"/>
      <c r="BV83" s="1732"/>
      <c r="BW83" s="1732"/>
      <c r="BX83" s="1732"/>
      <c r="BY83" s="1732"/>
      <c r="BZ83" s="1732"/>
      <c r="CA83" s="1732"/>
      <c r="CB83" s="1732"/>
      <c r="CC83" s="1732"/>
      <c r="CD83" s="1732"/>
      <c r="CE83" s="1732"/>
      <c r="CF83" s="1412"/>
    </row>
    <row customHeight="1" ht="5.25" hidden="1">
      <c r="A84" s="1888"/>
      <c r="B84" s="1732"/>
      <c r="C84" s="1732"/>
      <c r="D84" s="3219"/>
      <c r="E84" s="742"/>
      <c r="F84" s="742"/>
      <c r="G84" s="742"/>
      <c r="H84" s="742"/>
      <c r="I84" s="742"/>
      <c r="J84" s="742"/>
      <c r="K84" s="742"/>
      <c r="L84" s="742"/>
      <c r="M84" s="742"/>
      <c r="N84" s="742"/>
      <c r="O84" s="742"/>
      <c r="P84" s="742"/>
      <c r="Q84" s="742"/>
      <c r="R84" s="742"/>
      <c r="S84" s="743"/>
      <c r="T84" s="825"/>
      <c r="U84" s="3119"/>
      <c r="V84" s="3119"/>
      <c r="W84" s="1732"/>
      <c r="X84" s="1732"/>
      <c r="Y84" s="1732"/>
      <c r="Z84" s="1732"/>
      <c r="AA84" s="1732"/>
      <c r="AB84" s="1732"/>
      <c r="AC84" s="1137"/>
      <c r="AD84" s="1138"/>
      <c r="AE84" s="1732"/>
      <c r="AF84" s="1732"/>
      <c r="AG84" s="1732"/>
      <c r="AH84" s="1732"/>
      <c r="AI84" s="1732"/>
      <c r="AJ84" s="1732"/>
      <c r="AK84" s="1732"/>
      <c r="AL84" s="1732"/>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c r="BG84" s="1732"/>
      <c r="BH84" s="1732"/>
      <c r="BI84" s="1732"/>
      <c r="BJ84" s="1732"/>
      <c r="BK84" s="1732"/>
      <c r="BL84" s="1732"/>
      <c r="BM84" s="1732"/>
      <c r="BN84" s="1732"/>
      <c r="BO84" s="1732"/>
      <c r="BP84" s="1732"/>
      <c r="BQ84" s="1732"/>
      <c r="BR84" s="1732"/>
      <c r="BS84" s="1732"/>
      <c r="BT84" s="1732"/>
      <c r="BU84" s="1732"/>
      <c r="BV84" s="1732"/>
      <c r="BW84" s="1732"/>
      <c r="BX84" s="1732"/>
      <c r="BY84" s="1732"/>
      <c r="BZ84" s="1732"/>
      <c r="CA84" s="1732"/>
      <c r="CB84" s="1732"/>
      <c r="CC84" s="1732"/>
      <c r="CD84" s="1732"/>
      <c r="CE84" s="1732"/>
      <c r="CF84" s="1412"/>
    </row>
    <row customHeight="1" ht="5.25" hidden="1">
      <c r="A85" s="1888"/>
      <c r="B85" s="1732"/>
      <c r="C85" s="1732"/>
      <c r="D85" s="3220"/>
      <c r="E85" s="1143"/>
      <c r="F85" s="1144"/>
      <c r="G85" s="1144"/>
      <c r="H85" s="1145"/>
      <c r="I85" s="1145"/>
      <c r="J85" s="1145"/>
      <c r="K85" s="1145"/>
      <c r="L85" s="1145"/>
      <c r="M85" s="1145"/>
      <c r="N85" s="1145"/>
      <c r="O85" s="1145"/>
      <c r="P85" s="1145"/>
      <c r="Q85" s="1145"/>
      <c r="R85" s="1046"/>
      <c r="S85" s="1146"/>
      <c r="T85" s="825"/>
      <c r="U85" s="3119"/>
      <c r="V85" s="3119"/>
      <c r="W85" s="1732"/>
      <c r="X85" s="1732"/>
      <c r="Y85" s="1732"/>
      <c r="Z85" s="1732"/>
      <c r="AA85" s="1732"/>
      <c r="AB85" s="1732"/>
      <c r="AC85" s="1137"/>
      <c r="AD85" s="1138"/>
      <c r="AE85" s="1732"/>
      <c r="AF85" s="1732"/>
      <c r="AG85" s="1732"/>
      <c r="AH85" s="1732"/>
      <c r="AI85" s="1732"/>
      <c r="AJ85" s="1732"/>
      <c r="AK85" s="1732"/>
      <c r="AL85" s="1732"/>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c r="BG85" s="1732"/>
      <c r="BH85" s="1732"/>
      <c r="BI85" s="1732"/>
      <c r="BJ85" s="1732"/>
      <c r="BK85" s="1732"/>
      <c r="BL85" s="1732"/>
      <c r="BM85" s="1732"/>
      <c r="BN85" s="1732"/>
      <c r="BO85" s="1732"/>
      <c r="BP85" s="1732"/>
      <c r="BQ85" s="1732"/>
      <c r="BR85" s="1732"/>
      <c r="BS85" s="1732"/>
      <c r="BT85" s="1732"/>
      <c r="BU85" s="1732"/>
      <c r="BV85" s="1732"/>
      <c r="BW85" s="1732"/>
      <c r="BX85" s="1732"/>
      <c r="BY85" s="1732"/>
      <c r="BZ85" s="1732"/>
      <c r="CA85" s="1732"/>
      <c r="CB85" s="1732"/>
      <c r="CC85" s="1732"/>
      <c r="CD85" s="1732"/>
      <c r="CE85" s="1732"/>
      <c r="CF85" s="1412"/>
    </row>
    <row customHeight="1" ht="15" hidden="1">
      <c r="A86" s="730" t="s">
        <v>171</v>
      </c>
      <c r="B86" s="731"/>
      <c r="C86" s="731" t="s">
        <v>22</v>
      </c>
      <c r="D86" s="3218" t="s">
        <v>718</v>
      </c>
      <c r="E86" s="3215" t="s">
        <v>140</v>
      </c>
      <c r="F86" s="3216"/>
      <c r="G86" s="3217"/>
      <c r="H86" s="3211" t="str">
        <f>IF(A86="","",INDEX(DIFFERENTIATION_UNMERGE_VD,MATCH(A86,DIFFERENTIATION_ID_DIFF,0)))</f>
        <v>Производство. Теплоноситель</v>
      </c>
      <c r="I86" s="3211"/>
      <c r="J86" s="3211"/>
      <c r="K86" s="3211"/>
      <c r="L86" s="3211"/>
      <c r="M86" s="3211"/>
      <c r="N86" s="3211"/>
      <c r="O86" s="3211"/>
      <c r="P86" s="3211"/>
      <c r="Q86" s="3211"/>
      <c r="R86" s="3211"/>
      <c r="S86" s="826"/>
      <c r="T86" s="823"/>
      <c r="U86" s="732"/>
      <c r="V86" s="732"/>
      <c r="W86" s="733"/>
      <c r="X86" s="733"/>
      <c r="Y86" s="733"/>
      <c r="Z86" s="733"/>
      <c r="AA86" s="734"/>
      <c r="AB86" s="735"/>
      <c r="AC86" s="3214"/>
      <c r="AD86" s="736"/>
      <c r="AE86" s="737" t="s">
        <v>22</v>
      </c>
      <c r="AF86" s="737"/>
      <c r="AG86" s="738" t="s">
        <v>704</v>
      </c>
      <c r="AH86" s="739">
        <v>3</v>
      </c>
      <c r="AI86" s="732"/>
      <c r="AJ86" s="732"/>
      <c r="AK86" s="732"/>
      <c r="AL86" s="732"/>
      <c r="AM86" s="732"/>
      <c r="AN86" s="732"/>
      <c r="AO86" s="732"/>
      <c r="AP86" s="732"/>
      <c r="AQ86" s="732"/>
      <c r="AR86" s="732"/>
      <c r="AS86" s="732"/>
      <c r="AT86" s="732"/>
      <c r="AU86" s="732"/>
      <c r="AV86" s="732"/>
      <c r="AW86" s="732"/>
      <c r="AX86" s="732"/>
      <c r="AY86" s="732"/>
      <c r="AZ86" s="732"/>
      <c r="BA86" s="732"/>
      <c r="BB86" s="732"/>
      <c r="BC86" s="732"/>
      <c r="BD86" s="732"/>
      <c r="BE86" s="732"/>
      <c r="BF86" s="732"/>
      <c r="BG86" s="732"/>
      <c r="BH86" s="732"/>
      <c r="BI86" s="732"/>
      <c r="BJ86" s="732"/>
      <c r="BK86" s="732"/>
      <c r="BL86" s="732"/>
      <c r="BM86" s="732"/>
      <c r="BN86" s="732"/>
      <c r="BO86" s="732"/>
      <c r="BP86" s="732"/>
      <c r="BQ86" s="732"/>
      <c r="BR86" s="732"/>
      <c r="BS86" s="732"/>
      <c r="BT86" s="732"/>
      <c r="BU86" s="732"/>
      <c r="BV86" s="733"/>
      <c r="BW86" s="733"/>
      <c r="BX86" s="733"/>
      <c r="BY86" s="733"/>
      <c r="BZ86" s="733"/>
      <c r="CA86" s="733"/>
      <c r="CB86" s="733"/>
      <c r="CC86" s="733"/>
      <c r="CD86" s="733"/>
      <c r="CE86" s="733"/>
      <c r="CF86" s="1944"/>
    </row>
    <row customHeight="1" ht="15" hidden="1">
      <c r="A87" s="730"/>
      <c r="B87" s="731"/>
      <c r="C87" s="731"/>
      <c r="D87" s="3219"/>
      <c r="E87" s="3215" t="s">
        <v>649</v>
      </c>
      <c r="F87" s="3216"/>
      <c r="G87" s="3217"/>
      <c r="H87" s="3211" t="str">
        <f>IF(A86="","",INDEX(DIFFERENTIATION_UNMERGE_AREA,MATCH(A86,DIFFERENTIATION_ID_DIFF,0)))</f>
        <v>Территория 2</v>
      </c>
      <c r="I87" s="3211"/>
      <c r="J87" s="3211"/>
      <c r="K87" s="3211"/>
      <c r="L87" s="3211"/>
      <c r="M87" s="3211"/>
      <c r="N87" s="3211"/>
      <c r="O87" s="3211"/>
      <c r="P87" s="3211"/>
      <c r="Q87" s="3211"/>
      <c r="R87" s="3211"/>
      <c r="S87" s="826"/>
      <c r="T87" s="823"/>
      <c r="U87" s="732"/>
      <c r="V87" s="732"/>
      <c r="W87" s="733"/>
      <c r="X87" s="733"/>
      <c r="Y87" s="733"/>
      <c r="Z87" s="733"/>
      <c r="AA87" s="734"/>
      <c r="AB87" s="735"/>
      <c r="AC87" s="3214"/>
      <c r="AD87" s="736"/>
      <c r="AE87" s="737"/>
      <c r="AF87" s="737"/>
      <c r="AG87" s="738"/>
      <c r="AH87" s="739"/>
      <c r="AI87" s="732"/>
      <c r="AJ87" s="732"/>
      <c r="AK87" s="732"/>
      <c r="AL87" s="732"/>
      <c r="AM87" s="732"/>
      <c r="AN87" s="732"/>
      <c r="AO87" s="732"/>
      <c r="AP87" s="732"/>
      <c r="AQ87" s="732"/>
      <c r="AR87" s="732"/>
      <c r="AS87" s="732"/>
      <c r="AT87" s="732"/>
      <c r="AU87" s="732"/>
      <c r="AV87" s="732"/>
      <c r="AW87" s="732"/>
      <c r="AX87" s="732"/>
      <c r="AY87" s="732"/>
      <c r="AZ87" s="732"/>
      <c r="BA87" s="732"/>
      <c r="BB87" s="732"/>
      <c r="BC87" s="732"/>
      <c r="BD87" s="732"/>
      <c r="BE87" s="732"/>
      <c r="BF87" s="732"/>
      <c r="BG87" s="732"/>
      <c r="BH87" s="732"/>
      <c r="BI87" s="732"/>
      <c r="BJ87" s="732"/>
      <c r="BK87" s="732"/>
      <c r="BL87" s="732"/>
      <c r="BM87" s="732"/>
      <c r="BN87" s="732"/>
      <c r="BO87" s="732"/>
      <c r="BP87" s="732"/>
      <c r="BQ87" s="732"/>
      <c r="BR87" s="732"/>
      <c r="BS87" s="732"/>
      <c r="BT87" s="732"/>
      <c r="BU87" s="732"/>
      <c r="BV87" s="733"/>
      <c r="BW87" s="733"/>
      <c r="BX87" s="733"/>
      <c r="BY87" s="733"/>
      <c r="BZ87" s="733"/>
      <c r="CA87" s="733"/>
      <c r="CB87" s="733"/>
      <c r="CC87" s="733"/>
      <c r="CD87" s="733"/>
      <c r="CE87" s="733"/>
      <c r="CF87" s="1944"/>
    </row>
    <row customHeight="1" ht="15" hidden="1">
      <c r="A88" s="730"/>
      <c r="B88" s="731"/>
      <c r="C88" s="731"/>
      <c r="D88" s="3219"/>
      <c r="E88" s="3215" t="s">
        <v>650</v>
      </c>
      <c r="F88" s="3216"/>
      <c r="G88" s="3217"/>
      <c r="H88" s="3211" t="str">
        <f>IF(A86="","",INDEX(DIFFERENTIATION_UNMERGE_SYSTEM,MATCH(A86,DIFFERENTIATION_ID_DIFF,0)))</f>
        <v>г. Комсомольск-на-Амуре</v>
      </c>
      <c r="I88" s="3211"/>
      <c r="J88" s="3211"/>
      <c r="K88" s="3211"/>
      <c r="L88" s="3211"/>
      <c r="M88" s="3211"/>
      <c r="N88" s="3211"/>
      <c r="O88" s="3211"/>
      <c r="P88" s="3211"/>
      <c r="Q88" s="3211"/>
      <c r="R88" s="3211"/>
      <c r="S88" s="826"/>
      <c r="T88" s="823"/>
      <c r="U88" s="732"/>
      <c r="V88" s="732"/>
      <c r="W88" s="733"/>
      <c r="X88" s="733"/>
      <c r="Y88" s="733"/>
      <c r="Z88" s="733"/>
      <c r="AA88" s="734"/>
      <c r="AB88" s="735"/>
      <c r="AC88" s="3214"/>
      <c r="AD88" s="736"/>
      <c r="AE88" s="737"/>
      <c r="AF88" s="737"/>
      <c r="AG88" s="738"/>
      <c r="AH88" s="739"/>
      <c r="AI88" s="732"/>
      <c r="AJ88" s="732"/>
      <c r="AK88" s="732"/>
      <c r="AL88" s="732"/>
      <c r="AM88" s="732"/>
      <c r="AN88" s="732"/>
      <c r="AO88" s="732"/>
      <c r="AP88" s="732"/>
      <c r="AQ88" s="732"/>
      <c r="AR88" s="732"/>
      <c r="AS88" s="732"/>
      <c r="AT88" s="732"/>
      <c r="AU88" s="732"/>
      <c r="AV88" s="732"/>
      <c r="AW88" s="732"/>
      <c r="AX88" s="732"/>
      <c r="AY88" s="732"/>
      <c r="AZ88" s="732"/>
      <c r="BA88" s="732"/>
      <c r="BB88" s="732"/>
      <c r="BC88" s="732"/>
      <c r="BD88" s="732"/>
      <c r="BE88" s="732"/>
      <c r="BF88" s="732"/>
      <c r="BG88" s="732"/>
      <c r="BH88" s="732"/>
      <c r="BI88" s="732"/>
      <c r="BJ88" s="732"/>
      <c r="BK88" s="732"/>
      <c r="BL88" s="732"/>
      <c r="BM88" s="732"/>
      <c r="BN88" s="732"/>
      <c r="BO88" s="732"/>
      <c r="BP88" s="732"/>
      <c r="BQ88" s="732"/>
      <c r="BR88" s="732"/>
      <c r="BS88" s="732"/>
      <c r="BT88" s="732"/>
      <c r="BU88" s="732"/>
      <c r="BV88" s="733"/>
      <c r="BW88" s="733"/>
      <c r="BX88" s="733"/>
      <c r="BY88" s="733"/>
      <c r="BZ88" s="733"/>
      <c r="CA88" s="733"/>
      <c r="CB88" s="733"/>
      <c r="CC88" s="733"/>
      <c r="CD88" s="733"/>
      <c r="CE88" s="733"/>
      <c r="CF88" s="1944"/>
    </row>
    <row customHeight="1" ht="24.75" hidden="1">
      <c r="A89" s="1901"/>
      <c r="B89" s="1256"/>
      <c r="C89" s="519"/>
      <c r="D89" s="3219"/>
      <c r="E89" s="3213" t="s">
        <v>705</v>
      </c>
      <c r="F89" s="3213"/>
      <c r="G89" s="3213"/>
      <c r="H89" s="3213"/>
      <c r="I89" s="3213"/>
      <c r="J89" s="3213"/>
      <c r="K89" s="3213"/>
      <c r="L89" s="3213"/>
      <c r="M89" s="3213"/>
      <c r="N89" s="3213"/>
      <c r="O89" s="3213"/>
      <c r="P89" s="3213"/>
      <c r="Q89" s="665">
        <f>SUMIF(T90:T91,"i",Q90:Q91)</f>
        <v>0</v>
      </c>
      <c r="R89" s="1117"/>
      <c r="S89" s="1893" t="s">
        <v>706</v>
      </c>
      <c r="T89" s="824" t="s">
        <v>707</v>
      </c>
      <c r="U89" s="3119">
        <v>1</v>
      </c>
      <c r="V89" s="3119" t="str">
        <f>INDEX(B_FHD_FLAG_INDEX_1,1,MATCH($A$86,B_FHD_FLAG_DIFFERENTIATION,0))</f>
        <v>отсутствует</v>
      </c>
      <c r="W89" s="1256"/>
      <c r="X89" s="1256"/>
      <c r="Y89" s="1256"/>
      <c r="Z89" s="1256"/>
      <c r="AA89" s="1732"/>
      <c r="AB89" s="1256"/>
      <c r="AC89" s="3214"/>
      <c r="AD89" s="736"/>
      <c r="AE89" s="1256"/>
      <c r="AF89" s="1256"/>
      <c r="AG89" s="1732"/>
      <c r="AH89" s="1732"/>
      <c r="AI89" s="1732"/>
      <c r="AJ89" s="1732"/>
      <c r="AK89" s="1732"/>
      <c r="AL89" s="1732"/>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c r="BG89" s="1732"/>
      <c r="BH89" s="1732"/>
      <c r="BI89" s="1732"/>
      <c r="BJ89" s="1732"/>
      <c r="BK89" s="1732"/>
      <c r="BL89" s="1732"/>
      <c r="BM89" s="1732"/>
      <c r="BN89" s="1732"/>
      <c r="BO89" s="1732"/>
      <c r="BP89" s="1732"/>
      <c r="BQ89" s="1732"/>
      <c r="BR89" s="1732"/>
      <c r="BS89" s="1732"/>
      <c r="BT89" s="1732"/>
      <c r="BU89" s="1732"/>
      <c r="BV89" s="1256"/>
      <c r="BW89" s="1256"/>
      <c r="BX89" s="1256"/>
      <c r="BY89" s="1256"/>
      <c r="BZ89" s="1256"/>
      <c r="CA89" s="1256"/>
      <c r="CB89" s="1256"/>
      <c r="CC89" s="1256"/>
      <c r="CD89" s="1256"/>
      <c r="CE89" s="1256"/>
      <c r="CF89" s="1944"/>
    </row>
    <row customHeight="1" ht="11.25" hidden="1">
      <c r="A90" s="1888"/>
      <c r="B90" s="1732"/>
      <c r="C90" s="1732"/>
      <c r="D90" s="3219"/>
      <c r="E90" s="742"/>
      <c r="F90" s="742">
        <v>0</v>
      </c>
      <c r="G90" s="742"/>
      <c r="H90" s="742"/>
      <c r="I90" s="742"/>
      <c r="J90" s="742"/>
      <c r="K90" s="742"/>
      <c r="L90" s="742"/>
      <c r="M90" s="742"/>
      <c r="N90" s="742"/>
      <c r="O90" s="742"/>
      <c r="P90" s="742"/>
      <c r="Q90" s="742"/>
      <c r="R90" s="742"/>
      <c r="S90" s="743"/>
      <c r="T90" s="825"/>
      <c r="U90" s="3119"/>
      <c r="V90" s="3119"/>
      <c r="W90" s="1732"/>
      <c r="X90" s="1732"/>
      <c r="Y90" s="1732"/>
      <c r="Z90" s="1732"/>
      <c r="AA90" s="1732"/>
      <c r="AB90" s="1256"/>
      <c r="AC90" s="3214"/>
      <c r="AD90" s="736"/>
      <c r="AE90" s="1256"/>
      <c r="AF90" s="1256"/>
      <c r="AG90" s="1732"/>
      <c r="AH90" s="1732"/>
      <c r="AI90" s="1732"/>
      <c r="AJ90" s="1732"/>
      <c r="AK90" s="1732"/>
      <c r="AL90" s="1732"/>
      <c r="AM90" s="1732"/>
      <c r="AN90" s="1732"/>
      <c r="AO90" s="1732"/>
      <c r="AP90" s="1732"/>
      <c r="AQ90" s="1732"/>
      <c r="AR90" s="1732"/>
      <c r="AS90" s="1732"/>
      <c r="AT90" s="1732"/>
      <c r="AU90" s="1732"/>
      <c r="AV90" s="1732"/>
      <c r="AW90" s="1732"/>
      <c r="AX90" s="1732"/>
      <c r="AY90" s="1732"/>
      <c r="AZ90" s="1732"/>
      <c r="BA90" s="1732"/>
      <c r="BB90" s="1732"/>
      <c r="BC90" s="1732"/>
      <c r="BD90" s="1732"/>
      <c r="BE90" s="1732"/>
      <c r="BF90" s="1732"/>
      <c r="BG90" s="1732"/>
      <c r="BH90" s="1732"/>
      <c r="BI90" s="1732"/>
      <c r="BJ90" s="1732"/>
      <c r="BK90" s="1732"/>
      <c r="BL90" s="1732"/>
      <c r="BM90" s="1732"/>
      <c r="BN90" s="1732"/>
      <c r="BO90" s="1732"/>
      <c r="BP90" s="1732"/>
      <c r="BQ90" s="1732"/>
      <c r="BR90" s="1732"/>
      <c r="BS90" s="1732"/>
      <c r="BT90" s="1732"/>
      <c r="BU90" s="1732"/>
      <c r="BV90" s="1732"/>
      <c r="BW90" s="1732"/>
      <c r="BX90" s="1732"/>
      <c r="BY90" s="1732"/>
      <c r="BZ90" s="1732"/>
      <c r="CA90" s="1732"/>
      <c r="CB90" s="1732"/>
      <c r="CC90" s="1732"/>
      <c r="CD90" s="1732"/>
      <c r="CE90" s="1732"/>
      <c r="CF90" s="1944"/>
    </row>
    <row customHeight="1" ht="11.25" hidden="1">
      <c r="A91" s="1901"/>
      <c r="B91" s="1256"/>
      <c r="C91" s="519"/>
      <c r="D91" s="3219"/>
      <c r="E91" s="756" t="s">
        <v>22</v>
      </c>
      <c r="F91" s="1264" t="s">
        <v>22</v>
      </c>
      <c r="G91" s="1264" t="s">
        <v>711</v>
      </c>
      <c r="H91" s="758" t="s">
        <v>22</v>
      </c>
      <c r="I91" s="758"/>
      <c r="J91" s="758"/>
      <c r="K91" s="758"/>
      <c r="L91" s="758"/>
      <c r="M91" s="758"/>
      <c r="N91" s="758"/>
      <c r="O91" s="758"/>
      <c r="P91" s="758"/>
      <c r="Q91" s="758"/>
      <c r="R91" s="759"/>
      <c r="S91" s="760"/>
      <c r="T91" s="825"/>
      <c r="U91" s="3119"/>
      <c r="V91" s="3119"/>
      <c r="W91" s="1256"/>
      <c r="X91" s="1256"/>
      <c r="Y91" s="1256"/>
      <c r="Z91" s="1256"/>
      <c r="AA91" s="1732"/>
      <c r="AB91" s="1256"/>
      <c r="AC91" s="3214"/>
      <c r="AD91" s="736"/>
      <c r="AE91" s="1256"/>
      <c r="AF91" s="1256"/>
      <c r="AG91" s="1732"/>
      <c r="AH91" s="1732"/>
      <c r="AI91" s="1732"/>
      <c r="AJ91" s="1732"/>
      <c r="AK91" s="1732"/>
      <c r="AL91" s="1732"/>
      <c r="AM91" s="1732"/>
      <c r="AN91" s="1732"/>
      <c r="AO91" s="1732"/>
      <c r="AP91" s="1732"/>
      <c r="AQ91" s="1732"/>
      <c r="AR91" s="1732"/>
      <c r="AS91" s="1732"/>
      <c r="AT91" s="1732"/>
      <c r="AU91" s="1732"/>
      <c r="AV91" s="1732"/>
      <c r="AW91" s="1732"/>
      <c r="AX91" s="1732"/>
      <c r="AY91" s="1732"/>
      <c r="AZ91" s="1732"/>
      <c r="BA91" s="1732"/>
      <c r="BB91" s="1732"/>
      <c r="BC91" s="1732"/>
      <c r="BD91" s="1732"/>
      <c r="BE91" s="1732"/>
      <c r="BF91" s="1732"/>
      <c r="BG91" s="1732"/>
      <c r="BH91" s="1732"/>
      <c r="BI91" s="1732"/>
      <c r="BJ91" s="1732"/>
      <c r="BK91" s="1732"/>
      <c r="BL91" s="1732"/>
      <c r="BM91" s="1732"/>
      <c r="BN91" s="1732"/>
      <c r="BO91" s="1732"/>
      <c r="BP91" s="1732"/>
      <c r="BQ91" s="1732"/>
      <c r="BR91" s="1732"/>
      <c r="BS91" s="1732"/>
      <c r="BT91" s="1732"/>
      <c r="BU91" s="1732"/>
      <c r="BV91" s="1256"/>
      <c r="BW91" s="1256"/>
      <c r="BX91" s="1256"/>
      <c r="BY91" s="1256"/>
      <c r="BZ91" s="1256"/>
      <c r="CA91" s="1256"/>
      <c r="CB91" s="1256"/>
      <c r="CC91" s="1256"/>
      <c r="CD91" s="1256"/>
      <c r="CE91" s="1256"/>
      <c r="CF91" s="1944"/>
    </row>
    <row customHeight="1" ht="5.25" hidden="1">
      <c r="A92" s="1888"/>
      <c r="B92" s="1732"/>
      <c r="C92" s="1732"/>
      <c r="D92" s="3219"/>
      <c r="E92" s="1139"/>
      <c r="F92" s="1139"/>
      <c r="G92" s="1139"/>
      <c r="H92" s="1139"/>
      <c r="I92" s="1139"/>
      <c r="J92" s="1139"/>
      <c r="K92" s="1139"/>
      <c r="L92" s="1139"/>
      <c r="M92" s="1139"/>
      <c r="N92" s="1139"/>
      <c r="O92" s="1139"/>
      <c r="P92" s="1139"/>
      <c r="Q92" s="1140"/>
      <c r="R92" s="1141"/>
      <c r="S92" s="1142"/>
      <c r="T92" s="824" t="s">
        <v>707</v>
      </c>
      <c r="U92" s="3119">
        <v>1</v>
      </c>
      <c r="V92" s="3119" t="s">
        <v>669</v>
      </c>
      <c r="W92" s="1732"/>
      <c r="X92" s="1732"/>
      <c r="Y92" s="1732"/>
      <c r="Z92" s="1732"/>
      <c r="AA92" s="1732"/>
      <c r="AB92" s="1732"/>
      <c r="AC92" s="1137"/>
      <c r="AD92" s="1138"/>
      <c r="AE92" s="1732"/>
      <c r="AF92" s="1732"/>
      <c r="AG92" s="1732"/>
      <c r="AH92" s="1732"/>
      <c r="AI92" s="1732"/>
      <c r="AJ92" s="1732"/>
      <c r="AK92" s="1732"/>
      <c r="AL92" s="1732"/>
      <c r="AM92" s="1732"/>
      <c r="AN92" s="1732"/>
      <c r="AO92" s="1732"/>
      <c r="AP92" s="1732"/>
      <c r="AQ92" s="1732"/>
      <c r="AR92" s="1732"/>
      <c r="AS92" s="1732"/>
      <c r="AT92" s="1732"/>
      <c r="AU92" s="1732"/>
      <c r="AV92" s="1732"/>
      <c r="AW92" s="1732"/>
      <c r="AX92" s="1732"/>
      <c r="AY92" s="1732"/>
      <c r="AZ92" s="1732"/>
      <c r="BA92" s="1732"/>
      <c r="BB92" s="1732"/>
      <c r="BC92" s="1732"/>
      <c r="BD92" s="1732"/>
      <c r="BE92" s="1732"/>
      <c r="BF92" s="1732"/>
      <c r="BG92" s="1732"/>
      <c r="BH92" s="1732"/>
      <c r="BI92" s="1732"/>
      <c r="BJ92" s="1732"/>
      <c r="BK92" s="1732"/>
      <c r="BL92" s="1732"/>
      <c r="BM92" s="1732"/>
      <c r="BN92" s="1732"/>
      <c r="BO92" s="1732"/>
      <c r="BP92" s="1732"/>
      <c r="BQ92" s="1732"/>
      <c r="BR92" s="1732"/>
      <c r="BS92" s="1732"/>
      <c r="BT92" s="1732"/>
      <c r="BU92" s="1732"/>
      <c r="BV92" s="1732"/>
      <c r="BW92" s="1732"/>
      <c r="BX92" s="1732"/>
      <c r="BY92" s="1732"/>
      <c r="BZ92" s="1732"/>
      <c r="CA92" s="1732"/>
      <c r="CB92" s="1732"/>
      <c r="CC92" s="1732"/>
      <c r="CD92" s="1732"/>
      <c r="CE92" s="1732"/>
      <c r="CF92" s="1412"/>
    </row>
    <row customHeight="1" ht="5.25" hidden="1">
      <c r="A93" s="1888"/>
      <c r="B93" s="1732"/>
      <c r="C93" s="1732"/>
      <c r="D93" s="3219"/>
      <c r="E93" s="742"/>
      <c r="F93" s="742"/>
      <c r="G93" s="742"/>
      <c r="H93" s="742"/>
      <c r="I93" s="742"/>
      <c r="J93" s="742"/>
      <c r="K93" s="742"/>
      <c r="L93" s="742"/>
      <c r="M93" s="742"/>
      <c r="N93" s="742"/>
      <c r="O93" s="742"/>
      <c r="P93" s="742"/>
      <c r="Q93" s="742"/>
      <c r="R93" s="742"/>
      <c r="S93" s="743"/>
      <c r="T93" s="825"/>
      <c r="U93" s="3119"/>
      <c r="V93" s="3119"/>
      <c r="W93" s="1732"/>
      <c r="X93" s="1732"/>
      <c r="Y93" s="1732"/>
      <c r="Z93" s="1732"/>
      <c r="AA93" s="1732"/>
      <c r="AB93" s="1732"/>
      <c r="AC93" s="1137"/>
      <c r="AD93" s="1138"/>
      <c r="AE93" s="1732"/>
      <c r="AF93" s="1732"/>
      <c r="AG93" s="1732"/>
      <c r="AH93" s="1732"/>
      <c r="AI93" s="1732"/>
      <c r="AJ93" s="1732"/>
      <c r="AK93" s="1732"/>
      <c r="AL93" s="1732"/>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c r="BG93" s="1732"/>
      <c r="BH93" s="1732"/>
      <c r="BI93" s="1732"/>
      <c r="BJ93" s="1732"/>
      <c r="BK93" s="1732"/>
      <c r="BL93" s="1732"/>
      <c r="BM93" s="1732"/>
      <c r="BN93" s="1732"/>
      <c r="BO93" s="1732"/>
      <c r="BP93" s="1732"/>
      <c r="BQ93" s="1732"/>
      <c r="BR93" s="1732"/>
      <c r="BS93" s="1732"/>
      <c r="BT93" s="1732"/>
      <c r="BU93" s="1732"/>
      <c r="BV93" s="1732"/>
      <c r="BW93" s="1732"/>
      <c r="BX93" s="1732"/>
      <c r="BY93" s="1732"/>
      <c r="BZ93" s="1732"/>
      <c r="CA93" s="1732"/>
      <c r="CB93" s="1732"/>
      <c r="CC93" s="1732"/>
      <c r="CD93" s="1732"/>
      <c r="CE93" s="1732"/>
      <c r="CF93" s="1412"/>
    </row>
    <row customHeight="1" ht="5.25" hidden="1">
      <c r="A94" s="1888"/>
      <c r="B94" s="1732"/>
      <c r="C94" s="1732"/>
      <c r="D94" s="3220"/>
      <c r="E94" s="1143"/>
      <c r="F94" s="1144"/>
      <c r="G94" s="1144"/>
      <c r="H94" s="1145"/>
      <c r="I94" s="1145"/>
      <c r="J94" s="1145"/>
      <c r="K94" s="1145"/>
      <c r="L94" s="1145"/>
      <c r="M94" s="1145"/>
      <c r="N94" s="1145"/>
      <c r="O94" s="1145"/>
      <c r="P94" s="1145"/>
      <c r="Q94" s="1145"/>
      <c r="R94" s="1046"/>
      <c r="S94" s="1146"/>
      <c r="T94" s="825"/>
      <c r="U94" s="3119"/>
      <c r="V94" s="3119"/>
      <c r="W94" s="1732"/>
      <c r="X94" s="1732"/>
      <c r="Y94" s="1732"/>
      <c r="Z94" s="1732"/>
      <c r="AA94" s="1732"/>
      <c r="AB94" s="1732"/>
      <c r="AC94" s="1137"/>
      <c r="AD94" s="1138"/>
      <c r="AE94" s="1732"/>
      <c r="AF94" s="1732"/>
      <c r="AG94" s="1732"/>
      <c r="AH94" s="1732"/>
      <c r="AI94" s="1732"/>
      <c r="AJ94" s="1732"/>
      <c r="AK94" s="1732"/>
      <c r="AL94" s="1732"/>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c r="BG94" s="1732"/>
      <c r="BH94" s="1732"/>
      <c r="BI94" s="1732"/>
      <c r="BJ94" s="1732"/>
      <c r="BK94" s="1732"/>
      <c r="BL94" s="1732"/>
      <c r="BM94" s="1732"/>
      <c r="BN94" s="1732"/>
      <c r="BO94" s="1732"/>
      <c r="BP94" s="1732"/>
      <c r="BQ94" s="1732"/>
      <c r="BR94" s="1732"/>
      <c r="BS94" s="1732"/>
      <c r="BT94" s="1732"/>
      <c r="BU94" s="1732"/>
      <c r="BV94" s="1732"/>
      <c r="BW94" s="1732"/>
      <c r="BX94" s="1732"/>
      <c r="BY94" s="1732"/>
      <c r="BZ94" s="1732"/>
      <c r="CA94" s="1732"/>
      <c r="CB94" s="1732"/>
      <c r="CC94" s="1732"/>
      <c r="CD94" s="1732"/>
      <c r="CE94" s="1732"/>
      <c r="CF94" s="1412"/>
    </row>
    <row customHeight="1" ht="15" hidden="1">
      <c r="A95" s="730" t="s">
        <v>173</v>
      </c>
      <c r="B95" s="731"/>
      <c r="C95" s="731" t="s">
        <v>22</v>
      </c>
      <c r="D95" s="3218" t="s">
        <v>719</v>
      </c>
      <c r="E95" s="3215" t="s">
        <v>140</v>
      </c>
      <c r="F95" s="3216"/>
      <c r="G95" s="3217"/>
      <c r="H95" s="3211" t="str">
        <f>IF(A95="","",INDEX(DIFFERENTIATION_UNMERGE_VD,MATCH(A95,DIFFERENTIATION_ID_DIFF,0)))</f>
        <v>Производство. Теплоноситель</v>
      </c>
      <c r="I95" s="3211"/>
      <c r="J95" s="3211"/>
      <c r="K95" s="3211"/>
      <c r="L95" s="3211"/>
      <c r="M95" s="3211"/>
      <c r="N95" s="3211"/>
      <c r="O95" s="3211"/>
      <c r="P95" s="3211"/>
      <c r="Q95" s="3211"/>
      <c r="R95" s="3211"/>
      <c r="S95" s="826"/>
      <c r="T95" s="823"/>
      <c r="U95" s="732"/>
      <c r="V95" s="732"/>
      <c r="W95" s="733"/>
      <c r="X95" s="733"/>
      <c r="Y95" s="733"/>
      <c r="Z95" s="733"/>
      <c r="AA95" s="734"/>
      <c r="AB95" s="735"/>
      <c r="AC95" s="3214"/>
      <c r="AD95" s="736"/>
      <c r="AE95" s="737" t="s">
        <v>22</v>
      </c>
      <c r="AF95" s="737"/>
      <c r="AG95" s="738" t="s">
        <v>704</v>
      </c>
      <c r="AH95" s="739">
        <v>3</v>
      </c>
      <c r="AI95" s="732"/>
      <c r="AJ95" s="732"/>
      <c r="AK95" s="732"/>
      <c r="AL95" s="732"/>
      <c r="AM95" s="732"/>
      <c r="AN95" s="732"/>
      <c r="AO95" s="732"/>
      <c r="AP95" s="732"/>
      <c r="AQ95" s="732"/>
      <c r="AR95" s="732"/>
      <c r="AS95" s="732"/>
      <c r="AT95" s="732"/>
      <c r="AU95" s="732"/>
      <c r="AV95" s="732"/>
      <c r="AW95" s="732"/>
      <c r="AX95" s="732"/>
      <c r="AY95" s="732"/>
      <c r="AZ95" s="732"/>
      <c r="BA95" s="732"/>
      <c r="BB95" s="732"/>
      <c r="BC95" s="732"/>
      <c r="BD95" s="732"/>
      <c r="BE95" s="732"/>
      <c r="BF95" s="732"/>
      <c r="BG95" s="732"/>
      <c r="BH95" s="732"/>
      <c r="BI95" s="732"/>
      <c r="BJ95" s="732"/>
      <c r="BK95" s="732"/>
      <c r="BL95" s="732"/>
      <c r="BM95" s="732"/>
      <c r="BN95" s="732"/>
      <c r="BO95" s="732"/>
      <c r="BP95" s="732"/>
      <c r="BQ95" s="732"/>
      <c r="BR95" s="732"/>
      <c r="BS95" s="732"/>
      <c r="BT95" s="732"/>
      <c r="BU95" s="732"/>
      <c r="BV95" s="733"/>
      <c r="BW95" s="733"/>
      <c r="BX95" s="733"/>
      <c r="BY95" s="733"/>
      <c r="BZ95" s="733"/>
      <c r="CA95" s="733"/>
      <c r="CB95" s="733"/>
      <c r="CC95" s="733"/>
      <c r="CD95" s="733"/>
      <c r="CE95" s="733"/>
      <c r="CF95" s="1944"/>
    </row>
    <row customHeight="1" ht="15" hidden="1">
      <c r="A96" s="730"/>
      <c r="B96" s="731"/>
      <c r="C96" s="731"/>
      <c r="D96" s="3219"/>
      <c r="E96" s="3215" t="s">
        <v>649</v>
      </c>
      <c r="F96" s="3216"/>
      <c r="G96" s="3217"/>
      <c r="H96" s="3211" t="str">
        <f>IF(A95="","",INDEX(DIFFERENTIATION_UNMERGE_AREA,MATCH(A95,DIFFERENTIATION_ID_DIFF,0)))</f>
        <v>Территория 3</v>
      </c>
      <c r="I96" s="3211"/>
      <c r="J96" s="3211"/>
      <c r="K96" s="3211"/>
      <c r="L96" s="3211"/>
      <c r="M96" s="3211"/>
      <c r="N96" s="3211"/>
      <c r="O96" s="3211"/>
      <c r="P96" s="3211"/>
      <c r="Q96" s="3211"/>
      <c r="R96" s="3211"/>
      <c r="S96" s="826"/>
      <c r="T96" s="823"/>
      <c r="U96" s="732"/>
      <c r="V96" s="732"/>
      <c r="W96" s="733"/>
      <c r="X96" s="733"/>
      <c r="Y96" s="733"/>
      <c r="Z96" s="733"/>
      <c r="AA96" s="734"/>
      <c r="AB96" s="735"/>
      <c r="AC96" s="3214"/>
      <c r="AD96" s="736"/>
      <c r="AE96" s="737"/>
      <c r="AF96" s="737"/>
      <c r="AG96" s="738"/>
      <c r="AH96" s="739"/>
      <c r="AI96" s="732"/>
      <c r="AJ96" s="732"/>
      <c r="AK96" s="732"/>
      <c r="AL96" s="732"/>
      <c r="AM96" s="732"/>
      <c r="AN96" s="732"/>
      <c r="AO96" s="732"/>
      <c r="AP96" s="732"/>
      <c r="AQ96" s="732"/>
      <c r="AR96" s="732"/>
      <c r="AS96" s="732"/>
      <c r="AT96" s="732"/>
      <c r="AU96" s="732"/>
      <c r="AV96" s="732"/>
      <c r="AW96" s="732"/>
      <c r="AX96" s="732"/>
      <c r="AY96" s="732"/>
      <c r="AZ96" s="732"/>
      <c r="BA96" s="732"/>
      <c r="BB96" s="732"/>
      <c r="BC96" s="732"/>
      <c r="BD96" s="732"/>
      <c r="BE96" s="732"/>
      <c r="BF96" s="732"/>
      <c r="BG96" s="732"/>
      <c r="BH96" s="732"/>
      <c r="BI96" s="732"/>
      <c r="BJ96" s="732"/>
      <c r="BK96" s="732"/>
      <c r="BL96" s="732"/>
      <c r="BM96" s="732"/>
      <c r="BN96" s="732"/>
      <c r="BO96" s="732"/>
      <c r="BP96" s="732"/>
      <c r="BQ96" s="732"/>
      <c r="BR96" s="732"/>
      <c r="BS96" s="732"/>
      <c r="BT96" s="732"/>
      <c r="BU96" s="732"/>
      <c r="BV96" s="733"/>
      <c r="BW96" s="733"/>
      <c r="BX96" s="733"/>
      <c r="BY96" s="733"/>
      <c r="BZ96" s="733"/>
      <c r="CA96" s="733"/>
      <c r="CB96" s="733"/>
      <c r="CC96" s="733"/>
      <c r="CD96" s="733"/>
      <c r="CE96" s="733"/>
      <c r="CF96" s="1944"/>
    </row>
    <row customHeight="1" ht="15" hidden="1">
      <c r="A97" s="730"/>
      <c r="B97" s="731"/>
      <c r="C97" s="731"/>
      <c r="D97" s="3219"/>
      <c r="E97" s="3215" t="s">
        <v>650</v>
      </c>
      <c r="F97" s="3216"/>
      <c r="G97" s="3217"/>
      <c r="H97" s="3211" t="str">
        <f>IF(A95="","",INDEX(DIFFERENTIATION_UNMERGE_SYSTEM,MATCH(A95,DIFFERENTIATION_ID_DIFF,0)))</f>
        <v>г. Амурск</v>
      </c>
      <c r="I97" s="3211"/>
      <c r="J97" s="3211"/>
      <c r="K97" s="3211"/>
      <c r="L97" s="3211"/>
      <c r="M97" s="3211"/>
      <c r="N97" s="3211"/>
      <c r="O97" s="3211"/>
      <c r="P97" s="3211"/>
      <c r="Q97" s="3211"/>
      <c r="R97" s="3211"/>
      <c r="S97" s="826"/>
      <c r="T97" s="823"/>
      <c r="U97" s="732"/>
      <c r="V97" s="732"/>
      <c r="W97" s="733"/>
      <c r="X97" s="733"/>
      <c r="Y97" s="733"/>
      <c r="Z97" s="733"/>
      <c r="AA97" s="734"/>
      <c r="AB97" s="735"/>
      <c r="AC97" s="3214"/>
      <c r="AD97" s="736"/>
      <c r="AE97" s="737"/>
      <c r="AF97" s="737"/>
      <c r="AG97" s="738"/>
      <c r="AH97" s="739"/>
      <c r="AI97" s="732"/>
      <c r="AJ97" s="732"/>
      <c r="AK97" s="732"/>
      <c r="AL97" s="732"/>
      <c r="AM97" s="732"/>
      <c r="AN97" s="732"/>
      <c r="AO97" s="732"/>
      <c r="AP97" s="732"/>
      <c r="AQ97" s="732"/>
      <c r="AR97" s="732"/>
      <c r="AS97" s="732"/>
      <c r="AT97" s="732"/>
      <c r="AU97" s="732"/>
      <c r="AV97" s="732"/>
      <c r="AW97" s="732"/>
      <c r="AX97" s="732"/>
      <c r="AY97" s="732"/>
      <c r="AZ97" s="732"/>
      <c r="BA97" s="732"/>
      <c r="BB97" s="732"/>
      <c r="BC97" s="732"/>
      <c r="BD97" s="732"/>
      <c r="BE97" s="732"/>
      <c r="BF97" s="732"/>
      <c r="BG97" s="732"/>
      <c r="BH97" s="732"/>
      <c r="BI97" s="732"/>
      <c r="BJ97" s="732"/>
      <c r="BK97" s="732"/>
      <c r="BL97" s="732"/>
      <c r="BM97" s="732"/>
      <c r="BN97" s="732"/>
      <c r="BO97" s="732"/>
      <c r="BP97" s="732"/>
      <c r="BQ97" s="732"/>
      <c r="BR97" s="732"/>
      <c r="BS97" s="732"/>
      <c r="BT97" s="732"/>
      <c r="BU97" s="732"/>
      <c r="BV97" s="733"/>
      <c r="BW97" s="733"/>
      <c r="BX97" s="733"/>
      <c r="BY97" s="733"/>
      <c r="BZ97" s="733"/>
      <c r="CA97" s="733"/>
      <c r="CB97" s="733"/>
      <c r="CC97" s="733"/>
      <c r="CD97" s="733"/>
      <c r="CE97" s="733"/>
      <c r="CF97" s="1944"/>
    </row>
    <row customHeight="1" ht="24.75" hidden="1">
      <c r="A98" s="1901"/>
      <c r="B98" s="1256"/>
      <c r="C98" s="519"/>
      <c r="D98" s="3219"/>
      <c r="E98" s="3213" t="s">
        <v>705</v>
      </c>
      <c r="F98" s="3213"/>
      <c r="G98" s="3213"/>
      <c r="H98" s="3213"/>
      <c r="I98" s="3213"/>
      <c r="J98" s="3213"/>
      <c r="K98" s="3213"/>
      <c r="L98" s="3213"/>
      <c r="M98" s="3213"/>
      <c r="N98" s="3213"/>
      <c r="O98" s="3213"/>
      <c r="P98" s="3213"/>
      <c r="Q98" s="665">
        <f>SUMIF(T99:T100,"i",Q99:Q100)</f>
        <v>0</v>
      </c>
      <c r="R98" s="1117"/>
      <c r="S98" s="1893" t="s">
        <v>706</v>
      </c>
      <c r="T98" s="824" t="s">
        <v>707</v>
      </c>
      <c r="U98" s="3119">
        <v>1</v>
      </c>
      <c r="V98" s="3119" t="str">
        <f>INDEX(B_FHD_FLAG_INDEX_1,1,MATCH($A$95,B_FHD_FLAG_DIFFERENTIATION,0))</f>
        <v>отсутствует</v>
      </c>
      <c r="W98" s="1256"/>
      <c r="X98" s="1256"/>
      <c r="Y98" s="1256"/>
      <c r="Z98" s="1256"/>
      <c r="AA98" s="1732"/>
      <c r="AB98" s="1256"/>
      <c r="AC98" s="3214"/>
      <c r="AD98" s="736"/>
      <c r="AE98" s="1256"/>
      <c r="AF98" s="1256"/>
      <c r="AG98" s="1732"/>
      <c r="AH98" s="1732"/>
      <c r="AI98" s="1732"/>
      <c r="AJ98" s="1732"/>
      <c r="AK98" s="1732"/>
      <c r="AL98" s="1732"/>
      <c r="AM98" s="1732"/>
      <c r="AN98" s="1732"/>
      <c r="AO98" s="1732"/>
      <c r="AP98" s="1732"/>
      <c r="AQ98" s="1732"/>
      <c r="AR98" s="1732"/>
      <c r="AS98" s="1732"/>
      <c r="AT98" s="1732"/>
      <c r="AU98" s="1732"/>
      <c r="AV98" s="1732"/>
      <c r="AW98" s="1732"/>
      <c r="AX98" s="1732"/>
      <c r="AY98" s="1732"/>
      <c r="AZ98" s="1732"/>
      <c r="BA98" s="1732"/>
      <c r="BB98" s="1732"/>
      <c r="BC98" s="1732"/>
      <c r="BD98" s="1732"/>
      <c r="BE98" s="1732"/>
      <c r="BF98" s="1732"/>
      <c r="BG98" s="1732"/>
      <c r="BH98" s="1732"/>
      <c r="BI98" s="1732"/>
      <c r="BJ98" s="1732"/>
      <c r="BK98" s="1732"/>
      <c r="BL98" s="1732"/>
      <c r="BM98" s="1732"/>
      <c r="BN98" s="1732"/>
      <c r="BO98" s="1732"/>
      <c r="BP98" s="1732"/>
      <c r="BQ98" s="1732"/>
      <c r="BR98" s="1732"/>
      <c r="BS98" s="1732"/>
      <c r="BT98" s="1732"/>
      <c r="BU98" s="1732"/>
      <c r="BV98" s="1256"/>
      <c r="BW98" s="1256"/>
      <c r="BX98" s="1256"/>
      <c r="BY98" s="1256"/>
      <c r="BZ98" s="1256"/>
      <c r="CA98" s="1256"/>
      <c r="CB98" s="1256"/>
      <c r="CC98" s="1256"/>
      <c r="CD98" s="1256"/>
      <c r="CE98" s="1256"/>
      <c r="CF98" s="1944"/>
    </row>
    <row customHeight="1" ht="11.25" hidden="1">
      <c r="A99" s="1888"/>
      <c r="B99" s="1732"/>
      <c r="C99" s="1732"/>
      <c r="D99" s="3219"/>
      <c r="E99" s="742"/>
      <c r="F99" s="742">
        <v>0</v>
      </c>
      <c r="G99" s="742"/>
      <c r="H99" s="742"/>
      <c r="I99" s="742"/>
      <c r="J99" s="742"/>
      <c r="K99" s="742"/>
      <c r="L99" s="742"/>
      <c r="M99" s="742"/>
      <c r="N99" s="742"/>
      <c r="O99" s="742"/>
      <c r="P99" s="742"/>
      <c r="Q99" s="742"/>
      <c r="R99" s="742"/>
      <c r="S99" s="743"/>
      <c r="T99" s="825"/>
      <c r="U99" s="3119"/>
      <c r="V99" s="3119"/>
      <c r="W99" s="1732"/>
      <c r="X99" s="1732"/>
      <c r="Y99" s="1732"/>
      <c r="Z99" s="1732"/>
      <c r="AA99" s="1732"/>
      <c r="AB99" s="1256"/>
      <c r="AC99" s="3214"/>
      <c r="AD99" s="736"/>
      <c r="AE99" s="1256"/>
      <c r="AF99" s="1256"/>
      <c r="AG99" s="1732"/>
      <c r="AH99" s="1732"/>
      <c r="AI99" s="1732"/>
      <c r="AJ99" s="1732"/>
      <c r="AK99" s="1732"/>
      <c r="AL99" s="1732"/>
      <c r="AM99" s="1732"/>
      <c r="AN99" s="1732"/>
      <c r="AO99" s="1732"/>
      <c r="AP99" s="1732"/>
      <c r="AQ99" s="1732"/>
      <c r="AR99" s="1732"/>
      <c r="AS99" s="1732"/>
      <c r="AT99" s="1732"/>
      <c r="AU99" s="1732"/>
      <c r="AV99" s="1732"/>
      <c r="AW99" s="1732"/>
      <c r="AX99" s="1732"/>
      <c r="AY99" s="1732"/>
      <c r="AZ99" s="1732"/>
      <c r="BA99" s="1732"/>
      <c r="BB99" s="1732"/>
      <c r="BC99" s="1732"/>
      <c r="BD99" s="1732"/>
      <c r="BE99" s="1732"/>
      <c r="BF99" s="1732"/>
      <c r="BG99" s="1732"/>
      <c r="BH99" s="1732"/>
      <c r="BI99" s="1732"/>
      <c r="BJ99" s="1732"/>
      <c r="BK99" s="1732"/>
      <c r="BL99" s="1732"/>
      <c r="BM99" s="1732"/>
      <c r="BN99" s="1732"/>
      <c r="BO99" s="1732"/>
      <c r="BP99" s="1732"/>
      <c r="BQ99" s="1732"/>
      <c r="BR99" s="1732"/>
      <c r="BS99" s="1732"/>
      <c r="BT99" s="1732"/>
      <c r="BU99" s="1732"/>
      <c r="BV99" s="1732"/>
      <c r="BW99" s="1732"/>
      <c r="BX99" s="1732"/>
      <c r="BY99" s="1732"/>
      <c r="BZ99" s="1732"/>
      <c r="CA99" s="1732"/>
      <c r="CB99" s="1732"/>
      <c r="CC99" s="1732"/>
      <c r="CD99" s="1732"/>
      <c r="CE99" s="1732"/>
      <c r="CF99" s="1944"/>
    </row>
    <row customHeight="1" ht="11.25" hidden="1">
      <c r="A100" s="1901"/>
      <c r="B100" s="1256"/>
      <c r="C100" s="519"/>
      <c r="D100" s="3219"/>
      <c r="E100" s="756" t="s">
        <v>22</v>
      </c>
      <c r="F100" s="1264" t="s">
        <v>22</v>
      </c>
      <c r="G100" s="1264" t="s">
        <v>711</v>
      </c>
      <c r="H100" s="758" t="s">
        <v>22</v>
      </c>
      <c r="I100" s="758"/>
      <c r="J100" s="758"/>
      <c r="K100" s="758"/>
      <c r="L100" s="758"/>
      <c r="M100" s="758"/>
      <c r="N100" s="758"/>
      <c r="O100" s="758"/>
      <c r="P100" s="758"/>
      <c r="Q100" s="758"/>
      <c r="R100" s="759"/>
      <c r="S100" s="760"/>
      <c r="T100" s="825"/>
      <c r="U100" s="3119"/>
      <c r="V100" s="3119"/>
      <c r="W100" s="1256"/>
      <c r="X100" s="1256"/>
      <c r="Y100" s="1256"/>
      <c r="Z100" s="1256"/>
      <c r="AA100" s="1732"/>
      <c r="AB100" s="1256"/>
      <c r="AC100" s="3214"/>
      <c r="AD100" s="736"/>
      <c r="AE100" s="1256"/>
      <c r="AF100" s="1256"/>
      <c r="AG100" s="1732"/>
      <c r="AH100" s="1732"/>
      <c r="AI100" s="1732"/>
      <c r="AJ100" s="1732"/>
      <c r="AK100" s="1732"/>
      <c r="AL100" s="1732"/>
      <c r="AM100" s="1732"/>
      <c r="AN100" s="1732"/>
      <c r="AO100" s="1732"/>
      <c r="AP100" s="1732"/>
      <c r="AQ100" s="1732"/>
      <c r="AR100" s="1732"/>
      <c r="AS100" s="1732"/>
      <c r="AT100" s="1732"/>
      <c r="AU100" s="1732"/>
      <c r="AV100" s="1732"/>
      <c r="AW100" s="1732"/>
      <c r="AX100" s="1732"/>
      <c r="AY100" s="1732"/>
      <c r="AZ100" s="1732"/>
      <c r="BA100" s="1732"/>
      <c r="BB100" s="1732"/>
      <c r="BC100" s="1732"/>
      <c r="BD100" s="1732"/>
      <c r="BE100" s="1732"/>
      <c r="BF100" s="1732"/>
      <c r="BG100" s="1732"/>
      <c r="BH100" s="1732"/>
      <c r="BI100" s="1732"/>
      <c r="BJ100" s="1732"/>
      <c r="BK100" s="1732"/>
      <c r="BL100" s="1732"/>
      <c r="BM100" s="1732"/>
      <c r="BN100" s="1732"/>
      <c r="BO100" s="1732"/>
      <c r="BP100" s="1732"/>
      <c r="BQ100" s="1732"/>
      <c r="BR100" s="1732"/>
      <c r="BS100" s="1732"/>
      <c r="BT100" s="1732"/>
      <c r="BU100" s="1732"/>
      <c r="BV100" s="1256"/>
      <c r="BW100" s="1256"/>
      <c r="BX100" s="1256"/>
      <c r="BY100" s="1256"/>
      <c r="BZ100" s="1256"/>
      <c r="CA100" s="1256"/>
      <c r="CB100" s="1256"/>
      <c r="CC100" s="1256"/>
      <c r="CD100" s="1256"/>
      <c r="CE100" s="1256"/>
      <c r="CF100" s="1944"/>
    </row>
    <row customHeight="1" ht="5.25" hidden="1">
      <c r="A101" s="1888"/>
      <c r="B101" s="1732"/>
      <c r="C101" s="1732"/>
      <c r="D101" s="3219"/>
      <c r="E101" s="1139"/>
      <c r="F101" s="1139"/>
      <c r="G101" s="1139"/>
      <c r="H101" s="1139"/>
      <c r="I101" s="1139"/>
      <c r="J101" s="1139"/>
      <c r="K101" s="1139"/>
      <c r="L101" s="1139"/>
      <c r="M101" s="1139"/>
      <c r="N101" s="1139"/>
      <c r="O101" s="1139"/>
      <c r="P101" s="1139"/>
      <c r="Q101" s="1140"/>
      <c r="R101" s="1141"/>
      <c r="S101" s="1142"/>
      <c r="T101" s="824" t="s">
        <v>707</v>
      </c>
      <c r="U101" s="3119">
        <v>1</v>
      </c>
      <c r="V101" s="3119" t="s">
        <v>669</v>
      </c>
      <c r="W101" s="1732"/>
      <c r="X101" s="1732"/>
      <c r="Y101" s="1732"/>
      <c r="Z101" s="1732"/>
      <c r="AA101" s="1732"/>
      <c r="AB101" s="1732"/>
      <c r="AC101" s="1137"/>
      <c r="AD101" s="1138"/>
      <c r="AE101" s="1732"/>
      <c r="AF101" s="1732"/>
      <c r="AG101" s="1732"/>
      <c r="AH101" s="1732"/>
      <c r="AI101" s="1732"/>
      <c r="AJ101" s="1732"/>
      <c r="AK101" s="1732"/>
      <c r="AL101" s="1732"/>
      <c r="AM101" s="1732"/>
      <c r="AN101" s="1732"/>
      <c r="AO101" s="1732"/>
      <c r="AP101" s="1732"/>
      <c r="AQ101" s="1732"/>
      <c r="AR101" s="1732"/>
      <c r="AS101" s="1732"/>
      <c r="AT101" s="1732"/>
      <c r="AU101" s="1732"/>
      <c r="AV101" s="1732"/>
      <c r="AW101" s="1732"/>
      <c r="AX101" s="1732"/>
      <c r="AY101" s="1732"/>
      <c r="AZ101" s="1732"/>
      <c r="BA101" s="1732"/>
      <c r="BB101" s="1732"/>
      <c r="BC101" s="1732"/>
      <c r="BD101" s="1732"/>
      <c r="BE101" s="1732"/>
      <c r="BF101" s="1732"/>
      <c r="BG101" s="1732"/>
      <c r="BH101" s="1732"/>
      <c r="BI101" s="1732"/>
      <c r="BJ101" s="1732"/>
      <c r="BK101" s="1732"/>
      <c r="BL101" s="1732"/>
      <c r="BM101" s="1732"/>
      <c r="BN101" s="1732"/>
      <c r="BO101" s="1732"/>
      <c r="BP101" s="1732"/>
      <c r="BQ101" s="1732"/>
      <c r="BR101" s="1732"/>
      <c r="BS101" s="1732"/>
      <c r="BT101" s="1732"/>
      <c r="BU101" s="1732"/>
      <c r="BV101" s="1732"/>
      <c r="BW101" s="1732"/>
      <c r="BX101" s="1732"/>
      <c r="BY101" s="1732"/>
      <c r="BZ101" s="1732"/>
      <c r="CA101" s="1732"/>
      <c r="CB101" s="1732"/>
      <c r="CC101" s="1732"/>
      <c r="CD101" s="1732"/>
      <c r="CE101" s="1732"/>
      <c r="CF101" s="1412"/>
    </row>
    <row customHeight="1" ht="5.25" hidden="1">
      <c r="A102" s="1888"/>
      <c r="B102" s="1732"/>
      <c r="C102" s="1732"/>
      <c r="D102" s="3219"/>
      <c r="E102" s="742"/>
      <c r="F102" s="742"/>
      <c r="G102" s="742"/>
      <c r="H102" s="742"/>
      <c r="I102" s="742"/>
      <c r="J102" s="742"/>
      <c r="K102" s="742"/>
      <c r="L102" s="742"/>
      <c r="M102" s="742"/>
      <c r="N102" s="742"/>
      <c r="O102" s="742"/>
      <c r="P102" s="742"/>
      <c r="Q102" s="742"/>
      <c r="R102" s="742"/>
      <c r="S102" s="743"/>
      <c r="T102" s="825"/>
      <c r="U102" s="3119"/>
      <c r="V102" s="3119"/>
      <c r="W102" s="1732"/>
      <c r="X102" s="1732"/>
      <c r="Y102" s="1732"/>
      <c r="Z102" s="1732"/>
      <c r="AA102" s="1732"/>
      <c r="AB102" s="1732"/>
      <c r="AC102" s="1137"/>
      <c r="AD102" s="1138"/>
      <c r="AE102" s="1732"/>
      <c r="AF102" s="1732"/>
      <c r="AG102" s="1732"/>
      <c r="AH102" s="1732"/>
      <c r="AI102" s="1732"/>
      <c r="AJ102" s="1732"/>
      <c r="AK102" s="1732"/>
      <c r="AL102" s="1732"/>
      <c r="AM102" s="1732"/>
      <c r="AN102" s="1732"/>
      <c r="AO102" s="1732"/>
      <c r="AP102" s="1732"/>
      <c r="AQ102" s="1732"/>
      <c r="AR102" s="1732"/>
      <c r="AS102" s="1732"/>
      <c r="AT102" s="1732"/>
      <c r="AU102" s="1732"/>
      <c r="AV102" s="1732"/>
      <c r="AW102" s="1732"/>
      <c r="AX102" s="1732"/>
      <c r="AY102" s="1732"/>
      <c r="AZ102" s="1732"/>
      <c r="BA102" s="1732"/>
      <c r="BB102" s="1732"/>
      <c r="BC102" s="1732"/>
      <c r="BD102" s="1732"/>
      <c r="BE102" s="1732"/>
      <c r="BF102" s="1732"/>
      <c r="BG102" s="1732"/>
      <c r="BH102" s="1732"/>
      <c r="BI102" s="1732"/>
      <c r="BJ102" s="1732"/>
      <c r="BK102" s="1732"/>
      <c r="BL102" s="1732"/>
      <c r="BM102" s="1732"/>
      <c r="BN102" s="1732"/>
      <c r="BO102" s="1732"/>
      <c r="BP102" s="1732"/>
      <c r="BQ102" s="1732"/>
      <c r="BR102" s="1732"/>
      <c r="BS102" s="1732"/>
      <c r="BT102" s="1732"/>
      <c r="BU102" s="1732"/>
      <c r="BV102" s="1732"/>
      <c r="BW102" s="1732"/>
      <c r="BX102" s="1732"/>
      <c r="BY102" s="1732"/>
      <c r="BZ102" s="1732"/>
      <c r="CA102" s="1732"/>
      <c r="CB102" s="1732"/>
      <c r="CC102" s="1732"/>
      <c r="CD102" s="1732"/>
      <c r="CE102" s="1732"/>
      <c r="CF102" s="1412"/>
    </row>
    <row customHeight="1" ht="5.25" hidden="1">
      <c r="A103" s="1888"/>
      <c r="B103" s="1732"/>
      <c r="C103" s="1732"/>
      <c r="D103" s="3220"/>
      <c r="E103" s="1143"/>
      <c r="F103" s="1144"/>
      <c r="G103" s="1144"/>
      <c r="H103" s="1145"/>
      <c r="I103" s="1145"/>
      <c r="J103" s="1145"/>
      <c r="K103" s="1145"/>
      <c r="L103" s="1145"/>
      <c r="M103" s="1145"/>
      <c r="N103" s="1145"/>
      <c r="O103" s="1145"/>
      <c r="P103" s="1145"/>
      <c r="Q103" s="1145"/>
      <c r="R103" s="1046"/>
      <c r="S103" s="1146"/>
      <c r="T103" s="825"/>
      <c r="U103" s="3119"/>
      <c r="V103" s="3119"/>
      <c r="W103" s="1732"/>
      <c r="X103" s="1732"/>
      <c r="Y103" s="1732"/>
      <c r="Z103" s="1732"/>
      <c r="AA103" s="1732"/>
      <c r="AB103" s="1732"/>
      <c r="AC103" s="1137"/>
      <c r="AD103" s="1138"/>
      <c r="AE103" s="1732"/>
      <c r="AF103" s="1732"/>
      <c r="AG103" s="1732"/>
      <c r="AH103" s="1732"/>
      <c r="AI103" s="1732"/>
      <c r="AJ103" s="1732"/>
      <c r="AK103" s="1732"/>
      <c r="AL103" s="1732"/>
      <c r="AM103" s="1732"/>
      <c r="AN103" s="1732"/>
      <c r="AO103" s="1732"/>
      <c r="AP103" s="1732"/>
      <c r="AQ103" s="1732"/>
      <c r="AR103" s="1732"/>
      <c r="AS103" s="1732"/>
      <c r="AT103" s="1732"/>
      <c r="AU103" s="1732"/>
      <c r="AV103" s="1732"/>
      <c r="AW103" s="1732"/>
      <c r="AX103" s="1732"/>
      <c r="AY103" s="1732"/>
      <c r="AZ103" s="1732"/>
      <c r="BA103" s="1732"/>
      <c r="BB103" s="1732"/>
      <c r="BC103" s="1732"/>
      <c r="BD103" s="1732"/>
      <c r="BE103" s="1732"/>
      <c r="BF103" s="1732"/>
      <c r="BG103" s="1732"/>
      <c r="BH103" s="1732"/>
      <c r="BI103" s="1732"/>
      <c r="BJ103" s="1732"/>
      <c r="BK103" s="1732"/>
      <c r="BL103" s="1732"/>
      <c r="BM103" s="1732"/>
      <c r="BN103" s="1732"/>
      <c r="BO103" s="1732"/>
      <c r="BP103" s="1732"/>
      <c r="BQ103" s="1732"/>
      <c r="BR103" s="1732"/>
      <c r="BS103" s="1732"/>
      <c r="BT103" s="1732"/>
      <c r="BU103" s="1732"/>
      <c r="BV103" s="1732"/>
      <c r="BW103" s="1732"/>
      <c r="BX103" s="1732"/>
      <c r="BY103" s="1732"/>
      <c r="BZ103" s="1732"/>
      <c r="CA103" s="1732"/>
      <c r="CB103" s="1732"/>
      <c r="CC103" s="1732"/>
      <c r="CD103" s="1732"/>
      <c r="CE103" s="1732"/>
      <c r="CF103" s="1412"/>
    </row>
    <row customHeight="1" ht="15" hidden="1">
      <c r="A104" s="730" t="s">
        <v>175</v>
      </c>
      <c r="B104" s="731"/>
      <c r="C104" s="731" t="s">
        <v>22</v>
      </c>
      <c r="D104" s="3218" t="s">
        <v>720</v>
      </c>
      <c r="E104" s="3215" t="s">
        <v>140</v>
      </c>
      <c r="F104" s="3216"/>
      <c r="G104" s="3217"/>
      <c r="H104" s="3211" t="str">
        <f>IF(A104="","",INDEX(DIFFERENTIATION_UNMERGE_VD,MATCH(A104,DIFFERENTIATION_ID_DIFF,0)))</f>
        <v>Производство. Теплоноситель</v>
      </c>
      <c r="I104" s="3211"/>
      <c r="J104" s="3211"/>
      <c r="K104" s="3211"/>
      <c r="L104" s="3211"/>
      <c r="M104" s="3211"/>
      <c r="N104" s="3211"/>
      <c r="O104" s="3211"/>
      <c r="P104" s="3211"/>
      <c r="Q104" s="3211"/>
      <c r="R104" s="3211"/>
      <c r="S104" s="826"/>
      <c r="T104" s="823"/>
      <c r="U104" s="732"/>
      <c r="V104" s="732"/>
      <c r="W104" s="733"/>
      <c r="X104" s="733"/>
      <c r="Y104" s="733"/>
      <c r="Z104" s="733"/>
      <c r="AA104" s="734"/>
      <c r="AB104" s="735"/>
      <c r="AC104" s="3214"/>
      <c r="AD104" s="736"/>
      <c r="AE104" s="737" t="s">
        <v>22</v>
      </c>
      <c r="AF104" s="737"/>
      <c r="AG104" s="738" t="s">
        <v>704</v>
      </c>
      <c r="AH104" s="739">
        <v>3</v>
      </c>
      <c r="AI104" s="732"/>
      <c r="AJ104" s="732"/>
      <c r="AK104" s="732"/>
      <c r="AL104" s="732"/>
      <c r="AM104" s="732"/>
      <c r="AN104" s="732"/>
      <c r="AO104" s="732"/>
      <c r="AP104" s="732"/>
      <c r="AQ104" s="732"/>
      <c r="AR104" s="732"/>
      <c r="AS104" s="732"/>
      <c r="AT104" s="732"/>
      <c r="AU104" s="732"/>
      <c r="AV104" s="732"/>
      <c r="AW104" s="732"/>
      <c r="AX104" s="732"/>
      <c r="AY104" s="732"/>
      <c r="AZ104" s="732"/>
      <c r="BA104" s="732"/>
      <c r="BB104" s="732"/>
      <c r="BC104" s="732"/>
      <c r="BD104" s="732"/>
      <c r="BE104" s="732"/>
      <c r="BF104" s="732"/>
      <c r="BG104" s="732"/>
      <c r="BH104" s="732"/>
      <c r="BI104" s="732"/>
      <c r="BJ104" s="732"/>
      <c r="BK104" s="732"/>
      <c r="BL104" s="732"/>
      <c r="BM104" s="732"/>
      <c r="BN104" s="732"/>
      <c r="BO104" s="732"/>
      <c r="BP104" s="732"/>
      <c r="BQ104" s="732"/>
      <c r="BR104" s="732"/>
      <c r="BS104" s="732"/>
      <c r="BT104" s="732"/>
      <c r="BU104" s="732"/>
      <c r="BV104" s="733"/>
      <c r="BW104" s="733"/>
      <c r="BX104" s="733"/>
      <c r="BY104" s="733"/>
      <c r="BZ104" s="733"/>
      <c r="CA104" s="733"/>
      <c r="CB104" s="733"/>
      <c r="CC104" s="733"/>
      <c r="CD104" s="733"/>
      <c r="CE104" s="733"/>
      <c r="CF104" s="1944"/>
    </row>
    <row customHeight="1" ht="15" hidden="1">
      <c r="A105" s="730"/>
      <c r="B105" s="731"/>
      <c r="C105" s="731"/>
      <c r="D105" s="3219"/>
      <c r="E105" s="3215" t="s">
        <v>649</v>
      </c>
      <c r="F105" s="3216"/>
      <c r="G105" s="3217"/>
      <c r="H105" s="3211" t="str">
        <f>IF(A104="","",INDEX(DIFFERENTIATION_UNMERGE_AREA,MATCH(A104,DIFFERENTIATION_ID_DIFF,0)))</f>
        <v>Территория 4</v>
      </c>
      <c r="I105" s="3211"/>
      <c r="J105" s="3211"/>
      <c r="K105" s="3211"/>
      <c r="L105" s="3211"/>
      <c r="M105" s="3211"/>
      <c r="N105" s="3211"/>
      <c r="O105" s="3211"/>
      <c r="P105" s="3211"/>
      <c r="Q105" s="3211"/>
      <c r="R105" s="3211"/>
      <c r="S105" s="826"/>
      <c r="T105" s="823"/>
      <c r="U105" s="732"/>
      <c r="V105" s="732"/>
      <c r="W105" s="733"/>
      <c r="X105" s="733"/>
      <c r="Y105" s="733"/>
      <c r="Z105" s="733"/>
      <c r="AA105" s="734"/>
      <c r="AB105" s="735"/>
      <c r="AC105" s="3214"/>
      <c r="AD105" s="736"/>
      <c r="AE105" s="737"/>
      <c r="AF105" s="737"/>
      <c r="AG105" s="738"/>
      <c r="AH105" s="739"/>
      <c r="AI105" s="732"/>
      <c r="AJ105" s="732"/>
      <c r="AK105" s="732"/>
      <c r="AL105" s="732"/>
      <c r="AM105" s="732"/>
      <c r="AN105" s="732"/>
      <c r="AO105" s="732"/>
      <c r="AP105" s="732"/>
      <c r="AQ105" s="732"/>
      <c r="AR105" s="732"/>
      <c r="AS105" s="732"/>
      <c r="AT105" s="732"/>
      <c r="AU105" s="732"/>
      <c r="AV105" s="732"/>
      <c r="AW105" s="732"/>
      <c r="AX105" s="732"/>
      <c r="AY105" s="732"/>
      <c r="AZ105" s="732"/>
      <c r="BA105" s="732"/>
      <c r="BB105" s="732"/>
      <c r="BC105" s="732"/>
      <c r="BD105" s="732"/>
      <c r="BE105" s="732"/>
      <c r="BF105" s="732"/>
      <c r="BG105" s="732"/>
      <c r="BH105" s="732"/>
      <c r="BI105" s="732"/>
      <c r="BJ105" s="732"/>
      <c r="BK105" s="732"/>
      <c r="BL105" s="732"/>
      <c r="BM105" s="732"/>
      <c r="BN105" s="732"/>
      <c r="BO105" s="732"/>
      <c r="BP105" s="732"/>
      <c r="BQ105" s="732"/>
      <c r="BR105" s="732"/>
      <c r="BS105" s="732"/>
      <c r="BT105" s="732"/>
      <c r="BU105" s="732"/>
      <c r="BV105" s="733"/>
      <c r="BW105" s="733"/>
      <c r="BX105" s="733"/>
      <c r="BY105" s="733"/>
      <c r="BZ105" s="733"/>
      <c r="CA105" s="733"/>
      <c r="CB105" s="733"/>
      <c r="CC105" s="733"/>
      <c r="CD105" s="733"/>
      <c r="CE105" s="733"/>
      <c r="CF105" s="1944"/>
    </row>
    <row customHeight="1" ht="15" hidden="1">
      <c r="A106" s="730"/>
      <c r="B106" s="731"/>
      <c r="C106" s="731"/>
      <c r="D106" s="3219"/>
      <c r="E106" s="3215" t="s">
        <v>650</v>
      </c>
      <c r="F106" s="3216"/>
      <c r="G106" s="3217"/>
      <c r="H106" s="3211" t="str">
        <f>IF(A104="","",INDEX(DIFFERENTIATION_UNMERGE_SYSTEM,MATCH(A104,DIFFERENTIATION_ID_DIFF,0)))</f>
        <v>п. Майский</v>
      </c>
      <c r="I106" s="3211"/>
      <c r="J106" s="3211"/>
      <c r="K106" s="3211"/>
      <c r="L106" s="3211"/>
      <c r="M106" s="3211"/>
      <c r="N106" s="3211"/>
      <c r="O106" s="3211"/>
      <c r="P106" s="3211"/>
      <c r="Q106" s="3211"/>
      <c r="R106" s="3211"/>
      <c r="S106" s="826"/>
      <c r="T106" s="823"/>
      <c r="U106" s="732"/>
      <c r="V106" s="732"/>
      <c r="W106" s="733"/>
      <c r="X106" s="733"/>
      <c r="Y106" s="733"/>
      <c r="Z106" s="733"/>
      <c r="AA106" s="734"/>
      <c r="AB106" s="735"/>
      <c r="AC106" s="3214"/>
      <c r="AD106" s="736"/>
      <c r="AE106" s="737"/>
      <c r="AF106" s="737"/>
      <c r="AG106" s="738"/>
      <c r="AH106" s="739"/>
      <c r="AI106" s="732"/>
      <c r="AJ106" s="732"/>
      <c r="AK106" s="732"/>
      <c r="AL106" s="732"/>
      <c r="AM106" s="732"/>
      <c r="AN106" s="732"/>
      <c r="AO106" s="732"/>
      <c r="AP106" s="732"/>
      <c r="AQ106" s="732"/>
      <c r="AR106" s="732"/>
      <c r="AS106" s="732"/>
      <c r="AT106" s="732"/>
      <c r="AU106" s="732"/>
      <c r="AV106" s="732"/>
      <c r="AW106" s="732"/>
      <c r="AX106" s="732"/>
      <c r="AY106" s="732"/>
      <c r="AZ106" s="732"/>
      <c r="BA106" s="732"/>
      <c r="BB106" s="732"/>
      <c r="BC106" s="732"/>
      <c r="BD106" s="732"/>
      <c r="BE106" s="732"/>
      <c r="BF106" s="732"/>
      <c r="BG106" s="732"/>
      <c r="BH106" s="732"/>
      <c r="BI106" s="732"/>
      <c r="BJ106" s="732"/>
      <c r="BK106" s="732"/>
      <c r="BL106" s="732"/>
      <c r="BM106" s="732"/>
      <c r="BN106" s="732"/>
      <c r="BO106" s="732"/>
      <c r="BP106" s="732"/>
      <c r="BQ106" s="732"/>
      <c r="BR106" s="732"/>
      <c r="BS106" s="732"/>
      <c r="BT106" s="732"/>
      <c r="BU106" s="732"/>
      <c r="BV106" s="733"/>
      <c r="BW106" s="733"/>
      <c r="BX106" s="733"/>
      <c r="BY106" s="733"/>
      <c r="BZ106" s="733"/>
      <c r="CA106" s="733"/>
      <c r="CB106" s="733"/>
      <c r="CC106" s="733"/>
      <c r="CD106" s="733"/>
      <c r="CE106" s="733"/>
      <c r="CF106" s="1944"/>
    </row>
    <row customHeight="1" ht="24.75" hidden="1">
      <c r="A107" s="1901"/>
      <c r="B107" s="1256"/>
      <c r="C107" s="519"/>
      <c r="D107" s="3219"/>
      <c r="E107" s="3213" t="s">
        <v>705</v>
      </c>
      <c r="F107" s="3213"/>
      <c r="G107" s="3213"/>
      <c r="H107" s="3213"/>
      <c r="I107" s="3213"/>
      <c r="J107" s="3213"/>
      <c r="K107" s="3213"/>
      <c r="L107" s="3213"/>
      <c r="M107" s="3213"/>
      <c r="N107" s="3213"/>
      <c r="O107" s="3213"/>
      <c r="P107" s="3213"/>
      <c r="Q107" s="665">
        <f>SUMIF(T108:T109,"i",Q108:Q109)</f>
        <v>0</v>
      </c>
      <c r="R107" s="1117"/>
      <c r="S107" s="1893" t="s">
        <v>706</v>
      </c>
      <c r="T107" s="824" t="s">
        <v>707</v>
      </c>
      <c r="U107" s="3119">
        <v>1</v>
      </c>
      <c r="V107" s="3119" t="str">
        <f>INDEX(B_FHD_FLAG_INDEX_1,1,MATCH($A$104,B_FHD_FLAG_DIFFERENTIATION,0))</f>
        <v>отсутствует</v>
      </c>
      <c r="W107" s="1256"/>
      <c r="X107" s="1256"/>
      <c r="Y107" s="1256"/>
      <c r="Z107" s="1256"/>
      <c r="AA107" s="1732"/>
      <c r="AB107" s="1256"/>
      <c r="AC107" s="3214"/>
      <c r="AD107" s="736"/>
      <c r="AE107" s="1256"/>
      <c r="AF107" s="1256"/>
      <c r="AG107" s="1732"/>
      <c r="AH107" s="1732"/>
      <c r="AI107" s="1732"/>
      <c r="AJ107" s="1732"/>
      <c r="AK107" s="1732"/>
      <c r="AL107" s="1732"/>
      <c r="AM107" s="1732"/>
      <c r="AN107" s="1732"/>
      <c r="AO107" s="1732"/>
      <c r="AP107" s="1732"/>
      <c r="AQ107" s="1732"/>
      <c r="AR107" s="1732"/>
      <c r="AS107" s="1732"/>
      <c r="AT107" s="1732"/>
      <c r="AU107" s="1732"/>
      <c r="AV107" s="1732"/>
      <c r="AW107" s="1732"/>
      <c r="AX107" s="1732"/>
      <c r="AY107" s="1732"/>
      <c r="AZ107" s="1732"/>
      <c r="BA107" s="1732"/>
      <c r="BB107" s="1732"/>
      <c r="BC107" s="1732"/>
      <c r="BD107" s="1732"/>
      <c r="BE107" s="1732"/>
      <c r="BF107" s="1732"/>
      <c r="BG107" s="1732"/>
      <c r="BH107" s="1732"/>
      <c r="BI107" s="1732"/>
      <c r="BJ107" s="1732"/>
      <c r="BK107" s="1732"/>
      <c r="BL107" s="1732"/>
      <c r="BM107" s="1732"/>
      <c r="BN107" s="1732"/>
      <c r="BO107" s="1732"/>
      <c r="BP107" s="1732"/>
      <c r="BQ107" s="1732"/>
      <c r="BR107" s="1732"/>
      <c r="BS107" s="1732"/>
      <c r="BT107" s="1732"/>
      <c r="BU107" s="1732"/>
      <c r="BV107" s="1256"/>
      <c r="BW107" s="1256"/>
      <c r="BX107" s="1256"/>
      <c r="BY107" s="1256"/>
      <c r="BZ107" s="1256"/>
      <c r="CA107" s="1256"/>
      <c r="CB107" s="1256"/>
      <c r="CC107" s="1256"/>
      <c r="CD107" s="1256"/>
      <c r="CE107" s="1256"/>
      <c r="CF107" s="1944"/>
    </row>
    <row customHeight="1" ht="11.25" hidden="1">
      <c r="A108" s="1888"/>
      <c r="B108" s="1732"/>
      <c r="C108" s="1732"/>
      <c r="D108" s="3219"/>
      <c r="E108" s="742"/>
      <c r="F108" s="742">
        <v>0</v>
      </c>
      <c r="G108" s="742"/>
      <c r="H108" s="742"/>
      <c r="I108" s="742"/>
      <c r="J108" s="742"/>
      <c r="K108" s="742"/>
      <c r="L108" s="742"/>
      <c r="M108" s="742"/>
      <c r="N108" s="742"/>
      <c r="O108" s="742"/>
      <c r="P108" s="742"/>
      <c r="Q108" s="742"/>
      <c r="R108" s="742"/>
      <c r="S108" s="743"/>
      <c r="T108" s="825"/>
      <c r="U108" s="3119"/>
      <c r="V108" s="3119"/>
      <c r="W108" s="1732"/>
      <c r="X108" s="1732"/>
      <c r="Y108" s="1732"/>
      <c r="Z108" s="1732"/>
      <c r="AA108" s="1732"/>
      <c r="AB108" s="1256"/>
      <c r="AC108" s="3214"/>
      <c r="AD108" s="736"/>
      <c r="AE108" s="1256"/>
      <c r="AF108" s="1256"/>
      <c r="AG108" s="1732"/>
      <c r="AH108" s="1732"/>
      <c r="AI108" s="1732"/>
      <c r="AJ108" s="1732"/>
      <c r="AK108" s="1732"/>
      <c r="AL108" s="1732"/>
      <c r="AM108" s="1732"/>
      <c r="AN108" s="1732"/>
      <c r="AO108" s="1732"/>
      <c r="AP108" s="1732"/>
      <c r="AQ108" s="1732"/>
      <c r="AR108" s="1732"/>
      <c r="AS108" s="1732"/>
      <c r="AT108" s="1732"/>
      <c r="AU108" s="1732"/>
      <c r="AV108" s="1732"/>
      <c r="AW108" s="1732"/>
      <c r="AX108" s="1732"/>
      <c r="AY108" s="1732"/>
      <c r="AZ108" s="1732"/>
      <c r="BA108" s="1732"/>
      <c r="BB108" s="1732"/>
      <c r="BC108" s="1732"/>
      <c r="BD108" s="1732"/>
      <c r="BE108" s="1732"/>
      <c r="BF108" s="1732"/>
      <c r="BG108" s="1732"/>
      <c r="BH108" s="1732"/>
      <c r="BI108" s="1732"/>
      <c r="BJ108" s="1732"/>
      <c r="BK108" s="1732"/>
      <c r="BL108" s="1732"/>
      <c r="BM108" s="1732"/>
      <c r="BN108" s="1732"/>
      <c r="BO108" s="1732"/>
      <c r="BP108" s="1732"/>
      <c r="BQ108" s="1732"/>
      <c r="BR108" s="1732"/>
      <c r="BS108" s="1732"/>
      <c r="BT108" s="1732"/>
      <c r="BU108" s="1732"/>
      <c r="BV108" s="1732"/>
      <c r="BW108" s="1732"/>
      <c r="BX108" s="1732"/>
      <c r="BY108" s="1732"/>
      <c r="BZ108" s="1732"/>
      <c r="CA108" s="1732"/>
      <c r="CB108" s="1732"/>
      <c r="CC108" s="1732"/>
      <c r="CD108" s="1732"/>
      <c r="CE108" s="1732"/>
      <c r="CF108" s="1944"/>
    </row>
    <row customHeight="1" ht="11.25" hidden="1">
      <c r="A109" s="1901"/>
      <c r="B109" s="1256"/>
      <c r="C109" s="519"/>
      <c r="D109" s="3219"/>
      <c r="E109" s="756" t="s">
        <v>22</v>
      </c>
      <c r="F109" s="1264" t="s">
        <v>22</v>
      </c>
      <c r="G109" s="1264" t="s">
        <v>711</v>
      </c>
      <c r="H109" s="758" t="s">
        <v>22</v>
      </c>
      <c r="I109" s="758"/>
      <c r="J109" s="758"/>
      <c r="K109" s="758"/>
      <c r="L109" s="758"/>
      <c r="M109" s="758"/>
      <c r="N109" s="758"/>
      <c r="O109" s="758"/>
      <c r="P109" s="758"/>
      <c r="Q109" s="758"/>
      <c r="R109" s="759"/>
      <c r="S109" s="760"/>
      <c r="T109" s="825"/>
      <c r="U109" s="3119"/>
      <c r="V109" s="3119"/>
      <c r="W109" s="1256"/>
      <c r="X109" s="1256"/>
      <c r="Y109" s="1256"/>
      <c r="Z109" s="1256"/>
      <c r="AA109" s="1732"/>
      <c r="AB109" s="1256"/>
      <c r="AC109" s="3214"/>
      <c r="AD109" s="736"/>
      <c r="AE109" s="1256"/>
      <c r="AF109" s="1256"/>
      <c r="AG109" s="1732"/>
      <c r="AH109" s="1732"/>
      <c r="AI109" s="1732"/>
      <c r="AJ109" s="1732"/>
      <c r="AK109" s="1732"/>
      <c r="AL109" s="1732"/>
      <c r="AM109" s="1732"/>
      <c r="AN109" s="1732"/>
      <c r="AO109" s="1732"/>
      <c r="AP109" s="1732"/>
      <c r="AQ109" s="1732"/>
      <c r="AR109" s="1732"/>
      <c r="AS109" s="1732"/>
      <c r="AT109" s="1732"/>
      <c r="AU109" s="1732"/>
      <c r="AV109" s="1732"/>
      <c r="AW109" s="1732"/>
      <c r="AX109" s="1732"/>
      <c r="AY109" s="1732"/>
      <c r="AZ109" s="1732"/>
      <c r="BA109" s="1732"/>
      <c r="BB109" s="1732"/>
      <c r="BC109" s="1732"/>
      <c r="BD109" s="1732"/>
      <c r="BE109" s="1732"/>
      <c r="BF109" s="1732"/>
      <c r="BG109" s="1732"/>
      <c r="BH109" s="1732"/>
      <c r="BI109" s="1732"/>
      <c r="BJ109" s="1732"/>
      <c r="BK109" s="1732"/>
      <c r="BL109" s="1732"/>
      <c r="BM109" s="1732"/>
      <c r="BN109" s="1732"/>
      <c r="BO109" s="1732"/>
      <c r="BP109" s="1732"/>
      <c r="BQ109" s="1732"/>
      <c r="BR109" s="1732"/>
      <c r="BS109" s="1732"/>
      <c r="BT109" s="1732"/>
      <c r="BU109" s="1732"/>
      <c r="BV109" s="1256"/>
      <c r="BW109" s="1256"/>
      <c r="BX109" s="1256"/>
      <c r="BY109" s="1256"/>
      <c r="BZ109" s="1256"/>
      <c r="CA109" s="1256"/>
      <c r="CB109" s="1256"/>
      <c r="CC109" s="1256"/>
      <c r="CD109" s="1256"/>
      <c r="CE109" s="1256"/>
      <c r="CF109" s="1944"/>
    </row>
    <row customHeight="1" ht="5.25" hidden="1">
      <c r="A110" s="1888"/>
      <c r="B110" s="1732"/>
      <c r="C110" s="1732"/>
      <c r="D110" s="3219"/>
      <c r="E110" s="1139"/>
      <c r="F110" s="1139"/>
      <c r="G110" s="1139"/>
      <c r="H110" s="1139"/>
      <c r="I110" s="1139"/>
      <c r="J110" s="1139"/>
      <c r="K110" s="1139"/>
      <c r="L110" s="1139"/>
      <c r="M110" s="1139"/>
      <c r="N110" s="1139"/>
      <c r="O110" s="1139"/>
      <c r="P110" s="1139"/>
      <c r="Q110" s="1140"/>
      <c r="R110" s="1141"/>
      <c r="S110" s="1142"/>
      <c r="T110" s="824" t="s">
        <v>707</v>
      </c>
      <c r="U110" s="3119">
        <v>1</v>
      </c>
      <c r="V110" s="3119" t="s">
        <v>669</v>
      </c>
      <c r="W110" s="1732"/>
      <c r="X110" s="1732"/>
      <c r="Y110" s="1732"/>
      <c r="Z110" s="1732"/>
      <c r="AA110" s="1732"/>
      <c r="AB110" s="1732"/>
      <c r="AC110" s="1137"/>
      <c r="AD110" s="1138"/>
      <c r="AE110" s="1732"/>
      <c r="AF110" s="1732"/>
      <c r="AG110" s="1732"/>
      <c r="AH110" s="1732"/>
      <c r="AI110" s="1732"/>
      <c r="AJ110" s="1732"/>
      <c r="AK110" s="1732"/>
      <c r="AL110" s="1732"/>
      <c r="AM110" s="1732"/>
      <c r="AN110" s="1732"/>
      <c r="AO110" s="1732"/>
      <c r="AP110" s="1732"/>
      <c r="AQ110" s="1732"/>
      <c r="AR110" s="1732"/>
      <c r="AS110" s="1732"/>
      <c r="AT110" s="1732"/>
      <c r="AU110" s="1732"/>
      <c r="AV110" s="1732"/>
      <c r="AW110" s="1732"/>
      <c r="AX110" s="1732"/>
      <c r="AY110" s="1732"/>
      <c r="AZ110" s="1732"/>
      <c r="BA110" s="1732"/>
      <c r="BB110" s="1732"/>
      <c r="BC110" s="1732"/>
      <c r="BD110" s="1732"/>
      <c r="BE110" s="1732"/>
      <c r="BF110" s="1732"/>
      <c r="BG110" s="1732"/>
      <c r="BH110" s="1732"/>
      <c r="BI110" s="1732"/>
      <c r="BJ110" s="1732"/>
      <c r="BK110" s="1732"/>
      <c r="BL110" s="1732"/>
      <c r="BM110" s="1732"/>
      <c r="BN110" s="1732"/>
      <c r="BO110" s="1732"/>
      <c r="BP110" s="1732"/>
      <c r="BQ110" s="1732"/>
      <c r="BR110" s="1732"/>
      <c r="BS110" s="1732"/>
      <c r="BT110" s="1732"/>
      <c r="BU110" s="1732"/>
      <c r="BV110" s="1732"/>
      <c r="BW110" s="1732"/>
      <c r="BX110" s="1732"/>
      <c r="BY110" s="1732"/>
      <c r="BZ110" s="1732"/>
      <c r="CA110" s="1732"/>
      <c r="CB110" s="1732"/>
      <c r="CC110" s="1732"/>
      <c r="CD110" s="1732"/>
      <c r="CE110" s="1732"/>
      <c r="CF110" s="1412"/>
    </row>
    <row customHeight="1" ht="5.25" hidden="1">
      <c r="A111" s="1888"/>
      <c r="B111" s="1732"/>
      <c r="C111" s="1732"/>
      <c r="D111" s="3219"/>
      <c r="E111" s="742"/>
      <c r="F111" s="742"/>
      <c r="G111" s="742"/>
      <c r="H111" s="742"/>
      <c r="I111" s="742"/>
      <c r="J111" s="742"/>
      <c r="K111" s="742"/>
      <c r="L111" s="742"/>
      <c r="M111" s="742"/>
      <c r="N111" s="742"/>
      <c r="O111" s="742"/>
      <c r="P111" s="742"/>
      <c r="Q111" s="742"/>
      <c r="R111" s="742"/>
      <c r="S111" s="743"/>
      <c r="T111" s="825"/>
      <c r="U111" s="3119"/>
      <c r="V111" s="3119"/>
      <c r="W111" s="1732"/>
      <c r="X111" s="1732"/>
      <c r="Y111" s="1732"/>
      <c r="Z111" s="1732"/>
      <c r="AA111" s="1732"/>
      <c r="AB111" s="1732"/>
      <c r="AC111" s="1137"/>
      <c r="AD111" s="1138"/>
      <c r="AE111" s="1732"/>
      <c r="AF111" s="1732"/>
      <c r="AG111" s="1732"/>
      <c r="AH111" s="1732"/>
      <c r="AI111" s="1732"/>
      <c r="AJ111" s="1732"/>
      <c r="AK111" s="1732"/>
      <c r="AL111" s="1732"/>
      <c r="AM111" s="1732"/>
      <c r="AN111" s="1732"/>
      <c r="AO111" s="1732"/>
      <c r="AP111" s="1732"/>
      <c r="AQ111" s="1732"/>
      <c r="AR111" s="1732"/>
      <c r="AS111" s="1732"/>
      <c r="AT111" s="1732"/>
      <c r="AU111" s="1732"/>
      <c r="AV111" s="1732"/>
      <c r="AW111" s="1732"/>
      <c r="AX111" s="1732"/>
      <c r="AY111" s="1732"/>
      <c r="AZ111" s="1732"/>
      <c r="BA111" s="1732"/>
      <c r="BB111" s="1732"/>
      <c r="BC111" s="1732"/>
      <c r="BD111" s="1732"/>
      <c r="BE111" s="1732"/>
      <c r="BF111" s="1732"/>
      <c r="BG111" s="1732"/>
      <c r="BH111" s="1732"/>
      <c r="BI111" s="1732"/>
      <c r="BJ111" s="1732"/>
      <c r="BK111" s="1732"/>
      <c r="BL111" s="1732"/>
      <c r="BM111" s="1732"/>
      <c r="BN111" s="1732"/>
      <c r="BO111" s="1732"/>
      <c r="BP111" s="1732"/>
      <c r="BQ111" s="1732"/>
      <c r="BR111" s="1732"/>
      <c r="BS111" s="1732"/>
      <c r="BT111" s="1732"/>
      <c r="BU111" s="1732"/>
      <c r="BV111" s="1732"/>
      <c r="BW111" s="1732"/>
      <c r="BX111" s="1732"/>
      <c r="BY111" s="1732"/>
      <c r="BZ111" s="1732"/>
      <c r="CA111" s="1732"/>
      <c r="CB111" s="1732"/>
      <c r="CC111" s="1732"/>
      <c r="CD111" s="1732"/>
      <c r="CE111" s="1732"/>
      <c r="CF111" s="1412"/>
    </row>
    <row customHeight="1" ht="5.25" hidden="1">
      <c r="A112" s="1888"/>
      <c r="B112" s="1732"/>
      <c r="C112" s="1732"/>
      <c r="D112" s="3220"/>
      <c r="E112" s="1143"/>
      <c r="F112" s="1144"/>
      <c r="G112" s="1144"/>
      <c r="H112" s="1145"/>
      <c r="I112" s="1145"/>
      <c r="J112" s="1145"/>
      <c r="K112" s="1145"/>
      <c r="L112" s="1145"/>
      <c r="M112" s="1145"/>
      <c r="N112" s="1145"/>
      <c r="O112" s="1145"/>
      <c r="P112" s="1145"/>
      <c r="Q112" s="1145"/>
      <c r="R112" s="1046"/>
      <c r="S112" s="1146"/>
      <c r="T112" s="825"/>
      <c r="U112" s="3119"/>
      <c r="V112" s="3119"/>
      <c r="W112" s="1732"/>
      <c r="X112" s="1732"/>
      <c r="Y112" s="1732"/>
      <c r="Z112" s="1732"/>
      <c r="AA112" s="1732"/>
      <c r="AB112" s="1732"/>
      <c r="AC112" s="1137"/>
      <c r="AD112" s="1138"/>
      <c r="AE112" s="1732"/>
      <c r="AF112" s="1732"/>
      <c r="AG112" s="1732"/>
      <c r="AH112" s="1732"/>
      <c r="AI112" s="1732"/>
      <c r="AJ112" s="1732"/>
      <c r="AK112" s="1732"/>
      <c r="AL112" s="1732"/>
      <c r="AM112" s="1732"/>
      <c r="AN112" s="1732"/>
      <c r="AO112" s="1732"/>
      <c r="AP112" s="1732"/>
      <c r="AQ112" s="1732"/>
      <c r="AR112" s="1732"/>
      <c r="AS112" s="1732"/>
      <c r="AT112" s="1732"/>
      <c r="AU112" s="1732"/>
      <c r="AV112" s="1732"/>
      <c r="AW112" s="1732"/>
      <c r="AX112" s="1732"/>
      <c r="AY112" s="1732"/>
      <c r="AZ112" s="1732"/>
      <c r="BA112" s="1732"/>
      <c r="BB112" s="1732"/>
      <c r="BC112" s="1732"/>
      <c r="BD112" s="1732"/>
      <c r="BE112" s="1732"/>
      <c r="BF112" s="1732"/>
      <c r="BG112" s="1732"/>
      <c r="BH112" s="1732"/>
      <c r="BI112" s="1732"/>
      <c r="BJ112" s="1732"/>
      <c r="BK112" s="1732"/>
      <c r="BL112" s="1732"/>
      <c r="BM112" s="1732"/>
      <c r="BN112" s="1732"/>
      <c r="BO112" s="1732"/>
      <c r="BP112" s="1732"/>
      <c r="BQ112" s="1732"/>
      <c r="BR112" s="1732"/>
      <c r="BS112" s="1732"/>
      <c r="BT112" s="1732"/>
      <c r="BU112" s="1732"/>
      <c r="BV112" s="1732"/>
      <c r="BW112" s="1732"/>
      <c r="BX112" s="1732"/>
      <c r="BY112" s="1732"/>
      <c r="BZ112" s="1732"/>
      <c r="CA112" s="1732"/>
      <c r="CB112" s="1732"/>
      <c r="CC112" s="1732"/>
      <c r="CD112" s="1732"/>
      <c r="CE112" s="1732"/>
      <c r="CF112" s="1412"/>
    </row>
    <row customHeight="1" ht="15" hidden="1">
      <c r="A113" s="730" t="s">
        <v>177</v>
      </c>
      <c r="B113" s="731"/>
      <c r="C113" s="731" t="s">
        <v>22</v>
      </c>
      <c r="D113" s="3218" t="s">
        <v>721</v>
      </c>
      <c r="E113" s="3215" t="s">
        <v>140</v>
      </c>
      <c r="F113" s="3216"/>
      <c r="G113" s="3217"/>
      <c r="H113" s="3211" t="str">
        <f>IF(A113="","",INDEX(DIFFERENTIATION_UNMERGE_VD,MATCH(A113,DIFFERENTIATION_ID_DIFF,0)))</f>
        <v>Производство. Теплоноситель</v>
      </c>
      <c r="I113" s="3211"/>
      <c r="J113" s="3211"/>
      <c r="K113" s="3211"/>
      <c r="L113" s="3211"/>
      <c r="M113" s="3211"/>
      <c r="N113" s="3211"/>
      <c r="O113" s="3211"/>
      <c r="P113" s="3211"/>
      <c r="Q113" s="3211"/>
      <c r="R113" s="3211"/>
      <c r="S113" s="826"/>
      <c r="T113" s="823"/>
      <c r="U113" s="732"/>
      <c r="V113" s="732"/>
      <c r="W113" s="733"/>
      <c r="X113" s="733"/>
      <c r="Y113" s="733"/>
      <c r="Z113" s="733"/>
      <c r="AA113" s="734"/>
      <c r="AB113" s="735"/>
      <c r="AC113" s="3214"/>
      <c r="AD113" s="736"/>
      <c r="AE113" s="737" t="s">
        <v>22</v>
      </c>
      <c r="AF113" s="737"/>
      <c r="AG113" s="738" t="s">
        <v>704</v>
      </c>
      <c r="AH113" s="739">
        <v>3</v>
      </c>
      <c r="AI113" s="732"/>
      <c r="AJ113" s="732"/>
      <c r="AK113" s="732"/>
      <c r="AL113" s="732"/>
      <c r="AM113" s="732"/>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732"/>
      <c r="BR113" s="732"/>
      <c r="BS113" s="732"/>
      <c r="BT113" s="732"/>
      <c r="BU113" s="732"/>
      <c r="BV113" s="733"/>
      <c r="BW113" s="733"/>
      <c r="BX113" s="733"/>
      <c r="BY113" s="733"/>
      <c r="BZ113" s="733"/>
      <c r="CA113" s="733"/>
      <c r="CB113" s="733"/>
      <c r="CC113" s="733"/>
      <c r="CD113" s="733"/>
      <c r="CE113" s="733"/>
      <c r="CF113" s="1944"/>
    </row>
    <row customHeight="1" ht="15" hidden="1">
      <c r="A114" s="730"/>
      <c r="B114" s="731"/>
      <c r="C114" s="731"/>
      <c r="D114" s="3219"/>
      <c r="E114" s="3215" t="s">
        <v>649</v>
      </c>
      <c r="F114" s="3216"/>
      <c r="G114" s="3217"/>
      <c r="H114" s="3211" t="str">
        <f>IF(A113="","",INDEX(DIFFERENTIATION_UNMERGE_AREA,MATCH(A113,DIFFERENTIATION_ID_DIFF,0)))</f>
        <v>Территория 5</v>
      </c>
      <c r="I114" s="3211"/>
      <c r="J114" s="3211"/>
      <c r="K114" s="3211"/>
      <c r="L114" s="3211"/>
      <c r="M114" s="3211"/>
      <c r="N114" s="3211"/>
      <c r="O114" s="3211"/>
      <c r="P114" s="3211"/>
      <c r="Q114" s="3211"/>
      <c r="R114" s="3211"/>
      <c r="S114" s="826"/>
      <c r="T114" s="823"/>
      <c r="U114" s="732"/>
      <c r="V114" s="732"/>
      <c r="W114" s="733"/>
      <c r="X114" s="733"/>
      <c r="Y114" s="733"/>
      <c r="Z114" s="733"/>
      <c r="AA114" s="734"/>
      <c r="AB114" s="735"/>
      <c r="AC114" s="3214"/>
      <c r="AD114" s="736"/>
      <c r="AE114" s="737"/>
      <c r="AF114" s="737"/>
      <c r="AG114" s="738"/>
      <c r="AH114" s="739"/>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c r="BH114" s="732"/>
      <c r="BI114" s="732"/>
      <c r="BJ114" s="732"/>
      <c r="BK114" s="732"/>
      <c r="BL114" s="732"/>
      <c r="BM114" s="732"/>
      <c r="BN114" s="732"/>
      <c r="BO114" s="732"/>
      <c r="BP114" s="732"/>
      <c r="BQ114" s="732"/>
      <c r="BR114" s="732"/>
      <c r="BS114" s="732"/>
      <c r="BT114" s="732"/>
      <c r="BU114" s="732"/>
      <c r="BV114" s="733"/>
      <c r="BW114" s="733"/>
      <c r="BX114" s="733"/>
      <c r="BY114" s="733"/>
      <c r="BZ114" s="733"/>
      <c r="CA114" s="733"/>
      <c r="CB114" s="733"/>
      <c r="CC114" s="733"/>
      <c r="CD114" s="733"/>
      <c r="CE114" s="733"/>
      <c r="CF114" s="1944"/>
    </row>
    <row customHeight="1" ht="15" hidden="1">
      <c r="A115" s="730"/>
      <c r="B115" s="731"/>
      <c r="C115" s="731"/>
      <c r="D115" s="3219"/>
      <c r="E115" s="3215" t="s">
        <v>650</v>
      </c>
      <c r="F115" s="3216"/>
      <c r="G115" s="3217"/>
      <c r="H115" s="3211" t="str">
        <f>IF(A113="","",INDEX(DIFFERENTIATION_UNMERGE_SYSTEM,MATCH(A113,DIFFERENTIATION_ID_DIFF,0)))</f>
        <v>г. Николаевск-на-Амуре</v>
      </c>
      <c r="I115" s="3211"/>
      <c r="J115" s="3211"/>
      <c r="K115" s="3211"/>
      <c r="L115" s="3211"/>
      <c r="M115" s="3211"/>
      <c r="N115" s="3211"/>
      <c r="O115" s="3211"/>
      <c r="P115" s="3211"/>
      <c r="Q115" s="3211"/>
      <c r="R115" s="3211"/>
      <c r="S115" s="826"/>
      <c r="T115" s="823"/>
      <c r="U115" s="732"/>
      <c r="V115" s="732"/>
      <c r="W115" s="733"/>
      <c r="X115" s="733"/>
      <c r="Y115" s="733"/>
      <c r="Z115" s="733"/>
      <c r="AA115" s="734"/>
      <c r="AB115" s="735"/>
      <c r="AC115" s="3214"/>
      <c r="AD115" s="736"/>
      <c r="AE115" s="737"/>
      <c r="AF115" s="737"/>
      <c r="AG115" s="738"/>
      <c r="AH115" s="739"/>
      <c r="AI115" s="732"/>
      <c r="AJ115" s="732"/>
      <c r="AK115" s="732"/>
      <c r="AL115" s="732"/>
      <c r="AM115" s="732"/>
      <c r="AN115" s="732"/>
      <c r="AO115" s="732"/>
      <c r="AP115" s="732"/>
      <c r="AQ115" s="732"/>
      <c r="AR115" s="732"/>
      <c r="AS115" s="732"/>
      <c r="AT115" s="732"/>
      <c r="AU115" s="732"/>
      <c r="AV115" s="732"/>
      <c r="AW115" s="732"/>
      <c r="AX115" s="732"/>
      <c r="AY115" s="732"/>
      <c r="AZ115" s="732"/>
      <c r="BA115" s="732"/>
      <c r="BB115" s="732"/>
      <c r="BC115" s="732"/>
      <c r="BD115" s="732"/>
      <c r="BE115" s="732"/>
      <c r="BF115" s="732"/>
      <c r="BG115" s="732"/>
      <c r="BH115" s="732"/>
      <c r="BI115" s="732"/>
      <c r="BJ115" s="732"/>
      <c r="BK115" s="732"/>
      <c r="BL115" s="732"/>
      <c r="BM115" s="732"/>
      <c r="BN115" s="732"/>
      <c r="BO115" s="732"/>
      <c r="BP115" s="732"/>
      <c r="BQ115" s="732"/>
      <c r="BR115" s="732"/>
      <c r="BS115" s="732"/>
      <c r="BT115" s="732"/>
      <c r="BU115" s="732"/>
      <c r="BV115" s="733"/>
      <c r="BW115" s="733"/>
      <c r="BX115" s="733"/>
      <c r="BY115" s="733"/>
      <c r="BZ115" s="733"/>
      <c r="CA115" s="733"/>
      <c r="CB115" s="733"/>
      <c r="CC115" s="733"/>
      <c r="CD115" s="733"/>
      <c r="CE115" s="733"/>
      <c r="CF115" s="1944"/>
    </row>
    <row customHeight="1" ht="24.75" hidden="1">
      <c r="A116" s="1901"/>
      <c r="B116" s="1256"/>
      <c r="C116" s="519"/>
      <c r="D116" s="3219"/>
      <c r="E116" s="3213" t="s">
        <v>705</v>
      </c>
      <c r="F116" s="3213"/>
      <c r="G116" s="3213"/>
      <c r="H116" s="3213"/>
      <c r="I116" s="3213"/>
      <c r="J116" s="3213"/>
      <c r="K116" s="3213"/>
      <c r="L116" s="3213"/>
      <c r="M116" s="3213"/>
      <c r="N116" s="3213"/>
      <c r="O116" s="3213"/>
      <c r="P116" s="3213"/>
      <c r="Q116" s="665">
        <f>SUMIF(T117:T118,"i",Q117:Q118)</f>
        <v>0</v>
      </c>
      <c r="R116" s="1117"/>
      <c r="S116" s="1893" t="s">
        <v>706</v>
      </c>
      <c r="T116" s="824" t="s">
        <v>707</v>
      </c>
      <c r="U116" s="3119">
        <v>1</v>
      </c>
      <c r="V116" s="3119" t="str">
        <f>INDEX(B_FHD_FLAG_INDEX_1,1,MATCH($A$113,B_FHD_FLAG_DIFFERENTIATION,0))</f>
        <v>отсутствует</v>
      </c>
      <c r="W116" s="1256"/>
      <c r="X116" s="1256"/>
      <c r="Y116" s="1256"/>
      <c r="Z116" s="1256"/>
      <c r="AA116" s="1732"/>
      <c r="AB116" s="1256"/>
      <c r="AC116" s="3214"/>
      <c r="AD116" s="736"/>
      <c r="AE116" s="1256"/>
      <c r="AF116" s="1256"/>
      <c r="AG116" s="1732"/>
      <c r="AH116" s="1732"/>
      <c r="AI116" s="1732"/>
      <c r="AJ116" s="1732"/>
      <c r="AK116" s="1732"/>
      <c r="AL116" s="1732"/>
      <c r="AM116" s="1732"/>
      <c r="AN116" s="1732"/>
      <c r="AO116" s="1732"/>
      <c r="AP116" s="1732"/>
      <c r="AQ116" s="1732"/>
      <c r="AR116" s="1732"/>
      <c r="AS116" s="1732"/>
      <c r="AT116" s="1732"/>
      <c r="AU116" s="1732"/>
      <c r="AV116" s="1732"/>
      <c r="AW116" s="1732"/>
      <c r="AX116" s="1732"/>
      <c r="AY116" s="1732"/>
      <c r="AZ116" s="1732"/>
      <c r="BA116" s="1732"/>
      <c r="BB116" s="1732"/>
      <c r="BC116" s="1732"/>
      <c r="BD116" s="1732"/>
      <c r="BE116" s="1732"/>
      <c r="BF116" s="1732"/>
      <c r="BG116" s="1732"/>
      <c r="BH116" s="1732"/>
      <c r="BI116" s="1732"/>
      <c r="BJ116" s="1732"/>
      <c r="BK116" s="1732"/>
      <c r="BL116" s="1732"/>
      <c r="BM116" s="1732"/>
      <c r="BN116" s="1732"/>
      <c r="BO116" s="1732"/>
      <c r="BP116" s="1732"/>
      <c r="BQ116" s="1732"/>
      <c r="BR116" s="1732"/>
      <c r="BS116" s="1732"/>
      <c r="BT116" s="1732"/>
      <c r="BU116" s="1732"/>
      <c r="BV116" s="1256"/>
      <c r="BW116" s="1256"/>
      <c r="BX116" s="1256"/>
      <c r="BY116" s="1256"/>
      <c r="BZ116" s="1256"/>
      <c r="CA116" s="1256"/>
      <c r="CB116" s="1256"/>
      <c r="CC116" s="1256"/>
      <c r="CD116" s="1256"/>
      <c r="CE116" s="1256"/>
      <c r="CF116" s="1944"/>
    </row>
    <row customHeight="1" ht="11.25" hidden="1">
      <c r="A117" s="1888"/>
      <c r="B117" s="1732"/>
      <c r="C117" s="1732"/>
      <c r="D117" s="3219"/>
      <c r="E117" s="742"/>
      <c r="F117" s="742">
        <v>0</v>
      </c>
      <c r="G117" s="742"/>
      <c r="H117" s="742"/>
      <c r="I117" s="742"/>
      <c r="J117" s="742"/>
      <c r="K117" s="742"/>
      <c r="L117" s="742"/>
      <c r="M117" s="742"/>
      <c r="N117" s="742"/>
      <c r="O117" s="742"/>
      <c r="P117" s="742"/>
      <c r="Q117" s="742"/>
      <c r="R117" s="742"/>
      <c r="S117" s="743"/>
      <c r="T117" s="825"/>
      <c r="U117" s="3119"/>
      <c r="V117" s="3119"/>
      <c r="W117" s="1732"/>
      <c r="X117" s="1732"/>
      <c r="Y117" s="1732"/>
      <c r="Z117" s="1732"/>
      <c r="AA117" s="1732"/>
      <c r="AB117" s="1256"/>
      <c r="AC117" s="3214"/>
      <c r="AD117" s="736"/>
      <c r="AE117" s="1256"/>
      <c r="AF117" s="1256"/>
      <c r="AG117" s="1732"/>
      <c r="AH117" s="1732"/>
      <c r="AI117" s="1732"/>
      <c r="AJ117" s="1732"/>
      <c r="AK117" s="1732"/>
      <c r="AL117" s="1732"/>
      <c r="AM117" s="1732"/>
      <c r="AN117" s="1732"/>
      <c r="AO117" s="1732"/>
      <c r="AP117" s="1732"/>
      <c r="AQ117" s="1732"/>
      <c r="AR117" s="1732"/>
      <c r="AS117" s="1732"/>
      <c r="AT117" s="1732"/>
      <c r="AU117" s="1732"/>
      <c r="AV117" s="1732"/>
      <c r="AW117" s="1732"/>
      <c r="AX117" s="1732"/>
      <c r="AY117" s="1732"/>
      <c r="AZ117" s="1732"/>
      <c r="BA117" s="1732"/>
      <c r="BB117" s="1732"/>
      <c r="BC117" s="1732"/>
      <c r="BD117" s="1732"/>
      <c r="BE117" s="1732"/>
      <c r="BF117" s="1732"/>
      <c r="BG117" s="1732"/>
      <c r="BH117" s="1732"/>
      <c r="BI117" s="1732"/>
      <c r="BJ117" s="1732"/>
      <c r="BK117" s="1732"/>
      <c r="BL117" s="1732"/>
      <c r="BM117" s="1732"/>
      <c r="BN117" s="1732"/>
      <c r="BO117" s="1732"/>
      <c r="BP117" s="1732"/>
      <c r="BQ117" s="1732"/>
      <c r="BR117" s="1732"/>
      <c r="BS117" s="1732"/>
      <c r="BT117" s="1732"/>
      <c r="BU117" s="1732"/>
      <c r="BV117" s="1732"/>
      <c r="BW117" s="1732"/>
      <c r="BX117" s="1732"/>
      <c r="BY117" s="1732"/>
      <c r="BZ117" s="1732"/>
      <c r="CA117" s="1732"/>
      <c r="CB117" s="1732"/>
      <c r="CC117" s="1732"/>
      <c r="CD117" s="1732"/>
      <c r="CE117" s="1732"/>
      <c r="CF117" s="1944"/>
    </row>
    <row customHeight="1" ht="11.25" hidden="1">
      <c r="A118" s="1901"/>
      <c r="B118" s="1256"/>
      <c r="C118" s="519"/>
      <c r="D118" s="3219"/>
      <c r="E118" s="756" t="s">
        <v>22</v>
      </c>
      <c r="F118" s="1264" t="s">
        <v>22</v>
      </c>
      <c r="G118" s="1264" t="s">
        <v>711</v>
      </c>
      <c r="H118" s="758" t="s">
        <v>22</v>
      </c>
      <c r="I118" s="758"/>
      <c r="J118" s="758"/>
      <c r="K118" s="758"/>
      <c r="L118" s="758"/>
      <c r="M118" s="758"/>
      <c r="N118" s="758"/>
      <c r="O118" s="758"/>
      <c r="P118" s="758"/>
      <c r="Q118" s="758"/>
      <c r="R118" s="759"/>
      <c r="S118" s="760"/>
      <c r="T118" s="825"/>
      <c r="U118" s="3119"/>
      <c r="V118" s="3119"/>
      <c r="W118" s="1256"/>
      <c r="X118" s="1256"/>
      <c r="Y118" s="1256"/>
      <c r="Z118" s="1256"/>
      <c r="AA118" s="1732"/>
      <c r="AB118" s="1256"/>
      <c r="AC118" s="3214"/>
      <c r="AD118" s="736"/>
      <c r="AE118" s="1256"/>
      <c r="AF118" s="1256"/>
      <c r="AG118" s="1732"/>
      <c r="AH118" s="1732"/>
      <c r="AI118" s="1732"/>
      <c r="AJ118" s="1732"/>
      <c r="AK118" s="1732"/>
      <c r="AL118" s="1732"/>
      <c r="AM118" s="1732"/>
      <c r="AN118" s="1732"/>
      <c r="AO118" s="1732"/>
      <c r="AP118" s="1732"/>
      <c r="AQ118" s="1732"/>
      <c r="AR118" s="1732"/>
      <c r="AS118" s="1732"/>
      <c r="AT118" s="1732"/>
      <c r="AU118" s="1732"/>
      <c r="AV118" s="1732"/>
      <c r="AW118" s="1732"/>
      <c r="AX118" s="1732"/>
      <c r="AY118" s="1732"/>
      <c r="AZ118" s="1732"/>
      <c r="BA118" s="1732"/>
      <c r="BB118" s="1732"/>
      <c r="BC118" s="1732"/>
      <c r="BD118" s="1732"/>
      <c r="BE118" s="1732"/>
      <c r="BF118" s="1732"/>
      <c r="BG118" s="1732"/>
      <c r="BH118" s="1732"/>
      <c r="BI118" s="1732"/>
      <c r="BJ118" s="1732"/>
      <c r="BK118" s="1732"/>
      <c r="BL118" s="1732"/>
      <c r="BM118" s="1732"/>
      <c r="BN118" s="1732"/>
      <c r="BO118" s="1732"/>
      <c r="BP118" s="1732"/>
      <c r="BQ118" s="1732"/>
      <c r="BR118" s="1732"/>
      <c r="BS118" s="1732"/>
      <c r="BT118" s="1732"/>
      <c r="BU118" s="1732"/>
      <c r="BV118" s="1256"/>
      <c r="BW118" s="1256"/>
      <c r="BX118" s="1256"/>
      <c r="BY118" s="1256"/>
      <c r="BZ118" s="1256"/>
      <c r="CA118" s="1256"/>
      <c r="CB118" s="1256"/>
      <c r="CC118" s="1256"/>
      <c r="CD118" s="1256"/>
      <c r="CE118" s="1256"/>
      <c r="CF118" s="1944"/>
    </row>
    <row customHeight="1" ht="5.25" hidden="1">
      <c r="A119" s="1888"/>
      <c r="B119" s="1732"/>
      <c r="C119" s="1732"/>
      <c r="D119" s="3219"/>
      <c r="E119" s="1139"/>
      <c r="F119" s="1139"/>
      <c r="G119" s="1139"/>
      <c r="H119" s="1139"/>
      <c r="I119" s="1139"/>
      <c r="J119" s="1139"/>
      <c r="K119" s="1139"/>
      <c r="L119" s="1139"/>
      <c r="M119" s="1139"/>
      <c r="N119" s="1139"/>
      <c r="O119" s="1139"/>
      <c r="P119" s="1139"/>
      <c r="Q119" s="1140"/>
      <c r="R119" s="1141"/>
      <c r="S119" s="1142"/>
      <c r="T119" s="824" t="s">
        <v>707</v>
      </c>
      <c r="U119" s="3119">
        <v>1</v>
      </c>
      <c r="V119" s="3119" t="s">
        <v>669</v>
      </c>
      <c r="W119" s="1732"/>
      <c r="X119" s="1732"/>
      <c r="Y119" s="1732"/>
      <c r="Z119" s="1732"/>
      <c r="AA119" s="1732"/>
      <c r="AB119" s="1732"/>
      <c r="AC119" s="1137"/>
      <c r="AD119" s="1138"/>
      <c r="AE119" s="1732"/>
      <c r="AF119" s="1732"/>
      <c r="AG119" s="1732"/>
      <c r="AH119" s="1732"/>
      <c r="AI119" s="1732"/>
      <c r="AJ119" s="1732"/>
      <c r="AK119" s="1732"/>
      <c r="AL119" s="1732"/>
      <c r="AM119" s="1732"/>
      <c r="AN119" s="1732"/>
      <c r="AO119" s="1732"/>
      <c r="AP119" s="1732"/>
      <c r="AQ119" s="1732"/>
      <c r="AR119" s="1732"/>
      <c r="AS119" s="1732"/>
      <c r="AT119" s="1732"/>
      <c r="AU119" s="1732"/>
      <c r="AV119" s="1732"/>
      <c r="AW119" s="1732"/>
      <c r="AX119" s="1732"/>
      <c r="AY119" s="1732"/>
      <c r="AZ119" s="1732"/>
      <c r="BA119" s="1732"/>
      <c r="BB119" s="1732"/>
      <c r="BC119" s="1732"/>
      <c r="BD119" s="1732"/>
      <c r="BE119" s="1732"/>
      <c r="BF119" s="1732"/>
      <c r="BG119" s="1732"/>
      <c r="BH119" s="1732"/>
      <c r="BI119" s="1732"/>
      <c r="BJ119" s="1732"/>
      <c r="BK119" s="1732"/>
      <c r="BL119" s="1732"/>
      <c r="BM119" s="1732"/>
      <c r="BN119" s="1732"/>
      <c r="BO119" s="1732"/>
      <c r="BP119" s="1732"/>
      <c r="BQ119" s="1732"/>
      <c r="BR119" s="1732"/>
      <c r="BS119" s="1732"/>
      <c r="BT119" s="1732"/>
      <c r="BU119" s="1732"/>
      <c r="BV119" s="1732"/>
      <c r="BW119" s="1732"/>
      <c r="BX119" s="1732"/>
      <c r="BY119" s="1732"/>
      <c r="BZ119" s="1732"/>
      <c r="CA119" s="1732"/>
      <c r="CB119" s="1732"/>
      <c r="CC119" s="1732"/>
      <c r="CD119" s="1732"/>
      <c r="CE119" s="1732"/>
      <c r="CF119" s="1412"/>
    </row>
    <row customHeight="1" ht="5.25" hidden="1">
      <c r="A120" s="1888"/>
      <c r="B120" s="1732"/>
      <c r="C120" s="1732"/>
      <c r="D120" s="3219"/>
      <c r="E120" s="742"/>
      <c r="F120" s="742"/>
      <c r="G120" s="742"/>
      <c r="H120" s="742"/>
      <c r="I120" s="742"/>
      <c r="J120" s="742"/>
      <c r="K120" s="742"/>
      <c r="L120" s="742"/>
      <c r="M120" s="742"/>
      <c r="N120" s="742"/>
      <c r="O120" s="742"/>
      <c r="P120" s="742"/>
      <c r="Q120" s="742"/>
      <c r="R120" s="742"/>
      <c r="S120" s="743"/>
      <c r="T120" s="825"/>
      <c r="U120" s="3119"/>
      <c r="V120" s="3119"/>
      <c r="W120" s="1732"/>
      <c r="X120" s="1732"/>
      <c r="Y120" s="1732"/>
      <c r="Z120" s="1732"/>
      <c r="AA120" s="1732"/>
      <c r="AB120" s="1732"/>
      <c r="AC120" s="1137"/>
      <c r="AD120" s="1138"/>
      <c r="AE120" s="1732"/>
      <c r="AF120" s="1732"/>
      <c r="AG120" s="1732"/>
      <c r="AH120" s="1732"/>
      <c r="AI120" s="1732"/>
      <c r="AJ120" s="1732"/>
      <c r="AK120" s="1732"/>
      <c r="AL120" s="1732"/>
      <c r="AM120" s="1732"/>
      <c r="AN120" s="1732"/>
      <c r="AO120" s="1732"/>
      <c r="AP120" s="1732"/>
      <c r="AQ120" s="1732"/>
      <c r="AR120" s="1732"/>
      <c r="AS120" s="1732"/>
      <c r="AT120" s="1732"/>
      <c r="AU120" s="1732"/>
      <c r="AV120" s="1732"/>
      <c r="AW120" s="1732"/>
      <c r="AX120" s="1732"/>
      <c r="AY120" s="1732"/>
      <c r="AZ120" s="1732"/>
      <c r="BA120" s="1732"/>
      <c r="BB120" s="1732"/>
      <c r="BC120" s="1732"/>
      <c r="BD120" s="1732"/>
      <c r="BE120" s="1732"/>
      <c r="BF120" s="1732"/>
      <c r="BG120" s="1732"/>
      <c r="BH120" s="1732"/>
      <c r="BI120" s="1732"/>
      <c r="BJ120" s="1732"/>
      <c r="BK120" s="1732"/>
      <c r="BL120" s="1732"/>
      <c r="BM120" s="1732"/>
      <c r="BN120" s="1732"/>
      <c r="BO120" s="1732"/>
      <c r="BP120" s="1732"/>
      <c r="BQ120" s="1732"/>
      <c r="BR120" s="1732"/>
      <c r="BS120" s="1732"/>
      <c r="BT120" s="1732"/>
      <c r="BU120" s="1732"/>
      <c r="BV120" s="1732"/>
      <c r="BW120" s="1732"/>
      <c r="BX120" s="1732"/>
      <c r="BY120" s="1732"/>
      <c r="BZ120" s="1732"/>
      <c r="CA120" s="1732"/>
      <c r="CB120" s="1732"/>
      <c r="CC120" s="1732"/>
      <c r="CD120" s="1732"/>
      <c r="CE120" s="1732"/>
      <c r="CF120" s="1412"/>
    </row>
    <row customHeight="1" ht="5.25" hidden="1">
      <c r="A121" s="1888"/>
      <c r="B121" s="1732"/>
      <c r="C121" s="1732"/>
      <c r="D121" s="3220"/>
      <c r="E121" s="1143"/>
      <c r="F121" s="1144"/>
      <c r="G121" s="1144"/>
      <c r="H121" s="1145"/>
      <c r="I121" s="1145"/>
      <c r="J121" s="1145"/>
      <c r="K121" s="1145"/>
      <c r="L121" s="1145"/>
      <c r="M121" s="1145"/>
      <c r="N121" s="1145"/>
      <c r="O121" s="1145"/>
      <c r="P121" s="1145"/>
      <c r="Q121" s="1145"/>
      <c r="R121" s="1046"/>
      <c r="S121" s="1146"/>
      <c r="T121" s="825"/>
      <c r="U121" s="3119"/>
      <c r="V121" s="3119"/>
      <c r="W121" s="1732"/>
      <c r="X121" s="1732"/>
      <c r="Y121" s="1732"/>
      <c r="Z121" s="1732"/>
      <c r="AA121" s="1732"/>
      <c r="AB121" s="1732"/>
      <c r="AC121" s="1137"/>
      <c r="AD121" s="1138"/>
      <c r="AE121" s="1732"/>
      <c r="AF121" s="1732"/>
      <c r="AG121" s="1732"/>
      <c r="AH121" s="1732"/>
      <c r="AI121" s="1732"/>
      <c r="AJ121" s="1732"/>
      <c r="AK121" s="1732"/>
      <c r="AL121" s="1732"/>
      <c r="AM121" s="1732"/>
      <c r="AN121" s="1732"/>
      <c r="AO121" s="1732"/>
      <c r="AP121" s="1732"/>
      <c r="AQ121" s="1732"/>
      <c r="AR121" s="1732"/>
      <c r="AS121" s="1732"/>
      <c r="AT121" s="1732"/>
      <c r="AU121" s="1732"/>
      <c r="AV121" s="1732"/>
      <c r="AW121" s="1732"/>
      <c r="AX121" s="1732"/>
      <c r="AY121" s="1732"/>
      <c r="AZ121" s="1732"/>
      <c r="BA121" s="1732"/>
      <c r="BB121" s="1732"/>
      <c r="BC121" s="1732"/>
      <c r="BD121" s="1732"/>
      <c r="BE121" s="1732"/>
      <c r="BF121" s="1732"/>
      <c r="BG121" s="1732"/>
      <c r="BH121" s="1732"/>
      <c r="BI121" s="1732"/>
      <c r="BJ121" s="1732"/>
      <c r="BK121" s="1732"/>
      <c r="BL121" s="1732"/>
      <c r="BM121" s="1732"/>
      <c r="BN121" s="1732"/>
      <c r="BO121" s="1732"/>
      <c r="BP121" s="1732"/>
      <c r="BQ121" s="1732"/>
      <c r="BR121" s="1732"/>
      <c r="BS121" s="1732"/>
      <c r="BT121" s="1732"/>
      <c r="BU121" s="1732"/>
      <c r="BV121" s="1732"/>
      <c r="BW121" s="1732"/>
      <c r="BX121" s="1732"/>
      <c r="BY121" s="1732"/>
      <c r="BZ121" s="1732"/>
      <c r="CA121" s="1732"/>
      <c r="CB121" s="1732"/>
      <c r="CC121" s="1732"/>
      <c r="CD121" s="1732"/>
      <c r="CE121" s="1732"/>
      <c r="CF121" s="1412"/>
    </row>
    <row customHeight="1" ht="15" hidden="1">
      <c r="A122" s="730" t="s">
        <v>179</v>
      </c>
      <c r="B122" s="731"/>
      <c r="C122" s="731" t="s">
        <v>22</v>
      </c>
      <c r="D122" s="3218" t="s">
        <v>722</v>
      </c>
      <c r="E122" s="3215" t="s">
        <v>140</v>
      </c>
      <c r="F122" s="3216"/>
      <c r="G122" s="3217"/>
      <c r="H122" s="3211" t="str">
        <f>IF(A122="","",INDEX(DIFFERENTIATION_UNMERGE_VD,MATCH(A122,DIFFERENTIATION_ID_DIFF,0)))</f>
        <v>Производство. Теплоноситель</v>
      </c>
      <c r="I122" s="3211"/>
      <c r="J122" s="3211"/>
      <c r="K122" s="3211"/>
      <c r="L122" s="3211"/>
      <c r="M122" s="3211"/>
      <c r="N122" s="3211"/>
      <c r="O122" s="3211"/>
      <c r="P122" s="3211"/>
      <c r="Q122" s="3211"/>
      <c r="R122" s="3211"/>
      <c r="S122" s="826"/>
      <c r="T122" s="823"/>
      <c r="U122" s="732"/>
      <c r="V122" s="732"/>
      <c r="W122" s="733"/>
      <c r="X122" s="733"/>
      <c r="Y122" s="733"/>
      <c r="Z122" s="733"/>
      <c r="AA122" s="734"/>
      <c r="AB122" s="735"/>
      <c r="AC122" s="3214"/>
      <c r="AD122" s="736"/>
      <c r="AE122" s="737" t="s">
        <v>22</v>
      </c>
      <c r="AF122" s="737"/>
      <c r="AG122" s="738" t="s">
        <v>704</v>
      </c>
      <c r="AH122" s="739">
        <v>3</v>
      </c>
      <c r="AI122" s="732"/>
      <c r="AJ122" s="732"/>
      <c r="AK122" s="732"/>
      <c r="AL122" s="732"/>
      <c r="AM122" s="732"/>
      <c r="AN122" s="732"/>
      <c r="AO122" s="732"/>
      <c r="AP122" s="732"/>
      <c r="AQ122" s="732"/>
      <c r="AR122" s="732"/>
      <c r="AS122" s="732"/>
      <c r="AT122" s="732"/>
      <c r="AU122" s="732"/>
      <c r="AV122" s="732"/>
      <c r="AW122" s="732"/>
      <c r="AX122" s="732"/>
      <c r="AY122" s="732"/>
      <c r="AZ122" s="732"/>
      <c r="BA122" s="732"/>
      <c r="BB122" s="732"/>
      <c r="BC122" s="732"/>
      <c r="BD122" s="732"/>
      <c r="BE122" s="732"/>
      <c r="BF122" s="732"/>
      <c r="BG122" s="732"/>
      <c r="BH122" s="732"/>
      <c r="BI122" s="732"/>
      <c r="BJ122" s="732"/>
      <c r="BK122" s="732"/>
      <c r="BL122" s="732"/>
      <c r="BM122" s="732"/>
      <c r="BN122" s="732"/>
      <c r="BO122" s="732"/>
      <c r="BP122" s="732"/>
      <c r="BQ122" s="732"/>
      <c r="BR122" s="732"/>
      <c r="BS122" s="732"/>
      <c r="BT122" s="732"/>
      <c r="BU122" s="732"/>
      <c r="BV122" s="733"/>
      <c r="BW122" s="733"/>
      <c r="BX122" s="733"/>
      <c r="BY122" s="733"/>
      <c r="BZ122" s="733"/>
      <c r="CA122" s="733"/>
      <c r="CB122" s="733"/>
      <c r="CC122" s="733"/>
      <c r="CD122" s="733"/>
      <c r="CE122" s="733"/>
      <c r="CF122" s="1944"/>
    </row>
    <row customHeight="1" ht="15" hidden="1">
      <c r="A123" s="730"/>
      <c r="B123" s="731"/>
      <c r="C123" s="731"/>
      <c r="D123" s="3219"/>
      <c r="E123" s="3215" t="s">
        <v>649</v>
      </c>
      <c r="F123" s="3216"/>
      <c r="G123" s="3217"/>
      <c r="H123" s="3211" t="str">
        <f>IF(A122="","",INDEX(DIFFERENTIATION_UNMERGE_AREA,MATCH(A122,DIFFERENTIATION_ID_DIFF,0)))</f>
        <v>Территория 6</v>
      </c>
      <c r="I123" s="3211"/>
      <c r="J123" s="3211"/>
      <c r="K123" s="3211"/>
      <c r="L123" s="3211"/>
      <c r="M123" s="3211"/>
      <c r="N123" s="3211"/>
      <c r="O123" s="3211"/>
      <c r="P123" s="3211"/>
      <c r="Q123" s="3211"/>
      <c r="R123" s="3211"/>
      <c r="S123" s="826"/>
      <c r="T123" s="823"/>
      <c r="U123" s="732"/>
      <c r="V123" s="732"/>
      <c r="W123" s="733"/>
      <c r="X123" s="733"/>
      <c r="Y123" s="733"/>
      <c r="Z123" s="733"/>
      <c r="AA123" s="734"/>
      <c r="AB123" s="735"/>
      <c r="AC123" s="3214"/>
      <c r="AD123" s="736"/>
      <c r="AE123" s="737"/>
      <c r="AF123" s="737"/>
      <c r="AG123" s="738"/>
      <c r="AH123" s="739"/>
      <c r="AI123" s="732"/>
      <c r="AJ123" s="732"/>
      <c r="AK123" s="732"/>
      <c r="AL123" s="732"/>
      <c r="AM123" s="732"/>
      <c r="AN123" s="732"/>
      <c r="AO123" s="732"/>
      <c r="AP123" s="732"/>
      <c r="AQ123" s="732"/>
      <c r="AR123" s="732"/>
      <c r="AS123" s="732"/>
      <c r="AT123" s="732"/>
      <c r="AU123" s="732"/>
      <c r="AV123" s="732"/>
      <c r="AW123" s="732"/>
      <c r="AX123" s="732"/>
      <c r="AY123" s="732"/>
      <c r="AZ123" s="732"/>
      <c r="BA123" s="732"/>
      <c r="BB123" s="732"/>
      <c r="BC123" s="732"/>
      <c r="BD123" s="732"/>
      <c r="BE123" s="732"/>
      <c r="BF123" s="732"/>
      <c r="BG123" s="732"/>
      <c r="BH123" s="732"/>
      <c r="BI123" s="732"/>
      <c r="BJ123" s="732"/>
      <c r="BK123" s="732"/>
      <c r="BL123" s="732"/>
      <c r="BM123" s="732"/>
      <c r="BN123" s="732"/>
      <c r="BO123" s="732"/>
      <c r="BP123" s="732"/>
      <c r="BQ123" s="732"/>
      <c r="BR123" s="732"/>
      <c r="BS123" s="732"/>
      <c r="BT123" s="732"/>
      <c r="BU123" s="732"/>
      <c r="BV123" s="733"/>
      <c r="BW123" s="733"/>
      <c r="BX123" s="733"/>
      <c r="BY123" s="733"/>
      <c r="BZ123" s="733"/>
      <c r="CA123" s="733"/>
      <c r="CB123" s="733"/>
      <c r="CC123" s="733"/>
      <c r="CD123" s="733"/>
      <c r="CE123" s="733"/>
      <c r="CF123" s="1944"/>
    </row>
    <row customHeight="1" ht="15" hidden="1">
      <c r="A124" s="730"/>
      <c r="B124" s="731"/>
      <c r="C124" s="731"/>
      <c r="D124" s="3219"/>
      <c r="E124" s="3215" t="s">
        <v>650</v>
      </c>
      <c r="F124" s="3216"/>
      <c r="G124" s="3217"/>
      <c r="H124" s="3211" t="str">
        <f>IF(A122="","",INDEX(DIFFERENTIATION_UNMERGE_SYSTEM,MATCH(A122,DIFFERENTIATION_ID_DIFF,0)))</f>
        <v>п. Чегдомын</v>
      </c>
      <c r="I124" s="3211"/>
      <c r="J124" s="3211"/>
      <c r="K124" s="3211"/>
      <c r="L124" s="3211"/>
      <c r="M124" s="3211"/>
      <c r="N124" s="3211"/>
      <c r="O124" s="3211"/>
      <c r="P124" s="3211"/>
      <c r="Q124" s="3211"/>
      <c r="R124" s="3211"/>
      <c r="S124" s="826"/>
      <c r="T124" s="823"/>
      <c r="U124" s="732"/>
      <c r="V124" s="732"/>
      <c r="W124" s="733"/>
      <c r="X124" s="733"/>
      <c r="Y124" s="733"/>
      <c r="Z124" s="733"/>
      <c r="AA124" s="734"/>
      <c r="AB124" s="735"/>
      <c r="AC124" s="3214"/>
      <c r="AD124" s="736"/>
      <c r="AE124" s="737"/>
      <c r="AF124" s="737"/>
      <c r="AG124" s="738"/>
      <c r="AH124" s="739"/>
      <c r="AI124" s="732"/>
      <c r="AJ124" s="732"/>
      <c r="AK124" s="732"/>
      <c r="AL124" s="732"/>
      <c r="AM124" s="732"/>
      <c r="AN124" s="732"/>
      <c r="AO124" s="732"/>
      <c r="AP124" s="732"/>
      <c r="AQ124" s="732"/>
      <c r="AR124" s="732"/>
      <c r="AS124" s="732"/>
      <c r="AT124" s="732"/>
      <c r="AU124" s="732"/>
      <c r="AV124" s="732"/>
      <c r="AW124" s="732"/>
      <c r="AX124" s="732"/>
      <c r="AY124" s="732"/>
      <c r="AZ124" s="732"/>
      <c r="BA124" s="732"/>
      <c r="BB124" s="732"/>
      <c r="BC124" s="732"/>
      <c r="BD124" s="732"/>
      <c r="BE124" s="732"/>
      <c r="BF124" s="732"/>
      <c r="BG124" s="732"/>
      <c r="BH124" s="732"/>
      <c r="BI124" s="732"/>
      <c r="BJ124" s="732"/>
      <c r="BK124" s="732"/>
      <c r="BL124" s="732"/>
      <c r="BM124" s="732"/>
      <c r="BN124" s="732"/>
      <c r="BO124" s="732"/>
      <c r="BP124" s="732"/>
      <c r="BQ124" s="732"/>
      <c r="BR124" s="732"/>
      <c r="BS124" s="732"/>
      <c r="BT124" s="732"/>
      <c r="BU124" s="732"/>
      <c r="BV124" s="733"/>
      <c r="BW124" s="733"/>
      <c r="BX124" s="733"/>
      <c r="BY124" s="733"/>
      <c r="BZ124" s="733"/>
      <c r="CA124" s="733"/>
      <c r="CB124" s="733"/>
      <c r="CC124" s="733"/>
      <c r="CD124" s="733"/>
      <c r="CE124" s="733"/>
      <c r="CF124" s="1944"/>
    </row>
    <row customHeight="1" ht="24.75" hidden="1">
      <c r="A125" s="1901"/>
      <c r="B125" s="1256"/>
      <c r="C125" s="519"/>
      <c r="D125" s="3219"/>
      <c r="E125" s="3213" t="s">
        <v>705</v>
      </c>
      <c r="F125" s="3213"/>
      <c r="G125" s="3213"/>
      <c r="H125" s="3213"/>
      <c r="I125" s="3213"/>
      <c r="J125" s="3213"/>
      <c r="K125" s="3213"/>
      <c r="L125" s="3213"/>
      <c r="M125" s="3213"/>
      <c r="N125" s="3213"/>
      <c r="O125" s="3213"/>
      <c r="P125" s="3213"/>
      <c r="Q125" s="665">
        <f>SUMIF(T126:T127,"i",Q126:Q127)</f>
        <v>0</v>
      </c>
      <c r="R125" s="1117"/>
      <c r="S125" s="1893" t="s">
        <v>706</v>
      </c>
      <c r="T125" s="824" t="s">
        <v>707</v>
      </c>
      <c r="U125" s="3119">
        <v>1</v>
      </c>
      <c r="V125" s="3119" t="str">
        <f>INDEX(B_FHD_FLAG_INDEX_1,1,MATCH($A$122,B_FHD_FLAG_DIFFERENTIATION,0))</f>
        <v>отсутствует</v>
      </c>
      <c r="W125" s="1256"/>
      <c r="X125" s="1256"/>
      <c r="Y125" s="1256"/>
      <c r="Z125" s="1256"/>
      <c r="AA125" s="1732"/>
      <c r="AB125" s="1256"/>
      <c r="AC125" s="3214"/>
      <c r="AD125" s="736"/>
      <c r="AE125" s="1256"/>
      <c r="AF125" s="1256"/>
      <c r="AG125" s="1732"/>
      <c r="AH125" s="1732"/>
      <c r="AI125" s="1732"/>
      <c r="AJ125" s="1732"/>
      <c r="AK125" s="1732"/>
      <c r="AL125" s="1732"/>
      <c r="AM125" s="1732"/>
      <c r="AN125" s="1732"/>
      <c r="AO125" s="1732"/>
      <c r="AP125" s="1732"/>
      <c r="AQ125" s="1732"/>
      <c r="AR125" s="1732"/>
      <c r="AS125" s="1732"/>
      <c r="AT125" s="1732"/>
      <c r="AU125" s="1732"/>
      <c r="AV125" s="1732"/>
      <c r="AW125" s="1732"/>
      <c r="AX125" s="1732"/>
      <c r="AY125" s="1732"/>
      <c r="AZ125" s="1732"/>
      <c r="BA125" s="1732"/>
      <c r="BB125" s="1732"/>
      <c r="BC125" s="1732"/>
      <c r="BD125" s="1732"/>
      <c r="BE125" s="1732"/>
      <c r="BF125" s="1732"/>
      <c r="BG125" s="1732"/>
      <c r="BH125" s="1732"/>
      <c r="BI125" s="1732"/>
      <c r="BJ125" s="1732"/>
      <c r="BK125" s="1732"/>
      <c r="BL125" s="1732"/>
      <c r="BM125" s="1732"/>
      <c r="BN125" s="1732"/>
      <c r="BO125" s="1732"/>
      <c r="BP125" s="1732"/>
      <c r="BQ125" s="1732"/>
      <c r="BR125" s="1732"/>
      <c r="BS125" s="1732"/>
      <c r="BT125" s="1732"/>
      <c r="BU125" s="1732"/>
      <c r="BV125" s="1256"/>
      <c r="BW125" s="1256"/>
      <c r="BX125" s="1256"/>
      <c r="BY125" s="1256"/>
      <c r="BZ125" s="1256"/>
      <c r="CA125" s="1256"/>
      <c r="CB125" s="1256"/>
      <c r="CC125" s="1256"/>
      <c r="CD125" s="1256"/>
      <c r="CE125" s="1256"/>
      <c r="CF125" s="1944"/>
    </row>
    <row customHeight="1" ht="11.25" hidden="1">
      <c r="A126" s="1888"/>
      <c r="B126" s="1732"/>
      <c r="C126" s="1732"/>
      <c r="D126" s="3219"/>
      <c r="E126" s="742"/>
      <c r="F126" s="742">
        <v>0</v>
      </c>
      <c r="G126" s="742"/>
      <c r="H126" s="742"/>
      <c r="I126" s="742"/>
      <c r="J126" s="742"/>
      <c r="K126" s="742"/>
      <c r="L126" s="742"/>
      <c r="M126" s="742"/>
      <c r="N126" s="742"/>
      <c r="O126" s="742"/>
      <c r="P126" s="742"/>
      <c r="Q126" s="742"/>
      <c r="R126" s="742"/>
      <c r="S126" s="743"/>
      <c r="T126" s="825"/>
      <c r="U126" s="3119"/>
      <c r="V126" s="3119"/>
      <c r="W126" s="1732"/>
      <c r="X126" s="1732"/>
      <c r="Y126" s="1732"/>
      <c r="Z126" s="1732"/>
      <c r="AA126" s="1732"/>
      <c r="AB126" s="1256"/>
      <c r="AC126" s="3214"/>
      <c r="AD126" s="736"/>
      <c r="AE126" s="1256"/>
      <c r="AF126" s="1256"/>
      <c r="AG126" s="1732"/>
      <c r="AH126" s="1732"/>
      <c r="AI126" s="1732"/>
      <c r="AJ126" s="1732"/>
      <c r="AK126" s="1732"/>
      <c r="AL126" s="1732"/>
      <c r="AM126" s="1732"/>
      <c r="AN126" s="1732"/>
      <c r="AO126" s="1732"/>
      <c r="AP126" s="1732"/>
      <c r="AQ126" s="1732"/>
      <c r="AR126" s="1732"/>
      <c r="AS126" s="1732"/>
      <c r="AT126" s="1732"/>
      <c r="AU126" s="1732"/>
      <c r="AV126" s="1732"/>
      <c r="AW126" s="1732"/>
      <c r="AX126" s="1732"/>
      <c r="AY126" s="1732"/>
      <c r="AZ126" s="1732"/>
      <c r="BA126" s="1732"/>
      <c r="BB126" s="1732"/>
      <c r="BC126" s="1732"/>
      <c r="BD126" s="1732"/>
      <c r="BE126" s="1732"/>
      <c r="BF126" s="1732"/>
      <c r="BG126" s="1732"/>
      <c r="BH126" s="1732"/>
      <c r="BI126" s="1732"/>
      <c r="BJ126" s="1732"/>
      <c r="BK126" s="1732"/>
      <c r="BL126" s="1732"/>
      <c r="BM126" s="1732"/>
      <c r="BN126" s="1732"/>
      <c r="BO126" s="1732"/>
      <c r="BP126" s="1732"/>
      <c r="BQ126" s="1732"/>
      <c r="BR126" s="1732"/>
      <c r="BS126" s="1732"/>
      <c r="BT126" s="1732"/>
      <c r="BU126" s="1732"/>
      <c r="BV126" s="1732"/>
      <c r="BW126" s="1732"/>
      <c r="BX126" s="1732"/>
      <c r="BY126" s="1732"/>
      <c r="BZ126" s="1732"/>
      <c r="CA126" s="1732"/>
      <c r="CB126" s="1732"/>
      <c r="CC126" s="1732"/>
      <c r="CD126" s="1732"/>
      <c r="CE126" s="1732"/>
      <c r="CF126" s="1944"/>
    </row>
    <row customHeight="1" ht="11.25" hidden="1">
      <c r="A127" s="1901"/>
      <c r="B127" s="1256"/>
      <c r="C127" s="519"/>
      <c r="D127" s="3219"/>
      <c r="E127" s="756" t="s">
        <v>22</v>
      </c>
      <c r="F127" s="1264" t="s">
        <v>22</v>
      </c>
      <c r="G127" s="1264" t="s">
        <v>711</v>
      </c>
      <c r="H127" s="758" t="s">
        <v>22</v>
      </c>
      <c r="I127" s="758"/>
      <c r="J127" s="758"/>
      <c r="K127" s="758"/>
      <c r="L127" s="758"/>
      <c r="M127" s="758"/>
      <c r="N127" s="758"/>
      <c r="O127" s="758"/>
      <c r="P127" s="758"/>
      <c r="Q127" s="758"/>
      <c r="R127" s="759"/>
      <c r="S127" s="760"/>
      <c r="T127" s="825"/>
      <c r="U127" s="3119"/>
      <c r="V127" s="3119"/>
      <c r="W127" s="1256"/>
      <c r="X127" s="1256"/>
      <c r="Y127" s="1256"/>
      <c r="Z127" s="1256"/>
      <c r="AA127" s="1732"/>
      <c r="AB127" s="1256"/>
      <c r="AC127" s="3214"/>
      <c r="AD127" s="736"/>
      <c r="AE127" s="1256"/>
      <c r="AF127" s="1256"/>
      <c r="AG127" s="1732"/>
      <c r="AH127" s="1732"/>
      <c r="AI127" s="1732"/>
      <c r="AJ127" s="1732"/>
      <c r="AK127" s="1732"/>
      <c r="AL127" s="1732"/>
      <c r="AM127" s="1732"/>
      <c r="AN127" s="1732"/>
      <c r="AO127" s="1732"/>
      <c r="AP127" s="1732"/>
      <c r="AQ127" s="1732"/>
      <c r="AR127" s="1732"/>
      <c r="AS127" s="1732"/>
      <c r="AT127" s="1732"/>
      <c r="AU127" s="1732"/>
      <c r="AV127" s="1732"/>
      <c r="AW127" s="1732"/>
      <c r="AX127" s="1732"/>
      <c r="AY127" s="1732"/>
      <c r="AZ127" s="1732"/>
      <c r="BA127" s="1732"/>
      <c r="BB127" s="1732"/>
      <c r="BC127" s="1732"/>
      <c r="BD127" s="1732"/>
      <c r="BE127" s="1732"/>
      <c r="BF127" s="1732"/>
      <c r="BG127" s="1732"/>
      <c r="BH127" s="1732"/>
      <c r="BI127" s="1732"/>
      <c r="BJ127" s="1732"/>
      <c r="BK127" s="1732"/>
      <c r="BL127" s="1732"/>
      <c r="BM127" s="1732"/>
      <c r="BN127" s="1732"/>
      <c r="BO127" s="1732"/>
      <c r="BP127" s="1732"/>
      <c r="BQ127" s="1732"/>
      <c r="BR127" s="1732"/>
      <c r="BS127" s="1732"/>
      <c r="BT127" s="1732"/>
      <c r="BU127" s="1732"/>
      <c r="BV127" s="1256"/>
      <c r="BW127" s="1256"/>
      <c r="BX127" s="1256"/>
      <c r="BY127" s="1256"/>
      <c r="BZ127" s="1256"/>
      <c r="CA127" s="1256"/>
      <c r="CB127" s="1256"/>
      <c r="CC127" s="1256"/>
      <c r="CD127" s="1256"/>
      <c r="CE127" s="1256"/>
      <c r="CF127" s="1944"/>
    </row>
    <row customHeight="1" ht="5.25" hidden="1">
      <c r="A128" s="1888"/>
      <c r="B128" s="1732"/>
      <c r="C128" s="1732"/>
      <c r="D128" s="3219"/>
      <c r="E128" s="1139"/>
      <c r="F128" s="1139"/>
      <c r="G128" s="1139"/>
      <c r="H128" s="1139"/>
      <c r="I128" s="1139"/>
      <c r="J128" s="1139"/>
      <c r="K128" s="1139"/>
      <c r="L128" s="1139"/>
      <c r="M128" s="1139"/>
      <c r="N128" s="1139"/>
      <c r="O128" s="1139"/>
      <c r="P128" s="1139"/>
      <c r="Q128" s="1140"/>
      <c r="R128" s="1141"/>
      <c r="S128" s="1142"/>
      <c r="T128" s="824" t="s">
        <v>707</v>
      </c>
      <c r="U128" s="3119">
        <v>1</v>
      </c>
      <c r="V128" s="3119" t="s">
        <v>669</v>
      </c>
      <c r="W128" s="1732"/>
      <c r="X128" s="1732"/>
      <c r="Y128" s="1732"/>
      <c r="Z128" s="1732"/>
      <c r="AA128" s="1732"/>
      <c r="AB128" s="1732"/>
      <c r="AC128" s="1137"/>
      <c r="AD128" s="1138"/>
      <c r="AE128" s="1732"/>
      <c r="AF128" s="1732"/>
      <c r="AG128" s="1732"/>
      <c r="AH128" s="1732"/>
      <c r="AI128" s="1732"/>
      <c r="AJ128" s="1732"/>
      <c r="AK128" s="1732"/>
      <c r="AL128" s="1732"/>
      <c r="AM128" s="1732"/>
      <c r="AN128" s="1732"/>
      <c r="AO128" s="1732"/>
      <c r="AP128" s="1732"/>
      <c r="AQ128" s="1732"/>
      <c r="AR128" s="1732"/>
      <c r="AS128" s="1732"/>
      <c r="AT128" s="1732"/>
      <c r="AU128" s="1732"/>
      <c r="AV128" s="1732"/>
      <c r="AW128" s="1732"/>
      <c r="AX128" s="1732"/>
      <c r="AY128" s="1732"/>
      <c r="AZ128" s="1732"/>
      <c r="BA128" s="1732"/>
      <c r="BB128" s="1732"/>
      <c r="BC128" s="1732"/>
      <c r="BD128" s="1732"/>
      <c r="BE128" s="1732"/>
      <c r="BF128" s="1732"/>
      <c r="BG128" s="1732"/>
      <c r="BH128" s="1732"/>
      <c r="BI128" s="1732"/>
      <c r="BJ128" s="1732"/>
      <c r="BK128" s="1732"/>
      <c r="BL128" s="1732"/>
      <c r="BM128" s="1732"/>
      <c r="BN128" s="1732"/>
      <c r="BO128" s="1732"/>
      <c r="BP128" s="1732"/>
      <c r="BQ128" s="1732"/>
      <c r="BR128" s="1732"/>
      <c r="BS128" s="1732"/>
      <c r="BT128" s="1732"/>
      <c r="BU128" s="1732"/>
      <c r="BV128" s="1732"/>
      <c r="BW128" s="1732"/>
      <c r="BX128" s="1732"/>
      <c r="BY128" s="1732"/>
      <c r="BZ128" s="1732"/>
      <c r="CA128" s="1732"/>
      <c r="CB128" s="1732"/>
      <c r="CC128" s="1732"/>
      <c r="CD128" s="1732"/>
      <c r="CE128" s="1732"/>
      <c r="CF128" s="1412"/>
    </row>
    <row customHeight="1" ht="5.25" hidden="1">
      <c r="A129" s="1888"/>
      <c r="B129" s="1732"/>
      <c r="C129" s="1732"/>
      <c r="D129" s="3219"/>
      <c r="E129" s="742"/>
      <c r="F129" s="742"/>
      <c r="G129" s="742"/>
      <c r="H129" s="742"/>
      <c r="I129" s="742"/>
      <c r="J129" s="742"/>
      <c r="K129" s="742"/>
      <c r="L129" s="742"/>
      <c r="M129" s="742"/>
      <c r="N129" s="742"/>
      <c r="O129" s="742"/>
      <c r="P129" s="742"/>
      <c r="Q129" s="742"/>
      <c r="R129" s="742"/>
      <c r="S129" s="743"/>
      <c r="T129" s="825"/>
      <c r="U129" s="3119"/>
      <c r="V129" s="3119"/>
      <c r="W129" s="1732"/>
      <c r="X129" s="1732"/>
      <c r="Y129" s="1732"/>
      <c r="Z129" s="1732"/>
      <c r="AA129" s="1732"/>
      <c r="AB129" s="1732"/>
      <c r="AC129" s="1137"/>
      <c r="AD129" s="1138"/>
      <c r="AE129" s="1732"/>
      <c r="AF129" s="1732"/>
      <c r="AG129" s="1732"/>
      <c r="AH129" s="1732"/>
      <c r="AI129" s="1732"/>
      <c r="AJ129" s="1732"/>
      <c r="AK129" s="1732"/>
      <c r="AL129" s="1732"/>
      <c r="AM129" s="1732"/>
      <c r="AN129" s="1732"/>
      <c r="AO129" s="1732"/>
      <c r="AP129" s="1732"/>
      <c r="AQ129" s="1732"/>
      <c r="AR129" s="1732"/>
      <c r="AS129" s="1732"/>
      <c r="AT129" s="1732"/>
      <c r="AU129" s="1732"/>
      <c r="AV129" s="1732"/>
      <c r="AW129" s="1732"/>
      <c r="AX129" s="1732"/>
      <c r="AY129" s="1732"/>
      <c r="AZ129" s="1732"/>
      <c r="BA129" s="1732"/>
      <c r="BB129" s="1732"/>
      <c r="BC129" s="1732"/>
      <c r="BD129" s="1732"/>
      <c r="BE129" s="1732"/>
      <c r="BF129" s="1732"/>
      <c r="BG129" s="1732"/>
      <c r="BH129" s="1732"/>
      <c r="BI129" s="1732"/>
      <c r="BJ129" s="1732"/>
      <c r="BK129" s="1732"/>
      <c r="BL129" s="1732"/>
      <c r="BM129" s="1732"/>
      <c r="BN129" s="1732"/>
      <c r="BO129" s="1732"/>
      <c r="BP129" s="1732"/>
      <c r="BQ129" s="1732"/>
      <c r="BR129" s="1732"/>
      <c r="BS129" s="1732"/>
      <c r="BT129" s="1732"/>
      <c r="BU129" s="1732"/>
      <c r="BV129" s="1732"/>
      <c r="BW129" s="1732"/>
      <c r="BX129" s="1732"/>
      <c r="BY129" s="1732"/>
      <c r="BZ129" s="1732"/>
      <c r="CA129" s="1732"/>
      <c r="CB129" s="1732"/>
      <c r="CC129" s="1732"/>
      <c r="CD129" s="1732"/>
      <c r="CE129" s="1732"/>
      <c r="CF129" s="1412"/>
    </row>
    <row customHeight="1" ht="5.25" hidden="1">
      <c r="A130" s="1888"/>
      <c r="B130" s="1732"/>
      <c r="C130" s="1732"/>
      <c r="D130" s="3220"/>
      <c r="E130" s="1143"/>
      <c r="F130" s="1144"/>
      <c r="G130" s="1144"/>
      <c r="H130" s="1145"/>
      <c r="I130" s="1145"/>
      <c r="J130" s="1145"/>
      <c r="K130" s="1145"/>
      <c r="L130" s="1145"/>
      <c r="M130" s="1145"/>
      <c r="N130" s="1145"/>
      <c r="O130" s="1145"/>
      <c r="P130" s="1145"/>
      <c r="Q130" s="1145"/>
      <c r="R130" s="1046"/>
      <c r="S130" s="1146"/>
      <c r="T130" s="825"/>
      <c r="U130" s="3119"/>
      <c r="V130" s="3119"/>
      <c r="W130" s="1732"/>
      <c r="X130" s="1732"/>
      <c r="Y130" s="1732"/>
      <c r="Z130" s="1732"/>
      <c r="AA130" s="1732"/>
      <c r="AB130" s="1732"/>
      <c r="AC130" s="1137"/>
      <c r="AD130" s="1138"/>
      <c r="AE130" s="1732"/>
      <c r="AF130" s="1732"/>
      <c r="AG130" s="1732"/>
      <c r="AH130" s="1732"/>
      <c r="AI130" s="1732"/>
      <c r="AJ130" s="1732"/>
      <c r="AK130" s="1732"/>
      <c r="AL130" s="1732"/>
      <c r="AM130" s="1732"/>
      <c r="AN130" s="1732"/>
      <c r="AO130" s="1732"/>
      <c r="AP130" s="1732"/>
      <c r="AQ130" s="1732"/>
      <c r="AR130" s="1732"/>
      <c r="AS130" s="1732"/>
      <c r="AT130" s="1732"/>
      <c r="AU130" s="1732"/>
      <c r="AV130" s="1732"/>
      <c r="AW130" s="1732"/>
      <c r="AX130" s="1732"/>
      <c r="AY130" s="1732"/>
      <c r="AZ130" s="1732"/>
      <c r="BA130" s="1732"/>
      <c r="BB130" s="1732"/>
      <c r="BC130" s="1732"/>
      <c r="BD130" s="1732"/>
      <c r="BE130" s="1732"/>
      <c r="BF130" s="1732"/>
      <c r="BG130" s="1732"/>
      <c r="BH130" s="1732"/>
      <c r="BI130" s="1732"/>
      <c r="BJ130" s="1732"/>
      <c r="BK130" s="1732"/>
      <c r="BL130" s="1732"/>
      <c r="BM130" s="1732"/>
      <c r="BN130" s="1732"/>
      <c r="BO130" s="1732"/>
      <c r="BP130" s="1732"/>
      <c r="BQ130" s="1732"/>
      <c r="BR130" s="1732"/>
      <c r="BS130" s="1732"/>
      <c r="BT130" s="1732"/>
      <c r="BU130" s="1732"/>
      <c r="BV130" s="1732"/>
      <c r="BW130" s="1732"/>
      <c r="BX130" s="1732"/>
      <c r="BY130" s="1732"/>
      <c r="BZ130" s="1732"/>
      <c r="CA130" s="1732"/>
      <c r="CB130" s="1732"/>
      <c r="CC130" s="1732"/>
      <c r="CD130" s="1732"/>
      <c r="CE130" s="1732"/>
      <c r="CF130" s="1412"/>
    </row>
    <row customHeight="1" ht="15" hidden="1">
      <c r="A131" s="730" t="s">
        <v>181</v>
      </c>
      <c r="B131" s="731"/>
      <c r="C131" s="731" t="s">
        <v>22</v>
      </c>
      <c r="D131" s="3218" t="s">
        <v>723</v>
      </c>
      <c r="E131" s="3215" t="s">
        <v>140</v>
      </c>
      <c r="F131" s="3216"/>
      <c r="G131" s="3217"/>
      <c r="H131" s="3211" t="str">
        <f>IF(A131="","",INDEX(DIFFERENTIATION_UNMERGE_VD,MATCH(A131,DIFFERENTIATION_ID_DIFF,0)))</f>
        <v>Производство. Теплоноситель</v>
      </c>
      <c r="I131" s="3211"/>
      <c r="J131" s="3211"/>
      <c r="K131" s="3211"/>
      <c r="L131" s="3211"/>
      <c r="M131" s="3211"/>
      <c r="N131" s="3211"/>
      <c r="O131" s="3211"/>
      <c r="P131" s="3211"/>
      <c r="Q131" s="3211"/>
      <c r="R131" s="3211"/>
      <c r="S131" s="826"/>
      <c r="T131" s="823"/>
      <c r="U131" s="732"/>
      <c r="V131" s="732"/>
      <c r="W131" s="733"/>
      <c r="X131" s="733"/>
      <c r="Y131" s="733"/>
      <c r="Z131" s="733"/>
      <c r="AA131" s="734"/>
      <c r="AB131" s="735"/>
      <c r="AC131" s="3214"/>
      <c r="AD131" s="736"/>
      <c r="AE131" s="737" t="s">
        <v>22</v>
      </c>
      <c r="AF131" s="737"/>
      <c r="AG131" s="738" t="s">
        <v>704</v>
      </c>
      <c r="AH131" s="739">
        <v>3</v>
      </c>
      <c r="AI131" s="732"/>
      <c r="AJ131" s="732"/>
      <c r="AK131" s="732"/>
      <c r="AL131" s="732"/>
      <c r="AM131" s="732"/>
      <c r="AN131" s="732"/>
      <c r="AO131" s="732"/>
      <c r="AP131" s="732"/>
      <c r="AQ131" s="732"/>
      <c r="AR131" s="732"/>
      <c r="AS131" s="732"/>
      <c r="AT131" s="732"/>
      <c r="AU131" s="732"/>
      <c r="AV131" s="732"/>
      <c r="AW131" s="732"/>
      <c r="AX131" s="732"/>
      <c r="AY131" s="732"/>
      <c r="AZ131" s="732"/>
      <c r="BA131" s="732"/>
      <c r="BB131" s="732"/>
      <c r="BC131" s="732"/>
      <c r="BD131" s="732"/>
      <c r="BE131" s="732"/>
      <c r="BF131" s="732"/>
      <c r="BG131" s="732"/>
      <c r="BH131" s="732"/>
      <c r="BI131" s="732"/>
      <c r="BJ131" s="732"/>
      <c r="BK131" s="732"/>
      <c r="BL131" s="732"/>
      <c r="BM131" s="732"/>
      <c r="BN131" s="732"/>
      <c r="BO131" s="732"/>
      <c r="BP131" s="732"/>
      <c r="BQ131" s="732"/>
      <c r="BR131" s="732"/>
      <c r="BS131" s="732"/>
      <c r="BT131" s="732"/>
      <c r="BU131" s="732"/>
      <c r="BV131" s="733"/>
      <c r="BW131" s="733"/>
      <c r="BX131" s="733"/>
      <c r="BY131" s="733"/>
      <c r="BZ131" s="733"/>
      <c r="CA131" s="733"/>
      <c r="CB131" s="733"/>
      <c r="CC131" s="733"/>
      <c r="CD131" s="733"/>
      <c r="CE131" s="733"/>
      <c r="CF131" s="1944"/>
    </row>
    <row customHeight="1" ht="15" hidden="1">
      <c r="A132" s="730"/>
      <c r="B132" s="731"/>
      <c r="C132" s="731"/>
      <c r="D132" s="3219"/>
      <c r="E132" s="3215" t="s">
        <v>649</v>
      </c>
      <c r="F132" s="3216"/>
      <c r="G132" s="3217"/>
      <c r="H132" s="3211" t="str">
        <f>IF(A131="","",INDEX(DIFFERENTIATION_UNMERGE_AREA,MATCH(A131,DIFFERENTIATION_ID_DIFF,0)))</f>
        <v>Территория 7</v>
      </c>
      <c r="I132" s="3211"/>
      <c r="J132" s="3211"/>
      <c r="K132" s="3211"/>
      <c r="L132" s="3211"/>
      <c r="M132" s="3211"/>
      <c r="N132" s="3211"/>
      <c r="O132" s="3211"/>
      <c r="P132" s="3211"/>
      <c r="Q132" s="3211"/>
      <c r="R132" s="3211"/>
      <c r="S132" s="826"/>
      <c r="T132" s="823"/>
      <c r="U132" s="732"/>
      <c r="V132" s="732"/>
      <c r="W132" s="733"/>
      <c r="X132" s="733"/>
      <c r="Y132" s="733"/>
      <c r="Z132" s="733"/>
      <c r="AA132" s="734"/>
      <c r="AB132" s="735"/>
      <c r="AC132" s="3214"/>
      <c r="AD132" s="736"/>
      <c r="AE132" s="737"/>
      <c r="AF132" s="737"/>
      <c r="AG132" s="738"/>
      <c r="AH132" s="739"/>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c r="BH132" s="732"/>
      <c r="BI132" s="732"/>
      <c r="BJ132" s="732"/>
      <c r="BK132" s="732"/>
      <c r="BL132" s="732"/>
      <c r="BM132" s="732"/>
      <c r="BN132" s="732"/>
      <c r="BO132" s="732"/>
      <c r="BP132" s="732"/>
      <c r="BQ132" s="732"/>
      <c r="BR132" s="732"/>
      <c r="BS132" s="732"/>
      <c r="BT132" s="732"/>
      <c r="BU132" s="732"/>
      <c r="BV132" s="733"/>
      <c r="BW132" s="733"/>
      <c r="BX132" s="733"/>
      <c r="BY132" s="733"/>
      <c r="BZ132" s="733"/>
      <c r="CA132" s="733"/>
      <c r="CB132" s="733"/>
      <c r="CC132" s="733"/>
      <c r="CD132" s="733"/>
      <c r="CE132" s="733"/>
      <c r="CF132" s="1944"/>
    </row>
    <row customHeight="1" ht="15" hidden="1">
      <c r="A133" s="730"/>
      <c r="B133" s="731"/>
      <c r="C133" s="731"/>
      <c r="D133" s="3219"/>
      <c r="E133" s="3215" t="s">
        <v>650</v>
      </c>
      <c r="F133" s="3216"/>
      <c r="G133" s="3217"/>
      <c r="H133" s="3211" t="str">
        <f>IF(A131="","",INDEX(DIFFERENTIATION_UNMERGE_SYSTEM,MATCH(A131,DIFFERENTIATION_ID_DIFF,0)))</f>
        <v>г. Советская Гавань</v>
      </c>
      <c r="I133" s="3211"/>
      <c r="J133" s="3211"/>
      <c r="K133" s="3211"/>
      <c r="L133" s="3211"/>
      <c r="M133" s="3211"/>
      <c r="N133" s="3211"/>
      <c r="O133" s="3211"/>
      <c r="P133" s="3211"/>
      <c r="Q133" s="3211"/>
      <c r="R133" s="3211"/>
      <c r="S133" s="826"/>
      <c r="T133" s="823"/>
      <c r="U133" s="732"/>
      <c r="V133" s="732"/>
      <c r="W133" s="733"/>
      <c r="X133" s="733"/>
      <c r="Y133" s="733"/>
      <c r="Z133" s="733"/>
      <c r="AA133" s="734"/>
      <c r="AB133" s="735"/>
      <c r="AC133" s="3214"/>
      <c r="AD133" s="736"/>
      <c r="AE133" s="737"/>
      <c r="AF133" s="737"/>
      <c r="AG133" s="738"/>
      <c r="AH133" s="739"/>
      <c r="AI133" s="732"/>
      <c r="AJ133" s="732"/>
      <c r="AK133" s="732"/>
      <c r="AL133" s="732"/>
      <c r="AM133" s="732"/>
      <c r="AN133" s="732"/>
      <c r="AO133" s="732"/>
      <c r="AP133" s="732"/>
      <c r="AQ133" s="732"/>
      <c r="AR133" s="732"/>
      <c r="AS133" s="732"/>
      <c r="AT133" s="732"/>
      <c r="AU133" s="732"/>
      <c r="AV133" s="732"/>
      <c r="AW133" s="732"/>
      <c r="AX133" s="732"/>
      <c r="AY133" s="732"/>
      <c r="AZ133" s="732"/>
      <c r="BA133" s="732"/>
      <c r="BB133" s="732"/>
      <c r="BC133" s="732"/>
      <c r="BD133" s="732"/>
      <c r="BE133" s="732"/>
      <c r="BF133" s="732"/>
      <c r="BG133" s="732"/>
      <c r="BH133" s="732"/>
      <c r="BI133" s="732"/>
      <c r="BJ133" s="732"/>
      <c r="BK133" s="732"/>
      <c r="BL133" s="732"/>
      <c r="BM133" s="732"/>
      <c r="BN133" s="732"/>
      <c r="BO133" s="732"/>
      <c r="BP133" s="732"/>
      <c r="BQ133" s="732"/>
      <c r="BR133" s="732"/>
      <c r="BS133" s="732"/>
      <c r="BT133" s="732"/>
      <c r="BU133" s="732"/>
      <c r="BV133" s="733"/>
      <c r="BW133" s="733"/>
      <c r="BX133" s="733"/>
      <c r="BY133" s="733"/>
      <c r="BZ133" s="733"/>
      <c r="CA133" s="733"/>
      <c r="CB133" s="733"/>
      <c r="CC133" s="733"/>
      <c r="CD133" s="733"/>
      <c r="CE133" s="733"/>
      <c r="CF133" s="1944"/>
    </row>
    <row customHeight="1" ht="24.75" hidden="1">
      <c r="A134" s="1901"/>
      <c r="B134" s="1256"/>
      <c r="C134" s="519"/>
      <c r="D134" s="3219"/>
      <c r="E134" s="3213" t="s">
        <v>705</v>
      </c>
      <c r="F134" s="3213"/>
      <c r="G134" s="3213"/>
      <c r="H134" s="3213"/>
      <c r="I134" s="3213"/>
      <c r="J134" s="3213"/>
      <c r="K134" s="3213"/>
      <c r="L134" s="3213"/>
      <c r="M134" s="3213"/>
      <c r="N134" s="3213"/>
      <c r="O134" s="3213"/>
      <c r="P134" s="3213"/>
      <c r="Q134" s="665">
        <f>SUMIF(T135:T136,"i",Q135:Q136)</f>
        <v>0</v>
      </c>
      <c r="R134" s="1117"/>
      <c r="S134" s="1893" t="s">
        <v>706</v>
      </c>
      <c r="T134" s="824" t="s">
        <v>707</v>
      </c>
      <c r="U134" s="3119">
        <v>1</v>
      </c>
      <c r="V134" s="3119" t="str">
        <f>INDEX(B_FHD_FLAG_INDEX_1,1,MATCH($A$131,B_FHD_FLAG_DIFFERENTIATION,0))</f>
        <v>отсутствует</v>
      </c>
      <c r="W134" s="1256"/>
      <c r="X134" s="1256"/>
      <c r="Y134" s="1256"/>
      <c r="Z134" s="1256"/>
      <c r="AA134" s="1732"/>
      <c r="AB134" s="1256"/>
      <c r="AC134" s="3214"/>
      <c r="AD134" s="736"/>
      <c r="AE134" s="1256"/>
      <c r="AF134" s="1256"/>
      <c r="AG134" s="1732"/>
      <c r="AH134" s="1732"/>
      <c r="AI134" s="1732"/>
      <c r="AJ134" s="1732"/>
      <c r="AK134" s="1732"/>
      <c r="AL134" s="1732"/>
      <c r="AM134" s="1732"/>
      <c r="AN134" s="1732"/>
      <c r="AO134" s="1732"/>
      <c r="AP134" s="1732"/>
      <c r="AQ134" s="1732"/>
      <c r="AR134" s="1732"/>
      <c r="AS134" s="1732"/>
      <c r="AT134" s="1732"/>
      <c r="AU134" s="1732"/>
      <c r="AV134" s="1732"/>
      <c r="AW134" s="1732"/>
      <c r="AX134" s="1732"/>
      <c r="AY134" s="1732"/>
      <c r="AZ134" s="1732"/>
      <c r="BA134" s="1732"/>
      <c r="BB134" s="1732"/>
      <c r="BC134" s="1732"/>
      <c r="BD134" s="1732"/>
      <c r="BE134" s="1732"/>
      <c r="BF134" s="1732"/>
      <c r="BG134" s="1732"/>
      <c r="BH134" s="1732"/>
      <c r="BI134" s="1732"/>
      <c r="BJ134" s="1732"/>
      <c r="BK134" s="1732"/>
      <c r="BL134" s="1732"/>
      <c r="BM134" s="1732"/>
      <c r="BN134" s="1732"/>
      <c r="BO134" s="1732"/>
      <c r="BP134" s="1732"/>
      <c r="BQ134" s="1732"/>
      <c r="BR134" s="1732"/>
      <c r="BS134" s="1732"/>
      <c r="BT134" s="1732"/>
      <c r="BU134" s="1732"/>
      <c r="BV134" s="1256"/>
      <c r="BW134" s="1256"/>
      <c r="BX134" s="1256"/>
      <c r="BY134" s="1256"/>
      <c r="BZ134" s="1256"/>
      <c r="CA134" s="1256"/>
      <c r="CB134" s="1256"/>
      <c r="CC134" s="1256"/>
      <c r="CD134" s="1256"/>
      <c r="CE134" s="1256"/>
      <c r="CF134" s="1944"/>
    </row>
    <row customHeight="1" ht="11.25" hidden="1">
      <c r="A135" s="1888"/>
      <c r="B135" s="1732"/>
      <c r="C135" s="1732"/>
      <c r="D135" s="3219"/>
      <c r="E135" s="742"/>
      <c r="F135" s="742">
        <v>0</v>
      </c>
      <c r="G135" s="742"/>
      <c r="H135" s="742"/>
      <c r="I135" s="742"/>
      <c r="J135" s="742"/>
      <c r="K135" s="742"/>
      <c r="L135" s="742"/>
      <c r="M135" s="742"/>
      <c r="N135" s="742"/>
      <c r="O135" s="742"/>
      <c r="P135" s="742"/>
      <c r="Q135" s="742"/>
      <c r="R135" s="742"/>
      <c r="S135" s="743"/>
      <c r="T135" s="825"/>
      <c r="U135" s="3119"/>
      <c r="V135" s="3119"/>
      <c r="W135" s="1732"/>
      <c r="X135" s="1732"/>
      <c r="Y135" s="1732"/>
      <c r="Z135" s="1732"/>
      <c r="AA135" s="1732"/>
      <c r="AB135" s="1256"/>
      <c r="AC135" s="3214"/>
      <c r="AD135" s="736"/>
      <c r="AE135" s="1256"/>
      <c r="AF135" s="1256"/>
      <c r="AG135" s="1732"/>
      <c r="AH135" s="1732"/>
      <c r="AI135" s="1732"/>
      <c r="AJ135" s="1732"/>
      <c r="AK135" s="1732"/>
      <c r="AL135" s="1732"/>
      <c r="AM135" s="1732"/>
      <c r="AN135" s="1732"/>
      <c r="AO135" s="1732"/>
      <c r="AP135" s="1732"/>
      <c r="AQ135" s="1732"/>
      <c r="AR135" s="1732"/>
      <c r="AS135" s="1732"/>
      <c r="AT135" s="1732"/>
      <c r="AU135" s="1732"/>
      <c r="AV135" s="1732"/>
      <c r="AW135" s="1732"/>
      <c r="AX135" s="1732"/>
      <c r="AY135" s="1732"/>
      <c r="AZ135" s="1732"/>
      <c r="BA135" s="1732"/>
      <c r="BB135" s="1732"/>
      <c r="BC135" s="1732"/>
      <c r="BD135" s="1732"/>
      <c r="BE135" s="1732"/>
      <c r="BF135" s="1732"/>
      <c r="BG135" s="1732"/>
      <c r="BH135" s="1732"/>
      <c r="BI135" s="1732"/>
      <c r="BJ135" s="1732"/>
      <c r="BK135" s="1732"/>
      <c r="BL135" s="1732"/>
      <c r="BM135" s="1732"/>
      <c r="BN135" s="1732"/>
      <c r="BO135" s="1732"/>
      <c r="BP135" s="1732"/>
      <c r="BQ135" s="1732"/>
      <c r="BR135" s="1732"/>
      <c r="BS135" s="1732"/>
      <c r="BT135" s="1732"/>
      <c r="BU135" s="1732"/>
      <c r="BV135" s="1732"/>
      <c r="BW135" s="1732"/>
      <c r="BX135" s="1732"/>
      <c r="BY135" s="1732"/>
      <c r="BZ135" s="1732"/>
      <c r="CA135" s="1732"/>
      <c r="CB135" s="1732"/>
      <c r="CC135" s="1732"/>
      <c r="CD135" s="1732"/>
      <c r="CE135" s="1732"/>
      <c r="CF135" s="1944"/>
    </row>
    <row customHeight="1" ht="11.25" hidden="1">
      <c r="A136" s="1901"/>
      <c r="B136" s="1256"/>
      <c r="C136" s="519"/>
      <c r="D136" s="3219"/>
      <c r="E136" s="756" t="s">
        <v>22</v>
      </c>
      <c r="F136" s="1264" t="s">
        <v>22</v>
      </c>
      <c r="G136" s="1264" t="s">
        <v>711</v>
      </c>
      <c r="H136" s="758" t="s">
        <v>22</v>
      </c>
      <c r="I136" s="758"/>
      <c r="J136" s="758"/>
      <c r="K136" s="758"/>
      <c r="L136" s="758"/>
      <c r="M136" s="758"/>
      <c r="N136" s="758"/>
      <c r="O136" s="758"/>
      <c r="P136" s="758"/>
      <c r="Q136" s="758"/>
      <c r="R136" s="759"/>
      <c r="S136" s="760"/>
      <c r="T136" s="825"/>
      <c r="U136" s="3119"/>
      <c r="V136" s="3119"/>
      <c r="W136" s="1256"/>
      <c r="X136" s="1256"/>
      <c r="Y136" s="1256"/>
      <c r="Z136" s="1256"/>
      <c r="AA136" s="1732"/>
      <c r="AB136" s="1256"/>
      <c r="AC136" s="3214"/>
      <c r="AD136" s="736"/>
      <c r="AE136" s="1256"/>
      <c r="AF136" s="1256"/>
      <c r="AG136" s="1732"/>
      <c r="AH136" s="1732"/>
      <c r="AI136" s="1732"/>
      <c r="AJ136" s="1732"/>
      <c r="AK136" s="1732"/>
      <c r="AL136" s="1732"/>
      <c r="AM136" s="1732"/>
      <c r="AN136" s="1732"/>
      <c r="AO136" s="1732"/>
      <c r="AP136" s="1732"/>
      <c r="AQ136" s="1732"/>
      <c r="AR136" s="1732"/>
      <c r="AS136" s="1732"/>
      <c r="AT136" s="1732"/>
      <c r="AU136" s="1732"/>
      <c r="AV136" s="1732"/>
      <c r="AW136" s="1732"/>
      <c r="AX136" s="1732"/>
      <c r="AY136" s="1732"/>
      <c r="AZ136" s="1732"/>
      <c r="BA136" s="1732"/>
      <c r="BB136" s="1732"/>
      <c r="BC136" s="1732"/>
      <c r="BD136" s="1732"/>
      <c r="BE136" s="1732"/>
      <c r="BF136" s="1732"/>
      <c r="BG136" s="1732"/>
      <c r="BH136" s="1732"/>
      <c r="BI136" s="1732"/>
      <c r="BJ136" s="1732"/>
      <c r="BK136" s="1732"/>
      <c r="BL136" s="1732"/>
      <c r="BM136" s="1732"/>
      <c r="BN136" s="1732"/>
      <c r="BO136" s="1732"/>
      <c r="BP136" s="1732"/>
      <c r="BQ136" s="1732"/>
      <c r="BR136" s="1732"/>
      <c r="BS136" s="1732"/>
      <c r="BT136" s="1732"/>
      <c r="BU136" s="1732"/>
      <c r="BV136" s="1256"/>
      <c r="BW136" s="1256"/>
      <c r="BX136" s="1256"/>
      <c r="BY136" s="1256"/>
      <c r="BZ136" s="1256"/>
      <c r="CA136" s="1256"/>
      <c r="CB136" s="1256"/>
      <c r="CC136" s="1256"/>
      <c r="CD136" s="1256"/>
      <c r="CE136" s="1256"/>
      <c r="CF136" s="1944"/>
    </row>
    <row customHeight="1" ht="5.25" hidden="1">
      <c r="A137" s="1888"/>
      <c r="B137" s="1732"/>
      <c r="C137" s="1732"/>
      <c r="D137" s="3219"/>
      <c r="E137" s="1139"/>
      <c r="F137" s="1139"/>
      <c r="G137" s="1139"/>
      <c r="H137" s="1139"/>
      <c r="I137" s="1139"/>
      <c r="J137" s="1139"/>
      <c r="K137" s="1139"/>
      <c r="L137" s="1139"/>
      <c r="M137" s="1139"/>
      <c r="N137" s="1139"/>
      <c r="O137" s="1139"/>
      <c r="P137" s="1139"/>
      <c r="Q137" s="1140"/>
      <c r="R137" s="1141"/>
      <c r="S137" s="1142"/>
      <c r="T137" s="824" t="s">
        <v>707</v>
      </c>
      <c r="U137" s="3119">
        <v>1</v>
      </c>
      <c r="V137" s="3119" t="s">
        <v>669</v>
      </c>
      <c r="W137" s="1732"/>
      <c r="X137" s="1732"/>
      <c r="Y137" s="1732"/>
      <c r="Z137" s="1732"/>
      <c r="AA137" s="1732"/>
      <c r="AB137" s="1732"/>
      <c r="AC137" s="1137"/>
      <c r="AD137" s="1138"/>
      <c r="AE137" s="1732"/>
      <c r="AF137" s="1732"/>
      <c r="AG137" s="1732"/>
      <c r="AH137" s="1732"/>
      <c r="AI137" s="1732"/>
      <c r="AJ137" s="1732"/>
      <c r="AK137" s="1732"/>
      <c r="AL137" s="1732"/>
      <c r="AM137" s="1732"/>
      <c r="AN137" s="1732"/>
      <c r="AO137" s="1732"/>
      <c r="AP137" s="1732"/>
      <c r="AQ137" s="1732"/>
      <c r="AR137" s="1732"/>
      <c r="AS137" s="1732"/>
      <c r="AT137" s="1732"/>
      <c r="AU137" s="1732"/>
      <c r="AV137" s="1732"/>
      <c r="AW137" s="1732"/>
      <c r="AX137" s="1732"/>
      <c r="AY137" s="1732"/>
      <c r="AZ137" s="1732"/>
      <c r="BA137" s="1732"/>
      <c r="BB137" s="1732"/>
      <c r="BC137" s="1732"/>
      <c r="BD137" s="1732"/>
      <c r="BE137" s="1732"/>
      <c r="BF137" s="1732"/>
      <c r="BG137" s="1732"/>
      <c r="BH137" s="1732"/>
      <c r="BI137" s="1732"/>
      <c r="BJ137" s="1732"/>
      <c r="BK137" s="1732"/>
      <c r="BL137" s="1732"/>
      <c r="BM137" s="1732"/>
      <c r="BN137" s="1732"/>
      <c r="BO137" s="1732"/>
      <c r="BP137" s="1732"/>
      <c r="BQ137" s="1732"/>
      <c r="BR137" s="1732"/>
      <c r="BS137" s="1732"/>
      <c r="BT137" s="1732"/>
      <c r="BU137" s="1732"/>
      <c r="BV137" s="1732"/>
      <c r="BW137" s="1732"/>
      <c r="BX137" s="1732"/>
      <c r="BY137" s="1732"/>
      <c r="BZ137" s="1732"/>
      <c r="CA137" s="1732"/>
      <c r="CB137" s="1732"/>
      <c r="CC137" s="1732"/>
      <c r="CD137" s="1732"/>
      <c r="CE137" s="1732"/>
      <c r="CF137" s="1412"/>
    </row>
    <row customHeight="1" ht="5.25" hidden="1">
      <c r="A138" s="1888"/>
      <c r="B138" s="1732"/>
      <c r="C138" s="1732"/>
      <c r="D138" s="3219"/>
      <c r="E138" s="742"/>
      <c r="F138" s="742"/>
      <c r="G138" s="742"/>
      <c r="H138" s="742"/>
      <c r="I138" s="742"/>
      <c r="J138" s="742"/>
      <c r="K138" s="742"/>
      <c r="L138" s="742"/>
      <c r="M138" s="742"/>
      <c r="N138" s="742"/>
      <c r="O138" s="742"/>
      <c r="P138" s="742"/>
      <c r="Q138" s="742"/>
      <c r="R138" s="742"/>
      <c r="S138" s="743"/>
      <c r="T138" s="825"/>
      <c r="U138" s="3119"/>
      <c r="V138" s="3119"/>
      <c r="W138" s="1732"/>
      <c r="X138" s="1732"/>
      <c r="Y138" s="1732"/>
      <c r="Z138" s="1732"/>
      <c r="AA138" s="1732"/>
      <c r="AB138" s="1732"/>
      <c r="AC138" s="1137"/>
      <c r="AD138" s="1138"/>
      <c r="AE138" s="1732"/>
      <c r="AF138" s="1732"/>
      <c r="AG138" s="1732"/>
      <c r="AH138" s="1732"/>
      <c r="AI138" s="1732"/>
      <c r="AJ138" s="1732"/>
      <c r="AK138" s="1732"/>
      <c r="AL138" s="1732"/>
      <c r="AM138" s="1732"/>
      <c r="AN138" s="1732"/>
      <c r="AO138" s="1732"/>
      <c r="AP138" s="1732"/>
      <c r="AQ138" s="1732"/>
      <c r="AR138" s="1732"/>
      <c r="AS138" s="1732"/>
      <c r="AT138" s="1732"/>
      <c r="AU138" s="1732"/>
      <c r="AV138" s="1732"/>
      <c r="AW138" s="1732"/>
      <c r="AX138" s="1732"/>
      <c r="AY138" s="1732"/>
      <c r="AZ138" s="1732"/>
      <c r="BA138" s="1732"/>
      <c r="BB138" s="1732"/>
      <c r="BC138" s="1732"/>
      <c r="BD138" s="1732"/>
      <c r="BE138" s="1732"/>
      <c r="BF138" s="1732"/>
      <c r="BG138" s="1732"/>
      <c r="BH138" s="1732"/>
      <c r="BI138" s="1732"/>
      <c r="BJ138" s="1732"/>
      <c r="BK138" s="1732"/>
      <c r="BL138" s="1732"/>
      <c r="BM138" s="1732"/>
      <c r="BN138" s="1732"/>
      <c r="BO138" s="1732"/>
      <c r="BP138" s="1732"/>
      <c r="BQ138" s="1732"/>
      <c r="BR138" s="1732"/>
      <c r="BS138" s="1732"/>
      <c r="BT138" s="1732"/>
      <c r="BU138" s="1732"/>
      <c r="BV138" s="1732"/>
      <c r="BW138" s="1732"/>
      <c r="BX138" s="1732"/>
      <c r="BY138" s="1732"/>
      <c r="BZ138" s="1732"/>
      <c r="CA138" s="1732"/>
      <c r="CB138" s="1732"/>
      <c r="CC138" s="1732"/>
      <c r="CD138" s="1732"/>
      <c r="CE138" s="1732"/>
      <c r="CF138" s="1412"/>
    </row>
    <row customHeight="1" ht="5.25" hidden="1">
      <c r="A139" s="1888"/>
      <c r="B139" s="1732"/>
      <c r="C139" s="1732"/>
      <c r="D139" s="3220"/>
      <c r="E139" s="1143"/>
      <c r="F139" s="1144"/>
      <c r="G139" s="1144"/>
      <c r="H139" s="1145"/>
      <c r="I139" s="1145"/>
      <c r="J139" s="1145"/>
      <c r="K139" s="1145"/>
      <c r="L139" s="1145"/>
      <c r="M139" s="1145"/>
      <c r="N139" s="1145"/>
      <c r="O139" s="1145"/>
      <c r="P139" s="1145"/>
      <c r="Q139" s="1145"/>
      <c r="R139" s="1046"/>
      <c r="S139" s="1146"/>
      <c r="T139" s="825"/>
      <c r="U139" s="3119"/>
      <c r="V139" s="3119"/>
      <c r="W139" s="1732"/>
      <c r="X139" s="1732"/>
      <c r="Y139" s="1732"/>
      <c r="Z139" s="1732"/>
      <c r="AA139" s="1732"/>
      <c r="AB139" s="1732"/>
      <c r="AC139" s="1137"/>
      <c r="AD139" s="1138"/>
      <c r="AE139" s="1732"/>
      <c r="AF139" s="1732"/>
      <c r="AG139" s="1732"/>
      <c r="AH139" s="1732"/>
      <c r="AI139" s="1732"/>
      <c r="AJ139" s="1732"/>
      <c r="AK139" s="1732"/>
      <c r="AL139" s="1732"/>
      <c r="AM139" s="1732"/>
      <c r="AN139" s="1732"/>
      <c r="AO139" s="1732"/>
      <c r="AP139" s="1732"/>
      <c r="AQ139" s="1732"/>
      <c r="AR139" s="1732"/>
      <c r="AS139" s="1732"/>
      <c r="AT139" s="1732"/>
      <c r="AU139" s="1732"/>
      <c r="AV139" s="1732"/>
      <c r="AW139" s="1732"/>
      <c r="AX139" s="1732"/>
      <c r="AY139" s="1732"/>
      <c r="AZ139" s="1732"/>
      <c r="BA139" s="1732"/>
      <c r="BB139" s="1732"/>
      <c r="BC139" s="1732"/>
      <c r="BD139" s="1732"/>
      <c r="BE139" s="1732"/>
      <c r="BF139" s="1732"/>
      <c r="BG139" s="1732"/>
      <c r="BH139" s="1732"/>
      <c r="BI139" s="1732"/>
      <c r="BJ139" s="1732"/>
      <c r="BK139" s="1732"/>
      <c r="BL139" s="1732"/>
      <c r="BM139" s="1732"/>
      <c r="BN139" s="1732"/>
      <c r="BO139" s="1732"/>
      <c r="BP139" s="1732"/>
      <c r="BQ139" s="1732"/>
      <c r="BR139" s="1732"/>
      <c r="BS139" s="1732"/>
      <c r="BT139" s="1732"/>
      <c r="BU139" s="1732"/>
      <c r="BV139" s="1732"/>
      <c r="BW139" s="1732"/>
      <c r="BX139" s="1732"/>
      <c r="BY139" s="1732"/>
      <c r="BZ139" s="1732"/>
      <c r="CA139" s="1732"/>
      <c r="CB139" s="1732"/>
      <c r="CC139" s="1732"/>
      <c r="CD139" s="1732"/>
      <c r="CE139" s="1732"/>
      <c r="CF139" s="1412"/>
    </row>
    <row customHeight="1" ht="15" hidden="1">
      <c r="A140" s="730" t="s">
        <v>183</v>
      </c>
      <c r="B140" s="731"/>
      <c r="C140" s="731" t="s">
        <v>22</v>
      </c>
      <c r="D140" s="3218" t="s">
        <v>724</v>
      </c>
      <c r="E140" s="3215" t="s">
        <v>140</v>
      </c>
      <c r="F140" s="3216"/>
      <c r="G140" s="3217"/>
      <c r="H140" s="3211" t="str">
        <f>IF(A140="","",INDEX(DIFFERENTIATION_UNMERGE_VD,MATCH(A140,DIFFERENTIATION_ID_DIFF,0)))</f>
        <v>Производство тепловой энергии. Некомбинированная выработка</v>
      </c>
      <c r="I140" s="3211"/>
      <c r="J140" s="3211"/>
      <c r="K140" s="3211"/>
      <c r="L140" s="3211"/>
      <c r="M140" s="3211"/>
      <c r="N140" s="3211"/>
      <c r="O140" s="3211"/>
      <c r="P140" s="3211"/>
      <c r="Q140" s="3211"/>
      <c r="R140" s="3211"/>
      <c r="S140" s="826"/>
      <c r="T140" s="823"/>
      <c r="U140" s="732"/>
      <c r="V140" s="732"/>
      <c r="W140" s="733"/>
      <c r="X140" s="733"/>
      <c r="Y140" s="733"/>
      <c r="Z140" s="733"/>
      <c r="AA140" s="734"/>
      <c r="AB140" s="735"/>
      <c r="AC140" s="3214"/>
      <c r="AD140" s="736"/>
      <c r="AE140" s="737" t="s">
        <v>22</v>
      </c>
      <c r="AF140" s="737"/>
      <c r="AG140" s="738" t="s">
        <v>704</v>
      </c>
      <c r="AH140" s="739">
        <v>3</v>
      </c>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3"/>
      <c r="BW140" s="733"/>
      <c r="BX140" s="733"/>
      <c r="BY140" s="733"/>
      <c r="BZ140" s="733"/>
      <c r="CA140" s="733"/>
      <c r="CB140" s="733"/>
      <c r="CC140" s="733"/>
      <c r="CD140" s="733"/>
      <c r="CE140" s="733"/>
      <c r="CF140" s="1944"/>
    </row>
    <row customHeight="1" ht="15" hidden="1">
      <c r="A141" s="730"/>
      <c r="B141" s="731"/>
      <c r="C141" s="731"/>
      <c r="D141" s="3219"/>
      <c r="E141" s="3215" t="s">
        <v>649</v>
      </c>
      <c r="F141" s="3216"/>
      <c r="G141" s="3217"/>
      <c r="H141" s="3211" t="str">
        <f>IF(A140="","",INDEX(DIFFERENTIATION_UNMERGE_AREA,MATCH(A140,DIFFERENTIATION_ID_DIFF,0)))</f>
        <v>без дифференциации</v>
      </c>
      <c r="I141" s="3211"/>
      <c r="J141" s="3211"/>
      <c r="K141" s="3211"/>
      <c r="L141" s="3211"/>
      <c r="M141" s="3211"/>
      <c r="N141" s="3211"/>
      <c r="O141" s="3211"/>
      <c r="P141" s="3211"/>
      <c r="Q141" s="3211"/>
      <c r="R141" s="3211"/>
      <c r="S141" s="826"/>
      <c r="T141" s="823"/>
      <c r="U141" s="732"/>
      <c r="V141" s="732"/>
      <c r="W141" s="733"/>
      <c r="X141" s="733"/>
      <c r="Y141" s="733"/>
      <c r="Z141" s="733"/>
      <c r="AA141" s="734"/>
      <c r="AB141" s="735"/>
      <c r="AC141" s="3214"/>
      <c r="AD141" s="736"/>
      <c r="AE141" s="737"/>
      <c r="AF141" s="737"/>
      <c r="AG141" s="738"/>
      <c r="AH141" s="739"/>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3"/>
      <c r="BW141" s="733"/>
      <c r="BX141" s="733"/>
      <c r="BY141" s="733"/>
      <c r="BZ141" s="733"/>
      <c r="CA141" s="733"/>
      <c r="CB141" s="733"/>
      <c r="CC141" s="733"/>
      <c r="CD141" s="733"/>
      <c r="CE141" s="733"/>
      <c r="CF141" s="1944"/>
    </row>
    <row customHeight="1" ht="15" hidden="1">
      <c r="A142" s="730"/>
      <c r="B142" s="731"/>
      <c r="C142" s="731"/>
      <c r="D142" s="3219"/>
      <c r="E142" s="3215" t="s">
        <v>650</v>
      </c>
      <c r="F142" s="3216"/>
      <c r="G142" s="3217"/>
      <c r="H142" s="3211" t="str">
        <f>IF(A140="","",INDEX(DIFFERENTIATION_UNMERGE_SYSTEM,MATCH(A140,DIFFERENTIATION_ID_DIFF,0)))</f>
        <v>Хабаровская ТЭЦ-2</v>
      </c>
      <c r="I142" s="3211"/>
      <c r="J142" s="3211"/>
      <c r="K142" s="3211"/>
      <c r="L142" s="3211"/>
      <c r="M142" s="3211"/>
      <c r="N142" s="3211"/>
      <c r="O142" s="3211"/>
      <c r="P142" s="3211"/>
      <c r="Q142" s="3211"/>
      <c r="R142" s="3211"/>
      <c r="S142" s="826"/>
      <c r="T142" s="823"/>
      <c r="U142" s="732"/>
      <c r="V142" s="732"/>
      <c r="W142" s="733"/>
      <c r="X142" s="733"/>
      <c r="Y142" s="733"/>
      <c r="Z142" s="733"/>
      <c r="AA142" s="734"/>
      <c r="AB142" s="735"/>
      <c r="AC142" s="3214"/>
      <c r="AD142" s="736"/>
      <c r="AE142" s="737"/>
      <c r="AF142" s="737"/>
      <c r="AG142" s="738"/>
      <c r="AH142" s="739"/>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732"/>
      <c r="BR142" s="732"/>
      <c r="BS142" s="732"/>
      <c r="BT142" s="732"/>
      <c r="BU142" s="732"/>
      <c r="BV142" s="733"/>
      <c r="BW142" s="733"/>
      <c r="BX142" s="733"/>
      <c r="BY142" s="733"/>
      <c r="BZ142" s="733"/>
      <c r="CA142" s="733"/>
      <c r="CB142" s="733"/>
      <c r="CC142" s="733"/>
      <c r="CD142" s="733"/>
      <c r="CE142" s="733"/>
      <c r="CF142" s="1944"/>
    </row>
    <row customHeight="1" ht="24.75" hidden="1">
      <c r="A143" s="1901"/>
      <c r="B143" s="1256"/>
      <c r="C143" s="519"/>
      <c r="D143" s="3219"/>
      <c r="E143" s="3213" t="s">
        <v>705</v>
      </c>
      <c r="F143" s="3213"/>
      <c r="G143" s="3213"/>
      <c r="H143" s="3213"/>
      <c r="I143" s="3213"/>
      <c r="J143" s="3213"/>
      <c r="K143" s="3213"/>
      <c r="L143" s="3213"/>
      <c r="M143" s="3213"/>
      <c r="N143" s="3213"/>
      <c r="O143" s="3213"/>
      <c r="P143" s="3213"/>
      <c r="Q143" s="665">
        <f>SUMIF(T144:T145,"i",Q144:Q145)</f>
        <v>0</v>
      </c>
      <c r="R143" s="1117"/>
      <c r="S143" s="1893" t="s">
        <v>706</v>
      </c>
      <c r="T143" s="824" t="s">
        <v>707</v>
      </c>
      <c r="U143" s="3119">
        <v>1</v>
      </c>
      <c r="V143" s="3119" t="str">
        <f>INDEX(B_FHD_FLAG_INDEX_1,1,MATCH($A$140,B_FHD_FLAG_DIFFERENTIATION,0))</f>
        <v>отсутствует</v>
      </c>
      <c r="W143" s="1256"/>
      <c r="X143" s="1256"/>
      <c r="Y143" s="1256"/>
      <c r="Z143" s="1256"/>
      <c r="AA143" s="1732"/>
      <c r="AB143" s="1256"/>
      <c r="AC143" s="3214"/>
      <c r="AD143" s="736"/>
      <c r="AE143" s="1256"/>
      <c r="AF143" s="1256"/>
      <c r="AG143" s="1732"/>
      <c r="AH143" s="1732"/>
      <c r="AI143" s="1732"/>
      <c r="AJ143" s="1732"/>
      <c r="AK143" s="1732"/>
      <c r="AL143" s="1732"/>
      <c r="AM143" s="1732"/>
      <c r="AN143" s="1732"/>
      <c r="AO143" s="1732"/>
      <c r="AP143" s="1732"/>
      <c r="AQ143" s="1732"/>
      <c r="AR143" s="1732"/>
      <c r="AS143" s="1732"/>
      <c r="AT143" s="1732"/>
      <c r="AU143" s="1732"/>
      <c r="AV143" s="1732"/>
      <c r="AW143" s="1732"/>
      <c r="AX143" s="1732"/>
      <c r="AY143" s="1732"/>
      <c r="AZ143" s="1732"/>
      <c r="BA143" s="1732"/>
      <c r="BB143" s="1732"/>
      <c r="BC143" s="1732"/>
      <c r="BD143" s="1732"/>
      <c r="BE143" s="1732"/>
      <c r="BF143" s="1732"/>
      <c r="BG143" s="1732"/>
      <c r="BH143" s="1732"/>
      <c r="BI143" s="1732"/>
      <c r="BJ143" s="1732"/>
      <c r="BK143" s="1732"/>
      <c r="BL143" s="1732"/>
      <c r="BM143" s="1732"/>
      <c r="BN143" s="1732"/>
      <c r="BO143" s="1732"/>
      <c r="BP143" s="1732"/>
      <c r="BQ143" s="1732"/>
      <c r="BR143" s="1732"/>
      <c r="BS143" s="1732"/>
      <c r="BT143" s="1732"/>
      <c r="BU143" s="1732"/>
      <c r="BV143" s="1256"/>
      <c r="BW143" s="1256"/>
      <c r="BX143" s="1256"/>
      <c r="BY143" s="1256"/>
      <c r="BZ143" s="1256"/>
      <c r="CA143" s="1256"/>
      <c r="CB143" s="1256"/>
      <c r="CC143" s="1256"/>
      <c r="CD143" s="1256"/>
      <c r="CE143" s="1256"/>
      <c r="CF143" s="1944"/>
    </row>
    <row customHeight="1" ht="11.25" hidden="1">
      <c r="A144" s="1888"/>
      <c r="B144" s="1732"/>
      <c r="C144" s="1732"/>
      <c r="D144" s="3219"/>
      <c r="E144" s="742"/>
      <c r="F144" s="742">
        <v>0</v>
      </c>
      <c r="G144" s="742"/>
      <c r="H144" s="742"/>
      <c r="I144" s="742"/>
      <c r="J144" s="742"/>
      <c r="K144" s="742"/>
      <c r="L144" s="742"/>
      <c r="M144" s="742"/>
      <c r="N144" s="742"/>
      <c r="O144" s="742"/>
      <c r="P144" s="742"/>
      <c r="Q144" s="742"/>
      <c r="R144" s="742"/>
      <c r="S144" s="743"/>
      <c r="T144" s="825"/>
      <c r="U144" s="3119"/>
      <c r="V144" s="3119"/>
      <c r="W144" s="1732"/>
      <c r="X144" s="1732"/>
      <c r="Y144" s="1732"/>
      <c r="Z144" s="1732"/>
      <c r="AA144" s="1732"/>
      <c r="AB144" s="1256"/>
      <c r="AC144" s="3214"/>
      <c r="AD144" s="736"/>
      <c r="AE144" s="1256"/>
      <c r="AF144" s="1256"/>
      <c r="AG144" s="1732"/>
      <c r="AH144" s="1732"/>
      <c r="AI144" s="1732"/>
      <c r="AJ144" s="1732"/>
      <c r="AK144" s="1732"/>
      <c r="AL144" s="1732"/>
      <c r="AM144" s="1732"/>
      <c r="AN144" s="1732"/>
      <c r="AO144" s="1732"/>
      <c r="AP144" s="1732"/>
      <c r="AQ144" s="1732"/>
      <c r="AR144" s="1732"/>
      <c r="AS144" s="1732"/>
      <c r="AT144" s="1732"/>
      <c r="AU144" s="1732"/>
      <c r="AV144" s="1732"/>
      <c r="AW144" s="1732"/>
      <c r="AX144" s="1732"/>
      <c r="AY144" s="1732"/>
      <c r="AZ144" s="1732"/>
      <c r="BA144" s="1732"/>
      <c r="BB144" s="1732"/>
      <c r="BC144" s="1732"/>
      <c r="BD144" s="1732"/>
      <c r="BE144" s="1732"/>
      <c r="BF144" s="1732"/>
      <c r="BG144" s="1732"/>
      <c r="BH144" s="1732"/>
      <c r="BI144" s="1732"/>
      <c r="BJ144" s="1732"/>
      <c r="BK144" s="1732"/>
      <c r="BL144" s="1732"/>
      <c r="BM144" s="1732"/>
      <c r="BN144" s="1732"/>
      <c r="BO144" s="1732"/>
      <c r="BP144" s="1732"/>
      <c r="BQ144" s="1732"/>
      <c r="BR144" s="1732"/>
      <c r="BS144" s="1732"/>
      <c r="BT144" s="1732"/>
      <c r="BU144" s="1732"/>
      <c r="BV144" s="1732"/>
      <c r="BW144" s="1732"/>
      <c r="BX144" s="1732"/>
      <c r="BY144" s="1732"/>
      <c r="BZ144" s="1732"/>
      <c r="CA144" s="1732"/>
      <c r="CB144" s="1732"/>
      <c r="CC144" s="1732"/>
      <c r="CD144" s="1732"/>
      <c r="CE144" s="1732"/>
      <c r="CF144" s="1944"/>
    </row>
    <row customHeight="1" ht="11.25" hidden="1">
      <c r="A145" s="1901"/>
      <c r="B145" s="1256"/>
      <c r="C145" s="519"/>
      <c r="D145" s="3219"/>
      <c r="E145" s="756" t="s">
        <v>22</v>
      </c>
      <c r="F145" s="1264" t="s">
        <v>22</v>
      </c>
      <c r="G145" s="1264" t="s">
        <v>711</v>
      </c>
      <c r="H145" s="758" t="s">
        <v>22</v>
      </c>
      <c r="I145" s="758"/>
      <c r="J145" s="758"/>
      <c r="K145" s="758"/>
      <c r="L145" s="758"/>
      <c r="M145" s="758"/>
      <c r="N145" s="758"/>
      <c r="O145" s="758"/>
      <c r="P145" s="758"/>
      <c r="Q145" s="758"/>
      <c r="R145" s="759"/>
      <c r="S145" s="760"/>
      <c r="T145" s="825"/>
      <c r="U145" s="3119"/>
      <c r="V145" s="3119"/>
      <c r="W145" s="1256"/>
      <c r="X145" s="1256"/>
      <c r="Y145" s="1256"/>
      <c r="Z145" s="1256"/>
      <c r="AA145" s="1732"/>
      <c r="AB145" s="1256"/>
      <c r="AC145" s="3214"/>
      <c r="AD145" s="736"/>
      <c r="AE145" s="1256"/>
      <c r="AF145" s="1256"/>
      <c r="AG145" s="1732"/>
      <c r="AH145" s="1732"/>
      <c r="AI145" s="1732"/>
      <c r="AJ145" s="1732"/>
      <c r="AK145" s="1732"/>
      <c r="AL145" s="1732"/>
      <c r="AM145" s="1732"/>
      <c r="AN145" s="1732"/>
      <c r="AO145" s="1732"/>
      <c r="AP145" s="1732"/>
      <c r="AQ145" s="1732"/>
      <c r="AR145" s="1732"/>
      <c r="AS145" s="1732"/>
      <c r="AT145" s="1732"/>
      <c r="AU145" s="1732"/>
      <c r="AV145" s="1732"/>
      <c r="AW145" s="1732"/>
      <c r="AX145" s="1732"/>
      <c r="AY145" s="1732"/>
      <c r="AZ145" s="1732"/>
      <c r="BA145" s="1732"/>
      <c r="BB145" s="1732"/>
      <c r="BC145" s="1732"/>
      <c r="BD145" s="1732"/>
      <c r="BE145" s="1732"/>
      <c r="BF145" s="1732"/>
      <c r="BG145" s="1732"/>
      <c r="BH145" s="1732"/>
      <c r="BI145" s="1732"/>
      <c r="BJ145" s="1732"/>
      <c r="BK145" s="1732"/>
      <c r="BL145" s="1732"/>
      <c r="BM145" s="1732"/>
      <c r="BN145" s="1732"/>
      <c r="BO145" s="1732"/>
      <c r="BP145" s="1732"/>
      <c r="BQ145" s="1732"/>
      <c r="BR145" s="1732"/>
      <c r="BS145" s="1732"/>
      <c r="BT145" s="1732"/>
      <c r="BU145" s="1732"/>
      <c r="BV145" s="1256"/>
      <c r="BW145" s="1256"/>
      <c r="BX145" s="1256"/>
      <c r="BY145" s="1256"/>
      <c r="BZ145" s="1256"/>
      <c r="CA145" s="1256"/>
      <c r="CB145" s="1256"/>
      <c r="CC145" s="1256"/>
      <c r="CD145" s="1256"/>
      <c r="CE145" s="1256"/>
      <c r="CF145" s="1944"/>
    </row>
    <row customHeight="1" ht="5.25" hidden="1">
      <c r="A146" s="1888"/>
      <c r="B146" s="1732"/>
      <c r="C146" s="1732"/>
      <c r="D146" s="3219"/>
      <c r="E146" s="1139"/>
      <c r="F146" s="1139"/>
      <c r="G146" s="1139"/>
      <c r="H146" s="1139"/>
      <c r="I146" s="1139"/>
      <c r="J146" s="1139"/>
      <c r="K146" s="1139"/>
      <c r="L146" s="1139"/>
      <c r="M146" s="1139"/>
      <c r="N146" s="1139"/>
      <c r="O146" s="1139"/>
      <c r="P146" s="1139"/>
      <c r="Q146" s="1140"/>
      <c r="R146" s="1141"/>
      <c r="S146" s="1142"/>
      <c r="T146" s="824" t="s">
        <v>707</v>
      </c>
      <c r="U146" s="3119">
        <v>1</v>
      </c>
      <c r="V146" s="3119" t="s">
        <v>669</v>
      </c>
      <c r="W146" s="1732"/>
      <c r="X146" s="1732"/>
      <c r="Y146" s="1732"/>
      <c r="Z146" s="1732"/>
      <c r="AA146" s="1732"/>
      <c r="AB146" s="1732"/>
      <c r="AC146" s="1137"/>
      <c r="AD146" s="1138"/>
      <c r="AE146" s="1732"/>
      <c r="AF146" s="1732"/>
      <c r="AG146" s="1732"/>
      <c r="AH146" s="1732"/>
      <c r="AI146" s="1732"/>
      <c r="AJ146" s="1732"/>
      <c r="AK146" s="1732"/>
      <c r="AL146" s="1732"/>
      <c r="AM146" s="1732"/>
      <c r="AN146" s="1732"/>
      <c r="AO146" s="1732"/>
      <c r="AP146" s="1732"/>
      <c r="AQ146" s="1732"/>
      <c r="AR146" s="1732"/>
      <c r="AS146" s="1732"/>
      <c r="AT146" s="1732"/>
      <c r="AU146" s="1732"/>
      <c r="AV146" s="1732"/>
      <c r="AW146" s="1732"/>
      <c r="AX146" s="1732"/>
      <c r="AY146" s="1732"/>
      <c r="AZ146" s="1732"/>
      <c r="BA146" s="1732"/>
      <c r="BB146" s="1732"/>
      <c r="BC146" s="1732"/>
      <c r="BD146" s="1732"/>
      <c r="BE146" s="1732"/>
      <c r="BF146" s="1732"/>
      <c r="BG146" s="1732"/>
      <c r="BH146" s="1732"/>
      <c r="BI146" s="1732"/>
      <c r="BJ146" s="1732"/>
      <c r="BK146" s="1732"/>
      <c r="BL146" s="1732"/>
      <c r="BM146" s="1732"/>
      <c r="BN146" s="1732"/>
      <c r="BO146" s="1732"/>
      <c r="BP146" s="1732"/>
      <c r="BQ146" s="1732"/>
      <c r="BR146" s="1732"/>
      <c r="BS146" s="1732"/>
      <c r="BT146" s="1732"/>
      <c r="BU146" s="1732"/>
      <c r="BV146" s="1732"/>
      <c r="BW146" s="1732"/>
      <c r="BX146" s="1732"/>
      <c r="BY146" s="1732"/>
      <c r="BZ146" s="1732"/>
      <c r="CA146" s="1732"/>
      <c r="CB146" s="1732"/>
      <c r="CC146" s="1732"/>
      <c r="CD146" s="1732"/>
      <c r="CE146" s="1732"/>
      <c r="CF146" s="1412"/>
    </row>
    <row customHeight="1" ht="5.25" hidden="1">
      <c r="A147" s="1888"/>
      <c r="B147" s="1732"/>
      <c r="C147" s="1732"/>
      <c r="D147" s="3219"/>
      <c r="E147" s="742"/>
      <c r="F147" s="742"/>
      <c r="G147" s="742"/>
      <c r="H147" s="742"/>
      <c r="I147" s="742"/>
      <c r="J147" s="742"/>
      <c r="K147" s="742"/>
      <c r="L147" s="742"/>
      <c r="M147" s="742"/>
      <c r="N147" s="742"/>
      <c r="O147" s="742"/>
      <c r="P147" s="742"/>
      <c r="Q147" s="742"/>
      <c r="R147" s="742"/>
      <c r="S147" s="743"/>
      <c r="T147" s="825"/>
      <c r="U147" s="3119"/>
      <c r="V147" s="3119"/>
      <c r="W147" s="1732"/>
      <c r="X147" s="1732"/>
      <c r="Y147" s="1732"/>
      <c r="Z147" s="1732"/>
      <c r="AA147" s="1732"/>
      <c r="AB147" s="1732"/>
      <c r="AC147" s="1137"/>
      <c r="AD147" s="1138"/>
      <c r="AE147" s="1732"/>
      <c r="AF147" s="1732"/>
      <c r="AG147" s="1732"/>
      <c r="AH147" s="1732"/>
      <c r="AI147" s="1732"/>
      <c r="AJ147" s="1732"/>
      <c r="AK147" s="1732"/>
      <c r="AL147" s="1732"/>
      <c r="AM147" s="1732"/>
      <c r="AN147" s="1732"/>
      <c r="AO147" s="1732"/>
      <c r="AP147" s="1732"/>
      <c r="AQ147" s="1732"/>
      <c r="AR147" s="1732"/>
      <c r="AS147" s="1732"/>
      <c r="AT147" s="1732"/>
      <c r="AU147" s="1732"/>
      <c r="AV147" s="1732"/>
      <c r="AW147" s="1732"/>
      <c r="AX147" s="1732"/>
      <c r="AY147" s="1732"/>
      <c r="AZ147" s="1732"/>
      <c r="BA147" s="1732"/>
      <c r="BB147" s="1732"/>
      <c r="BC147" s="1732"/>
      <c r="BD147" s="1732"/>
      <c r="BE147" s="1732"/>
      <c r="BF147" s="1732"/>
      <c r="BG147" s="1732"/>
      <c r="BH147" s="1732"/>
      <c r="BI147" s="1732"/>
      <c r="BJ147" s="1732"/>
      <c r="BK147" s="1732"/>
      <c r="BL147" s="1732"/>
      <c r="BM147" s="1732"/>
      <c r="BN147" s="1732"/>
      <c r="BO147" s="1732"/>
      <c r="BP147" s="1732"/>
      <c r="BQ147" s="1732"/>
      <c r="BR147" s="1732"/>
      <c r="BS147" s="1732"/>
      <c r="BT147" s="1732"/>
      <c r="BU147" s="1732"/>
      <c r="BV147" s="1732"/>
      <c r="BW147" s="1732"/>
      <c r="BX147" s="1732"/>
      <c r="BY147" s="1732"/>
      <c r="BZ147" s="1732"/>
      <c r="CA147" s="1732"/>
      <c r="CB147" s="1732"/>
      <c r="CC147" s="1732"/>
      <c r="CD147" s="1732"/>
      <c r="CE147" s="1732"/>
      <c r="CF147" s="1412"/>
    </row>
    <row customHeight="1" ht="5.25" hidden="1">
      <c r="A148" s="1888"/>
      <c r="B148" s="1732"/>
      <c r="C148" s="1732"/>
      <c r="D148" s="3220"/>
      <c r="E148" s="1143"/>
      <c r="F148" s="1144"/>
      <c r="G148" s="1144"/>
      <c r="H148" s="1145"/>
      <c r="I148" s="1145"/>
      <c r="J148" s="1145"/>
      <c r="K148" s="1145"/>
      <c r="L148" s="1145"/>
      <c r="M148" s="1145"/>
      <c r="N148" s="1145"/>
      <c r="O148" s="1145"/>
      <c r="P148" s="1145"/>
      <c r="Q148" s="1145"/>
      <c r="R148" s="1046"/>
      <c r="S148" s="1146"/>
      <c r="T148" s="825"/>
      <c r="U148" s="3119"/>
      <c r="V148" s="3119"/>
      <c r="W148" s="1732"/>
      <c r="X148" s="1732"/>
      <c r="Y148" s="1732"/>
      <c r="Z148" s="1732"/>
      <c r="AA148" s="1732"/>
      <c r="AB148" s="1732"/>
      <c r="AC148" s="1137"/>
      <c r="AD148" s="1138"/>
      <c r="AE148" s="1732"/>
      <c r="AF148" s="1732"/>
      <c r="AG148" s="1732"/>
      <c r="AH148" s="1732"/>
      <c r="AI148" s="1732"/>
      <c r="AJ148" s="1732"/>
      <c r="AK148" s="1732"/>
      <c r="AL148" s="1732"/>
      <c r="AM148" s="1732"/>
      <c r="AN148" s="1732"/>
      <c r="AO148" s="1732"/>
      <c r="AP148" s="1732"/>
      <c r="AQ148" s="1732"/>
      <c r="AR148" s="1732"/>
      <c r="AS148" s="1732"/>
      <c r="AT148" s="1732"/>
      <c r="AU148" s="1732"/>
      <c r="AV148" s="1732"/>
      <c r="AW148" s="1732"/>
      <c r="AX148" s="1732"/>
      <c r="AY148" s="1732"/>
      <c r="AZ148" s="1732"/>
      <c r="BA148" s="1732"/>
      <c r="BB148" s="1732"/>
      <c r="BC148" s="1732"/>
      <c r="BD148" s="1732"/>
      <c r="BE148" s="1732"/>
      <c r="BF148" s="1732"/>
      <c r="BG148" s="1732"/>
      <c r="BH148" s="1732"/>
      <c r="BI148" s="1732"/>
      <c r="BJ148" s="1732"/>
      <c r="BK148" s="1732"/>
      <c r="BL148" s="1732"/>
      <c r="BM148" s="1732"/>
      <c r="BN148" s="1732"/>
      <c r="BO148" s="1732"/>
      <c r="BP148" s="1732"/>
      <c r="BQ148" s="1732"/>
      <c r="BR148" s="1732"/>
      <c r="BS148" s="1732"/>
      <c r="BT148" s="1732"/>
      <c r="BU148" s="1732"/>
      <c r="BV148" s="1732"/>
      <c r="BW148" s="1732"/>
      <c r="BX148" s="1732"/>
      <c r="BY148" s="1732"/>
      <c r="BZ148" s="1732"/>
      <c r="CA148" s="1732"/>
      <c r="CB148" s="1732"/>
      <c r="CC148" s="1732"/>
      <c r="CD148" s="1732"/>
      <c r="CE148" s="1732"/>
      <c r="CF148" s="1412"/>
    </row>
    <row customHeight="1" ht="15" hidden="1">
      <c r="A149" s="730" t="s">
        <v>725</v>
      </c>
      <c r="B149" s="731"/>
      <c r="C149" s="731" t="s">
        <v>22</v>
      </c>
      <c r="D149" s="3218" t="s">
        <v>726</v>
      </c>
      <c r="E149" s="3215" t="s">
        <v>140</v>
      </c>
      <c r="F149" s="3216"/>
      <c r="G149" s="3217"/>
      <c r="H149" s="3211">
        <f>IF(A149="","",INDEX(DIFFERENTIATION_UNMERGE_VD,MATCH(A149,DIFFERENTIATION_ID_DIFF,0)))</f>
      </c>
      <c r="I149" s="3211"/>
      <c r="J149" s="3211"/>
      <c r="K149" s="3211"/>
      <c r="L149" s="3211"/>
      <c r="M149" s="3211"/>
      <c r="N149" s="3211"/>
      <c r="O149" s="3211"/>
      <c r="P149" s="3211"/>
      <c r="Q149" s="3211"/>
      <c r="R149" s="3211"/>
      <c r="S149" s="826"/>
      <c r="T149" s="823"/>
      <c r="U149" s="732"/>
      <c r="V149" s="732"/>
      <c r="W149" s="733"/>
      <c r="X149" s="733"/>
      <c r="Y149" s="733"/>
      <c r="Z149" s="733"/>
      <c r="AA149" s="734"/>
      <c r="AB149" s="735"/>
      <c r="AC149" s="3214"/>
      <c r="AD149" s="736"/>
      <c r="AE149" s="737" t="s">
        <v>22</v>
      </c>
      <c r="AF149" s="737"/>
      <c r="AG149" s="738" t="s">
        <v>704</v>
      </c>
      <c r="AH149" s="739">
        <v>3</v>
      </c>
      <c r="AI149" s="732"/>
      <c r="AJ149" s="732"/>
      <c r="AK149" s="732"/>
      <c r="AL149" s="732"/>
      <c r="AM149" s="732"/>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732"/>
      <c r="BR149" s="732"/>
      <c r="BS149" s="732"/>
      <c r="BT149" s="732"/>
      <c r="BU149" s="732"/>
      <c r="BV149" s="733"/>
      <c r="BW149" s="733"/>
      <c r="BX149" s="733"/>
      <c r="BY149" s="733"/>
      <c r="BZ149" s="733"/>
      <c r="CA149" s="733"/>
      <c r="CB149" s="733"/>
      <c r="CC149" s="733"/>
      <c r="CD149" s="733"/>
      <c r="CE149" s="733"/>
      <c r="CF149" s="1944"/>
    </row>
    <row customHeight="1" ht="15" hidden="1">
      <c r="A150" s="730"/>
      <c r="B150" s="731"/>
      <c r="C150" s="731"/>
      <c r="D150" s="3219"/>
      <c r="E150" s="3215" t="s">
        <v>649</v>
      </c>
      <c r="F150" s="3216"/>
      <c r="G150" s="3217"/>
      <c r="H150" s="3211">
        <f>IF(A149="","",INDEX(DIFFERENTIATION_UNMERGE_AREA,MATCH(A149,DIFFERENTIATION_ID_DIFF,0)))</f>
      </c>
      <c r="I150" s="3211"/>
      <c r="J150" s="3211"/>
      <c r="K150" s="3211"/>
      <c r="L150" s="3211"/>
      <c r="M150" s="3211"/>
      <c r="N150" s="3211"/>
      <c r="O150" s="3211"/>
      <c r="P150" s="3211"/>
      <c r="Q150" s="3211"/>
      <c r="R150" s="3211"/>
      <c r="S150" s="826"/>
      <c r="T150" s="823"/>
      <c r="U150" s="732"/>
      <c r="V150" s="732"/>
      <c r="W150" s="733"/>
      <c r="X150" s="733"/>
      <c r="Y150" s="733"/>
      <c r="Z150" s="733"/>
      <c r="AA150" s="734"/>
      <c r="AB150" s="735"/>
      <c r="AC150" s="3214"/>
      <c r="AD150" s="736"/>
      <c r="AE150" s="737"/>
      <c r="AF150" s="737"/>
      <c r="AG150" s="738"/>
      <c r="AH150" s="739"/>
      <c r="AI150" s="732"/>
      <c r="AJ150" s="732"/>
      <c r="AK150" s="732"/>
      <c r="AL150" s="732"/>
      <c r="AM150" s="732"/>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732"/>
      <c r="BR150" s="732"/>
      <c r="BS150" s="732"/>
      <c r="BT150" s="732"/>
      <c r="BU150" s="732"/>
      <c r="BV150" s="733"/>
      <c r="BW150" s="733"/>
      <c r="BX150" s="733"/>
      <c r="BY150" s="733"/>
      <c r="BZ150" s="733"/>
      <c r="CA150" s="733"/>
      <c r="CB150" s="733"/>
      <c r="CC150" s="733"/>
      <c r="CD150" s="733"/>
      <c r="CE150" s="733"/>
      <c r="CF150" s="1944"/>
    </row>
    <row customHeight="1" ht="15" hidden="1">
      <c r="A151" s="730"/>
      <c r="B151" s="731"/>
      <c r="C151" s="731"/>
      <c r="D151" s="3219"/>
      <c r="E151" s="3215" t="s">
        <v>650</v>
      </c>
      <c r="F151" s="3216"/>
      <c r="G151" s="3217"/>
      <c r="H151" s="3211">
        <f>IF(A149="","",INDEX(DIFFERENTIATION_UNMERGE_SYSTEM,MATCH(A149,DIFFERENTIATION_ID_DIFF,0)))</f>
      </c>
      <c r="I151" s="3211"/>
      <c r="J151" s="3211"/>
      <c r="K151" s="3211"/>
      <c r="L151" s="3211"/>
      <c r="M151" s="3211"/>
      <c r="N151" s="3211"/>
      <c r="O151" s="3211"/>
      <c r="P151" s="3211"/>
      <c r="Q151" s="3211"/>
      <c r="R151" s="3211"/>
      <c r="S151" s="826"/>
      <c r="T151" s="823"/>
      <c r="U151" s="732"/>
      <c r="V151" s="732"/>
      <c r="W151" s="733"/>
      <c r="X151" s="733"/>
      <c r="Y151" s="733"/>
      <c r="Z151" s="733"/>
      <c r="AA151" s="734"/>
      <c r="AB151" s="735"/>
      <c r="AC151" s="3214"/>
      <c r="AD151" s="736"/>
      <c r="AE151" s="737"/>
      <c r="AF151" s="737"/>
      <c r="AG151" s="738"/>
      <c r="AH151" s="739"/>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2"/>
      <c r="BG151" s="732"/>
      <c r="BH151" s="732"/>
      <c r="BI151" s="732"/>
      <c r="BJ151" s="732"/>
      <c r="BK151" s="732"/>
      <c r="BL151" s="732"/>
      <c r="BM151" s="732"/>
      <c r="BN151" s="732"/>
      <c r="BO151" s="732"/>
      <c r="BP151" s="732"/>
      <c r="BQ151" s="732"/>
      <c r="BR151" s="732"/>
      <c r="BS151" s="732"/>
      <c r="BT151" s="732"/>
      <c r="BU151" s="732"/>
      <c r="BV151" s="733"/>
      <c r="BW151" s="733"/>
      <c r="BX151" s="733"/>
      <c r="BY151" s="733"/>
      <c r="BZ151" s="733"/>
      <c r="CA151" s="733"/>
      <c r="CB151" s="733"/>
      <c r="CC151" s="733"/>
      <c r="CD151" s="733"/>
      <c r="CE151" s="733"/>
      <c r="CF151" s="1944"/>
    </row>
    <row customHeight="1" ht="24.75" hidden="1">
      <c r="A152" s="1901"/>
      <c r="B152" s="1256"/>
      <c r="C152" s="519"/>
      <c r="D152" s="3219"/>
      <c r="E152" s="3213" t="s">
        <v>705</v>
      </c>
      <c r="F152" s="3213"/>
      <c r="G152" s="3213"/>
      <c r="H152" s="3213"/>
      <c r="I152" s="3213"/>
      <c r="J152" s="3213"/>
      <c r="K152" s="3213"/>
      <c r="L152" s="3213"/>
      <c r="M152" s="3213"/>
      <c r="N152" s="3213"/>
      <c r="O152" s="3213"/>
      <c r="P152" s="3213"/>
      <c r="Q152" s="665">
        <f>SUMIF(T153:T154,"i",Q153:Q154)</f>
        <v>0</v>
      </c>
      <c r="R152" s="1117"/>
      <c r="S152" s="1893" t="s">
        <v>706</v>
      </c>
      <c r="T152" s="824" t="s">
        <v>707</v>
      </c>
      <c r="U152" s="3119">
        <v>1</v>
      </c>
      <c r="V152" s="3119">
        <f>INDEX(B_FHD_FLAG_INDEX_1,1,MATCH($A$149,B_FHD_FLAG_DIFFERENTIATION,0))</f>
      </c>
      <c r="W152" s="1256"/>
      <c r="X152" s="1256"/>
      <c r="Y152" s="1256"/>
      <c r="Z152" s="1256"/>
      <c r="AA152" s="1732"/>
      <c r="AB152" s="1256"/>
      <c r="AC152" s="3214"/>
      <c r="AD152" s="736"/>
      <c r="AE152" s="1256"/>
      <c r="AF152" s="1256"/>
      <c r="AG152" s="1732"/>
      <c r="AH152" s="1732"/>
      <c r="AI152" s="1732"/>
      <c r="AJ152" s="1732"/>
      <c r="AK152" s="1732"/>
      <c r="AL152" s="1732"/>
      <c r="AM152" s="1732"/>
      <c r="AN152" s="1732"/>
      <c r="AO152" s="1732"/>
      <c r="AP152" s="1732"/>
      <c r="AQ152" s="1732"/>
      <c r="AR152" s="1732"/>
      <c r="AS152" s="1732"/>
      <c r="AT152" s="1732"/>
      <c r="AU152" s="1732"/>
      <c r="AV152" s="1732"/>
      <c r="AW152" s="1732"/>
      <c r="AX152" s="1732"/>
      <c r="AY152" s="1732"/>
      <c r="AZ152" s="1732"/>
      <c r="BA152" s="1732"/>
      <c r="BB152" s="1732"/>
      <c r="BC152" s="1732"/>
      <c r="BD152" s="1732"/>
      <c r="BE152" s="1732"/>
      <c r="BF152" s="1732"/>
      <c r="BG152" s="1732"/>
      <c r="BH152" s="1732"/>
      <c r="BI152" s="1732"/>
      <c r="BJ152" s="1732"/>
      <c r="BK152" s="1732"/>
      <c r="BL152" s="1732"/>
      <c r="BM152" s="1732"/>
      <c r="BN152" s="1732"/>
      <c r="BO152" s="1732"/>
      <c r="BP152" s="1732"/>
      <c r="BQ152" s="1732"/>
      <c r="BR152" s="1732"/>
      <c r="BS152" s="1732"/>
      <c r="BT152" s="1732"/>
      <c r="BU152" s="1732"/>
      <c r="BV152" s="1256"/>
      <c r="BW152" s="1256"/>
      <c r="BX152" s="1256"/>
      <c r="BY152" s="1256"/>
      <c r="BZ152" s="1256"/>
      <c r="CA152" s="1256"/>
      <c r="CB152" s="1256"/>
      <c r="CC152" s="1256"/>
      <c r="CD152" s="1256"/>
      <c r="CE152" s="1256"/>
      <c r="CF152" s="1944"/>
    </row>
    <row customHeight="1" ht="11.25" hidden="1">
      <c r="A153" s="1888"/>
      <c r="B153" s="1732"/>
      <c r="C153" s="1732"/>
      <c r="D153" s="3219"/>
      <c r="E153" s="742"/>
      <c r="F153" s="742">
        <v>0</v>
      </c>
      <c r="G153" s="742"/>
      <c r="H153" s="742"/>
      <c r="I153" s="742"/>
      <c r="J153" s="742"/>
      <c r="K153" s="742"/>
      <c r="L153" s="742"/>
      <c r="M153" s="742"/>
      <c r="N153" s="742"/>
      <c r="O153" s="742"/>
      <c r="P153" s="742"/>
      <c r="Q153" s="742"/>
      <c r="R153" s="742"/>
      <c r="S153" s="743"/>
      <c r="T153" s="825"/>
      <c r="U153" s="3119"/>
      <c r="V153" s="3119"/>
      <c r="W153" s="1732"/>
      <c r="X153" s="1732"/>
      <c r="Y153" s="1732"/>
      <c r="Z153" s="1732"/>
      <c r="AA153" s="1732"/>
      <c r="AB153" s="1256"/>
      <c r="AC153" s="3214"/>
      <c r="AD153" s="736"/>
      <c r="AE153" s="1256"/>
      <c r="AF153" s="1256"/>
      <c r="AG153" s="1732"/>
      <c r="AH153" s="1732"/>
      <c r="AI153" s="1732"/>
      <c r="AJ153" s="1732"/>
      <c r="AK153" s="1732"/>
      <c r="AL153" s="1732"/>
      <c r="AM153" s="1732"/>
      <c r="AN153" s="1732"/>
      <c r="AO153" s="1732"/>
      <c r="AP153" s="1732"/>
      <c r="AQ153" s="1732"/>
      <c r="AR153" s="1732"/>
      <c r="AS153" s="1732"/>
      <c r="AT153" s="1732"/>
      <c r="AU153" s="1732"/>
      <c r="AV153" s="1732"/>
      <c r="AW153" s="1732"/>
      <c r="AX153" s="1732"/>
      <c r="AY153" s="1732"/>
      <c r="AZ153" s="1732"/>
      <c r="BA153" s="1732"/>
      <c r="BB153" s="1732"/>
      <c r="BC153" s="1732"/>
      <c r="BD153" s="1732"/>
      <c r="BE153" s="1732"/>
      <c r="BF153" s="1732"/>
      <c r="BG153" s="1732"/>
      <c r="BH153" s="1732"/>
      <c r="BI153" s="1732"/>
      <c r="BJ153" s="1732"/>
      <c r="BK153" s="1732"/>
      <c r="BL153" s="1732"/>
      <c r="BM153" s="1732"/>
      <c r="BN153" s="1732"/>
      <c r="BO153" s="1732"/>
      <c r="BP153" s="1732"/>
      <c r="BQ153" s="1732"/>
      <c r="BR153" s="1732"/>
      <c r="BS153" s="1732"/>
      <c r="BT153" s="1732"/>
      <c r="BU153" s="1732"/>
      <c r="BV153" s="1732"/>
      <c r="BW153" s="1732"/>
      <c r="BX153" s="1732"/>
      <c r="BY153" s="1732"/>
      <c r="BZ153" s="1732"/>
      <c r="CA153" s="1732"/>
      <c r="CB153" s="1732"/>
      <c r="CC153" s="1732"/>
      <c r="CD153" s="1732"/>
      <c r="CE153" s="1732"/>
      <c r="CF153" s="1944"/>
    </row>
    <row customHeight="1" ht="11.25" hidden="1">
      <c r="A154" s="1901"/>
      <c r="B154" s="1256"/>
      <c r="C154" s="519"/>
      <c r="D154" s="3219"/>
      <c r="E154" s="756" t="s">
        <v>22</v>
      </c>
      <c r="F154" s="1264" t="s">
        <v>22</v>
      </c>
      <c r="G154" s="1264" t="s">
        <v>711</v>
      </c>
      <c r="H154" s="758" t="s">
        <v>22</v>
      </c>
      <c r="I154" s="758"/>
      <c r="J154" s="758"/>
      <c r="K154" s="758"/>
      <c r="L154" s="758"/>
      <c r="M154" s="758"/>
      <c r="N154" s="758"/>
      <c r="O154" s="758"/>
      <c r="P154" s="758"/>
      <c r="Q154" s="758"/>
      <c r="R154" s="759"/>
      <c r="S154" s="760"/>
      <c r="T154" s="825"/>
      <c r="U154" s="3119"/>
      <c r="V154" s="3119"/>
      <c r="W154" s="1256"/>
      <c r="X154" s="1256"/>
      <c r="Y154" s="1256"/>
      <c r="Z154" s="1256"/>
      <c r="AA154" s="1732"/>
      <c r="AB154" s="1256"/>
      <c r="AC154" s="3214"/>
      <c r="AD154" s="736"/>
      <c r="AE154" s="1256"/>
      <c r="AF154" s="1256"/>
      <c r="AG154" s="1732"/>
      <c r="AH154" s="1732"/>
      <c r="AI154" s="1732"/>
      <c r="AJ154" s="1732"/>
      <c r="AK154" s="1732"/>
      <c r="AL154" s="1732"/>
      <c r="AM154" s="1732"/>
      <c r="AN154" s="1732"/>
      <c r="AO154" s="1732"/>
      <c r="AP154" s="1732"/>
      <c r="AQ154" s="1732"/>
      <c r="AR154" s="1732"/>
      <c r="AS154" s="1732"/>
      <c r="AT154" s="1732"/>
      <c r="AU154" s="1732"/>
      <c r="AV154" s="1732"/>
      <c r="AW154" s="1732"/>
      <c r="AX154" s="1732"/>
      <c r="AY154" s="1732"/>
      <c r="AZ154" s="1732"/>
      <c r="BA154" s="1732"/>
      <c r="BB154" s="1732"/>
      <c r="BC154" s="1732"/>
      <c r="BD154" s="1732"/>
      <c r="BE154" s="1732"/>
      <c r="BF154" s="1732"/>
      <c r="BG154" s="1732"/>
      <c r="BH154" s="1732"/>
      <c r="BI154" s="1732"/>
      <c r="BJ154" s="1732"/>
      <c r="BK154" s="1732"/>
      <c r="BL154" s="1732"/>
      <c r="BM154" s="1732"/>
      <c r="BN154" s="1732"/>
      <c r="BO154" s="1732"/>
      <c r="BP154" s="1732"/>
      <c r="BQ154" s="1732"/>
      <c r="BR154" s="1732"/>
      <c r="BS154" s="1732"/>
      <c r="BT154" s="1732"/>
      <c r="BU154" s="1732"/>
      <c r="BV154" s="1256"/>
      <c r="BW154" s="1256"/>
      <c r="BX154" s="1256"/>
      <c r="BY154" s="1256"/>
      <c r="BZ154" s="1256"/>
      <c r="CA154" s="1256"/>
      <c r="CB154" s="1256"/>
      <c r="CC154" s="1256"/>
      <c r="CD154" s="1256"/>
      <c r="CE154" s="1256"/>
      <c r="CF154" s="1944"/>
    </row>
    <row customHeight="1" ht="5.25" hidden="1">
      <c r="A155" s="1888"/>
      <c r="B155" s="1732"/>
      <c r="C155" s="1732"/>
      <c r="D155" s="3219"/>
      <c r="E155" s="1139"/>
      <c r="F155" s="1139"/>
      <c r="G155" s="1139"/>
      <c r="H155" s="1139"/>
      <c r="I155" s="1139"/>
      <c r="J155" s="1139"/>
      <c r="K155" s="1139"/>
      <c r="L155" s="1139"/>
      <c r="M155" s="1139"/>
      <c r="N155" s="1139"/>
      <c r="O155" s="1139"/>
      <c r="P155" s="1139"/>
      <c r="Q155" s="1140"/>
      <c r="R155" s="1141"/>
      <c r="S155" s="1142"/>
      <c r="T155" s="824" t="s">
        <v>707</v>
      </c>
      <c r="U155" s="3119">
        <v>1</v>
      </c>
      <c r="V155" s="3119" t="s">
        <v>669</v>
      </c>
      <c r="W155" s="1732"/>
      <c r="X155" s="1732"/>
      <c r="Y155" s="1732"/>
      <c r="Z155" s="1732"/>
      <c r="AA155" s="1732"/>
      <c r="AB155" s="1732"/>
      <c r="AC155" s="1137"/>
      <c r="AD155" s="1138"/>
      <c r="AE155" s="1732"/>
      <c r="AF155" s="1732"/>
      <c r="AG155" s="1732"/>
      <c r="AH155" s="1732"/>
      <c r="AI155" s="1732"/>
      <c r="AJ155" s="1732"/>
      <c r="AK155" s="1732"/>
      <c r="AL155" s="1732"/>
      <c r="AM155" s="1732"/>
      <c r="AN155" s="1732"/>
      <c r="AO155" s="1732"/>
      <c r="AP155" s="1732"/>
      <c r="AQ155" s="1732"/>
      <c r="AR155" s="1732"/>
      <c r="AS155" s="1732"/>
      <c r="AT155" s="1732"/>
      <c r="AU155" s="1732"/>
      <c r="AV155" s="1732"/>
      <c r="AW155" s="1732"/>
      <c r="AX155" s="1732"/>
      <c r="AY155" s="1732"/>
      <c r="AZ155" s="1732"/>
      <c r="BA155" s="1732"/>
      <c r="BB155" s="1732"/>
      <c r="BC155" s="1732"/>
      <c r="BD155" s="1732"/>
      <c r="BE155" s="1732"/>
      <c r="BF155" s="1732"/>
      <c r="BG155" s="1732"/>
      <c r="BH155" s="1732"/>
      <c r="BI155" s="1732"/>
      <c r="BJ155" s="1732"/>
      <c r="BK155" s="1732"/>
      <c r="BL155" s="1732"/>
      <c r="BM155" s="1732"/>
      <c r="BN155" s="1732"/>
      <c r="BO155" s="1732"/>
      <c r="BP155" s="1732"/>
      <c r="BQ155" s="1732"/>
      <c r="BR155" s="1732"/>
      <c r="BS155" s="1732"/>
      <c r="BT155" s="1732"/>
      <c r="BU155" s="1732"/>
      <c r="BV155" s="1732"/>
      <c r="BW155" s="1732"/>
      <c r="BX155" s="1732"/>
      <c r="BY155" s="1732"/>
      <c r="BZ155" s="1732"/>
      <c r="CA155" s="1732"/>
      <c r="CB155" s="1732"/>
      <c r="CC155" s="1732"/>
      <c r="CD155" s="1732"/>
      <c r="CE155" s="1732"/>
      <c r="CF155" s="1412"/>
    </row>
    <row customHeight="1" ht="5.25" hidden="1">
      <c r="A156" s="1888"/>
      <c r="B156" s="1732"/>
      <c r="C156" s="1732"/>
      <c r="D156" s="3219"/>
      <c r="E156" s="742"/>
      <c r="F156" s="742"/>
      <c r="G156" s="742"/>
      <c r="H156" s="742"/>
      <c r="I156" s="742"/>
      <c r="J156" s="742"/>
      <c r="K156" s="742"/>
      <c r="L156" s="742"/>
      <c r="M156" s="742"/>
      <c r="N156" s="742"/>
      <c r="O156" s="742"/>
      <c r="P156" s="742"/>
      <c r="Q156" s="742"/>
      <c r="R156" s="742"/>
      <c r="S156" s="743"/>
      <c r="T156" s="825"/>
      <c r="U156" s="3119"/>
      <c r="V156" s="3119"/>
      <c r="W156" s="1732"/>
      <c r="X156" s="1732"/>
      <c r="Y156" s="1732"/>
      <c r="Z156" s="1732"/>
      <c r="AA156" s="1732"/>
      <c r="AB156" s="1732"/>
      <c r="AC156" s="1137"/>
      <c r="AD156" s="1138"/>
      <c r="AE156" s="1732"/>
      <c r="AF156" s="1732"/>
      <c r="AG156" s="1732"/>
      <c r="AH156" s="1732"/>
      <c r="AI156" s="1732"/>
      <c r="AJ156" s="1732"/>
      <c r="AK156" s="1732"/>
      <c r="AL156" s="1732"/>
      <c r="AM156" s="1732"/>
      <c r="AN156" s="1732"/>
      <c r="AO156" s="1732"/>
      <c r="AP156" s="1732"/>
      <c r="AQ156" s="1732"/>
      <c r="AR156" s="1732"/>
      <c r="AS156" s="1732"/>
      <c r="AT156" s="1732"/>
      <c r="AU156" s="1732"/>
      <c r="AV156" s="1732"/>
      <c r="AW156" s="1732"/>
      <c r="AX156" s="1732"/>
      <c r="AY156" s="1732"/>
      <c r="AZ156" s="1732"/>
      <c r="BA156" s="1732"/>
      <c r="BB156" s="1732"/>
      <c r="BC156" s="1732"/>
      <c r="BD156" s="1732"/>
      <c r="BE156" s="1732"/>
      <c r="BF156" s="1732"/>
      <c r="BG156" s="1732"/>
      <c r="BH156" s="1732"/>
      <c r="BI156" s="1732"/>
      <c r="BJ156" s="1732"/>
      <c r="BK156" s="1732"/>
      <c r="BL156" s="1732"/>
      <c r="BM156" s="1732"/>
      <c r="BN156" s="1732"/>
      <c r="BO156" s="1732"/>
      <c r="BP156" s="1732"/>
      <c r="BQ156" s="1732"/>
      <c r="BR156" s="1732"/>
      <c r="BS156" s="1732"/>
      <c r="BT156" s="1732"/>
      <c r="BU156" s="1732"/>
      <c r="BV156" s="1732"/>
      <c r="BW156" s="1732"/>
      <c r="BX156" s="1732"/>
      <c r="BY156" s="1732"/>
      <c r="BZ156" s="1732"/>
      <c r="CA156" s="1732"/>
      <c r="CB156" s="1732"/>
      <c r="CC156" s="1732"/>
      <c r="CD156" s="1732"/>
      <c r="CE156" s="1732"/>
      <c r="CF156" s="1412"/>
    </row>
    <row customHeight="1" ht="5.25" hidden="1">
      <c r="A157" s="1888"/>
      <c r="B157" s="1732"/>
      <c r="C157" s="1732"/>
      <c r="D157" s="3220"/>
      <c r="E157" s="1143"/>
      <c r="F157" s="1144"/>
      <c r="G157" s="1144"/>
      <c r="H157" s="1145"/>
      <c r="I157" s="1145"/>
      <c r="J157" s="1145"/>
      <c r="K157" s="1145"/>
      <c r="L157" s="1145"/>
      <c r="M157" s="1145"/>
      <c r="N157" s="1145"/>
      <c r="O157" s="1145"/>
      <c r="P157" s="1145"/>
      <c r="Q157" s="1145"/>
      <c r="R157" s="1046"/>
      <c r="S157" s="1146"/>
      <c r="T157" s="825"/>
      <c r="U157" s="3119"/>
      <c r="V157" s="3119"/>
      <c r="W157" s="1732"/>
      <c r="X157" s="1732"/>
      <c r="Y157" s="1732"/>
      <c r="Z157" s="1732"/>
      <c r="AA157" s="1732"/>
      <c r="AB157" s="1732"/>
      <c r="AC157" s="1137"/>
      <c r="AD157" s="1138"/>
      <c r="AE157" s="1732"/>
      <c r="AF157" s="1732"/>
      <c r="AG157" s="1732"/>
      <c r="AH157" s="1732"/>
      <c r="AI157" s="1732"/>
      <c r="AJ157" s="1732"/>
      <c r="AK157" s="1732"/>
      <c r="AL157" s="1732"/>
      <c r="AM157" s="1732"/>
      <c r="AN157" s="1732"/>
      <c r="AO157" s="1732"/>
      <c r="AP157" s="1732"/>
      <c r="AQ157" s="1732"/>
      <c r="AR157" s="1732"/>
      <c r="AS157" s="1732"/>
      <c r="AT157" s="1732"/>
      <c r="AU157" s="1732"/>
      <c r="AV157" s="1732"/>
      <c r="AW157" s="1732"/>
      <c r="AX157" s="1732"/>
      <c r="AY157" s="1732"/>
      <c r="AZ157" s="1732"/>
      <c r="BA157" s="1732"/>
      <c r="BB157" s="1732"/>
      <c r="BC157" s="1732"/>
      <c r="BD157" s="1732"/>
      <c r="BE157" s="1732"/>
      <c r="BF157" s="1732"/>
      <c r="BG157" s="1732"/>
      <c r="BH157" s="1732"/>
      <c r="BI157" s="1732"/>
      <c r="BJ157" s="1732"/>
      <c r="BK157" s="1732"/>
      <c r="BL157" s="1732"/>
      <c r="BM157" s="1732"/>
      <c r="BN157" s="1732"/>
      <c r="BO157" s="1732"/>
      <c r="BP157" s="1732"/>
      <c r="BQ157" s="1732"/>
      <c r="BR157" s="1732"/>
      <c r="BS157" s="1732"/>
      <c r="BT157" s="1732"/>
      <c r="BU157" s="1732"/>
      <c r="BV157" s="1732"/>
      <c r="BW157" s="1732"/>
      <c r="BX157" s="1732"/>
      <c r="BY157" s="1732"/>
      <c r="BZ157" s="1732"/>
      <c r="CA157" s="1732"/>
      <c r="CB157" s="1732"/>
      <c r="CC157" s="1732"/>
      <c r="CD157" s="1732"/>
      <c r="CE157" s="1732"/>
      <c r="CF157" s="1412"/>
    </row>
    <row customHeight="1" ht="15" hidden="1">
      <c r="A158" s="730" t="s">
        <v>727</v>
      </c>
      <c r="B158" s="731"/>
      <c r="C158" s="731" t="s">
        <v>22</v>
      </c>
      <c r="D158" s="3218" t="s">
        <v>728</v>
      </c>
      <c r="E158" s="3215" t="s">
        <v>140</v>
      </c>
      <c r="F158" s="3216"/>
      <c r="G158" s="3217"/>
      <c r="H158" s="3211">
        <f>IF(A158="","",INDEX(DIFFERENTIATION_UNMERGE_VD,MATCH(A158,DIFFERENTIATION_ID_DIFF,0)))</f>
      </c>
      <c r="I158" s="3211"/>
      <c r="J158" s="3211"/>
      <c r="K158" s="3211"/>
      <c r="L158" s="3211"/>
      <c r="M158" s="3211"/>
      <c r="N158" s="3211"/>
      <c r="O158" s="3211"/>
      <c r="P158" s="3211"/>
      <c r="Q158" s="3211"/>
      <c r="R158" s="3211"/>
      <c r="S158" s="826"/>
      <c r="T158" s="823"/>
      <c r="U158" s="732"/>
      <c r="V158" s="732"/>
      <c r="W158" s="733"/>
      <c r="X158" s="733"/>
      <c r="Y158" s="733"/>
      <c r="Z158" s="733"/>
      <c r="AA158" s="734"/>
      <c r="AB158" s="735"/>
      <c r="AC158" s="3214"/>
      <c r="AD158" s="736"/>
      <c r="AE158" s="737" t="s">
        <v>22</v>
      </c>
      <c r="AF158" s="737"/>
      <c r="AG158" s="738" t="s">
        <v>704</v>
      </c>
      <c r="AH158" s="739">
        <v>3</v>
      </c>
      <c r="AI158" s="732"/>
      <c r="AJ158" s="732"/>
      <c r="AK158" s="732"/>
      <c r="AL158" s="732"/>
      <c r="AM158" s="732"/>
      <c r="AN158" s="732"/>
      <c r="AO158" s="732"/>
      <c r="AP158" s="732"/>
      <c r="AQ158" s="732"/>
      <c r="AR158" s="732"/>
      <c r="AS158" s="732"/>
      <c r="AT158" s="732"/>
      <c r="AU158" s="732"/>
      <c r="AV158" s="732"/>
      <c r="AW158" s="732"/>
      <c r="AX158" s="732"/>
      <c r="AY158" s="732"/>
      <c r="AZ158" s="732"/>
      <c r="BA158" s="732"/>
      <c r="BB158" s="732"/>
      <c r="BC158" s="732"/>
      <c r="BD158" s="732"/>
      <c r="BE158" s="732"/>
      <c r="BF158" s="732"/>
      <c r="BG158" s="732"/>
      <c r="BH158" s="732"/>
      <c r="BI158" s="732"/>
      <c r="BJ158" s="732"/>
      <c r="BK158" s="732"/>
      <c r="BL158" s="732"/>
      <c r="BM158" s="732"/>
      <c r="BN158" s="732"/>
      <c r="BO158" s="732"/>
      <c r="BP158" s="732"/>
      <c r="BQ158" s="732"/>
      <c r="BR158" s="732"/>
      <c r="BS158" s="732"/>
      <c r="BT158" s="732"/>
      <c r="BU158" s="732"/>
      <c r="BV158" s="733"/>
      <c r="BW158" s="733"/>
      <c r="BX158" s="733"/>
      <c r="BY158" s="733"/>
      <c r="BZ158" s="733"/>
      <c r="CA158" s="733"/>
      <c r="CB158" s="733"/>
      <c r="CC158" s="733"/>
      <c r="CD158" s="733"/>
      <c r="CE158" s="733"/>
      <c r="CF158" s="1944"/>
    </row>
    <row customHeight="1" ht="15" hidden="1">
      <c r="A159" s="730"/>
      <c r="B159" s="731"/>
      <c r="C159" s="731"/>
      <c r="D159" s="3219"/>
      <c r="E159" s="3215" t="s">
        <v>649</v>
      </c>
      <c r="F159" s="3216"/>
      <c r="G159" s="3217"/>
      <c r="H159" s="3211">
        <f>IF(A158="","",INDEX(DIFFERENTIATION_UNMERGE_AREA,MATCH(A158,DIFFERENTIATION_ID_DIFF,0)))</f>
      </c>
      <c r="I159" s="3211"/>
      <c r="J159" s="3211"/>
      <c r="K159" s="3211"/>
      <c r="L159" s="3211"/>
      <c r="M159" s="3211"/>
      <c r="N159" s="3211"/>
      <c r="O159" s="3211"/>
      <c r="P159" s="3211"/>
      <c r="Q159" s="3211"/>
      <c r="R159" s="3211"/>
      <c r="S159" s="826"/>
      <c r="T159" s="823"/>
      <c r="U159" s="732"/>
      <c r="V159" s="732"/>
      <c r="W159" s="733"/>
      <c r="X159" s="733"/>
      <c r="Y159" s="733"/>
      <c r="Z159" s="733"/>
      <c r="AA159" s="734"/>
      <c r="AB159" s="735"/>
      <c r="AC159" s="3214"/>
      <c r="AD159" s="736"/>
      <c r="AE159" s="737"/>
      <c r="AF159" s="737"/>
      <c r="AG159" s="738"/>
      <c r="AH159" s="739"/>
      <c r="AI159" s="732"/>
      <c r="AJ159" s="732"/>
      <c r="AK159" s="732"/>
      <c r="AL159" s="732"/>
      <c r="AM159" s="732"/>
      <c r="AN159" s="732"/>
      <c r="AO159" s="732"/>
      <c r="AP159" s="732"/>
      <c r="AQ159" s="732"/>
      <c r="AR159" s="732"/>
      <c r="AS159" s="732"/>
      <c r="AT159" s="732"/>
      <c r="AU159" s="732"/>
      <c r="AV159" s="732"/>
      <c r="AW159" s="732"/>
      <c r="AX159" s="732"/>
      <c r="AY159" s="732"/>
      <c r="AZ159" s="732"/>
      <c r="BA159" s="732"/>
      <c r="BB159" s="732"/>
      <c r="BC159" s="732"/>
      <c r="BD159" s="732"/>
      <c r="BE159" s="732"/>
      <c r="BF159" s="732"/>
      <c r="BG159" s="732"/>
      <c r="BH159" s="732"/>
      <c r="BI159" s="732"/>
      <c r="BJ159" s="732"/>
      <c r="BK159" s="732"/>
      <c r="BL159" s="732"/>
      <c r="BM159" s="732"/>
      <c r="BN159" s="732"/>
      <c r="BO159" s="732"/>
      <c r="BP159" s="732"/>
      <c r="BQ159" s="732"/>
      <c r="BR159" s="732"/>
      <c r="BS159" s="732"/>
      <c r="BT159" s="732"/>
      <c r="BU159" s="732"/>
      <c r="BV159" s="733"/>
      <c r="BW159" s="733"/>
      <c r="BX159" s="733"/>
      <c r="BY159" s="733"/>
      <c r="BZ159" s="733"/>
      <c r="CA159" s="733"/>
      <c r="CB159" s="733"/>
      <c r="CC159" s="733"/>
      <c r="CD159" s="733"/>
      <c r="CE159" s="733"/>
      <c r="CF159" s="1944"/>
    </row>
    <row customHeight="1" ht="15" hidden="1">
      <c r="A160" s="730"/>
      <c r="B160" s="731"/>
      <c r="C160" s="731"/>
      <c r="D160" s="3219"/>
      <c r="E160" s="3215" t="s">
        <v>650</v>
      </c>
      <c r="F160" s="3216"/>
      <c r="G160" s="3217"/>
      <c r="H160" s="3211">
        <f>IF(A158="","",INDEX(DIFFERENTIATION_UNMERGE_SYSTEM,MATCH(A158,DIFFERENTIATION_ID_DIFF,0)))</f>
      </c>
      <c r="I160" s="3211"/>
      <c r="J160" s="3211"/>
      <c r="K160" s="3211"/>
      <c r="L160" s="3211"/>
      <c r="M160" s="3211"/>
      <c r="N160" s="3211"/>
      <c r="O160" s="3211"/>
      <c r="P160" s="3211"/>
      <c r="Q160" s="3211"/>
      <c r="R160" s="3211"/>
      <c r="S160" s="826"/>
      <c r="T160" s="823"/>
      <c r="U160" s="732"/>
      <c r="V160" s="732"/>
      <c r="W160" s="733"/>
      <c r="X160" s="733"/>
      <c r="Y160" s="733"/>
      <c r="Z160" s="733"/>
      <c r="AA160" s="734"/>
      <c r="AB160" s="735"/>
      <c r="AC160" s="3214"/>
      <c r="AD160" s="736"/>
      <c r="AE160" s="737"/>
      <c r="AF160" s="737"/>
      <c r="AG160" s="738"/>
      <c r="AH160" s="739"/>
      <c r="AI160" s="732"/>
      <c r="AJ160" s="732"/>
      <c r="AK160" s="732"/>
      <c r="AL160" s="732"/>
      <c r="AM160" s="732"/>
      <c r="AN160" s="732"/>
      <c r="AO160" s="732"/>
      <c r="AP160" s="732"/>
      <c r="AQ160" s="732"/>
      <c r="AR160" s="732"/>
      <c r="AS160" s="732"/>
      <c r="AT160" s="732"/>
      <c r="AU160" s="732"/>
      <c r="AV160" s="732"/>
      <c r="AW160" s="732"/>
      <c r="AX160" s="732"/>
      <c r="AY160" s="732"/>
      <c r="AZ160" s="732"/>
      <c r="BA160" s="732"/>
      <c r="BB160" s="732"/>
      <c r="BC160" s="732"/>
      <c r="BD160" s="732"/>
      <c r="BE160" s="732"/>
      <c r="BF160" s="732"/>
      <c r="BG160" s="732"/>
      <c r="BH160" s="732"/>
      <c r="BI160" s="732"/>
      <c r="BJ160" s="732"/>
      <c r="BK160" s="732"/>
      <c r="BL160" s="732"/>
      <c r="BM160" s="732"/>
      <c r="BN160" s="732"/>
      <c r="BO160" s="732"/>
      <c r="BP160" s="732"/>
      <c r="BQ160" s="732"/>
      <c r="BR160" s="732"/>
      <c r="BS160" s="732"/>
      <c r="BT160" s="732"/>
      <c r="BU160" s="732"/>
      <c r="BV160" s="733"/>
      <c r="BW160" s="733"/>
      <c r="BX160" s="733"/>
      <c r="BY160" s="733"/>
      <c r="BZ160" s="733"/>
      <c r="CA160" s="733"/>
      <c r="CB160" s="733"/>
      <c r="CC160" s="733"/>
      <c r="CD160" s="733"/>
      <c r="CE160" s="733"/>
      <c r="CF160" s="1944"/>
    </row>
    <row customHeight="1" ht="24.75" hidden="1">
      <c r="A161" s="1901"/>
      <c r="B161" s="1256"/>
      <c r="C161" s="519"/>
      <c r="D161" s="3219"/>
      <c r="E161" s="3213" t="s">
        <v>705</v>
      </c>
      <c r="F161" s="3213"/>
      <c r="G161" s="3213"/>
      <c r="H161" s="3213"/>
      <c r="I161" s="3213"/>
      <c r="J161" s="3213"/>
      <c r="K161" s="3213"/>
      <c r="L161" s="3213"/>
      <c r="M161" s="3213"/>
      <c r="N161" s="3213"/>
      <c r="O161" s="3213"/>
      <c r="P161" s="3213"/>
      <c r="Q161" s="665">
        <f>SUMIF(T162:T163,"i",Q162:Q163)</f>
        <v>0</v>
      </c>
      <c r="R161" s="1117"/>
      <c r="S161" s="1893" t="s">
        <v>706</v>
      </c>
      <c r="T161" s="824" t="s">
        <v>707</v>
      </c>
      <c r="U161" s="3119">
        <v>1</v>
      </c>
      <c r="V161" s="3119">
        <f>INDEX(B_FHD_FLAG_INDEX_1,1,MATCH($A$158,B_FHD_FLAG_DIFFERENTIATION,0))</f>
      </c>
      <c r="W161" s="1256"/>
      <c r="X161" s="1256"/>
      <c r="Y161" s="1256"/>
      <c r="Z161" s="1256"/>
      <c r="AA161" s="1732"/>
      <c r="AB161" s="1256"/>
      <c r="AC161" s="3214"/>
      <c r="AD161" s="736"/>
      <c r="AE161" s="1256"/>
      <c r="AF161" s="1256"/>
      <c r="AG161" s="1732"/>
      <c r="AH161" s="1732"/>
      <c r="AI161" s="1732"/>
      <c r="AJ161" s="1732"/>
      <c r="AK161" s="1732"/>
      <c r="AL161" s="1732"/>
      <c r="AM161" s="1732"/>
      <c r="AN161" s="1732"/>
      <c r="AO161" s="1732"/>
      <c r="AP161" s="1732"/>
      <c r="AQ161" s="1732"/>
      <c r="AR161" s="1732"/>
      <c r="AS161" s="1732"/>
      <c r="AT161" s="1732"/>
      <c r="AU161" s="1732"/>
      <c r="AV161" s="1732"/>
      <c r="AW161" s="1732"/>
      <c r="AX161" s="1732"/>
      <c r="AY161" s="1732"/>
      <c r="AZ161" s="1732"/>
      <c r="BA161" s="1732"/>
      <c r="BB161" s="1732"/>
      <c r="BC161" s="1732"/>
      <c r="BD161" s="1732"/>
      <c r="BE161" s="1732"/>
      <c r="BF161" s="1732"/>
      <c r="BG161" s="1732"/>
      <c r="BH161" s="1732"/>
      <c r="BI161" s="1732"/>
      <c r="BJ161" s="1732"/>
      <c r="BK161" s="1732"/>
      <c r="BL161" s="1732"/>
      <c r="BM161" s="1732"/>
      <c r="BN161" s="1732"/>
      <c r="BO161" s="1732"/>
      <c r="BP161" s="1732"/>
      <c r="BQ161" s="1732"/>
      <c r="BR161" s="1732"/>
      <c r="BS161" s="1732"/>
      <c r="BT161" s="1732"/>
      <c r="BU161" s="1732"/>
      <c r="BV161" s="1256"/>
      <c r="BW161" s="1256"/>
      <c r="BX161" s="1256"/>
      <c r="BY161" s="1256"/>
      <c r="BZ161" s="1256"/>
      <c r="CA161" s="1256"/>
      <c r="CB161" s="1256"/>
      <c r="CC161" s="1256"/>
      <c r="CD161" s="1256"/>
      <c r="CE161" s="1256"/>
      <c r="CF161" s="1944"/>
    </row>
    <row customHeight="1" ht="11.25" hidden="1">
      <c r="A162" s="1888"/>
      <c r="B162" s="1732"/>
      <c r="C162" s="1732"/>
      <c r="D162" s="3219"/>
      <c r="E162" s="742"/>
      <c r="F162" s="742">
        <v>0</v>
      </c>
      <c r="G162" s="742"/>
      <c r="H162" s="742"/>
      <c r="I162" s="742"/>
      <c r="J162" s="742"/>
      <c r="K162" s="742"/>
      <c r="L162" s="742"/>
      <c r="M162" s="742"/>
      <c r="N162" s="742"/>
      <c r="O162" s="742"/>
      <c r="P162" s="742"/>
      <c r="Q162" s="742"/>
      <c r="R162" s="742"/>
      <c r="S162" s="743"/>
      <c r="T162" s="825"/>
      <c r="U162" s="3119"/>
      <c r="V162" s="3119"/>
      <c r="W162" s="1732"/>
      <c r="X162" s="1732"/>
      <c r="Y162" s="1732"/>
      <c r="Z162" s="1732"/>
      <c r="AA162" s="1732"/>
      <c r="AB162" s="1256"/>
      <c r="AC162" s="3214"/>
      <c r="AD162" s="736"/>
      <c r="AE162" s="1256"/>
      <c r="AF162" s="1256"/>
      <c r="AG162" s="1732"/>
      <c r="AH162" s="1732"/>
      <c r="AI162" s="1732"/>
      <c r="AJ162" s="1732"/>
      <c r="AK162" s="1732"/>
      <c r="AL162" s="1732"/>
      <c r="AM162" s="1732"/>
      <c r="AN162" s="1732"/>
      <c r="AO162" s="1732"/>
      <c r="AP162" s="1732"/>
      <c r="AQ162" s="1732"/>
      <c r="AR162" s="1732"/>
      <c r="AS162" s="1732"/>
      <c r="AT162" s="1732"/>
      <c r="AU162" s="1732"/>
      <c r="AV162" s="1732"/>
      <c r="AW162" s="1732"/>
      <c r="AX162" s="1732"/>
      <c r="AY162" s="1732"/>
      <c r="AZ162" s="1732"/>
      <c r="BA162" s="1732"/>
      <c r="BB162" s="1732"/>
      <c r="BC162" s="1732"/>
      <c r="BD162" s="1732"/>
      <c r="BE162" s="1732"/>
      <c r="BF162" s="1732"/>
      <c r="BG162" s="1732"/>
      <c r="BH162" s="1732"/>
      <c r="BI162" s="1732"/>
      <c r="BJ162" s="1732"/>
      <c r="BK162" s="1732"/>
      <c r="BL162" s="1732"/>
      <c r="BM162" s="1732"/>
      <c r="BN162" s="1732"/>
      <c r="BO162" s="1732"/>
      <c r="BP162" s="1732"/>
      <c r="BQ162" s="1732"/>
      <c r="BR162" s="1732"/>
      <c r="BS162" s="1732"/>
      <c r="BT162" s="1732"/>
      <c r="BU162" s="1732"/>
      <c r="BV162" s="1732"/>
      <c r="BW162" s="1732"/>
      <c r="BX162" s="1732"/>
      <c r="BY162" s="1732"/>
      <c r="BZ162" s="1732"/>
      <c r="CA162" s="1732"/>
      <c r="CB162" s="1732"/>
      <c r="CC162" s="1732"/>
      <c r="CD162" s="1732"/>
      <c r="CE162" s="1732"/>
      <c r="CF162" s="1944"/>
    </row>
    <row customHeight="1" ht="11.25" hidden="1">
      <c r="A163" s="1901"/>
      <c r="B163" s="1256"/>
      <c r="C163" s="519"/>
      <c r="D163" s="3219"/>
      <c r="E163" s="756" t="s">
        <v>22</v>
      </c>
      <c r="F163" s="1264" t="s">
        <v>22</v>
      </c>
      <c r="G163" s="1264" t="s">
        <v>711</v>
      </c>
      <c r="H163" s="758" t="s">
        <v>22</v>
      </c>
      <c r="I163" s="758"/>
      <c r="J163" s="758"/>
      <c r="K163" s="758"/>
      <c r="L163" s="758"/>
      <c r="M163" s="758"/>
      <c r="N163" s="758"/>
      <c r="O163" s="758"/>
      <c r="P163" s="758"/>
      <c r="Q163" s="758"/>
      <c r="R163" s="759"/>
      <c r="S163" s="760"/>
      <c r="T163" s="825"/>
      <c r="U163" s="3119"/>
      <c r="V163" s="3119"/>
      <c r="W163" s="1256"/>
      <c r="X163" s="1256"/>
      <c r="Y163" s="1256"/>
      <c r="Z163" s="1256"/>
      <c r="AA163" s="1732"/>
      <c r="AB163" s="1256"/>
      <c r="AC163" s="3214"/>
      <c r="AD163" s="736"/>
      <c r="AE163" s="1256"/>
      <c r="AF163" s="1256"/>
      <c r="AG163" s="1732"/>
      <c r="AH163" s="1732"/>
      <c r="AI163" s="1732"/>
      <c r="AJ163" s="1732"/>
      <c r="AK163" s="1732"/>
      <c r="AL163" s="1732"/>
      <c r="AM163" s="1732"/>
      <c r="AN163" s="1732"/>
      <c r="AO163" s="1732"/>
      <c r="AP163" s="1732"/>
      <c r="AQ163" s="1732"/>
      <c r="AR163" s="1732"/>
      <c r="AS163" s="1732"/>
      <c r="AT163" s="1732"/>
      <c r="AU163" s="1732"/>
      <c r="AV163" s="1732"/>
      <c r="AW163" s="1732"/>
      <c r="AX163" s="1732"/>
      <c r="AY163" s="1732"/>
      <c r="AZ163" s="1732"/>
      <c r="BA163" s="1732"/>
      <c r="BB163" s="1732"/>
      <c r="BC163" s="1732"/>
      <c r="BD163" s="1732"/>
      <c r="BE163" s="1732"/>
      <c r="BF163" s="1732"/>
      <c r="BG163" s="1732"/>
      <c r="BH163" s="1732"/>
      <c r="BI163" s="1732"/>
      <c r="BJ163" s="1732"/>
      <c r="BK163" s="1732"/>
      <c r="BL163" s="1732"/>
      <c r="BM163" s="1732"/>
      <c r="BN163" s="1732"/>
      <c r="BO163" s="1732"/>
      <c r="BP163" s="1732"/>
      <c r="BQ163" s="1732"/>
      <c r="BR163" s="1732"/>
      <c r="BS163" s="1732"/>
      <c r="BT163" s="1732"/>
      <c r="BU163" s="1732"/>
      <c r="BV163" s="1256"/>
      <c r="BW163" s="1256"/>
      <c r="BX163" s="1256"/>
      <c r="BY163" s="1256"/>
      <c r="BZ163" s="1256"/>
      <c r="CA163" s="1256"/>
      <c r="CB163" s="1256"/>
      <c r="CC163" s="1256"/>
      <c r="CD163" s="1256"/>
      <c r="CE163" s="1256"/>
      <c r="CF163" s="1944"/>
    </row>
    <row customHeight="1" ht="5.25" hidden="1">
      <c r="A164" s="1888"/>
      <c r="B164" s="1732"/>
      <c r="C164" s="1732"/>
      <c r="D164" s="3219"/>
      <c r="E164" s="1139"/>
      <c r="F164" s="1139"/>
      <c r="G164" s="1139"/>
      <c r="H164" s="1139"/>
      <c r="I164" s="1139"/>
      <c r="J164" s="1139"/>
      <c r="K164" s="1139"/>
      <c r="L164" s="1139"/>
      <c r="M164" s="1139"/>
      <c r="N164" s="1139"/>
      <c r="O164" s="1139"/>
      <c r="P164" s="1139"/>
      <c r="Q164" s="1140"/>
      <c r="R164" s="1141"/>
      <c r="S164" s="1142"/>
      <c r="T164" s="824" t="s">
        <v>707</v>
      </c>
      <c r="U164" s="3119">
        <v>1</v>
      </c>
      <c r="V164" s="3119" t="s">
        <v>669</v>
      </c>
      <c r="W164" s="1732"/>
      <c r="X164" s="1732"/>
      <c r="Y164" s="1732"/>
      <c r="Z164" s="1732"/>
      <c r="AA164" s="1732"/>
      <c r="AB164" s="1732"/>
      <c r="AC164" s="1137"/>
      <c r="AD164" s="1138"/>
      <c r="AE164" s="1732"/>
      <c r="AF164" s="1732"/>
      <c r="AG164" s="1732"/>
      <c r="AH164" s="1732"/>
      <c r="AI164" s="1732"/>
      <c r="AJ164" s="1732"/>
      <c r="AK164" s="1732"/>
      <c r="AL164" s="1732"/>
      <c r="AM164" s="1732"/>
      <c r="AN164" s="1732"/>
      <c r="AO164" s="1732"/>
      <c r="AP164" s="1732"/>
      <c r="AQ164" s="1732"/>
      <c r="AR164" s="1732"/>
      <c r="AS164" s="1732"/>
      <c r="AT164" s="1732"/>
      <c r="AU164" s="1732"/>
      <c r="AV164" s="1732"/>
      <c r="AW164" s="1732"/>
      <c r="AX164" s="1732"/>
      <c r="AY164" s="1732"/>
      <c r="AZ164" s="1732"/>
      <c r="BA164" s="1732"/>
      <c r="BB164" s="1732"/>
      <c r="BC164" s="1732"/>
      <c r="BD164" s="1732"/>
      <c r="BE164" s="1732"/>
      <c r="BF164" s="1732"/>
      <c r="BG164" s="1732"/>
      <c r="BH164" s="1732"/>
      <c r="BI164" s="1732"/>
      <c r="BJ164" s="1732"/>
      <c r="BK164" s="1732"/>
      <c r="BL164" s="1732"/>
      <c r="BM164" s="1732"/>
      <c r="BN164" s="1732"/>
      <c r="BO164" s="1732"/>
      <c r="BP164" s="1732"/>
      <c r="BQ164" s="1732"/>
      <c r="BR164" s="1732"/>
      <c r="BS164" s="1732"/>
      <c r="BT164" s="1732"/>
      <c r="BU164" s="1732"/>
      <c r="BV164" s="1732"/>
      <c r="BW164" s="1732"/>
      <c r="BX164" s="1732"/>
      <c r="BY164" s="1732"/>
      <c r="BZ164" s="1732"/>
      <c r="CA164" s="1732"/>
      <c r="CB164" s="1732"/>
      <c r="CC164" s="1732"/>
      <c r="CD164" s="1732"/>
      <c r="CE164" s="1732"/>
      <c r="CF164" s="1412"/>
    </row>
    <row customHeight="1" ht="5.25" hidden="1">
      <c r="A165" s="1888"/>
      <c r="B165" s="1732"/>
      <c r="C165" s="1732"/>
      <c r="D165" s="3219"/>
      <c r="E165" s="742"/>
      <c r="F165" s="742"/>
      <c r="G165" s="742"/>
      <c r="H165" s="742"/>
      <c r="I165" s="742"/>
      <c r="J165" s="742"/>
      <c r="K165" s="742"/>
      <c r="L165" s="742"/>
      <c r="M165" s="742"/>
      <c r="N165" s="742"/>
      <c r="O165" s="742"/>
      <c r="P165" s="742"/>
      <c r="Q165" s="742"/>
      <c r="R165" s="742"/>
      <c r="S165" s="743"/>
      <c r="T165" s="825"/>
      <c r="U165" s="3119"/>
      <c r="V165" s="3119"/>
      <c r="W165" s="1732"/>
      <c r="X165" s="1732"/>
      <c r="Y165" s="1732"/>
      <c r="Z165" s="1732"/>
      <c r="AA165" s="1732"/>
      <c r="AB165" s="1732"/>
      <c r="AC165" s="1137"/>
      <c r="AD165" s="1138"/>
      <c r="AE165" s="1732"/>
      <c r="AF165" s="1732"/>
      <c r="AG165" s="1732"/>
      <c r="AH165" s="1732"/>
      <c r="AI165" s="1732"/>
      <c r="AJ165" s="1732"/>
      <c r="AK165" s="1732"/>
      <c r="AL165" s="1732"/>
      <c r="AM165" s="1732"/>
      <c r="AN165" s="1732"/>
      <c r="AO165" s="1732"/>
      <c r="AP165" s="1732"/>
      <c r="AQ165" s="1732"/>
      <c r="AR165" s="1732"/>
      <c r="AS165" s="1732"/>
      <c r="AT165" s="1732"/>
      <c r="AU165" s="1732"/>
      <c r="AV165" s="1732"/>
      <c r="AW165" s="1732"/>
      <c r="AX165" s="1732"/>
      <c r="AY165" s="1732"/>
      <c r="AZ165" s="1732"/>
      <c r="BA165" s="1732"/>
      <c r="BB165" s="1732"/>
      <c r="BC165" s="1732"/>
      <c r="BD165" s="1732"/>
      <c r="BE165" s="1732"/>
      <c r="BF165" s="1732"/>
      <c r="BG165" s="1732"/>
      <c r="BH165" s="1732"/>
      <c r="BI165" s="1732"/>
      <c r="BJ165" s="1732"/>
      <c r="BK165" s="1732"/>
      <c r="BL165" s="1732"/>
      <c r="BM165" s="1732"/>
      <c r="BN165" s="1732"/>
      <c r="BO165" s="1732"/>
      <c r="BP165" s="1732"/>
      <c r="BQ165" s="1732"/>
      <c r="BR165" s="1732"/>
      <c r="BS165" s="1732"/>
      <c r="BT165" s="1732"/>
      <c r="BU165" s="1732"/>
      <c r="BV165" s="1732"/>
      <c r="BW165" s="1732"/>
      <c r="BX165" s="1732"/>
      <c r="BY165" s="1732"/>
      <c r="BZ165" s="1732"/>
      <c r="CA165" s="1732"/>
      <c r="CB165" s="1732"/>
      <c r="CC165" s="1732"/>
      <c r="CD165" s="1732"/>
      <c r="CE165" s="1732"/>
      <c r="CF165" s="1412"/>
    </row>
    <row customHeight="1" ht="5.25" hidden="1">
      <c r="A166" s="1888"/>
      <c r="B166" s="1732"/>
      <c r="C166" s="1732"/>
      <c r="D166" s="3220"/>
      <c r="E166" s="1143"/>
      <c r="F166" s="1144"/>
      <c r="G166" s="1144"/>
      <c r="H166" s="1145"/>
      <c r="I166" s="1145"/>
      <c r="J166" s="1145"/>
      <c r="K166" s="1145"/>
      <c r="L166" s="1145"/>
      <c r="M166" s="1145"/>
      <c r="N166" s="1145"/>
      <c r="O166" s="1145"/>
      <c r="P166" s="1145"/>
      <c r="Q166" s="1145"/>
      <c r="R166" s="1046"/>
      <c r="S166" s="1146"/>
      <c r="T166" s="825"/>
      <c r="U166" s="3119"/>
      <c r="V166" s="3119"/>
      <c r="W166" s="1732"/>
      <c r="X166" s="1732"/>
      <c r="Y166" s="1732"/>
      <c r="Z166" s="1732"/>
      <c r="AA166" s="1732"/>
      <c r="AB166" s="1732"/>
      <c r="AC166" s="1137"/>
      <c r="AD166" s="1138"/>
      <c r="AE166" s="1732"/>
      <c r="AF166" s="1732"/>
      <c r="AG166" s="1732"/>
      <c r="AH166" s="1732"/>
      <c r="AI166" s="1732"/>
      <c r="AJ166" s="1732"/>
      <c r="AK166" s="1732"/>
      <c r="AL166" s="1732"/>
      <c r="AM166" s="1732"/>
      <c r="AN166" s="1732"/>
      <c r="AO166" s="1732"/>
      <c r="AP166" s="1732"/>
      <c r="AQ166" s="1732"/>
      <c r="AR166" s="1732"/>
      <c r="AS166" s="1732"/>
      <c r="AT166" s="1732"/>
      <c r="AU166" s="1732"/>
      <c r="AV166" s="1732"/>
      <c r="AW166" s="1732"/>
      <c r="AX166" s="1732"/>
      <c r="AY166" s="1732"/>
      <c r="AZ166" s="1732"/>
      <c r="BA166" s="1732"/>
      <c r="BB166" s="1732"/>
      <c r="BC166" s="1732"/>
      <c r="BD166" s="1732"/>
      <c r="BE166" s="1732"/>
      <c r="BF166" s="1732"/>
      <c r="BG166" s="1732"/>
      <c r="BH166" s="1732"/>
      <c r="BI166" s="1732"/>
      <c r="BJ166" s="1732"/>
      <c r="BK166" s="1732"/>
      <c r="BL166" s="1732"/>
      <c r="BM166" s="1732"/>
      <c r="BN166" s="1732"/>
      <c r="BO166" s="1732"/>
      <c r="BP166" s="1732"/>
      <c r="BQ166" s="1732"/>
      <c r="BR166" s="1732"/>
      <c r="BS166" s="1732"/>
      <c r="BT166" s="1732"/>
      <c r="BU166" s="1732"/>
      <c r="BV166" s="1732"/>
      <c r="BW166" s="1732"/>
      <c r="BX166" s="1732"/>
      <c r="BY166" s="1732"/>
      <c r="BZ166" s="1732"/>
      <c r="CA166" s="1732"/>
      <c r="CB166" s="1732"/>
      <c r="CC166" s="1732"/>
      <c r="CD166" s="1732"/>
      <c r="CE166" s="1732"/>
      <c r="CF166" s="1412"/>
    </row>
    <row customHeight="1" ht="15" hidden="1">
      <c r="A167" s="730" t="s">
        <v>729</v>
      </c>
      <c r="B167" s="731"/>
      <c r="C167" s="731" t="s">
        <v>22</v>
      </c>
      <c r="D167" s="3218" t="s">
        <v>730</v>
      </c>
      <c r="E167" s="3215" t="s">
        <v>140</v>
      </c>
      <c r="F167" s="3216"/>
      <c r="G167" s="3217"/>
      <c r="H167" s="3211">
        <f>IF(A167="","",INDEX(DIFFERENTIATION_UNMERGE_VD,MATCH(A167,DIFFERENTIATION_ID_DIFF,0)))</f>
      </c>
      <c r="I167" s="3211"/>
      <c r="J167" s="3211"/>
      <c r="K167" s="3211"/>
      <c r="L167" s="3211"/>
      <c r="M167" s="3211"/>
      <c r="N167" s="3211"/>
      <c r="O167" s="3211"/>
      <c r="P167" s="3211"/>
      <c r="Q167" s="3211"/>
      <c r="R167" s="3211"/>
      <c r="S167" s="826"/>
      <c r="T167" s="823"/>
      <c r="U167" s="732"/>
      <c r="V167" s="732"/>
      <c r="W167" s="733"/>
      <c r="X167" s="733"/>
      <c r="Y167" s="733"/>
      <c r="Z167" s="733"/>
      <c r="AA167" s="734"/>
      <c r="AB167" s="735"/>
      <c r="AC167" s="3214"/>
      <c r="AD167" s="736"/>
      <c r="AE167" s="737" t="s">
        <v>22</v>
      </c>
      <c r="AF167" s="737"/>
      <c r="AG167" s="738" t="s">
        <v>704</v>
      </c>
      <c r="AH167" s="739">
        <v>3</v>
      </c>
      <c r="AI167" s="732"/>
      <c r="AJ167" s="732"/>
      <c r="AK167" s="732"/>
      <c r="AL167" s="732"/>
      <c r="AM167" s="732"/>
      <c r="AN167" s="732"/>
      <c r="AO167" s="732"/>
      <c r="AP167" s="732"/>
      <c r="AQ167" s="732"/>
      <c r="AR167" s="732"/>
      <c r="AS167" s="732"/>
      <c r="AT167" s="732"/>
      <c r="AU167" s="732"/>
      <c r="AV167" s="732"/>
      <c r="AW167" s="732"/>
      <c r="AX167" s="732"/>
      <c r="AY167" s="732"/>
      <c r="AZ167" s="732"/>
      <c r="BA167" s="732"/>
      <c r="BB167" s="732"/>
      <c r="BC167" s="732"/>
      <c r="BD167" s="732"/>
      <c r="BE167" s="732"/>
      <c r="BF167" s="732"/>
      <c r="BG167" s="732"/>
      <c r="BH167" s="732"/>
      <c r="BI167" s="732"/>
      <c r="BJ167" s="732"/>
      <c r="BK167" s="732"/>
      <c r="BL167" s="732"/>
      <c r="BM167" s="732"/>
      <c r="BN167" s="732"/>
      <c r="BO167" s="732"/>
      <c r="BP167" s="732"/>
      <c r="BQ167" s="732"/>
      <c r="BR167" s="732"/>
      <c r="BS167" s="732"/>
      <c r="BT167" s="732"/>
      <c r="BU167" s="732"/>
      <c r="BV167" s="733"/>
      <c r="BW167" s="733"/>
      <c r="BX167" s="733"/>
      <c r="BY167" s="733"/>
      <c r="BZ167" s="733"/>
      <c r="CA167" s="733"/>
      <c r="CB167" s="733"/>
      <c r="CC167" s="733"/>
      <c r="CD167" s="733"/>
      <c r="CE167" s="733"/>
      <c r="CF167" s="1944"/>
    </row>
    <row customHeight="1" ht="15" hidden="1">
      <c r="A168" s="730"/>
      <c r="B168" s="731"/>
      <c r="C168" s="731"/>
      <c r="D168" s="3219"/>
      <c r="E168" s="3215" t="s">
        <v>649</v>
      </c>
      <c r="F168" s="3216"/>
      <c r="G168" s="3217"/>
      <c r="H168" s="3211">
        <f>IF(A167="","",INDEX(DIFFERENTIATION_UNMERGE_AREA,MATCH(A167,DIFFERENTIATION_ID_DIFF,0)))</f>
      </c>
      <c r="I168" s="3211"/>
      <c r="J168" s="3211"/>
      <c r="K168" s="3211"/>
      <c r="L168" s="3211"/>
      <c r="M168" s="3211"/>
      <c r="N168" s="3211"/>
      <c r="O168" s="3211"/>
      <c r="P168" s="3211"/>
      <c r="Q168" s="3211"/>
      <c r="R168" s="3211"/>
      <c r="S168" s="826"/>
      <c r="T168" s="823"/>
      <c r="U168" s="732"/>
      <c r="V168" s="732"/>
      <c r="W168" s="733"/>
      <c r="X168" s="733"/>
      <c r="Y168" s="733"/>
      <c r="Z168" s="733"/>
      <c r="AA168" s="734"/>
      <c r="AB168" s="735"/>
      <c r="AC168" s="3214"/>
      <c r="AD168" s="736"/>
      <c r="AE168" s="737"/>
      <c r="AF168" s="737"/>
      <c r="AG168" s="738"/>
      <c r="AH168" s="739"/>
      <c r="AI168" s="732"/>
      <c r="AJ168" s="732"/>
      <c r="AK168" s="732"/>
      <c r="AL168" s="732"/>
      <c r="AM168" s="732"/>
      <c r="AN168" s="732"/>
      <c r="AO168" s="732"/>
      <c r="AP168" s="732"/>
      <c r="AQ168" s="732"/>
      <c r="AR168" s="732"/>
      <c r="AS168" s="732"/>
      <c r="AT168" s="732"/>
      <c r="AU168" s="732"/>
      <c r="AV168" s="732"/>
      <c r="AW168" s="732"/>
      <c r="AX168" s="732"/>
      <c r="AY168" s="732"/>
      <c r="AZ168" s="732"/>
      <c r="BA168" s="732"/>
      <c r="BB168" s="732"/>
      <c r="BC168" s="732"/>
      <c r="BD168" s="732"/>
      <c r="BE168" s="732"/>
      <c r="BF168" s="732"/>
      <c r="BG168" s="732"/>
      <c r="BH168" s="732"/>
      <c r="BI168" s="732"/>
      <c r="BJ168" s="732"/>
      <c r="BK168" s="732"/>
      <c r="BL168" s="732"/>
      <c r="BM168" s="732"/>
      <c r="BN168" s="732"/>
      <c r="BO168" s="732"/>
      <c r="BP168" s="732"/>
      <c r="BQ168" s="732"/>
      <c r="BR168" s="732"/>
      <c r="BS168" s="732"/>
      <c r="BT168" s="732"/>
      <c r="BU168" s="732"/>
      <c r="BV168" s="733"/>
      <c r="BW168" s="733"/>
      <c r="BX168" s="733"/>
      <c r="BY168" s="733"/>
      <c r="BZ168" s="733"/>
      <c r="CA168" s="733"/>
      <c r="CB168" s="733"/>
      <c r="CC168" s="733"/>
      <c r="CD168" s="733"/>
      <c r="CE168" s="733"/>
      <c r="CF168" s="1944"/>
    </row>
    <row customHeight="1" ht="15" hidden="1">
      <c r="A169" s="730"/>
      <c r="B169" s="731"/>
      <c r="C169" s="731"/>
      <c r="D169" s="3219"/>
      <c r="E169" s="3215" t="s">
        <v>650</v>
      </c>
      <c r="F169" s="3216"/>
      <c r="G169" s="3217"/>
      <c r="H169" s="3211">
        <f>IF(A167="","",INDEX(DIFFERENTIATION_UNMERGE_SYSTEM,MATCH(A167,DIFFERENTIATION_ID_DIFF,0)))</f>
      </c>
      <c r="I169" s="3211"/>
      <c r="J169" s="3211"/>
      <c r="K169" s="3211"/>
      <c r="L169" s="3211"/>
      <c r="M169" s="3211"/>
      <c r="N169" s="3211"/>
      <c r="O169" s="3211"/>
      <c r="P169" s="3211"/>
      <c r="Q169" s="3211"/>
      <c r="R169" s="3211"/>
      <c r="S169" s="826"/>
      <c r="T169" s="823"/>
      <c r="U169" s="732"/>
      <c r="V169" s="732"/>
      <c r="W169" s="733"/>
      <c r="X169" s="733"/>
      <c r="Y169" s="733"/>
      <c r="Z169" s="733"/>
      <c r="AA169" s="734"/>
      <c r="AB169" s="735"/>
      <c r="AC169" s="3214"/>
      <c r="AD169" s="736"/>
      <c r="AE169" s="737"/>
      <c r="AF169" s="737"/>
      <c r="AG169" s="738"/>
      <c r="AH169" s="739"/>
      <c r="AI169" s="732"/>
      <c r="AJ169" s="732"/>
      <c r="AK169" s="732"/>
      <c r="AL169" s="732"/>
      <c r="AM169" s="732"/>
      <c r="AN169" s="732"/>
      <c r="AO169" s="732"/>
      <c r="AP169" s="732"/>
      <c r="AQ169" s="732"/>
      <c r="AR169" s="732"/>
      <c r="AS169" s="732"/>
      <c r="AT169" s="732"/>
      <c r="AU169" s="732"/>
      <c r="AV169" s="732"/>
      <c r="AW169" s="732"/>
      <c r="AX169" s="732"/>
      <c r="AY169" s="732"/>
      <c r="AZ169" s="732"/>
      <c r="BA169" s="732"/>
      <c r="BB169" s="732"/>
      <c r="BC169" s="732"/>
      <c r="BD169" s="732"/>
      <c r="BE169" s="732"/>
      <c r="BF169" s="732"/>
      <c r="BG169" s="732"/>
      <c r="BH169" s="732"/>
      <c r="BI169" s="732"/>
      <c r="BJ169" s="732"/>
      <c r="BK169" s="732"/>
      <c r="BL169" s="732"/>
      <c r="BM169" s="732"/>
      <c r="BN169" s="732"/>
      <c r="BO169" s="732"/>
      <c r="BP169" s="732"/>
      <c r="BQ169" s="732"/>
      <c r="BR169" s="732"/>
      <c r="BS169" s="732"/>
      <c r="BT169" s="732"/>
      <c r="BU169" s="732"/>
      <c r="BV169" s="733"/>
      <c r="BW169" s="733"/>
      <c r="BX169" s="733"/>
      <c r="BY169" s="733"/>
      <c r="BZ169" s="733"/>
      <c r="CA169" s="733"/>
      <c r="CB169" s="733"/>
      <c r="CC169" s="733"/>
      <c r="CD169" s="733"/>
      <c r="CE169" s="733"/>
      <c r="CF169" s="1944"/>
    </row>
    <row customHeight="1" ht="24.75" hidden="1">
      <c r="A170" s="1901"/>
      <c r="B170" s="1256"/>
      <c r="C170" s="519"/>
      <c r="D170" s="3219"/>
      <c r="E170" s="3213" t="s">
        <v>705</v>
      </c>
      <c r="F170" s="3213"/>
      <c r="G170" s="3213"/>
      <c r="H170" s="3213"/>
      <c r="I170" s="3213"/>
      <c r="J170" s="3213"/>
      <c r="K170" s="3213"/>
      <c r="L170" s="3213"/>
      <c r="M170" s="3213"/>
      <c r="N170" s="3213"/>
      <c r="O170" s="3213"/>
      <c r="P170" s="3213"/>
      <c r="Q170" s="665">
        <f>SUMIF(T171:T172,"i",Q171:Q172)</f>
        <v>0</v>
      </c>
      <c r="R170" s="1117"/>
      <c r="S170" s="1893" t="s">
        <v>706</v>
      </c>
      <c r="T170" s="824" t="s">
        <v>707</v>
      </c>
      <c r="U170" s="3119">
        <v>1</v>
      </c>
      <c r="V170" s="3119">
        <f>INDEX(B_FHD_FLAG_INDEX_1,1,MATCH($A$167,B_FHD_FLAG_DIFFERENTIATION,0))</f>
      </c>
      <c r="W170" s="1256"/>
      <c r="X170" s="1256"/>
      <c r="Y170" s="1256"/>
      <c r="Z170" s="1256"/>
      <c r="AA170" s="1732"/>
      <c r="AB170" s="1256"/>
      <c r="AC170" s="3214"/>
      <c r="AD170" s="736"/>
      <c r="AE170" s="1256"/>
      <c r="AF170" s="1256"/>
      <c r="AG170" s="1732"/>
      <c r="AH170" s="1732"/>
      <c r="AI170" s="1732"/>
      <c r="AJ170" s="1732"/>
      <c r="AK170" s="1732"/>
      <c r="AL170" s="1732"/>
      <c r="AM170" s="1732"/>
      <c r="AN170" s="1732"/>
      <c r="AO170" s="1732"/>
      <c r="AP170" s="1732"/>
      <c r="AQ170" s="1732"/>
      <c r="AR170" s="1732"/>
      <c r="AS170" s="1732"/>
      <c r="AT170" s="1732"/>
      <c r="AU170" s="1732"/>
      <c r="AV170" s="1732"/>
      <c r="AW170" s="1732"/>
      <c r="AX170" s="1732"/>
      <c r="AY170" s="1732"/>
      <c r="AZ170" s="1732"/>
      <c r="BA170" s="1732"/>
      <c r="BB170" s="1732"/>
      <c r="BC170" s="1732"/>
      <c r="BD170" s="1732"/>
      <c r="BE170" s="1732"/>
      <c r="BF170" s="1732"/>
      <c r="BG170" s="1732"/>
      <c r="BH170" s="1732"/>
      <c r="BI170" s="1732"/>
      <c r="BJ170" s="1732"/>
      <c r="BK170" s="1732"/>
      <c r="BL170" s="1732"/>
      <c r="BM170" s="1732"/>
      <c r="BN170" s="1732"/>
      <c r="BO170" s="1732"/>
      <c r="BP170" s="1732"/>
      <c r="BQ170" s="1732"/>
      <c r="BR170" s="1732"/>
      <c r="BS170" s="1732"/>
      <c r="BT170" s="1732"/>
      <c r="BU170" s="1732"/>
      <c r="BV170" s="1256"/>
      <c r="BW170" s="1256"/>
      <c r="BX170" s="1256"/>
      <c r="BY170" s="1256"/>
      <c r="BZ170" s="1256"/>
      <c r="CA170" s="1256"/>
      <c r="CB170" s="1256"/>
      <c r="CC170" s="1256"/>
      <c r="CD170" s="1256"/>
      <c r="CE170" s="1256"/>
      <c r="CF170" s="1944"/>
    </row>
    <row customHeight="1" ht="11.25" hidden="1">
      <c r="A171" s="1888"/>
      <c r="B171" s="1732"/>
      <c r="C171" s="1732"/>
      <c r="D171" s="3219"/>
      <c r="E171" s="742"/>
      <c r="F171" s="742">
        <v>0</v>
      </c>
      <c r="G171" s="742"/>
      <c r="H171" s="742"/>
      <c r="I171" s="742"/>
      <c r="J171" s="742"/>
      <c r="K171" s="742"/>
      <c r="L171" s="742"/>
      <c r="M171" s="742"/>
      <c r="N171" s="742"/>
      <c r="O171" s="742"/>
      <c r="P171" s="742"/>
      <c r="Q171" s="742"/>
      <c r="R171" s="742"/>
      <c r="S171" s="743"/>
      <c r="T171" s="825"/>
      <c r="U171" s="3119"/>
      <c r="V171" s="3119"/>
      <c r="W171" s="1732"/>
      <c r="X171" s="1732"/>
      <c r="Y171" s="1732"/>
      <c r="Z171" s="1732"/>
      <c r="AA171" s="1732"/>
      <c r="AB171" s="1256"/>
      <c r="AC171" s="3214"/>
      <c r="AD171" s="736"/>
      <c r="AE171" s="1256"/>
      <c r="AF171" s="1256"/>
      <c r="AG171" s="1732"/>
      <c r="AH171" s="1732"/>
      <c r="AI171" s="1732"/>
      <c r="AJ171" s="1732"/>
      <c r="AK171" s="1732"/>
      <c r="AL171" s="1732"/>
      <c r="AM171" s="1732"/>
      <c r="AN171" s="1732"/>
      <c r="AO171" s="1732"/>
      <c r="AP171" s="1732"/>
      <c r="AQ171" s="1732"/>
      <c r="AR171" s="1732"/>
      <c r="AS171" s="1732"/>
      <c r="AT171" s="1732"/>
      <c r="AU171" s="1732"/>
      <c r="AV171" s="1732"/>
      <c r="AW171" s="1732"/>
      <c r="AX171" s="1732"/>
      <c r="AY171" s="1732"/>
      <c r="AZ171" s="1732"/>
      <c r="BA171" s="1732"/>
      <c r="BB171" s="1732"/>
      <c r="BC171" s="1732"/>
      <c r="BD171" s="1732"/>
      <c r="BE171" s="1732"/>
      <c r="BF171" s="1732"/>
      <c r="BG171" s="1732"/>
      <c r="BH171" s="1732"/>
      <c r="BI171" s="1732"/>
      <c r="BJ171" s="1732"/>
      <c r="BK171" s="1732"/>
      <c r="BL171" s="1732"/>
      <c r="BM171" s="1732"/>
      <c r="BN171" s="1732"/>
      <c r="BO171" s="1732"/>
      <c r="BP171" s="1732"/>
      <c r="BQ171" s="1732"/>
      <c r="BR171" s="1732"/>
      <c r="BS171" s="1732"/>
      <c r="BT171" s="1732"/>
      <c r="BU171" s="1732"/>
      <c r="BV171" s="1732"/>
      <c r="BW171" s="1732"/>
      <c r="BX171" s="1732"/>
      <c r="BY171" s="1732"/>
      <c r="BZ171" s="1732"/>
      <c r="CA171" s="1732"/>
      <c r="CB171" s="1732"/>
      <c r="CC171" s="1732"/>
      <c r="CD171" s="1732"/>
      <c r="CE171" s="1732"/>
      <c r="CF171" s="1944"/>
    </row>
    <row customHeight="1" ht="11.25" hidden="1">
      <c r="A172" s="1901"/>
      <c r="B172" s="1256"/>
      <c r="C172" s="519"/>
      <c r="D172" s="3219"/>
      <c r="E172" s="756" t="s">
        <v>22</v>
      </c>
      <c r="F172" s="1264" t="s">
        <v>22</v>
      </c>
      <c r="G172" s="1264" t="s">
        <v>711</v>
      </c>
      <c r="H172" s="758" t="s">
        <v>22</v>
      </c>
      <c r="I172" s="758"/>
      <c r="J172" s="758"/>
      <c r="K172" s="758"/>
      <c r="L172" s="758"/>
      <c r="M172" s="758"/>
      <c r="N172" s="758"/>
      <c r="O172" s="758"/>
      <c r="P172" s="758"/>
      <c r="Q172" s="758"/>
      <c r="R172" s="759"/>
      <c r="S172" s="760"/>
      <c r="T172" s="825"/>
      <c r="U172" s="3119"/>
      <c r="V172" s="3119"/>
      <c r="W172" s="1256"/>
      <c r="X172" s="1256"/>
      <c r="Y172" s="1256"/>
      <c r="Z172" s="1256"/>
      <c r="AA172" s="1732"/>
      <c r="AB172" s="1256"/>
      <c r="AC172" s="3214"/>
      <c r="AD172" s="736"/>
      <c r="AE172" s="1256"/>
      <c r="AF172" s="1256"/>
      <c r="AG172" s="1732"/>
      <c r="AH172" s="1732"/>
      <c r="AI172" s="1732"/>
      <c r="AJ172" s="1732"/>
      <c r="AK172" s="1732"/>
      <c r="AL172" s="1732"/>
      <c r="AM172" s="1732"/>
      <c r="AN172" s="1732"/>
      <c r="AO172" s="1732"/>
      <c r="AP172" s="1732"/>
      <c r="AQ172" s="1732"/>
      <c r="AR172" s="1732"/>
      <c r="AS172" s="1732"/>
      <c r="AT172" s="1732"/>
      <c r="AU172" s="1732"/>
      <c r="AV172" s="1732"/>
      <c r="AW172" s="1732"/>
      <c r="AX172" s="1732"/>
      <c r="AY172" s="1732"/>
      <c r="AZ172" s="1732"/>
      <c r="BA172" s="1732"/>
      <c r="BB172" s="1732"/>
      <c r="BC172" s="1732"/>
      <c r="BD172" s="1732"/>
      <c r="BE172" s="1732"/>
      <c r="BF172" s="1732"/>
      <c r="BG172" s="1732"/>
      <c r="BH172" s="1732"/>
      <c r="BI172" s="1732"/>
      <c r="BJ172" s="1732"/>
      <c r="BK172" s="1732"/>
      <c r="BL172" s="1732"/>
      <c r="BM172" s="1732"/>
      <c r="BN172" s="1732"/>
      <c r="BO172" s="1732"/>
      <c r="BP172" s="1732"/>
      <c r="BQ172" s="1732"/>
      <c r="BR172" s="1732"/>
      <c r="BS172" s="1732"/>
      <c r="BT172" s="1732"/>
      <c r="BU172" s="1732"/>
      <c r="BV172" s="1256"/>
      <c r="BW172" s="1256"/>
      <c r="BX172" s="1256"/>
      <c r="BY172" s="1256"/>
      <c r="BZ172" s="1256"/>
      <c r="CA172" s="1256"/>
      <c r="CB172" s="1256"/>
      <c r="CC172" s="1256"/>
      <c r="CD172" s="1256"/>
      <c r="CE172" s="1256"/>
      <c r="CF172" s="1944"/>
    </row>
    <row customHeight="1" ht="5.25" hidden="1">
      <c r="A173" s="1888"/>
      <c r="B173" s="1732"/>
      <c r="C173" s="1732"/>
      <c r="D173" s="3219"/>
      <c r="E173" s="1139"/>
      <c r="F173" s="1139"/>
      <c r="G173" s="1139"/>
      <c r="H173" s="1139"/>
      <c r="I173" s="1139"/>
      <c r="J173" s="1139"/>
      <c r="K173" s="1139"/>
      <c r="L173" s="1139"/>
      <c r="M173" s="1139"/>
      <c r="N173" s="1139"/>
      <c r="O173" s="1139"/>
      <c r="P173" s="1139"/>
      <c r="Q173" s="1140"/>
      <c r="R173" s="1141"/>
      <c r="S173" s="1142"/>
      <c r="T173" s="824" t="s">
        <v>707</v>
      </c>
      <c r="U173" s="3119">
        <v>1</v>
      </c>
      <c r="V173" s="3119" t="s">
        <v>669</v>
      </c>
      <c r="W173" s="1732"/>
      <c r="X173" s="1732"/>
      <c r="Y173" s="1732"/>
      <c r="Z173" s="1732"/>
      <c r="AA173" s="1732"/>
      <c r="AB173" s="1732"/>
      <c r="AC173" s="1137"/>
      <c r="AD173" s="1138"/>
      <c r="AE173" s="1732"/>
      <c r="AF173" s="1732"/>
      <c r="AG173" s="1732"/>
      <c r="AH173" s="1732"/>
      <c r="AI173" s="1732"/>
      <c r="AJ173" s="1732"/>
      <c r="AK173" s="1732"/>
      <c r="AL173" s="1732"/>
      <c r="AM173" s="1732"/>
      <c r="AN173" s="1732"/>
      <c r="AO173" s="1732"/>
      <c r="AP173" s="1732"/>
      <c r="AQ173" s="1732"/>
      <c r="AR173" s="1732"/>
      <c r="AS173" s="1732"/>
      <c r="AT173" s="1732"/>
      <c r="AU173" s="1732"/>
      <c r="AV173" s="1732"/>
      <c r="AW173" s="1732"/>
      <c r="AX173" s="1732"/>
      <c r="AY173" s="1732"/>
      <c r="AZ173" s="1732"/>
      <c r="BA173" s="1732"/>
      <c r="BB173" s="1732"/>
      <c r="BC173" s="1732"/>
      <c r="BD173" s="1732"/>
      <c r="BE173" s="1732"/>
      <c r="BF173" s="1732"/>
      <c r="BG173" s="1732"/>
      <c r="BH173" s="1732"/>
      <c r="BI173" s="1732"/>
      <c r="BJ173" s="1732"/>
      <c r="BK173" s="1732"/>
      <c r="BL173" s="1732"/>
      <c r="BM173" s="1732"/>
      <c r="BN173" s="1732"/>
      <c r="BO173" s="1732"/>
      <c r="BP173" s="1732"/>
      <c r="BQ173" s="1732"/>
      <c r="BR173" s="1732"/>
      <c r="BS173" s="1732"/>
      <c r="BT173" s="1732"/>
      <c r="BU173" s="1732"/>
      <c r="BV173" s="1732"/>
      <c r="BW173" s="1732"/>
      <c r="BX173" s="1732"/>
      <c r="BY173" s="1732"/>
      <c r="BZ173" s="1732"/>
      <c r="CA173" s="1732"/>
      <c r="CB173" s="1732"/>
      <c r="CC173" s="1732"/>
      <c r="CD173" s="1732"/>
      <c r="CE173" s="1732"/>
      <c r="CF173" s="1412"/>
    </row>
    <row customHeight="1" ht="5.25" hidden="1">
      <c r="A174" s="1888"/>
      <c r="B174" s="1732"/>
      <c r="C174" s="1732"/>
      <c r="D174" s="3219"/>
      <c r="E174" s="742"/>
      <c r="F174" s="742"/>
      <c r="G174" s="742"/>
      <c r="H174" s="742"/>
      <c r="I174" s="742"/>
      <c r="J174" s="742"/>
      <c r="K174" s="742"/>
      <c r="L174" s="742"/>
      <c r="M174" s="742"/>
      <c r="N174" s="742"/>
      <c r="O174" s="742"/>
      <c r="P174" s="742"/>
      <c r="Q174" s="742"/>
      <c r="R174" s="742"/>
      <c r="S174" s="743"/>
      <c r="T174" s="825"/>
      <c r="U174" s="3119"/>
      <c r="V174" s="3119"/>
      <c r="W174" s="1732"/>
      <c r="X174" s="1732"/>
      <c r="Y174" s="1732"/>
      <c r="Z174" s="1732"/>
      <c r="AA174" s="1732"/>
      <c r="AB174" s="1732"/>
      <c r="AC174" s="1137"/>
      <c r="AD174" s="1138"/>
      <c r="AE174" s="1732"/>
      <c r="AF174" s="1732"/>
      <c r="AG174" s="1732"/>
      <c r="AH174" s="1732"/>
      <c r="AI174" s="1732"/>
      <c r="AJ174" s="1732"/>
      <c r="AK174" s="1732"/>
      <c r="AL174" s="1732"/>
      <c r="AM174" s="1732"/>
      <c r="AN174" s="1732"/>
      <c r="AO174" s="1732"/>
      <c r="AP174" s="1732"/>
      <c r="AQ174" s="1732"/>
      <c r="AR174" s="1732"/>
      <c r="AS174" s="1732"/>
      <c r="AT174" s="1732"/>
      <c r="AU174" s="1732"/>
      <c r="AV174" s="1732"/>
      <c r="AW174" s="1732"/>
      <c r="AX174" s="1732"/>
      <c r="AY174" s="1732"/>
      <c r="AZ174" s="1732"/>
      <c r="BA174" s="1732"/>
      <c r="BB174" s="1732"/>
      <c r="BC174" s="1732"/>
      <c r="BD174" s="1732"/>
      <c r="BE174" s="1732"/>
      <c r="BF174" s="1732"/>
      <c r="BG174" s="1732"/>
      <c r="BH174" s="1732"/>
      <c r="BI174" s="1732"/>
      <c r="BJ174" s="1732"/>
      <c r="BK174" s="1732"/>
      <c r="BL174" s="1732"/>
      <c r="BM174" s="1732"/>
      <c r="BN174" s="1732"/>
      <c r="BO174" s="1732"/>
      <c r="BP174" s="1732"/>
      <c r="BQ174" s="1732"/>
      <c r="BR174" s="1732"/>
      <c r="BS174" s="1732"/>
      <c r="BT174" s="1732"/>
      <c r="BU174" s="1732"/>
      <c r="BV174" s="1732"/>
      <c r="BW174" s="1732"/>
      <c r="BX174" s="1732"/>
      <c r="BY174" s="1732"/>
      <c r="BZ174" s="1732"/>
      <c r="CA174" s="1732"/>
      <c r="CB174" s="1732"/>
      <c r="CC174" s="1732"/>
      <c r="CD174" s="1732"/>
      <c r="CE174" s="1732"/>
      <c r="CF174" s="1412"/>
    </row>
    <row customHeight="1" ht="5.25" hidden="1">
      <c r="A175" s="1888"/>
      <c r="B175" s="1732"/>
      <c r="C175" s="1732"/>
      <c r="D175" s="3220"/>
      <c r="E175" s="1143"/>
      <c r="F175" s="1144"/>
      <c r="G175" s="1144"/>
      <c r="H175" s="1145"/>
      <c r="I175" s="1145"/>
      <c r="J175" s="1145"/>
      <c r="K175" s="1145"/>
      <c r="L175" s="1145"/>
      <c r="M175" s="1145"/>
      <c r="N175" s="1145"/>
      <c r="O175" s="1145"/>
      <c r="P175" s="1145"/>
      <c r="Q175" s="1145"/>
      <c r="R175" s="1046"/>
      <c r="S175" s="1146"/>
      <c r="T175" s="825"/>
      <c r="U175" s="3119"/>
      <c r="V175" s="3119"/>
      <c r="W175" s="1732"/>
      <c r="X175" s="1732"/>
      <c r="Y175" s="1732"/>
      <c r="Z175" s="1732"/>
      <c r="AA175" s="1732"/>
      <c r="AB175" s="1732"/>
      <c r="AC175" s="1137"/>
      <c r="AD175" s="1138"/>
      <c r="AE175" s="1732"/>
      <c r="AF175" s="1732"/>
      <c r="AG175" s="1732"/>
      <c r="AH175" s="1732"/>
      <c r="AI175" s="1732"/>
      <c r="AJ175" s="1732"/>
      <c r="AK175" s="1732"/>
      <c r="AL175" s="1732"/>
      <c r="AM175" s="1732"/>
      <c r="AN175" s="1732"/>
      <c r="AO175" s="1732"/>
      <c r="AP175" s="1732"/>
      <c r="AQ175" s="1732"/>
      <c r="AR175" s="1732"/>
      <c r="AS175" s="1732"/>
      <c r="AT175" s="1732"/>
      <c r="AU175" s="1732"/>
      <c r="AV175" s="1732"/>
      <c r="AW175" s="1732"/>
      <c r="AX175" s="1732"/>
      <c r="AY175" s="1732"/>
      <c r="AZ175" s="1732"/>
      <c r="BA175" s="1732"/>
      <c r="BB175" s="1732"/>
      <c r="BC175" s="1732"/>
      <c r="BD175" s="1732"/>
      <c r="BE175" s="1732"/>
      <c r="BF175" s="1732"/>
      <c r="BG175" s="1732"/>
      <c r="BH175" s="1732"/>
      <c r="BI175" s="1732"/>
      <c r="BJ175" s="1732"/>
      <c r="BK175" s="1732"/>
      <c r="BL175" s="1732"/>
      <c r="BM175" s="1732"/>
      <c r="BN175" s="1732"/>
      <c r="BO175" s="1732"/>
      <c r="BP175" s="1732"/>
      <c r="BQ175" s="1732"/>
      <c r="BR175" s="1732"/>
      <c r="BS175" s="1732"/>
      <c r="BT175" s="1732"/>
      <c r="BU175" s="1732"/>
      <c r="BV175" s="1732"/>
      <c r="BW175" s="1732"/>
      <c r="BX175" s="1732"/>
      <c r="BY175" s="1732"/>
      <c r="BZ175" s="1732"/>
      <c r="CA175" s="1732"/>
      <c r="CB175" s="1732"/>
      <c r="CC175" s="1732"/>
      <c r="CD175" s="1732"/>
      <c r="CE175" s="1732"/>
      <c r="CF175" s="1412"/>
    </row>
    <row customHeight="1" ht="15" hidden="1">
      <c r="A176" s="730" t="s">
        <v>731</v>
      </c>
      <c r="B176" s="731"/>
      <c r="C176" s="731" t="s">
        <v>22</v>
      </c>
      <c r="D176" s="3218" t="s">
        <v>732</v>
      </c>
      <c r="E176" s="3215" t="s">
        <v>140</v>
      </c>
      <c r="F176" s="3216"/>
      <c r="G176" s="3217"/>
      <c r="H176" s="3211">
        <f>IF(A176="","",INDEX(DIFFERENTIATION_UNMERGE_VD,MATCH(A176,DIFFERENTIATION_ID_DIFF,0)))</f>
      </c>
      <c r="I176" s="3211"/>
      <c r="J176" s="3211"/>
      <c r="K176" s="3211"/>
      <c r="L176" s="3211"/>
      <c r="M176" s="3211"/>
      <c r="N176" s="3211"/>
      <c r="O176" s="3211"/>
      <c r="P176" s="3211"/>
      <c r="Q176" s="3211"/>
      <c r="R176" s="3211"/>
      <c r="S176" s="826"/>
      <c r="T176" s="823"/>
      <c r="U176" s="732"/>
      <c r="V176" s="732"/>
      <c r="W176" s="733"/>
      <c r="X176" s="733"/>
      <c r="Y176" s="733"/>
      <c r="Z176" s="733"/>
      <c r="AA176" s="734"/>
      <c r="AB176" s="735"/>
      <c r="AC176" s="3214"/>
      <c r="AD176" s="736"/>
      <c r="AE176" s="737" t="s">
        <v>22</v>
      </c>
      <c r="AF176" s="737"/>
      <c r="AG176" s="738" t="s">
        <v>704</v>
      </c>
      <c r="AH176" s="739">
        <v>3</v>
      </c>
      <c r="AI176" s="732"/>
      <c r="AJ176" s="732"/>
      <c r="AK176" s="732"/>
      <c r="AL176" s="732"/>
      <c r="AM176" s="732"/>
      <c r="AN176" s="732"/>
      <c r="AO176" s="732"/>
      <c r="AP176" s="732"/>
      <c r="AQ176" s="732"/>
      <c r="AR176" s="732"/>
      <c r="AS176" s="732"/>
      <c r="AT176" s="732"/>
      <c r="AU176" s="732"/>
      <c r="AV176" s="732"/>
      <c r="AW176" s="732"/>
      <c r="AX176" s="732"/>
      <c r="AY176" s="732"/>
      <c r="AZ176" s="732"/>
      <c r="BA176" s="732"/>
      <c r="BB176" s="732"/>
      <c r="BC176" s="732"/>
      <c r="BD176" s="732"/>
      <c r="BE176" s="732"/>
      <c r="BF176" s="732"/>
      <c r="BG176" s="732"/>
      <c r="BH176" s="732"/>
      <c r="BI176" s="732"/>
      <c r="BJ176" s="732"/>
      <c r="BK176" s="732"/>
      <c r="BL176" s="732"/>
      <c r="BM176" s="732"/>
      <c r="BN176" s="732"/>
      <c r="BO176" s="732"/>
      <c r="BP176" s="732"/>
      <c r="BQ176" s="732"/>
      <c r="BR176" s="732"/>
      <c r="BS176" s="732"/>
      <c r="BT176" s="732"/>
      <c r="BU176" s="732"/>
      <c r="BV176" s="733"/>
      <c r="BW176" s="733"/>
      <c r="BX176" s="733"/>
      <c r="BY176" s="733"/>
      <c r="BZ176" s="733"/>
      <c r="CA176" s="733"/>
      <c r="CB176" s="733"/>
      <c r="CC176" s="733"/>
      <c r="CD176" s="733"/>
      <c r="CE176" s="733"/>
      <c r="CF176" s="1944"/>
    </row>
    <row customHeight="1" ht="15" hidden="1">
      <c r="A177" s="730"/>
      <c r="B177" s="731"/>
      <c r="C177" s="731"/>
      <c r="D177" s="3219"/>
      <c r="E177" s="3215" t="s">
        <v>649</v>
      </c>
      <c r="F177" s="3216"/>
      <c r="G177" s="3217"/>
      <c r="H177" s="3211">
        <f>IF(A176="","",INDEX(DIFFERENTIATION_UNMERGE_AREA,MATCH(A176,DIFFERENTIATION_ID_DIFF,0)))</f>
      </c>
      <c r="I177" s="3211"/>
      <c r="J177" s="3211"/>
      <c r="K177" s="3211"/>
      <c r="L177" s="3211"/>
      <c r="M177" s="3211"/>
      <c r="N177" s="3211"/>
      <c r="O177" s="3211"/>
      <c r="P177" s="3211"/>
      <c r="Q177" s="3211"/>
      <c r="R177" s="3211"/>
      <c r="S177" s="826"/>
      <c r="T177" s="823"/>
      <c r="U177" s="732"/>
      <c r="V177" s="732"/>
      <c r="W177" s="733"/>
      <c r="X177" s="733"/>
      <c r="Y177" s="733"/>
      <c r="Z177" s="733"/>
      <c r="AA177" s="734"/>
      <c r="AB177" s="735"/>
      <c r="AC177" s="3214"/>
      <c r="AD177" s="736"/>
      <c r="AE177" s="737"/>
      <c r="AF177" s="737"/>
      <c r="AG177" s="738"/>
      <c r="AH177" s="739"/>
      <c r="AI177" s="732"/>
      <c r="AJ177" s="732"/>
      <c r="AK177" s="732"/>
      <c r="AL177" s="732"/>
      <c r="AM177" s="732"/>
      <c r="AN177" s="732"/>
      <c r="AO177" s="732"/>
      <c r="AP177" s="732"/>
      <c r="AQ177" s="732"/>
      <c r="AR177" s="732"/>
      <c r="AS177" s="732"/>
      <c r="AT177" s="732"/>
      <c r="AU177" s="732"/>
      <c r="AV177" s="732"/>
      <c r="AW177" s="732"/>
      <c r="AX177" s="732"/>
      <c r="AY177" s="732"/>
      <c r="AZ177" s="732"/>
      <c r="BA177" s="732"/>
      <c r="BB177" s="732"/>
      <c r="BC177" s="732"/>
      <c r="BD177" s="732"/>
      <c r="BE177" s="732"/>
      <c r="BF177" s="732"/>
      <c r="BG177" s="732"/>
      <c r="BH177" s="732"/>
      <c r="BI177" s="732"/>
      <c r="BJ177" s="732"/>
      <c r="BK177" s="732"/>
      <c r="BL177" s="732"/>
      <c r="BM177" s="732"/>
      <c r="BN177" s="732"/>
      <c r="BO177" s="732"/>
      <c r="BP177" s="732"/>
      <c r="BQ177" s="732"/>
      <c r="BR177" s="732"/>
      <c r="BS177" s="732"/>
      <c r="BT177" s="732"/>
      <c r="BU177" s="732"/>
      <c r="BV177" s="733"/>
      <c r="BW177" s="733"/>
      <c r="BX177" s="733"/>
      <c r="BY177" s="733"/>
      <c r="BZ177" s="733"/>
      <c r="CA177" s="733"/>
      <c r="CB177" s="733"/>
      <c r="CC177" s="733"/>
      <c r="CD177" s="733"/>
      <c r="CE177" s="733"/>
      <c r="CF177" s="1944"/>
    </row>
    <row customHeight="1" ht="15" hidden="1">
      <c r="A178" s="730"/>
      <c r="B178" s="731"/>
      <c r="C178" s="731"/>
      <c r="D178" s="3219"/>
      <c r="E178" s="3215" t="s">
        <v>650</v>
      </c>
      <c r="F178" s="3216"/>
      <c r="G178" s="3217"/>
      <c r="H178" s="3211">
        <f>IF(A176="","",INDEX(DIFFERENTIATION_UNMERGE_SYSTEM,MATCH(A176,DIFFERENTIATION_ID_DIFF,0)))</f>
      </c>
      <c r="I178" s="3211"/>
      <c r="J178" s="3211"/>
      <c r="K178" s="3211"/>
      <c r="L178" s="3211"/>
      <c r="M178" s="3211"/>
      <c r="N178" s="3211"/>
      <c r="O178" s="3211"/>
      <c r="P178" s="3211"/>
      <c r="Q178" s="3211"/>
      <c r="R178" s="3211"/>
      <c r="S178" s="826"/>
      <c r="T178" s="823"/>
      <c r="U178" s="732"/>
      <c r="V178" s="732"/>
      <c r="W178" s="733"/>
      <c r="X178" s="733"/>
      <c r="Y178" s="733"/>
      <c r="Z178" s="733"/>
      <c r="AA178" s="734"/>
      <c r="AB178" s="735"/>
      <c r="AC178" s="3214"/>
      <c r="AD178" s="736"/>
      <c r="AE178" s="737"/>
      <c r="AF178" s="737"/>
      <c r="AG178" s="738"/>
      <c r="AH178" s="739"/>
      <c r="AI178" s="732"/>
      <c r="AJ178" s="732"/>
      <c r="AK178" s="732"/>
      <c r="AL178" s="732"/>
      <c r="AM178" s="732"/>
      <c r="AN178" s="732"/>
      <c r="AO178" s="732"/>
      <c r="AP178" s="732"/>
      <c r="AQ178" s="732"/>
      <c r="AR178" s="732"/>
      <c r="AS178" s="732"/>
      <c r="AT178" s="732"/>
      <c r="AU178" s="732"/>
      <c r="AV178" s="732"/>
      <c r="AW178" s="732"/>
      <c r="AX178" s="732"/>
      <c r="AY178" s="732"/>
      <c r="AZ178" s="732"/>
      <c r="BA178" s="732"/>
      <c r="BB178" s="732"/>
      <c r="BC178" s="732"/>
      <c r="BD178" s="732"/>
      <c r="BE178" s="732"/>
      <c r="BF178" s="732"/>
      <c r="BG178" s="732"/>
      <c r="BH178" s="732"/>
      <c r="BI178" s="732"/>
      <c r="BJ178" s="732"/>
      <c r="BK178" s="732"/>
      <c r="BL178" s="732"/>
      <c r="BM178" s="732"/>
      <c r="BN178" s="732"/>
      <c r="BO178" s="732"/>
      <c r="BP178" s="732"/>
      <c r="BQ178" s="732"/>
      <c r="BR178" s="732"/>
      <c r="BS178" s="732"/>
      <c r="BT178" s="732"/>
      <c r="BU178" s="732"/>
      <c r="BV178" s="733"/>
      <c r="BW178" s="733"/>
      <c r="BX178" s="733"/>
      <c r="BY178" s="733"/>
      <c r="BZ178" s="733"/>
      <c r="CA178" s="733"/>
      <c r="CB178" s="733"/>
      <c r="CC178" s="733"/>
      <c r="CD178" s="733"/>
      <c r="CE178" s="733"/>
      <c r="CF178" s="1944"/>
    </row>
    <row customHeight="1" ht="24.75" hidden="1">
      <c r="A179" s="1901"/>
      <c r="B179" s="1256"/>
      <c r="C179" s="519"/>
      <c r="D179" s="3219"/>
      <c r="E179" s="3213" t="s">
        <v>705</v>
      </c>
      <c r="F179" s="3213"/>
      <c r="G179" s="3213"/>
      <c r="H179" s="3213"/>
      <c r="I179" s="3213"/>
      <c r="J179" s="3213"/>
      <c r="K179" s="3213"/>
      <c r="L179" s="3213"/>
      <c r="M179" s="3213"/>
      <c r="N179" s="3213"/>
      <c r="O179" s="3213"/>
      <c r="P179" s="3213"/>
      <c r="Q179" s="665">
        <f>SUMIF(T180:T181,"i",Q180:Q181)</f>
        <v>0</v>
      </c>
      <c r="R179" s="1117"/>
      <c r="S179" s="1893" t="s">
        <v>706</v>
      </c>
      <c r="T179" s="824" t="s">
        <v>707</v>
      </c>
      <c r="U179" s="3119">
        <v>1</v>
      </c>
      <c r="V179" s="3119">
        <f>INDEX(B_FHD_FLAG_INDEX_1,1,MATCH($A$176,B_FHD_FLAG_DIFFERENTIATION,0))</f>
      </c>
      <c r="W179" s="1256"/>
      <c r="X179" s="1256"/>
      <c r="Y179" s="1256"/>
      <c r="Z179" s="1256"/>
      <c r="AA179" s="1732"/>
      <c r="AB179" s="1256"/>
      <c r="AC179" s="3214"/>
      <c r="AD179" s="736"/>
      <c r="AE179" s="1256"/>
      <c r="AF179" s="1256"/>
      <c r="AG179" s="1732"/>
      <c r="AH179" s="1732"/>
      <c r="AI179" s="1732"/>
      <c r="AJ179" s="1732"/>
      <c r="AK179" s="1732"/>
      <c r="AL179" s="1732"/>
      <c r="AM179" s="1732"/>
      <c r="AN179" s="1732"/>
      <c r="AO179" s="1732"/>
      <c r="AP179" s="1732"/>
      <c r="AQ179" s="1732"/>
      <c r="AR179" s="1732"/>
      <c r="AS179" s="1732"/>
      <c r="AT179" s="1732"/>
      <c r="AU179" s="1732"/>
      <c r="AV179" s="1732"/>
      <c r="AW179" s="1732"/>
      <c r="AX179" s="1732"/>
      <c r="AY179" s="1732"/>
      <c r="AZ179" s="1732"/>
      <c r="BA179" s="1732"/>
      <c r="BB179" s="1732"/>
      <c r="BC179" s="1732"/>
      <c r="BD179" s="1732"/>
      <c r="BE179" s="1732"/>
      <c r="BF179" s="1732"/>
      <c r="BG179" s="1732"/>
      <c r="BH179" s="1732"/>
      <c r="BI179" s="1732"/>
      <c r="BJ179" s="1732"/>
      <c r="BK179" s="1732"/>
      <c r="BL179" s="1732"/>
      <c r="BM179" s="1732"/>
      <c r="BN179" s="1732"/>
      <c r="BO179" s="1732"/>
      <c r="BP179" s="1732"/>
      <c r="BQ179" s="1732"/>
      <c r="BR179" s="1732"/>
      <c r="BS179" s="1732"/>
      <c r="BT179" s="1732"/>
      <c r="BU179" s="1732"/>
      <c r="BV179" s="1256"/>
      <c r="BW179" s="1256"/>
      <c r="BX179" s="1256"/>
      <c r="BY179" s="1256"/>
      <c r="BZ179" s="1256"/>
      <c r="CA179" s="1256"/>
      <c r="CB179" s="1256"/>
      <c r="CC179" s="1256"/>
      <c r="CD179" s="1256"/>
      <c r="CE179" s="1256"/>
      <c r="CF179" s="1944"/>
    </row>
    <row customHeight="1" ht="11.25" hidden="1">
      <c r="A180" s="1888"/>
      <c r="B180" s="1732"/>
      <c r="C180" s="1732"/>
      <c r="D180" s="3219"/>
      <c r="E180" s="742"/>
      <c r="F180" s="742">
        <v>0</v>
      </c>
      <c r="G180" s="742"/>
      <c r="H180" s="742"/>
      <c r="I180" s="742"/>
      <c r="J180" s="742"/>
      <c r="K180" s="742"/>
      <c r="L180" s="742"/>
      <c r="M180" s="742"/>
      <c r="N180" s="742"/>
      <c r="O180" s="742"/>
      <c r="P180" s="742"/>
      <c r="Q180" s="742"/>
      <c r="R180" s="742"/>
      <c r="S180" s="743"/>
      <c r="T180" s="825"/>
      <c r="U180" s="3119"/>
      <c r="V180" s="3119"/>
      <c r="W180" s="1732"/>
      <c r="X180" s="1732"/>
      <c r="Y180" s="1732"/>
      <c r="Z180" s="1732"/>
      <c r="AA180" s="1732"/>
      <c r="AB180" s="1256"/>
      <c r="AC180" s="3214"/>
      <c r="AD180" s="736"/>
      <c r="AE180" s="1256"/>
      <c r="AF180" s="1256"/>
      <c r="AG180" s="1732"/>
      <c r="AH180" s="1732"/>
      <c r="AI180" s="1732"/>
      <c r="AJ180" s="1732"/>
      <c r="AK180" s="1732"/>
      <c r="AL180" s="1732"/>
      <c r="AM180" s="1732"/>
      <c r="AN180" s="1732"/>
      <c r="AO180" s="1732"/>
      <c r="AP180" s="1732"/>
      <c r="AQ180" s="1732"/>
      <c r="AR180" s="1732"/>
      <c r="AS180" s="1732"/>
      <c r="AT180" s="1732"/>
      <c r="AU180" s="1732"/>
      <c r="AV180" s="1732"/>
      <c r="AW180" s="1732"/>
      <c r="AX180" s="1732"/>
      <c r="AY180" s="1732"/>
      <c r="AZ180" s="1732"/>
      <c r="BA180" s="1732"/>
      <c r="BB180" s="1732"/>
      <c r="BC180" s="1732"/>
      <c r="BD180" s="1732"/>
      <c r="BE180" s="1732"/>
      <c r="BF180" s="1732"/>
      <c r="BG180" s="1732"/>
      <c r="BH180" s="1732"/>
      <c r="BI180" s="1732"/>
      <c r="BJ180" s="1732"/>
      <c r="BK180" s="1732"/>
      <c r="BL180" s="1732"/>
      <c r="BM180" s="1732"/>
      <c r="BN180" s="1732"/>
      <c r="BO180" s="1732"/>
      <c r="BP180" s="1732"/>
      <c r="BQ180" s="1732"/>
      <c r="BR180" s="1732"/>
      <c r="BS180" s="1732"/>
      <c r="BT180" s="1732"/>
      <c r="BU180" s="1732"/>
      <c r="BV180" s="1732"/>
      <c r="BW180" s="1732"/>
      <c r="BX180" s="1732"/>
      <c r="BY180" s="1732"/>
      <c r="BZ180" s="1732"/>
      <c r="CA180" s="1732"/>
      <c r="CB180" s="1732"/>
      <c r="CC180" s="1732"/>
      <c r="CD180" s="1732"/>
      <c r="CE180" s="1732"/>
      <c r="CF180" s="1944"/>
    </row>
    <row customHeight="1" ht="11.25" hidden="1">
      <c r="A181" s="1901"/>
      <c r="B181" s="1256"/>
      <c r="C181" s="519"/>
      <c r="D181" s="3219"/>
      <c r="E181" s="756" t="s">
        <v>22</v>
      </c>
      <c r="F181" s="1264" t="s">
        <v>22</v>
      </c>
      <c r="G181" s="1264" t="s">
        <v>711</v>
      </c>
      <c r="H181" s="758" t="s">
        <v>22</v>
      </c>
      <c r="I181" s="758"/>
      <c r="J181" s="758"/>
      <c r="K181" s="758"/>
      <c r="L181" s="758"/>
      <c r="M181" s="758"/>
      <c r="N181" s="758"/>
      <c r="O181" s="758"/>
      <c r="P181" s="758"/>
      <c r="Q181" s="758"/>
      <c r="R181" s="759"/>
      <c r="S181" s="760"/>
      <c r="T181" s="825"/>
      <c r="U181" s="3119"/>
      <c r="V181" s="3119"/>
      <c r="W181" s="1256"/>
      <c r="X181" s="1256"/>
      <c r="Y181" s="1256"/>
      <c r="Z181" s="1256"/>
      <c r="AA181" s="1732"/>
      <c r="AB181" s="1256"/>
      <c r="AC181" s="3214"/>
      <c r="AD181" s="736"/>
      <c r="AE181" s="1256"/>
      <c r="AF181" s="1256"/>
      <c r="AG181" s="1732"/>
      <c r="AH181" s="1732"/>
      <c r="AI181" s="1732"/>
      <c r="AJ181" s="1732"/>
      <c r="AK181" s="1732"/>
      <c r="AL181" s="1732"/>
      <c r="AM181" s="1732"/>
      <c r="AN181" s="1732"/>
      <c r="AO181" s="1732"/>
      <c r="AP181" s="1732"/>
      <c r="AQ181" s="1732"/>
      <c r="AR181" s="1732"/>
      <c r="AS181" s="1732"/>
      <c r="AT181" s="1732"/>
      <c r="AU181" s="1732"/>
      <c r="AV181" s="1732"/>
      <c r="AW181" s="1732"/>
      <c r="AX181" s="1732"/>
      <c r="AY181" s="1732"/>
      <c r="AZ181" s="1732"/>
      <c r="BA181" s="1732"/>
      <c r="BB181" s="1732"/>
      <c r="BC181" s="1732"/>
      <c r="BD181" s="1732"/>
      <c r="BE181" s="1732"/>
      <c r="BF181" s="1732"/>
      <c r="BG181" s="1732"/>
      <c r="BH181" s="1732"/>
      <c r="BI181" s="1732"/>
      <c r="BJ181" s="1732"/>
      <c r="BK181" s="1732"/>
      <c r="BL181" s="1732"/>
      <c r="BM181" s="1732"/>
      <c r="BN181" s="1732"/>
      <c r="BO181" s="1732"/>
      <c r="BP181" s="1732"/>
      <c r="BQ181" s="1732"/>
      <c r="BR181" s="1732"/>
      <c r="BS181" s="1732"/>
      <c r="BT181" s="1732"/>
      <c r="BU181" s="1732"/>
      <c r="BV181" s="1256"/>
      <c r="BW181" s="1256"/>
      <c r="BX181" s="1256"/>
      <c r="BY181" s="1256"/>
      <c r="BZ181" s="1256"/>
      <c r="CA181" s="1256"/>
      <c r="CB181" s="1256"/>
      <c r="CC181" s="1256"/>
      <c r="CD181" s="1256"/>
      <c r="CE181" s="1256"/>
      <c r="CF181" s="1944"/>
    </row>
    <row customHeight="1" ht="5.25" hidden="1">
      <c r="A182" s="1888"/>
      <c r="B182" s="1732"/>
      <c r="C182" s="1732"/>
      <c r="D182" s="3219"/>
      <c r="E182" s="1139"/>
      <c r="F182" s="1139"/>
      <c r="G182" s="1139"/>
      <c r="H182" s="1139"/>
      <c r="I182" s="1139"/>
      <c r="J182" s="1139"/>
      <c r="K182" s="1139"/>
      <c r="L182" s="1139"/>
      <c r="M182" s="1139"/>
      <c r="N182" s="1139"/>
      <c r="O182" s="1139"/>
      <c r="P182" s="1139"/>
      <c r="Q182" s="1140"/>
      <c r="R182" s="1141"/>
      <c r="S182" s="1142"/>
      <c r="T182" s="824" t="s">
        <v>707</v>
      </c>
      <c r="U182" s="3119">
        <v>1</v>
      </c>
      <c r="V182" s="3119" t="s">
        <v>669</v>
      </c>
      <c r="W182" s="1732"/>
      <c r="X182" s="1732"/>
      <c r="Y182" s="1732"/>
      <c r="Z182" s="1732"/>
      <c r="AA182" s="1732"/>
      <c r="AB182" s="1732"/>
      <c r="AC182" s="1137"/>
      <c r="AD182" s="1138"/>
      <c r="AE182" s="1732"/>
      <c r="AF182" s="1732"/>
      <c r="AG182" s="1732"/>
      <c r="AH182" s="1732"/>
      <c r="AI182" s="1732"/>
      <c r="AJ182" s="1732"/>
      <c r="AK182" s="1732"/>
      <c r="AL182" s="1732"/>
      <c r="AM182" s="1732"/>
      <c r="AN182" s="1732"/>
      <c r="AO182" s="1732"/>
      <c r="AP182" s="1732"/>
      <c r="AQ182" s="1732"/>
      <c r="AR182" s="1732"/>
      <c r="AS182" s="1732"/>
      <c r="AT182" s="1732"/>
      <c r="AU182" s="1732"/>
      <c r="AV182" s="1732"/>
      <c r="AW182" s="1732"/>
      <c r="AX182" s="1732"/>
      <c r="AY182" s="1732"/>
      <c r="AZ182" s="1732"/>
      <c r="BA182" s="1732"/>
      <c r="BB182" s="1732"/>
      <c r="BC182" s="1732"/>
      <c r="BD182" s="1732"/>
      <c r="BE182" s="1732"/>
      <c r="BF182" s="1732"/>
      <c r="BG182" s="1732"/>
      <c r="BH182" s="1732"/>
      <c r="BI182" s="1732"/>
      <c r="BJ182" s="1732"/>
      <c r="BK182" s="1732"/>
      <c r="BL182" s="1732"/>
      <c r="BM182" s="1732"/>
      <c r="BN182" s="1732"/>
      <c r="BO182" s="1732"/>
      <c r="BP182" s="1732"/>
      <c r="BQ182" s="1732"/>
      <c r="BR182" s="1732"/>
      <c r="BS182" s="1732"/>
      <c r="BT182" s="1732"/>
      <c r="BU182" s="1732"/>
      <c r="BV182" s="1732"/>
      <c r="BW182" s="1732"/>
      <c r="BX182" s="1732"/>
      <c r="BY182" s="1732"/>
      <c r="BZ182" s="1732"/>
      <c r="CA182" s="1732"/>
      <c r="CB182" s="1732"/>
      <c r="CC182" s="1732"/>
      <c r="CD182" s="1732"/>
      <c r="CE182" s="1732"/>
      <c r="CF182" s="1412"/>
    </row>
    <row customHeight="1" ht="5.25" hidden="1">
      <c r="A183" s="1888"/>
      <c r="B183" s="1732"/>
      <c r="C183" s="1732"/>
      <c r="D183" s="3219"/>
      <c r="E183" s="742"/>
      <c r="F183" s="742"/>
      <c r="G183" s="742"/>
      <c r="H183" s="742"/>
      <c r="I183" s="742"/>
      <c r="J183" s="742"/>
      <c r="K183" s="742"/>
      <c r="L183" s="742"/>
      <c r="M183" s="742"/>
      <c r="N183" s="742"/>
      <c r="O183" s="742"/>
      <c r="P183" s="742"/>
      <c r="Q183" s="742"/>
      <c r="R183" s="742"/>
      <c r="S183" s="743"/>
      <c r="T183" s="825"/>
      <c r="U183" s="3119"/>
      <c r="V183" s="3119"/>
      <c r="W183" s="1732"/>
      <c r="X183" s="1732"/>
      <c r="Y183" s="1732"/>
      <c r="Z183" s="1732"/>
      <c r="AA183" s="1732"/>
      <c r="AB183" s="1732"/>
      <c r="AC183" s="1137"/>
      <c r="AD183" s="1138"/>
      <c r="AE183" s="1732"/>
      <c r="AF183" s="1732"/>
      <c r="AG183" s="1732"/>
      <c r="AH183" s="1732"/>
      <c r="AI183" s="1732"/>
      <c r="AJ183" s="1732"/>
      <c r="AK183" s="1732"/>
      <c r="AL183" s="1732"/>
      <c r="AM183" s="1732"/>
      <c r="AN183" s="1732"/>
      <c r="AO183" s="1732"/>
      <c r="AP183" s="1732"/>
      <c r="AQ183" s="1732"/>
      <c r="AR183" s="1732"/>
      <c r="AS183" s="1732"/>
      <c r="AT183" s="1732"/>
      <c r="AU183" s="1732"/>
      <c r="AV183" s="1732"/>
      <c r="AW183" s="1732"/>
      <c r="AX183" s="1732"/>
      <c r="AY183" s="1732"/>
      <c r="AZ183" s="1732"/>
      <c r="BA183" s="1732"/>
      <c r="BB183" s="1732"/>
      <c r="BC183" s="1732"/>
      <c r="BD183" s="1732"/>
      <c r="BE183" s="1732"/>
      <c r="BF183" s="1732"/>
      <c r="BG183" s="1732"/>
      <c r="BH183" s="1732"/>
      <c r="BI183" s="1732"/>
      <c r="BJ183" s="1732"/>
      <c r="BK183" s="1732"/>
      <c r="BL183" s="1732"/>
      <c r="BM183" s="1732"/>
      <c r="BN183" s="1732"/>
      <c r="BO183" s="1732"/>
      <c r="BP183" s="1732"/>
      <c r="BQ183" s="1732"/>
      <c r="BR183" s="1732"/>
      <c r="BS183" s="1732"/>
      <c r="BT183" s="1732"/>
      <c r="BU183" s="1732"/>
      <c r="BV183" s="1732"/>
      <c r="BW183" s="1732"/>
      <c r="BX183" s="1732"/>
      <c r="BY183" s="1732"/>
      <c r="BZ183" s="1732"/>
      <c r="CA183" s="1732"/>
      <c r="CB183" s="1732"/>
      <c r="CC183" s="1732"/>
      <c r="CD183" s="1732"/>
      <c r="CE183" s="1732"/>
      <c r="CF183" s="1412"/>
    </row>
    <row customHeight="1" ht="5.25" hidden="1">
      <c r="A184" s="1888"/>
      <c r="B184" s="1732"/>
      <c r="C184" s="1732"/>
      <c r="D184" s="3220"/>
      <c r="E184" s="1143"/>
      <c r="F184" s="1144"/>
      <c r="G184" s="1144"/>
      <c r="H184" s="1145"/>
      <c r="I184" s="1145"/>
      <c r="J184" s="1145"/>
      <c r="K184" s="1145"/>
      <c r="L184" s="1145"/>
      <c r="M184" s="1145"/>
      <c r="N184" s="1145"/>
      <c r="O184" s="1145"/>
      <c r="P184" s="1145"/>
      <c r="Q184" s="1145"/>
      <c r="R184" s="1046"/>
      <c r="S184" s="1146"/>
      <c r="T184" s="825"/>
      <c r="U184" s="3119"/>
      <c r="V184" s="3119"/>
      <c r="W184" s="1732"/>
      <c r="X184" s="1732"/>
      <c r="Y184" s="1732"/>
      <c r="Z184" s="1732"/>
      <c r="AA184" s="1732"/>
      <c r="AB184" s="1732"/>
      <c r="AC184" s="1137"/>
      <c r="AD184" s="1138"/>
      <c r="AE184" s="1732"/>
      <c r="AF184" s="1732"/>
      <c r="AG184" s="1732"/>
      <c r="AH184" s="1732"/>
      <c r="AI184" s="1732"/>
      <c r="AJ184" s="1732"/>
      <c r="AK184" s="1732"/>
      <c r="AL184" s="1732"/>
      <c r="AM184" s="1732"/>
      <c r="AN184" s="1732"/>
      <c r="AO184" s="1732"/>
      <c r="AP184" s="1732"/>
      <c r="AQ184" s="1732"/>
      <c r="AR184" s="1732"/>
      <c r="AS184" s="1732"/>
      <c r="AT184" s="1732"/>
      <c r="AU184" s="1732"/>
      <c r="AV184" s="1732"/>
      <c r="AW184" s="1732"/>
      <c r="AX184" s="1732"/>
      <c r="AY184" s="1732"/>
      <c r="AZ184" s="1732"/>
      <c r="BA184" s="1732"/>
      <c r="BB184" s="1732"/>
      <c r="BC184" s="1732"/>
      <c r="BD184" s="1732"/>
      <c r="BE184" s="1732"/>
      <c r="BF184" s="1732"/>
      <c r="BG184" s="1732"/>
      <c r="BH184" s="1732"/>
      <c r="BI184" s="1732"/>
      <c r="BJ184" s="1732"/>
      <c r="BK184" s="1732"/>
      <c r="BL184" s="1732"/>
      <c r="BM184" s="1732"/>
      <c r="BN184" s="1732"/>
      <c r="BO184" s="1732"/>
      <c r="BP184" s="1732"/>
      <c r="BQ184" s="1732"/>
      <c r="BR184" s="1732"/>
      <c r="BS184" s="1732"/>
      <c r="BT184" s="1732"/>
      <c r="BU184" s="1732"/>
      <c r="BV184" s="1732"/>
      <c r="BW184" s="1732"/>
      <c r="BX184" s="1732"/>
      <c r="BY184" s="1732"/>
      <c r="BZ184" s="1732"/>
      <c r="CA184" s="1732"/>
      <c r="CB184" s="1732"/>
      <c r="CC184" s="1732"/>
      <c r="CD184" s="1732"/>
      <c r="CE184" s="1732"/>
      <c r="CF184" s="1412"/>
    </row>
    <row customHeight="1" ht="15" hidden="1">
      <c r="A185" s="730" t="s">
        <v>733</v>
      </c>
      <c r="B185" s="731"/>
      <c r="C185" s="731" t="s">
        <v>22</v>
      </c>
      <c r="D185" s="3218" t="s">
        <v>734</v>
      </c>
      <c r="E185" s="3215" t="s">
        <v>140</v>
      </c>
      <c r="F185" s="3216"/>
      <c r="G185" s="3217"/>
      <c r="H185" s="3211">
        <f>IF(A185="","",INDEX(DIFFERENTIATION_UNMERGE_VD,MATCH(A185,DIFFERENTIATION_ID_DIFF,0)))</f>
      </c>
      <c r="I185" s="3211"/>
      <c r="J185" s="3211"/>
      <c r="K185" s="3211"/>
      <c r="L185" s="3211"/>
      <c r="M185" s="3211"/>
      <c r="N185" s="3211"/>
      <c r="O185" s="3211"/>
      <c r="P185" s="3211"/>
      <c r="Q185" s="3211"/>
      <c r="R185" s="3211"/>
      <c r="S185" s="826"/>
      <c r="T185" s="823"/>
      <c r="U185" s="732"/>
      <c r="V185" s="732"/>
      <c r="W185" s="733"/>
      <c r="X185" s="733"/>
      <c r="Y185" s="733"/>
      <c r="Z185" s="733"/>
      <c r="AA185" s="734"/>
      <c r="AB185" s="735"/>
      <c r="AC185" s="3214"/>
      <c r="AD185" s="736"/>
      <c r="AE185" s="737" t="s">
        <v>22</v>
      </c>
      <c r="AF185" s="737"/>
      <c r="AG185" s="738" t="s">
        <v>704</v>
      </c>
      <c r="AH185" s="739">
        <v>3</v>
      </c>
      <c r="AI185" s="732"/>
      <c r="AJ185" s="732"/>
      <c r="AK185" s="732"/>
      <c r="AL185" s="732"/>
      <c r="AM185" s="732"/>
      <c r="AN185" s="732"/>
      <c r="AO185" s="732"/>
      <c r="AP185" s="732"/>
      <c r="AQ185" s="732"/>
      <c r="AR185" s="732"/>
      <c r="AS185" s="732"/>
      <c r="AT185" s="732"/>
      <c r="AU185" s="732"/>
      <c r="AV185" s="732"/>
      <c r="AW185" s="732"/>
      <c r="AX185" s="732"/>
      <c r="AY185" s="732"/>
      <c r="AZ185" s="732"/>
      <c r="BA185" s="732"/>
      <c r="BB185" s="732"/>
      <c r="BC185" s="732"/>
      <c r="BD185" s="732"/>
      <c r="BE185" s="732"/>
      <c r="BF185" s="732"/>
      <c r="BG185" s="732"/>
      <c r="BH185" s="732"/>
      <c r="BI185" s="732"/>
      <c r="BJ185" s="732"/>
      <c r="BK185" s="732"/>
      <c r="BL185" s="732"/>
      <c r="BM185" s="732"/>
      <c r="BN185" s="732"/>
      <c r="BO185" s="732"/>
      <c r="BP185" s="732"/>
      <c r="BQ185" s="732"/>
      <c r="BR185" s="732"/>
      <c r="BS185" s="732"/>
      <c r="BT185" s="732"/>
      <c r="BU185" s="732"/>
      <c r="BV185" s="733"/>
      <c r="BW185" s="733"/>
      <c r="BX185" s="733"/>
      <c r="BY185" s="733"/>
      <c r="BZ185" s="733"/>
      <c r="CA185" s="733"/>
      <c r="CB185" s="733"/>
      <c r="CC185" s="733"/>
      <c r="CD185" s="733"/>
      <c r="CE185" s="733"/>
      <c r="CF185" s="1944"/>
    </row>
    <row customHeight="1" ht="15" hidden="1">
      <c r="A186" s="730"/>
      <c r="B186" s="731"/>
      <c r="C186" s="731"/>
      <c r="D186" s="3219"/>
      <c r="E186" s="3215" t="s">
        <v>649</v>
      </c>
      <c r="F186" s="3216"/>
      <c r="G186" s="3217"/>
      <c r="H186" s="3211">
        <f>IF(A185="","",INDEX(DIFFERENTIATION_UNMERGE_AREA,MATCH(A185,DIFFERENTIATION_ID_DIFF,0)))</f>
      </c>
      <c r="I186" s="3211"/>
      <c r="J186" s="3211"/>
      <c r="K186" s="3211"/>
      <c r="L186" s="3211"/>
      <c r="M186" s="3211"/>
      <c r="N186" s="3211"/>
      <c r="O186" s="3211"/>
      <c r="P186" s="3211"/>
      <c r="Q186" s="3211"/>
      <c r="R186" s="3211"/>
      <c r="S186" s="826"/>
      <c r="T186" s="823"/>
      <c r="U186" s="732"/>
      <c r="V186" s="732"/>
      <c r="W186" s="733"/>
      <c r="X186" s="733"/>
      <c r="Y186" s="733"/>
      <c r="Z186" s="733"/>
      <c r="AA186" s="734"/>
      <c r="AB186" s="735"/>
      <c r="AC186" s="3214"/>
      <c r="AD186" s="736"/>
      <c r="AE186" s="737"/>
      <c r="AF186" s="737"/>
      <c r="AG186" s="738"/>
      <c r="AH186" s="739"/>
      <c r="AI186" s="732"/>
      <c r="AJ186" s="732"/>
      <c r="AK186" s="732"/>
      <c r="AL186" s="732"/>
      <c r="AM186" s="732"/>
      <c r="AN186" s="732"/>
      <c r="AO186" s="732"/>
      <c r="AP186" s="732"/>
      <c r="AQ186" s="732"/>
      <c r="AR186" s="732"/>
      <c r="AS186" s="732"/>
      <c r="AT186" s="732"/>
      <c r="AU186" s="732"/>
      <c r="AV186" s="732"/>
      <c r="AW186" s="732"/>
      <c r="AX186" s="732"/>
      <c r="AY186" s="732"/>
      <c r="AZ186" s="732"/>
      <c r="BA186" s="732"/>
      <c r="BB186" s="732"/>
      <c r="BC186" s="732"/>
      <c r="BD186" s="732"/>
      <c r="BE186" s="732"/>
      <c r="BF186" s="732"/>
      <c r="BG186" s="732"/>
      <c r="BH186" s="732"/>
      <c r="BI186" s="732"/>
      <c r="BJ186" s="732"/>
      <c r="BK186" s="732"/>
      <c r="BL186" s="732"/>
      <c r="BM186" s="732"/>
      <c r="BN186" s="732"/>
      <c r="BO186" s="732"/>
      <c r="BP186" s="732"/>
      <c r="BQ186" s="732"/>
      <c r="BR186" s="732"/>
      <c r="BS186" s="732"/>
      <c r="BT186" s="732"/>
      <c r="BU186" s="732"/>
      <c r="BV186" s="733"/>
      <c r="BW186" s="733"/>
      <c r="BX186" s="733"/>
      <c r="BY186" s="733"/>
      <c r="BZ186" s="733"/>
      <c r="CA186" s="733"/>
      <c r="CB186" s="733"/>
      <c r="CC186" s="733"/>
      <c r="CD186" s="733"/>
      <c r="CE186" s="733"/>
      <c r="CF186" s="1944"/>
    </row>
    <row customHeight="1" ht="15" hidden="1">
      <c r="A187" s="730"/>
      <c r="B187" s="731"/>
      <c r="C187" s="731"/>
      <c r="D187" s="3219"/>
      <c r="E187" s="3215" t="s">
        <v>650</v>
      </c>
      <c r="F187" s="3216"/>
      <c r="G187" s="3217"/>
      <c r="H187" s="3211">
        <f>IF(A185="","",INDEX(DIFFERENTIATION_UNMERGE_SYSTEM,MATCH(A185,DIFFERENTIATION_ID_DIFF,0)))</f>
      </c>
      <c r="I187" s="3211"/>
      <c r="J187" s="3211"/>
      <c r="K187" s="3211"/>
      <c r="L187" s="3211"/>
      <c r="M187" s="3211"/>
      <c r="N187" s="3211"/>
      <c r="O187" s="3211"/>
      <c r="P187" s="3211"/>
      <c r="Q187" s="3211"/>
      <c r="R187" s="3211"/>
      <c r="S187" s="826"/>
      <c r="T187" s="823"/>
      <c r="U187" s="732"/>
      <c r="V187" s="732"/>
      <c r="W187" s="733"/>
      <c r="X187" s="733"/>
      <c r="Y187" s="733"/>
      <c r="Z187" s="733"/>
      <c r="AA187" s="734"/>
      <c r="AB187" s="735"/>
      <c r="AC187" s="3214"/>
      <c r="AD187" s="736"/>
      <c r="AE187" s="737"/>
      <c r="AF187" s="737"/>
      <c r="AG187" s="738"/>
      <c r="AH187" s="739"/>
      <c r="AI187" s="732"/>
      <c r="AJ187" s="732"/>
      <c r="AK187" s="732"/>
      <c r="AL187" s="732"/>
      <c r="AM187" s="732"/>
      <c r="AN187" s="732"/>
      <c r="AO187" s="732"/>
      <c r="AP187" s="732"/>
      <c r="AQ187" s="732"/>
      <c r="AR187" s="732"/>
      <c r="AS187" s="732"/>
      <c r="AT187" s="732"/>
      <c r="AU187" s="732"/>
      <c r="AV187" s="732"/>
      <c r="AW187" s="732"/>
      <c r="AX187" s="732"/>
      <c r="AY187" s="732"/>
      <c r="AZ187" s="732"/>
      <c r="BA187" s="732"/>
      <c r="BB187" s="732"/>
      <c r="BC187" s="732"/>
      <c r="BD187" s="732"/>
      <c r="BE187" s="732"/>
      <c r="BF187" s="732"/>
      <c r="BG187" s="732"/>
      <c r="BH187" s="732"/>
      <c r="BI187" s="732"/>
      <c r="BJ187" s="732"/>
      <c r="BK187" s="732"/>
      <c r="BL187" s="732"/>
      <c r="BM187" s="732"/>
      <c r="BN187" s="732"/>
      <c r="BO187" s="732"/>
      <c r="BP187" s="732"/>
      <c r="BQ187" s="732"/>
      <c r="BR187" s="732"/>
      <c r="BS187" s="732"/>
      <c r="BT187" s="732"/>
      <c r="BU187" s="732"/>
      <c r="BV187" s="733"/>
      <c r="BW187" s="733"/>
      <c r="BX187" s="733"/>
      <c r="BY187" s="733"/>
      <c r="BZ187" s="733"/>
      <c r="CA187" s="733"/>
      <c r="CB187" s="733"/>
      <c r="CC187" s="733"/>
      <c r="CD187" s="733"/>
      <c r="CE187" s="733"/>
      <c r="CF187" s="1944"/>
    </row>
    <row customHeight="1" ht="24.75" hidden="1">
      <c r="A188" s="1901"/>
      <c r="B188" s="1256"/>
      <c r="C188" s="519"/>
      <c r="D188" s="3219"/>
      <c r="E188" s="3213" t="s">
        <v>705</v>
      </c>
      <c r="F188" s="3213"/>
      <c r="G188" s="3213"/>
      <c r="H188" s="3213"/>
      <c r="I188" s="3213"/>
      <c r="J188" s="3213"/>
      <c r="K188" s="3213"/>
      <c r="L188" s="3213"/>
      <c r="M188" s="3213"/>
      <c r="N188" s="3213"/>
      <c r="O188" s="3213"/>
      <c r="P188" s="3213"/>
      <c r="Q188" s="665">
        <f>SUMIF(T189:T190,"i",Q189:Q190)</f>
        <v>0</v>
      </c>
      <c r="R188" s="1117"/>
      <c r="S188" s="1893" t="s">
        <v>706</v>
      </c>
      <c r="T188" s="824" t="s">
        <v>707</v>
      </c>
      <c r="U188" s="3119">
        <v>1</v>
      </c>
      <c r="V188" s="3119">
        <f>INDEX(B_FHD_FLAG_INDEX_1,1,MATCH($A$185,B_FHD_FLAG_DIFFERENTIATION,0))</f>
      </c>
      <c r="W188" s="1256"/>
      <c r="X188" s="1256"/>
      <c r="Y188" s="1256"/>
      <c r="Z188" s="1256"/>
      <c r="AA188" s="1732"/>
      <c r="AB188" s="1256"/>
      <c r="AC188" s="3214"/>
      <c r="AD188" s="736"/>
      <c r="AE188" s="1256"/>
      <c r="AF188" s="1256"/>
      <c r="AG188" s="1732"/>
      <c r="AH188" s="1732"/>
      <c r="AI188" s="1732"/>
      <c r="AJ188" s="1732"/>
      <c r="AK188" s="1732"/>
      <c r="AL188" s="1732"/>
      <c r="AM188" s="1732"/>
      <c r="AN188" s="1732"/>
      <c r="AO188" s="1732"/>
      <c r="AP188" s="1732"/>
      <c r="AQ188" s="1732"/>
      <c r="AR188" s="1732"/>
      <c r="AS188" s="1732"/>
      <c r="AT188" s="1732"/>
      <c r="AU188" s="1732"/>
      <c r="AV188" s="1732"/>
      <c r="AW188" s="1732"/>
      <c r="AX188" s="1732"/>
      <c r="AY188" s="1732"/>
      <c r="AZ188" s="1732"/>
      <c r="BA188" s="1732"/>
      <c r="BB188" s="1732"/>
      <c r="BC188" s="1732"/>
      <c r="BD188" s="1732"/>
      <c r="BE188" s="1732"/>
      <c r="BF188" s="1732"/>
      <c r="BG188" s="1732"/>
      <c r="BH188" s="1732"/>
      <c r="BI188" s="1732"/>
      <c r="BJ188" s="1732"/>
      <c r="BK188" s="1732"/>
      <c r="BL188" s="1732"/>
      <c r="BM188" s="1732"/>
      <c r="BN188" s="1732"/>
      <c r="BO188" s="1732"/>
      <c r="BP188" s="1732"/>
      <c r="BQ188" s="1732"/>
      <c r="BR188" s="1732"/>
      <c r="BS188" s="1732"/>
      <c r="BT188" s="1732"/>
      <c r="BU188" s="1732"/>
      <c r="BV188" s="1256"/>
      <c r="BW188" s="1256"/>
      <c r="BX188" s="1256"/>
      <c r="BY188" s="1256"/>
      <c r="BZ188" s="1256"/>
      <c r="CA188" s="1256"/>
      <c r="CB188" s="1256"/>
      <c r="CC188" s="1256"/>
      <c r="CD188" s="1256"/>
      <c r="CE188" s="1256"/>
      <c r="CF188" s="1944"/>
    </row>
    <row customHeight="1" ht="11.25" hidden="1">
      <c r="A189" s="1888"/>
      <c r="B189" s="1732"/>
      <c r="C189" s="1732"/>
      <c r="D189" s="3219"/>
      <c r="E189" s="742"/>
      <c r="F189" s="742">
        <v>0</v>
      </c>
      <c r="G189" s="742"/>
      <c r="H189" s="742"/>
      <c r="I189" s="742"/>
      <c r="J189" s="742"/>
      <c r="K189" s="742"/>
      <c r="L189" s="742"/>
      <c r="M189" s="742"/>
      <c r="N189" s="742"/>
      <c r="O189" s="742"/>
      <c r="P189" s="742"/>
      <c r="Q189" s="742"/>
      <c r="R189" s="742"/>
      <c r="S189" s="743"/>
      <c r="T189" s="825"/>
      <c r="U189" s="3119"/>
      <c r="V189" s="3119"/>
      <c r="W189" s="1732"/>
      <c r="X189" s="1732"/>
      <c r="Y189" s="1732"/>
      <c r="Z189" s="1732"/>
      <c r="AA189" s="1732"/>
      <c r="AB189" s="1256"/>
      <c r="AC189" s="3214"/>
      <c r="AD189" s="736"/>
      <c r="AE189" s="1256"/>
      <c r="AF189" s="1256"/>
      <c r="AG189" s="1732"/>
      <c r="AH189" s="1732"/>
      <c r="AI189" s="1732"/>
      <c r="AJ189" s="1732"/>
      <c r="AK189" s="1732"/>
      <c r="AL189" s="1732"/>
      <c r="AM189" s="1732"/>
      <c r="AN189" s="1732"/>
      <c r="AO189" s="1732"/>
      <c r="AP189" s="1732"/>
      <c r="AQ189" s="1732"/>
      <c r="AR189" s="1732"/>
      <c r="AS189" s="1732"/>
      <c r="AT189" s="1732"/>
      <c r="AU189" s="1732"/>
      <c r="AV189" s="1732"/>
      <c r="AW189" s="1732"/>
      <c r="AX189" s="1732"/>
      <c r="AY189" s="1732"/>
      <c r="AZ189" s="1732"/>
      <c r="BA189" s="1732"/>
      <c r="BB189" s="1732"/>
      <c r="BC189" s="1732"/>
      <c r="BD189" s="1732"/>
      <c r="BE189" s="1732"/>
      <c r="BF189" s="1732"/>
      <c r="BG189" s="1732"/>
      <c r="BH189" s="1732"/>
      <c r="BI189" s="1732"/>
      <c r="BJ189" s="1732"/>
      <c r="BK189" s="1732"/>
      <c r="BL189" s="1732"/>
      <c r="BM189" s="1732"/>
      <c r="BN189" s="1732"/>
      <c r="BO189" s="1732"/>
      <c r="BP189" s="1732"/>
      <c r="BQ189" s="1732"/>
      <c r="BR189" s="1732"/>
      <c r="BS189" s="1732"/>
      <c r="BT189" s="1732"/>
      <c r="BU189" s="1732"/>
      <c r="BV189" s="1732"/>
      <c r="BW189" s="1732"/>
      <c r="BX189" s="1732"/>
      <c r="BY189" s="1732"/>
      <c r="BZ189" s="1732"/>
      <c r="CA189" s="1732"/>
      <c r="CB189" s="1732"/>
      <c r="CC189" s="1732"/>
      <c r="CD189" s="1732"/>
      <c r="CE189" s="1732"/>
      <c r="CF189" s="1944"/>
    </row>
    <row customHeight="1" ht="11.25" hidden="1">
      <c r="A190" s="1901"/>
      <c r="B190" s="1256"/>
      <c r="C190" s="519"/>
      <c r="D190" s="3219"/>
      <c r="E190" s="756" t="s">
        <v>22</v>
      </c>
      <c r="F190" s="1264" t="s">
        <v>22</v>
      </c>
      <c r="G190" s="1264" t="s">
        <v>711</v>
      </c>
      <c r="H190" s="758" t="s">
        <v>22</v>
      </c>
      <c r="I190" s="758"/>
      <c r="J190" s="758"/>
      <c r="K190" s="758"/>
      <c r="L190" s="758"/>
      <c r="M190" s="758"/>
      <c r="N190" s="758"/>
      <c r="O190" s="758"/>
      <c r="P190" s="758"/>
      <c r="Q190" s="758"/>
      <c r="R190" s="759"/>
      <c r="S190" s="760"/>
      <c r="T190" s="825"/>
      <c r="U190" s="3119"/>
      <c r="V190" s="3119"/>
      <c r="W190" s="1256"/>
      <c r="X190" s="1256"/>
      <c r="Y190" s="1256"/>
      <c r="Z190" s="1256"/>
      <c r="AA190" s="1732"/>
      <c r="AB190" s="1256"/>
      <c r="AC190" s="3214"/>
      <c r="AD190" s="736"/>
      <c r="AE190" s="1256"/>
      <c r="AF190" s="1256"/>
      <c r="AG190" s="1732"/>
      <c r="AH190" s="1732"/>
      <c r="AI190" s="1732"/>
      <c r="AJ190" s="1732"/>
      <c r="AK190" s="1732"/>
      <c r="AL190" s="1732"/>
      <c r="AM190" s="1732"/>
      <c r="AN190" s="1732"/>
      <c r="AO190" s="1732"/>
      <c r="AP190" s="1732"/>
      <c r="AQ190" s="1732"/>
      <c r="AR190" s="1732"/>
      <c r="AS190" s="1732"/>
      <c r="AT190" s="1732"/>
      <c r="AU190" s="1732"/>
      <c r="AV190" s="1732"/>
      <c r="AW190" s="1732"/>
      <c r="AX190" s="1732"/>
      <c r="AY190" s="1732"/>
      <c r="AZ190" s="1732"/>
      <c r="BA190" s="1732"/>
      <c r="BB190" s="1732"/>
      <c r="BC190" s="1732"/>
      <c r="BD190" s="1732"/>
      <c r="BE190" s="1732"/>
      <c r="BF190" s="1732"/>
      <c r="BG190" s="1732"/>
      <c r="BH190" s="1732"/>
      <c r="BI190" s="1732"/>
      <c r="BJ190" s="1732"/>
      <c r="BK190" s="1732"/>
      <c r="BL190" s="1732"/>
      <c r="BM190" s="1732"/>
      <c r="BN190" s="1732"/>
      <c r="BO190" s="1732"/>
      <c r="BP190" s="1732"/>
      <c r="BQ190" s="1732"/>
      <c r="BR190" s="1732"/>
      <c r="BS190" s="1732"/>
      <c r="BT190" s="1732"/>
      <c r="BU190" s="1732"/>
      <c r="BV190" s="1256"/>
      <c r="BW190" s="1256"/>
      <c r="BX190" s="1256"/>
      <c r="BY190" s="1256"/>
      <c r="BZ190" s="1256"/>
      <c r="CA190" s="1256"/>
      <c r="CB190" s="1256"/>
      <c r="CC190" s="1256"/>
      <c r="CD190" s="1256"/>
      <c r="CE190" s="1256"/>
      <c r="CF190" s="1944"/>
    </row>
    <row customHeight="1" ht="5.25" hidden="1">
      <c r="A191" s="1888"/>
      <c r="B191" s="1732"/>
      <c r="C191" s="1732"/>
      <c r="D191" s="3219"/>
      <c r="E191" s="1139"/>
      <c r="F191" s="1139"/>
      <c r="G191" s="1139"/>
      <c r="H191" s="1139"/>
      <c r="I191" s="1139"/>
      <c r="J191" s="1139"/>
      <c r="K191" s="1139"/>
      <c r="L191" s="1139"/>
      <c r="M191" s="1139"/>
      <c r="N191" s="1139"/>
      <c r="O191" s="1139"/>
      <c r="P191" s="1139"/>
      <c r="Q191" s="1140"/>
      <c r="R191" s="1141"/>
      <c r="S191" s="1142"/>
      <c r="T191" s="824" t="s">
        <v>707</v>
      </c>
      <c r="U191" s="3119">
        <v>1</v>
      </c>
      <c r="V191" s="3119" t="s">
        <v>669</v>
      </c>
      <c r="W191" s="1732"/>
      <c r="X191" s="1732"/>
      <c r="Y191" s="1732"/>
      <c r="Z191" s="1732"/>
      <c r="AA191" s="1732"/>
      <c r="AB191" s="1732"/>
      <c r="AC191" s="1137"/>
      <c r="AD191" s="1138"/>
      <c r="AE191" s="1732"/>
      <c r="AF191" s="1732"/>
      <c r="AG191" s="1732"/>
      <c r="AH191" s="1732"/>
      <c r="AI191" s="1732"/>
      <c r="AJ191" s="1732"/>
      <c r="AK191" s="1732"/>
      <c r="AL191" s="1732"/>
      <c r="AM191" s="1732"/>
      <c r="AN191" s="1732"/>
      <c r="AO191" s="1732"/>
      <c r="AP191" s="1732"/>
      <c r="AQ191" s="1732"/>
      <c r="AR191" s="1732"/>
      <c r="AS191" s="1732"/>
      <c r="AT191" s="1732"/>
      <c r="AU191" s="1732"/>
      <c r="AV191" s="1732"/>
      <c r="AW191" s="1732"/>
      <c r="AX191" s="1732"/>
      <c r="AY191" s="1732"/>
      <c r="AZ191" s="1732"/>
      <c r="BA191" s="1732"/>
      <c r="BB191" s="1732"/>
      <c r="BC191" s="1732"/>
      <c r="BD191" s="1732"/>
      <c r="BE191" s="1732"/>
      <c r="BF191" s="1732"/>
      <c r="BG191" s="1732"/>
      <c r="BH191" s="1732"/>
      <c r="BI191" s="1732"/>
      <c r="BJ191" s="1732"/>
      <c r="BK191" s="1732"/>
      <c r="BL191" s="1732"/>
      <c r="BM191" s="1732"/>
      <c r="BN191" s="1732"/>
      <c r="BO191" s="1732"/>
      <c r="BP191" s="1732"/>
      <c r="BQ191" s="1732"/>
      <c r="BR191" s="1732"/>
      <c r="BS191" s="1732"/>
      <c r="BT191" s="1732"/>
      <c r="BU191" s="1732"/>
      <c r="BV191" s="1732"/>
      <c r="BW191" s="1732"/>
      <c r="BX191" s="1732"/>
      <c r="BY191" s="1732"/>
      <c r="BZ191" s="1732"/>
      <c r="CA191" s="1732"/>
      <c r="CB191" s="1732"/>
      <c r="CC191" s="1732"/>
      <c r="CD191" s="1732"/>
      <c r="CE191" s="1732"/>
      <c r="CF191" s="1412"/>
    </row>
    <row customHeight="1" ht="5.25" hidden="1">
      <c r="A192" s="1888"/>
      <c r="B192" s="1732"/>
      <c r="C192" s="1732"/>
      <c r="D192" s="3219"/>
      <c r="E192" s="742"/>
      <c r="F192" s="742"/>
      <c r="G192" s="742"/>
      <c r="H192" s="742"/>
      <c r="I192" s="742"/>
      <c r="J192" s="742"/>
      <c r="K192" s="742"/>
      <c r="L192" s="742"/>
      <c r="M192" s="742"/>
      <c r="N192" s="742"/>
      <c r="O192" s="742"/>
      <c r="P192" s="742"/>
      <c r="Q192" s="742"/>
      <c r="R192" s="742"/>
      <c r="S192" s="743"/>
      <c r="T192" s="825"/>
      <c r="U192" s="3119"/>
      <c r="V192" s="3119"/>
      <c r="W192" s="1732"/>
      <c r="X192" s="1732"/>
      <c r="Y192" s="1732"/>
      <c r="Z192" s="1732"/>
      <c r="AA192" s="1732"/>
      <c r="AB192" s="1732"/>
      <c r="AC192" s="1137"/>
      <c r="AD192" s="1138"/>
      <c r="AE192" s="1732"/>
      <c r="AF192" s="1732"/>
      <c r="AG192" s="1732"/>
      <c r="AH192" s="1732"/>
      <c r="AI192" s="1732"/>
      <c r="AJ192" s="1732"/>
      <c r="AK192" s="1732"/>
      <c r="AL192" s="1732"/>
      <c r="AM192" s="1732"/>
      <c r="AN192" s="1732"/>
      <c r="AO192" s="1732"/>
      <c r="AP192" s="1732"/>
      <c r="AQ192" s="1732"/>
      <c r="AR192" s="1732"/>
      <c r="AS192" s="1732"/>
      <c r="AT192" s="1732"/>
      <c r="AU192" s="1732"/>
      <c r="AV192" s="1732"/>
      <c r="AW192" s="1732"/>
      <c r="AX192" s="1732"/>
      <c r="AY192" s="1732"/>
      <c r="AZ192" s="1732"/>
      <c r="BA192" s="1732"/>
      <c r="BB192" s="1732"/>
      <c r="BC192" s="1732"/>
      <c r="BD192" s="1732"/>
      <c r="BE192" s="1732"/>
      <c r="BF192" s="1732"/>
      <c r="BG192" s="1732"/>
      <c r="BH192" s="1732"/>
      <c r="BI192" s="1732"/>
      <c r="BJ192" s="1732"/>
      <c r="BK192" s="1732"/>
      <c r="BL192" s="1732"/>
      <c r="BM192" s="1732"/>
      <c r="BN192" s="1732"/>
      <c r="BO192" s="1732"/>
      <c r="BP192" s="1732"/>
      <c r="BQ192" s="1732"/>
      <c r="BR192" s="1732"/>
      <c r="BS192" s="1732"/>
      <c r="BT192" s="1732"/>
      <c r="BU192" s="1732"/>
      <c r="BV192" s="1732"/>
      <c r="BW192" s="1732"/>
      <c r="BX192" s="1732"/>
      <c r="BY192" s="1732"/>
      <c r="BZ192" s="1732"/>
      <c r="CA192" s="1732"/>
      <c r="CB192" s="1732"/>
      <c r="CC192" s="1732"/>
      <c r="CD192" s="1732"/>
      <c r="CE192" s="1732"/>
      <c r="CF192" s="1412"/>
    </row>
    <row customHeight="1" ht="5.25" hidden="1">
      <c r="A193" s="1888"/>
      <c r="B193" s="1732"/>
      <c r="C193" s="1732"/>
      <c r="D193" s="3220"/>
      <c r="E193" s="1143"/>
      <c r="F193" s="1144"/>
      <c r="G193" s="1144"/>
      <c r="H193" s="1145"/>
      <c r="I193" s="1145"/>
      <c r="J193" s="1145"/>
      <c r="K193" s="1145"/>
      <c r="L193" s="1145"/>
      <c r="M193" s="1145"/>
      <c r="N193" s="1145"/>
      <c r="O193" s="1145"/>
      <c r="P193" s="1145"/>
      <c r="Q193" s="1145"/>
      <c r="R193" s="1046"/>
      <c r="S193" s="1146"/>
      <c r="T193" s="825"/>
      <c r="U193" s="3119"/>
      <c r="V193" s="3119"/>
      <c r="W193" s="1732"/>
      <c r="X193" s="1732"/>
      <c r="Y193" s="1732"/>
      <c r="Z193" s="1732"/>
      <c r="AA193" s="1732"/>
      <c r="AB193" s="1732"/>
      <c r="AC193" s="1137"/>
      <c r="AD193" s="1138"/>
      <c r="AE193" s="1732"/>
      <c r="AF193" s="1732"/>
      <c r="AG193" s="1732"/>
      <c r="AH193" s="1732"/>
      <c r="AI193" s="1732"/>
      <c r="AJ193" s="1732"/>
      <c r="AK193" s="1732"/>
      <c r="AL193" s="1732"/>
      <c r="AM193" s="1732"/>
      <c r="AN193" s="1732"/>
      <c r="AO193" s="1732"/>
      <c r="AP193" s="1732"/>
      <c r="AQ193" s="1732"/>
      <c r="AR193" s="1732"/>
      <c r="AS193" s="1732"/>
      <c r="AT193" s="1732"/>
      <c r="AU193" s="1732"/>
      <c r="AV193" s="1732"/>
      <c r="AW193" s="1732"/>
      <c r="AX193" s="1732"/>
      <c r="AY193" s="1732"/>
      <c r="AZ193" s="1732"/>
      <c r="BA193" s="1732"/>
      <c r="BB193" s="1732"/>
      <c r="BC193" s="1732"/>
      <c r="BD193" s="1732"/>
      <c r="BE193" s="1732"/>
      <c r="BF193" s="1732"/>
      <c r="BG193" s="1732"/>
      <c r="BH193" s="1732"/>
      <c r="BI193" s="1732"/>
      <c r="BJ193" s="1732"/>
      <c r="BK193" s="1732"/>
      <c r="BL193" s="1732"/>
      <c r="BM193" s="1732"/>
      <c r="BN193" s="1732"/>
      <c r="BO193" s="1732"/>
      <c r="BP193" s="1732"/>
      <c r="BQ193" s="1732"/>
      <c r="BR193" s="1732"/>
      <c r="BS193" s="1732"/>
      <c r="BT193" s="1732"/>
      <c r="BU193" s="1732"/>
      <c r="BV193" s="1732"/>
      <c r="BW193" s="1732"/>
      <c r="BX193" s="1732"/>
      <c r="BY193" s="1732"/>
      <c r="BZ193" s="1732"/>
      <c r="CA193" s="1732"/>
      <c r="CB193" s="1732"/>
      <c r="CC193" s="1732"/>
      <c r="CD193" s="1732"/>
      <c r="CE193" s="1732"/>
      <c r="CF193" s="1412"/>
    </row>
    <row customHeight="1" ht="15" hidden="1">
      <c r="A194" s="730" t="s">
        <v>735</v>
      </c>
      <c r="B194" s="731"/>
      <c r="C194" s="731" t="s">
        <v>22</v>
      </c>
      <c r="D194" s="3218" t="s">
        <v>736</v>
      </c>
      <c r="E194" s="3215" t="s">
        <v>140</v>
      </c>
      <c r="F194" s="3216"/>
      <c r="G194" s="3217"/>
      <c r="H194" s="3211">
        <f>IF(A194="","",INDEX(DIFFERENTIATION_UNMERGE_VD,MATCH(A194,DIFFERENTIATION_ID_DIFF,0)))</f>
      </c>
      <c r="I194" s="3211"/>
      <c r="J194" s="3211"/>
      <c r="K194" s="3211"/>
      <c r="L194" s="3211"/>
      <c r="M194" s="3211"/>
      <c r="N194" s="3211"/>
      <c r="O194" s="3211"/>
      <c r="P194" s="3211"/>
      <c r="Q194" s="3211"/>
      <c r="R194" s="3211"/>
      <c r="S194" s="826"/>
      <c r="T194" s="823"/>
      <c r="U194" s="732"/>
      <c r="V194" s="732"/>
      <c r="W194" s="733"/>
      <c r="X194" s="733"/>
      <c r="Y194" s="733"/>
      <c r="Z194" s="733"/>
      <c r="AA194" s="734"/>
      <c r="AB194" s="735"/>
      <c r="AC194" s="3214"/>
      <c r="AD194" s="736"/>
      <c r="AE194" s="737" t="s">
        <v>22</v>
      </c>
      <c r="AF194" s="737"/>
      <c r="AG194" s="738" t="s">
        <v>704</v>
      </c>
      <c r="AH194" s="739">
        <v>3</v>
      </c>
      <c r="AI194" s="732"/>
      <c r="AJ194" s="732"/>
      <c r="AK194" s="732"/>
      <c r="AL194" s="732"/>
      <c r="AM194" s="732"/>
      <c r="AN194" s="732"/>
      <c r="AO194" s="732"/>
      <c r="AP194" s="732"/>
      <c r="AQ194" s="732"/>
      <c r="AR194" s="732"/>
      <c r="AS194" s="732"/>
      <c r="AT194" s="732"/>
      <c r="AU194" s="732"/>
      <c r="AV194" s="732"/>
      <c r="AW194" s="732"/>
      <c r="AX194" s="732"/>
      <c r="AY194" s="732"/>
      <c r="AZ194" s="732"/>
      <c r="BA194" s="732"/>
      <c r="BB194" s="732"/>
      <c r="BC194" s="732"/>
      <c r="BD194" s="732"/>
      <c r="BE194" s="732"/>
      <c r="BF194" s="732"/>
      <c r="BG194" s="732"/>
      <c r="BH194" s="732"/>
      <c r="BI194" s="732"/>
      <c r="BJ194" s="732"/>
      <c r="BK194" s="732"/>
      <c r="BL194" s="732"/>
      <c r="BM194" s="732"/>
      <c r="BN194" s="732"/>
      <c r="BO194" s="732"/>
      <c r="BP194" s="732"/>
      <c r="BQ194" s="732"/>
      <c r="BR194" s="732"/>
      <c r="BS194" s="732"/>
      <c r="BT194" s="732"/>
      <c r="BU194" s="732"/>
      <c r="BV194" s="733"/>
      <c r="BW194" s="733"/>
      <c r="BX194" s="733"/>
      <c r="BY194" s="733"/>
      <c r="BZ194" s="733"/>
      <c r="CA194" s="733"/>
      <c r="CB194" s="733"/>
      <c r="CC194" s="733"/>
      <c r="CD194" s="733"/>
      <c r="CE194" s="733"/>
      <c r="CF194" s="1944"/>
    </row>
    <row customHeight="1" ht="15" hidden="1">
      <c r="A195" s="730"/>
      <c r="B195" s="731"/>
      <c r="C195" s="731"/>
      <c r="D195" s="3219"/>
      <c r="E195" s="3215" t="s">
        <v>649</v>
      </c>
      <c r="F195" s="3216"/>
      <c r="G195" s="3217"/>
      <c r="H195" s="3211">
        <f>IF(A194="","",INDEX(DIFFERENTIATION_UNMERGE_AREA,MATCH(A194,DIFFERENTIATION_ID_DIFF,0)))</f>
      </c>
      <c r="I195" s="3211"/>
      <c r="J195" s="3211"/>
      <c r="K195" s="3211"/>
      <c r="L195" s="3211"/>
      <c r="M195" s="3211"/>
      <c r="N195" s="3211"/>
      <c r="O195" s="3211"/>
      <c r="P195" s="3211"/>
      <c r="Q195" s="3211"/>
      <c r="R195" s="3211"/>
      <c r="S195" s="826"/>
      <c r="T195" s="823"/>
      <c r="U195" s="732"/>
      <c r="V195" s="732"/>
      <c r="W195" s="733"/>
      <c r="X195" s="733"/>
      <c r="Y195" s="733"/>
      <c r="Z195" s="733"/>
      <c r="AA195" s="734"/>
      <c r="AB195" s="735"/>
      <c r="AC195" s="3214"/>
      <c r="AD195" s="736"/>
      <c r="AE195" s="737"/>
      <c r="AF195" s="737"/>
      <c r="AG195" s="738"/>
      <c r="AH195" s="739"/>
      <c r="AI195" s="732"/>
      <c r="AJ195" s="732"/>
      <c r="AK195" s="732"/>
      <c r="AL195" s="732"/>
      <c r="AM195" s="732"/>
      <c r="AN195" s="732"/>
      <c r="AO195" s="732"/>
      <c r="AP195" s="732"/>
      <c r="AQ195" s="732"/>
      <c r="AR195" s="732"/>
      <c r="AS195" s="732"/>
      <c r="AT195" s="732"/>
      <c r="AU195" s="732"/>
      <c r="AV195" s="732"/>
      <c r="AW195" s="732"/>
      <c r="AX195" s="732"/>
      <c r="AY195" s="732"/>
      <c r="AZ195" s="732"/>
      <c r="BA195" s="732"/>
      <c r="BB195" s="732"/>
      <c r="BC195" s="732"/>
      <c r="BD195" s="732"/>
      <c r="BE195" s="732"/>
      <c r="BF195" s="732"/>
      <c r="BG195" s="732"/>
      <c r="BH195" s="732"/>
      <c r="BI195" s="732"/>
      <c r="BJ195" s="732"/>
      <c r="BK195" s="732"/>
      <c r="BL195" s="732"/>
      <c r="BM195" s="732"/>
      <c r="BN195" s="732"/>
      <c r="BO195" s="732"/>
      <c r="BP195" s="732"/>
      <c r="BQ195" s="732"/>
      <c r="BR195" s="732"/>
      <c r="BS195" s="732"/>
      <c r="BT195" s="732"/>
      <c r="BU195" s="732"/>
      <c r="BV195" s="733"/>
      <c r="BW195" s="733"/>
      <c r="BX195" s="733"/>
      <c r="BY195" s="733"/>
      <c r="BZ195" s="733"/>
      <c r="CA195" s="733"/>
      <c r="CB195" s="733"/>
      <c r="CC195" s="733"/>
      <c r="CD195" s="733"/>
      <c r="CE195" s="733"/>
      <c r="CF195" s="1944"/>
    </row>
    <row customHeight="1" ht="15" hidden="1">
      <c r="A196" s="730"/>
      <c r="B196" s="731"/>
      <c r="C196" s="731"/>
      <c r="D196" s="3219"/>
      <c r="E196" s="3215" t="s">
        <v>650</v>
      </c>
      <c r="F196" s="3216"/>
      <c r="G196" s="3217"/>
      <c r="H196" s="3211">
        <f>IF(A194="","",INDEX(DIFFERENTIATION_UNMERGE_SYSTEM,MATCH(A194,DIFFERENTIATION_ID_DIFF,0)))</f>
      </c>
      <c r="I196" s="3211"/>
      <c r="J196" s="3211"/>
      <c r="K196" s="3211"/>
      <c r="L196" s="3211"/>
      <c r="M196" s="3211"/>
      <c r="N196" s="3211"/>
      <c r="O196" s="3211"/>
      <c r="P196" s="3211"/>
      <c r="Q196" s="3211"/>
      <c r="R196" s="3211"/>
      <c r="S196" s="826"/>
      <c r="T196" s="823"/>
      <c r="U196" s="732"/>
      <c r="V196" s="732"/>
      <c r="W196" s="733"/>
      <c r="X196" s="733"/>
      <c r="Y196" s="733"/>
      <c r="Z196" s="733"/>
      <c r="AA196" s="734"/>
      <c r="AB196" s="735"/>
      <c r="AC196" s="3214"/>
      <c r="AD196" s="736"/>
      <c r="AE196" s="737"/>
      <c r="AF196" s="737"/>
      <c r="AG196" s="738"/>
      <c r="AH196" s="739"/>
      <c r="AI196" s="732"/>
      <c r="AJ196" s="732"/>
      <c r="AK196" s="732"/>
      <c r="AL196" s="732"/>
      <c r="AM196" s="732"/>
      <c r="AN196" s="732"/>
      <c r="AO196" s="732"/>
      <c r="AP196" s="732"/>
      <c r="AQ196" s="732"/>
      <c r="AR196" s="732"/>
      <c r="AS196" s="732"/>
      <c r="AT196" s="732"/>
      <c r="AU196" s="732"/>
      <c r="AV196" s="732"/>
      <c r="AW196" s="732"/>
      <c r="AX196" s="732"/>
      <c r="AY196" s="732"/>
      <c r="AZ196" s="732"/>
      <c r="BA196" s="732"/>
      <c r="BB196" s="732"/>
      <c r="BC196" s="732"/>
      <c r="BD196" s="732"/>
      <c r="BE196" s="732"/>
      <c r="BF196" s="732"/>
      <c r="BG196" s="732"/>
      <c r="BH196" s="732"/>
      <c r="BI196" s="732"/>
      <c r="BJ196" s="732"/>
      <c r="BK196" s="732"/>
      <c r="BL196" s="732"/>
      <c r="BM196" s="732"/>
      <c r="BN196" s="732"/>
      <c r="BO196" s="732"/>
      <c r="BP196" s="732"/>
      <c r="BQ196" s="732"/>
      <c r="BR196" s="732"/>
      <c r="BS196" s="732"/>
      <c r="BT196" s="732"/>
      <c r="BU196" s="732"/>
      <c r="BV196" s="733"/>
      <c r="BW196" s="733"/>
      <c r="BX196" s="733"/>
      <c r="BY196" s="733"/>
      <c r="BZ196" s="733"/>
      <c r="CA196" s="733"/>
      <c r="CB196" s="733"/>
      <c r="CC196" s="733"/>
      <c r="CD196" s="733"/>
      <c r="CE196" s="733"/>
      <c r="CF196" s="1944"/>
    </row>
    <row customHeight="1" ht="24.75" hidden="1">
      <c r="A197" s="1901"/>
      <c r="B197" s="1256"/>
      <c r="C197" s="519"/>
      <c r="D197" s="3219"/>
      <c r="E197" s="3213" t="s">
        <v>705</v>
      </c>
      <c r="F197" s="3213"/>
      <c r="G197" s="3213"/>
      <c r="H197" s="3213"/>
      <c r="I197" s="3213"/>
      <c r="J197" s="3213"/>
      <c r="K197" s="3213"/>
      <c r="L197" s="3213"/>
      <c r="M197" s="3213"/>
      <c r="N197" s="3213"/>
      <c r="O197" s="3213"/>
      <c r="P197" s="3213"/>
      <c r="Q197" s="665">
        <f>SUMIF(T198:T199,"i",Q198:Q199)</f>
        <v>0</v>
      </c>
      <c r="R197" s="1117"/>
      <c r="S197" s="1893" t="s">
        <v>706</v>
      </c>
      <c r="T197" s="824" t="s">
        <v>707</v>
      </c>
      <c r="U197" s="3119">
        <v>1</v>
      </c>
      <c r="V197" s="3119">
        <f>INDEX(B_FHD_FLAG_INDEX_1,1,MATCH($A$194,B_FHD_FLAG_DIFFERENTIATION,0))</f>
      </c>
      <c r="W197" s="1256"/>
      <c r="X197" s="1256"/>
      <c r="Y197" s="1256"/>
      <c r="Z197" s="1256"/>
      <c r="AA197" s="1732"/>
      <c r="AB197" s="1256"/>
      <c r="AC197" s="3214"/>
      <c r="AD197" s="736"/>
      <c r="AE197" s="1256"/>
      <c r="AF197" s="1256"/>
      <c r="AG197" s="1732"/>
      <c r="AH197" s="1732"/>
      <c r="AI197" s="1732"/>
      <c r="AJ197" s="1732"/>
      <c r="AK197" s="1732"/>
      <c r="AL197" s="1732"/>
      <c r="AM197" s="1732"/>
      <c r="AN197" s="1732"/>
      <c r="AO197" s="1732"/>
      <c r="AP197" s="1732"/>
      <c r="AQ197" s="1732"/>
      <c r="AR197" s="1732"/>
      <c r="AS197" s="1732"/>
      <c r="AT197" s="1732"/>
      <c r="AU197" s="1732"/>
      <c r="AV197" s="1732"/>
      <c r="AW197" s="1732"/>
      <c r="AX197" s="1732"/>
      <c r="AY197" s="1732"/>
      <c r="AZ197" s="1732"/>
      <c r="BA197" s="1732"/>
      <c r="BB197" s="1732"/>
      <c r="BC197" s="1732"/>
      <c r="BD197" s="1732"/>
      <c r="BE197" s="1732"/>
      <c r="BF197" s="1732"/>
      <c r="BG197" s="1732"/>
      <c r="BH197" s="1732"/>
      <c r="BI197" s="1732"/>
      <c r="BJ197" s="1732"/>
      <c r="BK197" s="1732"/>
      <c r="BL197" s="1732"/>
      <c r="BM197" s="1732"/>
      <c r="BN197" s="1732"/>
      <c r="BO197" s="1732"/>
      <c r="BP197" s="1732"/>
      <c r="BQ197" s="1732"/>
      <c r="BR197" s="1732"/>
      <c r="BS197" s="1732"/>
      <c r="BT197" s="1732"/>
      <c r="BU197" s="1732"/>
      <c r="BV197" s="1256"/>
      <c r="BW197" s="1256"/>
      <c r="BX197" s="1256"/>
      <c r="BY197" s="1256"/>
      <c r="BZ197" s="1256"/>
      <c r="CA197" s="1256"/>
      <c r="CB197" s="1256"/>
      <c r="CC197" s="1256"/>
      <c r="CD197" s="1256"/>
      <c r="CE197" s="1256"/>
      <c r="CF197" s="1944"/>
    </row>
    <row customHeight="1" ht="11.25" hidden="1">
      <c r="A198" s="1888"/>
      <c r="B198" s="1732"/>
      <c r="C198" s="1732"/>
      <c r="D198" s="3219"/>
      <c r="E198" s="742"/>
      <c r="F198" s="742">
        <v>0</v>
      </c>
      <c r="G198" s="742"/>
      <c r="H198" s="742"/>
      <c r="I198" s="742"/>
      <c r="J198" s="742"/>
      <c r="K198" s="742"/>
      <c r="L198" s="742"/>
      <c r="M198" s="742"/>
      <c r="N198" s="742"/>
      <c r="O198" s="742"/>
      <c r="P198" s="742"/>
      <c r="Q198" s="742"/>
      <c r="R198" s="742"/>
      <c r="S198" s="743"/>
      <c r="T198" s="825"/>
      <c r="U198" s="3119"/>
      <c r="V198" s="3119"/>
      <c r="W198" s="1732"/>
      <c r="X198" s="1732"/>
      <c r="Y198" s="1732"/>
      <c r="Z198" s="1732"/>
      <c r="AA198" s="1732"/>
      <c r="AB198" s="1256"/>
      <c r="AC198" s="3214"/>
      <c r="AD198" s="736"/>
      <c r="AE198" s="1256"/>
      <c r="AF198" s="1256"/>
      <c r="AG198" s="1732"/>
      <c r="AH198" s="1732"/>
      <c r="AI198" s="1732"/>
      <c r="AJ198" s="1732"/>
      <c r="AK198" s="1732"/>
      <c r="AL198" s="1732"/>
      <c r="AM198" s="1732"/>
      <c r="AN198" s="1732"/>
      <c r="AO198" s="1732"/>
      <c r="AP198" s="1732"/>
      <c r="AQ198" s="1732"/>
      <c r="AR198" s="1732"/>
      <c r="AS198" s="1732"/>
      <c r="AT198" s="1732"/>
      <c r="AU198" s="1732"/>
      <c r="AV198" s="1732"/>
      <c r="AW198" s="1732"/>
      <c r="AX198" s="1732"/>
      <c r="AY198" s="1732"/>
      <c r="AZ198" s="1732"/>
      <c r="BA198" s="1732"/>
      <c r="BB198" s="1732"/>
      <c r="BC198" s="1732"/>
      <c r="BD198" s="1732"/>
      <c r="BE198" s="1732"/>
      <c r="BF198" s="1732"/>
      <c r="BG198" s="1732"/>
      <c r="BH198" s="1732"/>
      <c r="BI198" s="1732"/>
      <c r="BJ198" s="1732"/>
      <c r="BK198" s="1732"/>
      <c r="BL198" s="1732"/>
      <c r="BM198" s="1732"/>
      <c r="BN198" s="1732"/>
      <c r="BO198" s="1732"/>
      <c r="BP198" s="1732"/>
      <c r="BQ198" s="1732"/>
      <c r="BR198" s="1732"/>
      <c r="BS198" s="1732"/>
      <c r="BT198" s="1732"/>
      <c r="BU198" s="1732"/>
      <c r="BV198" s="1732"/>
      <c r="BW198" s="1732"/>
      <c r="BX198" s="1732"/>
      <c r="BY198" s="1732"/>
      <c r="BZ198" s="1732"/>
      <c r="CA198" s="1732"/>
      <c r="CB198" s="1732"/>
      <c r="CC198" s="1732"/>
      <c r="CD198" s="1732"/>
      <c r="CE198" s="1732"/>
      <c r="CF198" s="1944"/>
    </row>
    <row customHeight="1" ht="11.25" hidden="1">
      <c r="A199" s="1901"/>
      <c r="B199" s="1256"/>
      <c r="C199" s="519"/>
      <c r="D199" s="3219"/>
      <c r="E199" s="756" t="s">
        <v>22</v>
      </c>
      <c r="F199" s="1264" t="s">
        <v>22</v>
      </c>
      <c r="G199" s="1264" t="s">
        <v>711</v>
      </c>
      <c r="H199" s="758" t="s">
        <v>22</v>
      </c>
      <c r="I199" s="758"/>
      <c r="J199" s="758"/>
      <c r="K199" s="758"/>
      <c r="L199" s="758"/>
      <c r="M199" s="758"/>
      <c r="N199" s="758"/>
      <c r="O199" s="758"/>
      <c r="P199" s="758"/>
      <c r="Q199" s="758"/>
      <c r="R199" s="759"/>
      <c r="S199" s="760"/>
      <c r="T199" s="825"/>
      <c r="U199" s="3119"/>
      <c r="V199" s="3119"/>
      <c r="W199" s="1256"/>
      <c r="X199" s="1256"/>
      <c r="Y199" s="1256"/>
      <c r="Z199" s="1256"/>
      <c r="AA199" s="1732"/>
      <c r="AB199" s="1256"/>
      <c r="AC199" s="3214"/>
      <c r="AD199" s="736"/>
      <c r="AE199" s="1256"/>
      <c r="AF199" s="1256"/>
      <c r="AG199" s="1732"/>
      <c r="AH199" s="1732"/>
      <c r="AI199" s="1732"/>
      <c r="AJ199" s="1732"/>
      <c r="AK199" s="1732"/>
      <c r="AL199" s="1732"/>
      <c r="AM199" s="1732"/>
      <c r="AN199" s="1732"/>
      <c r="AO199" s="1732"/>
      <c r="AP199" s="1732"/>
      <c r="AQ199" s="1732"/>
      <c r="AR199" s="1732"/>
      <c r="AS199" s="1732"/>
      <c r="AT199" s="1732"/>
      <c r="AU199" s="1732"/>
      <c r="AV199" s="1732"/>
      <c r="AW199" s="1732"/>
      <c r="AX199" s="1732"/>
      <c r="AY199" s="1732"/>
      <c r="AZ199" s="1732"/>
      <c r="BA199" s="1732"/>
      <c r="BB199" s="1732"/>
      <c r="BC199" s="1732"/>
      <c r="BD199" s="1732"/>
      <c r="BE199" s="1732"/>
      <c r="BF199" s="1732"/>
      <c r="BG199" s="1732"/>
      <c r="BH199" s="1732"/>
      <c r="BI199" s="1732"/>
      <c r="BJ199" s="1732"/>
      <c r="BK199" s="1732"/>
      <c r="BL199" s="1732"/>
      <c r="BM199" s="1732"/>
      <c r="BN199" s="1732"/>
      <c r="BO199" s="1732"/>
      <c r="BP199" s="1732"/>
      <c r="BQ199" s="1732"/>
      <c r="BR199" s="1732"/>
      <c r="BS199" s="1732"/>
      <c r="BT199" s="1732"/>
      <c r="BU199" s="1732"/>
      <c r="BV199" s="1256"/>
      <c r="BW199" s="1256"/>
      <c r="BX199" s="1256"/>
      <c r="BY199" s="1256"/>
      <c r="BZ199" s="1256"/>
      <c r="CA199" s="1256"/>
      <c r="CB199" s="1256"/>
      <c r="CC199" s="1256"/>
      <c r="CD199" s="1256"/>
      <c r="CE199" s="1256"/>
      <c r="CF199" s="1944"/>
    </row>
    <row customHeight="1" ht="5.25" hidden="1">
      <c r="A200" s="1888"/>
      <c r="B200" s="1732"/>
      <c r="C200" s="1732"/>
      <c r="D200" s="3219"/>
      <c r="E200" s="1139"/>
      <c r="F200" s="1139"/>
      <c r="G200" s="1139"/>
      <c r="H200" s="1139"/>
      <c r="I200" s="1139"/>
      <c r="J200" s="1139"/>
      <c r="K200" s="1139"/>
      <c r="L200" s="1139"/>
      <c r="M200" s="1139"/>
      <c r="N200" s="1139"/>
      <c r="O200" s="1139"/>
      <c r="P200" s="1139"/>
      <c r="Q200" s="1140"/>
      <c r="R200" s="1141"/>
      <c r="S200" s="1142"/>
      <c r="T200" s="824" t="s">
        <v>707</v>
      </c>
      <c r="U200" s="3119">
        <v>1</v>
      </c>
      <c r="V200" s="3119" t="s">
        <v>669</v>
      </c>
      <c r="W200" s="1732"/>
      <c r="X200" s="1732"/>
      <c r="Y200" s="1732"/>
      <c r="Z200" s="1732"/>
      <c r="AA200" s="1732"/>
      <c r="AB200" s="1732"/>
      <c r="AC200" s="1137"/>
      <c r="AD200" s="1138"/>
      <c r="AE200" s="1732"/>
      <c r="AF200" s="1732"/>
      <c r="AG200" s="1732"/>
      <c r="AH200" s="1732"/>
      <c r="AI200" s="1732"/>
      <c r="AJ200" s="1732"/>
      <c r="AK200" s="1732"/>
      <c r="AL200" s="1732"/>
      <c r="AM200" s="1732"/>
      <c r="AN200" s="1732"/>
      <c r="AO200" s="1732"/>
      <c r="AP200" s="1732"/>
      <c r="AQ200" s="1732"/>
      <c r="AR200" s="1732"/>
      <c r="AS200" s="1732"/>
      <c r="AT200" s="1732"/>
      <c r="AU200" s="1732"/>
      <c r="AV200" s="1732"/>
      <c r="AW200" s="1732"/>
      <c r="AX200" s="1732"/>
      <c r="AY200" s="1732"/>
      <c r="AZ200" s="1732"/>
      <c r="BA200" s="1732"/>
      <c r="BB200" s="1732"/>
      <c r="BC200" s="1732"/>
      <c r="BD200" s="1732"/>
      <c r="BE200" s="1732"/>
      <c r="BF200" s="1732"/>
      <c r="BG200" s="1732"/>
      <c r="BH200" s="1732"/>
      <c r="BI200" s="1732"/>
      <c r="BJ200" s="1732"/>
      <c r="BK200" s="1732"/>
      <c r="BL200" s="1732"/>
      <c r="BM200" s="1732"/>
      <c r="BN200" s="1732"/>
      <c r="BO200" s="1732"/>
      <c r="BP200" s="1732"/>
      <c r="BQ200" s="1732"/>
      <c r="BR200" s="1732"/>
      <c r="BS200" s="1732"/>
      <c r="BT200" s="1732"/>
      <c r="BU200" s="1732"/>
      <c r="BV200" s="1732"/>
      <c r="BW200" s="1732"/>
      <c r="BX200" s="1732"/>
      <c r="BY200" s="1732"/>
      <c r="BZ200" s="1732"/>
      <c r="CA200" s="1732"/>
      <c r="CB200" s="1732"/>
      <c r="CC200" s="1732"/>
      <c r="CD200" s="1732"/>
      <c r="CE200" s="1732"/>
      <c r="CF200" s="1412"/>
    </row>
    <row customHeight="1" ht="5.25" hidden="1">
      <c r="A201" s="1888"/>
      <c r="B201" s="1732"/>
      <c r="C201" s="1732"/>
      <c r="D201" s="3219"/>
      <c r="E201" s="742"/>
      <c r="F201" s="742"/>
      <c r="G201" s="742"/>
      <c r="H201" s="742"/>
      <c r="I201" s="742"/>
      <c r="J201" s="742"/>
      <c r="K201" s="742"/>
      <c r="L201" s="742"/>
      <c r="M201" s="742"/>
      <c r="N201" s="742"/>
      <c r="O201" s="742"/>
      <c r="P201" s="742"/>
      <c r="Q201" s="742"/>
      <c r="R201" s="742"/>
      <c r="S201" s="743"/>
      <c r="T201" s="825"/>
      <c r="U201" s="3119"/>
      <c r="V201" s="3119"/>
      <c r="W201" s="1732"/>
      <c r="X201" s="1732"/>
      <c r="Y201" s="1732"/>
      <c r="Z201" s="1732"/>
      <c r="AA201" s="1732"/>
      <c r="AB201" s="1732"/>
      <c r="AC201" s="1137"/>
      <c r="AD201" s="1138"/>
      <c r="AE201" s="1732"/>
      <c r="AF201" s="1732"/>
      <c r="AG201" s="1732"/>
      <c r="AH201" s="1732"/>
      <c r="AI201" s="1732"/>
      <c r="AJ201" s="1732"/>
      <c r="AK201" s="1732"/>
      <c r="AL201" s="1732"/>
      <c r="AM201" s="1732"/>
      <c r="AN201" s="1732"/>
      <c r="AO201" s="1732"/>
      <c r="AP201" s="1732"/>
      <c r="AQ201" s="1732"/>
      <c r="AR201" s="1732"/>
      <c r="AS201" s="1732"/>
      <c r="AT201" s="1732"/>
      <c r="AU201" s="1732"/>
      <c r="AV201" s="1732"/>
      <c r="AW201" s="1732"/>
      <c r="AX201" s="1732"/>
      <c r="AY201" s="1732"/>
      <c r="AZ201" s="1732"/>
      <c r="BA201" s="1732"/>
      <c r="BB201" s="1732"/>
      <c r="BC201" s="1732"/>
      <c r="BD201" s="1732"/>
      <c r="BE201" s="1732"/>
      <c r="BF201" s="1732"/>
      <c r="BG201" s="1732"/>
      <c r="BH201" s="1732"/>
      <c r="BI201" s="1732"/>
      <c r="BJ201" s="1732"/>
      <c r="BK201" s="1732"/>
      <c r="BL201" s="1732"/>
      <c r="BM201" s="1732"/>
      <c r="BN201" s="1732"/>
      <c r="BO201" s="1732"/>
      <c r="BP201" s="1732"/>
      <c r="BQ201" s="1732"/>
      <c r="BR201" s="1732"/>
      <c r="BS201" s="1732"/>
      <c r="BT201" s="1732"/>
      <c r="BU201" s="1732"/>
      <c r="BV201" s="1732"/>
      <c r="BW201" s="1732"/>
      <c r="BX201" s="1732"/>
      <c r="BY201" s="1732"/>
      <c r="BZ201" s="1732"/>
      <c r="CA201" s="1732"/>
      <c r="CB201" s="1732"/>
      <c r="CC201" s="1732"/>
      <c r="CD201" s="1732"/>
      <c r="CE201" s="1732"/>
      <c r="CF201" s="1412"/>
    </row>
    <row customHeight="1" ht="5.25" hidden="1">
      <c r="A202" s="1888"/>
      <c r="B202" s="1732"/>
      <c r="C202" s="1732"/>
      <c r="D202" s="3220"/>
      <c r="E202" s="1143"/>
      <c r="F202" s="1144"/>
      <c r="G202" s="1144"/>
      <c r="H202" s="1145"/>
      <c r="I202" s="1145"/>
      <c r="J202" s="1145"/>
      <c r="K202" s="1145"/>
      <c r="L202" s="1145"/>
      <c r="M202" s="1145"/>
      <c r="N202" s="1145"/>
      <c r="O202" s="1145"/>
      <c r="P202" s="1145"/>
      <c r="Q202" s="1145"/>
      <c r="R202" s="1046"/>
      <c r="S202" s="1146"/>
      <c r="T202" s="825"/>
      <c r="U202" s="3119"/>
      <c r="V202" s="3119"/>
      <c r="W202" s="1732"/>
      <c r="X202" s="1732"/>
      <c r="Y202" s="1732"/>
      <c r="Z202" s="1732"/>
      <c r="AA202" s="1732"/>
      <c r="AB202" s="1732"/>
      <c r="AC202" s="1137"/>
      <c r="AD202" s="1138"/>
      <c r="AE202" s="1732"/>
      <c r="AF202" s="1732"/>
      <c r="AG202" s="1732"/>
      <c r="AH202" s="1732"/>
      <c r="AI202" s="1732"/>
      <c r="AJ202" s="1732"/>
      <c r="AK202" s="1732"/>
      <c r="AL202" s="1732"/>
      <c r="AM202" s="1732"/>
      <c r="AN202" s="1732"/>
      <c r="AO202" s="1732"/>
      <c r="AP202" s="1732"/>
      <c r="AQ202" s="1732"/>
      <c r="AR202" s="1732"/>
      <c r="AS202" s="1732"/>
      <c r="AT202" s="1732"/>
      <c r="AU202" s="1732"/>
      <c r="AV202" s="1732"/>
      <c r="AW202" s="1732"/>
      <c r="AX202" s="1732"/>
      <c r="AY202" s="1732"/>
      <c r="AZ202" s="1732"/>
      <c r="BA202" s="1732"/>
      <c r="BB202" s="1732"/>
      <c r="BC202" s="1732"/>
      <c r="BD202" s="1732"/>
      <c r="BE202" s="1732"/>
      <c r="BF202" s="1732"/>
      <c r="BG202" s="1732"/>
      <c r="BH202" s="1732"/>
      <c r="BI202" s="1732"/>
      <c r="BJ202" s="1732"/>
      <c r="BK202" s="1732"/>
      <c r="BL202" s="1732"/>
      <c r="BM202" s="1732"/>
      <c r="BN202" s="1732"/>
      <c r="BO202" s="1732"/>
      <c r="BP202" s="1732"/>
      <c r="BQ202" s="1732"/>
      <c r="BR202" s="1732"/>
      <c r="BS202" s="1732"/>
      <c r="BT202" s="1732"/>
      <c r="BU202" s="1732"/>
      <c r="BV202" s="1732"/>
      <c r="BW202" s="1732"/>
      <c r="BX202" s="1732"/>
      <c r="BY202" s="1732"/>
      <c r="BZ202" s="1732"/>
      <c r="CA202" s="1732"/>
      <c r="CB202" s="1732"/>
      <c r="CC202" s="1732"/>
      <c r="CD202" s="1732"/>
      <c r="CE202" s="1732"/>
      <c r="CF202" s="1412"/>
    </row>
    <row customHeight="1" ht="15" hidden="1">
      <c r="A203" s="730" t="s">
        <v>737</v>
      </c>
      <c r="B203" s="731"/>
      <c r="C203" s="731" t="s">
        <v>22</v>
      </c>
      <c r="D203" s="3218" t="s">
        <v>738</v>
      </c>
      <c r="E203" s="3215" t="s">
        <v>140</v>
      </c>
      <c r="F203" s="3216"/>
      <c r="G203" s="3217"/>
      <c r="H203" s="3211">
        <f>IF(A203="","",INDEX(DIFFERENTIATION_UNMERGE_VD,MATCH(A203,DIFFERENTIATION_ID_DIFF,0)))</f>
      </c>
      <c r="I203" s="3211"/>
      <c r="J203" s="3211"/>
      <c r="K203" s="3211"/>
      <c r="L203" s="3211"/>
      <c r="M203" s="3211"/>
      <c r="N203" s="3211"/>
      <c r="O203" s="3211"/>
      <c r="P203" s="3211"/>
      <c r="Q203" s="3211"/>
      <c r="R203" s="3211"/>
      <c r="S203" s="826"/>
      <c r="T203" s="823"/>
      <c r="U203" s="732"/>
      <c r="V203" s="732"/>
      <c r="W203" s="733"/>
      <c r="X203" s="733"/>
      <c r="Y203" s="733"/>
      <c r="Z203" s="733"/>
      <c r="AA203" s="734"/>
      <c r="AB203" s="735"/>
      <c r="AC203" s="3214"/>
      <c r="AD203" s="736"/>
      <c r="AE203" s="737" t="s">
        <v>22</v>
      </c>
      <c r="AF203" s="737"/>
      <c r="AG203" s="738" t="s">
        <v>704</v>
      </c>
      <c r="AH203" s="739">
        <v>3</v>
      </c>
      <c r="AI203" s="732"/>
      <c r="AJ203" s="732"/>
      <c r="AK203" s="732"/>
      <c r="AL203" s="732"/>
      <c r="AM203" s="732"/>
      <c r="AN203" s="732"/>
      <c r="AO203" s="732"/>
      <c r="AP203" s="732"/>
      <c r="AQ203" s="732"/>
      <c r="AR203" s="732"/>
      <c r="AS203" s="732"/>
      <c r="AT203" s="732"/>
      <c r="AU203" s="732"/>
      <c r="AV203" s="732"/>
      <c r="AW203" s="732"/>
      <c r="AX203" s="732"/>
      <c r="AY203" s="732"/>
      <c r="AZ203" s="732"/>
      <c r="BA203" s="732"/>
      <c r="BB203" s="732"/>
      <c r="BC203" s="732"/>
      <c r="BD203" s="732"/>
      <c r="BE203" s="732"/>
      <c r="BF203" s="732"/>
      <c r="BG203" s="732"/>
      <c r="BH203" s="732"/>
      <c r="BI203" s="732"/>
      <c r="BJ203" s="732"/>
      <c r="BK203" s="732"/>
      <c r="BL203" s="732"/>
      <c r="BM203" s="732"/>
      <c r="BN203" s="732"/>
      <c r="BO203" s="732"/>
      <c r="BP203" s="732"/>
      <c r="BQ203" s="732"/>
      <c r="BR203" s="732"/>
      <c r="BS203" s="732"/>
      <c r="BT203" s="732"/>
      <c r="BU203" s="732"/>
      <c r="BV203" s="733"/>
      <c r="BW203" s="733"/>
      <c r="BX203" s="733"/>
      <c r="BY203" s="733"/>
      <c r="BZ203" s="733"/>
      <c r="CA203" s="733"/>
      <c r="CB203" s="733"/>
      <c r="CC203" s="733"/>
      <c r="CD203" s="733"/>
      <c r="CE203" s="733"/>
      <c r="CF203" s="1944"/>
    </row>
    <row customHeight="1" ht="15" hidden="1">
      <c r="A204" s="730"/>
      <c r="B204" s="731"/>
      <c r="C204" s="731"/>
      <c r="D204" s="3219"/>
      <c r="E204" s="3215" t="s">
        <v>649</v>
      </c>
      <c r="F204" s="3216"/>
      <c r="G204" s="3217"/>
      <c r="H204" s="3211">
        <f>IF(A203="","",INDEX(DIFFERENTIATION_UNMERGE_AREA,MATCH(A203,DIFFERENTIATION_ID_DIFF,0)))</f>
      </c>
      <c r="I204" s="3211"/>
      <c r="J204" s="3211"/>
      <c r="K204" s="3211"/>
      <c r="L204" s="3211"/>
      <c r="M204" s="3211"/>
      <c r="N204" s="3211"/>
      <c r="O204" s="3211"/>
      <c r="P204" s="3211"/>
      <c r="Q204" s="3211"/>
      <c r="R204" s="3211"/>
      <c r="S204" s="826"/>
      <c r="T204" s="823"/>
      <c r="U204" s="732"/>
      <c r="V204" s="732"/>
      <c r="W204" s="733"/>
      <c r="X204" s="733"/>
      <c r="Y204" s="733"/>
      <c r="Z204" s="733"/>
      <c r="AA204" s="734"/>
      <c r="AB204" s="735"/>
      <c r="AC204" s="3214"/>
      <c r="AD204" s="736"/>
      <c r="AE204" s="737"/>
      <c r="AF204" s="737"/>
      <c r="AG204" s="738"/>
      <c r="AH204" s="739"/>
      <c r="AI204" s="732"/>
      <c r="AJ204" s="732"/>
      <c r="AK204" s="732"/>
      <c r="AL204" s="732"/>
      <c r="AM204" s="732"/>
      <c r="AN204" s="732"/>
      <c r="AO204" s="732"/>
      <c r="AP204" s="732"/>
      <c r="AQ204" s="732"/>
      <c r="AR204" s="732"/>
      <c r="AS204" s="732"/>
      <c r="AT204" s="732"/>
      <c r="AU204" s="732"/>
      <c r="AV204" s="732"/>
      <c r="AW204" s="732"/>
      <c r="AX204" s="732"/>
      <c r="AY204" s="732"/>
      <c r="AZ204" s="732"/>
      <c r="BA204" s="732"/>
      <c r="BB204" s="732"/>
      <c r="BC204" s="732"/>
      <c r="BD204" s="732"/>
      <c r="BE204" s="732"/>
      <c r="BF204" s="732"/>
      <c r="BG204" s="732"/>
      <c r="BH204" s="732"/>
      <c r="BI204" s="732"/>
      <c r="BJ204" s="732"/>
      <c r="BK204" s="732"/>
      <c r="BL204" s="732"/>
      <c r="BM204" s="732"/>
      <c r="BN204" s="732"/>
      <c r="BO204" s="732"/>
      <c r="BP204" s="732"/>
      <c r="BQ204" s="732"/>
      <c r="BR204" s="732"/>
      <c r="BS204" s="732"/>
      <c r="BT204" s="732"/>
      <c r="BU204" s="732"/>
      <c r="BV204" s="733"/>
      <c r="BW204" s="733"/>
      <c r="BX204" s="733"/>
      <c r="BY204" s="733"/>
      <c r="BZ204" s="733"/>
      <c r="CA204" s="733"/>
      <c r="CB204" s="733"/>
      <c r="CC204" s="733"/>
      <c r="CD204" s="733"/>
      <c r="CE204" s="733"/>
      <c r="CF204" s="1944"/>
    </row>
    <row customHeight="1" ht="15" hidden="1">
      <c r="A205" s="730"/>
      <c r="B205" s="731"/>
      <c r="C205" s="731"/>
      <c r="D205" s="3219"/>
      <c r="E205" s="3215" t="s">
        <v>650</v>
      </c>
      <c r="F205" s="3216"/>
      <c r="G205" s="3217"/>
      <c r="H205" s="3211">
        <f>IF(A203="","",INDEX(DIFFERENTIATION_UNMERGE_SYSTEM,MATCH(A203,DIFFERENTIATION_ID_DIFF,0)))</f>
      </c>
      <c r="I205" s="3211"/>
      <c r="J205" s="3211"/>
      <c r="K205" s="3211"/>
      <c r="L205" s="3211"/>
      <c r="M205" s="3211"/>
      <c r="N205" s="3211"/>
      <c r="O205" s="3211"/>
      <c r="P205" s="3211"/>
      <c r="Q205" s="3211"/>
      <c r="R205" s="3211"/>
      <c r="S205" s="826"/>
      <c r="T205" s="823"/>
      <c r="U205" s="732"/>
      <c r="V205" s="732"/>
      <c r="W205" s="733"/>
      <c r="X205" s="733"/>
      <c r="Y205" s="733"/>
      <c r="Z205" s="733"/>
      <c r="AA205" s="734"/>
      <c r="AB205" s="735"/>
      <c r="AC205" s="3214"/>
      <c r="AD205" s="736"/>
      <c r="AE205" s="737"/>
      <c r="AF205" s="737"/>
      <c r="AG205" s="738"/>
      <c r="AH205" s="739"/>
      <c r="AI205" s="732"/>
      <c r="AJ205" s="732"/>
      <c r="AK205" s="732"/>
      <c r="AL205" s="732"/>
      <c r="AM205" s="732"/>
      <c r="AN205" s="732"/>
      <c r="AO205" s="732"/>
      <c r="AP205" s="732"/>
      <c r="AQ205" s="732"/>
      <c r="AR205" s="732"/>
      <c r="AS205" s="732"/>
      <c r="AT205" s="732"/>
      <c r="AU205" s="732"/>
      <c r="AV205" s="732"/>
      <c r="AW205" s="732"/>
      <c r="AX205" s="732"/>
      <c r="AY205" s="732"/>
      <c r="AZ205" s="732"/>
      <c r="BA205" s="732"/>
      <c r="BB205" s="732"/>
      <c r="BC205" s="732"/>
      <c r="BD205" s="732"/>
      <c r="BE205" s="732"/>
      <c r="BF205" s="732"/>
      <c r="BG205" s="732"/>
      <c r="BH205" s="732"/>
      <c r="BI205" s="732"/>
      <c r="BJ205" s="732"/>
      <c r="BK205" s="732"/>
      <c r="BL205" s="732"/>
      <c r="BM205" s="732"/>
      <c r="BN205" s="732"/>
      <c r="BO205" s="732"/>
      <c r="BP205" s="732"/>
      <c r="BQ205" s="732"/>
      <c r="BR205" s="732"/>
      <c r="BS205" s="732"/>
      <c r="BT205" s="732"/>
      <c r="BU205" s="732"/>
      <c r="BV205" s="733"/>
      <c r="BW205" s="733"/>
      <c r="BX205" s="733"/>
      <c r="BY205" s="733"/>
      <c r="BZ205" s="733"/>
      <c r="CA205" s="733"/>
      <c r="CB205" s="733"/>
      <c r="CC205" s="733"/>
      <c r="CD205" s="733"/>
      <c r="CE205" s="733"/>
      <c r="CF205" s="1944"/>
    </row>
    <row customHeight="1" ht="24.75" hidden="1">
      <c r="A206" s="1901"/>
      <c r="B206" s="1256"/>
      <c r="C206" s="519"/>
      <c r="D206" s="3219"/>
      <c r="E206" s="3213" t="s">
        <v>705</v>
      </c>
      <c r="F206" s="3213"/>
      <c r="G206" s="3213"/>
      <c r="H206" s="3213"/>
      <c r="I206" s="3213"/>
      <c r="J206" s="3213"/>
      <c r="K206" s="3213"/>
      <c r="L206" s="3213"/>
      <c r="M206" s="3213"/>
      <c r="N206" s="3213"/>
      <c r="O206" s="3213"/>
      <c r="P206" s="3213"/>
      <c r="Q206" s="665">
        <f>SUMIF(T207:T208,"i",Q207:Q208)</f>
        <v>0</v>
      </c>
      <c r="R206" s="1117"/>
      <c r="S206" s="1893" t="s">
        <v>706</v>
      </c>
      <c r="T206" s="824" t="s">
        <v>707</v>
      </c>
      <c r="U206" s="3119">
        <v>1</v>
      </c>
      <c r="V206" s="3119">
        <f>INDEX(B_FHD_FLAG_INDEX_1,1,MATCH($A$203,B_FHD_FLAG_DIFFERENTIATION,0))</f>
      </c>
      <c r="W206" s="1256"/>
      <c r="X206" s="1256"/>
      <c r="Y206" s="1256"/>
      <c r="Z206" s="1256"/>
      <c r="AA206" s="1732"/>
      <c r="AB206" s="1256"/>
      <c r="AC206" s="3214"/>
      <c r="AD206" s="736"/>
      <c r="AE206" s="1256"/>
      <c r="AF206" s="1256"/>
      <c r="AG206" s="1732"/>
      <c r="AH206" s="1732"/>
      <c r="AI206" s="1732"/>
      <c r="AJ206" s="1732"/>
      <c r="AK206" s="1732"/>
      <c r="AL206" s="1732"/>
      <c r="AM206" s="1732"/>
      <c r="AN206" s="1732"/>
      <c r="AO206" s="1732"/>
      <c r="AP206" s="1732"/>
      <c r="AQ206" s="1732"/>
      <c r="AR206" s="1732"/>
      <c r="AS206" s="1732"/>
      <c r="AT206" s="1732"/>
      <c r="AU206" s="1732"/>
      <c r="AV206" s="1732"/>
      <c r="AW206" s="1732"/>
      <c r="AX206" s="1732"/>
      <c r="AY206" s="1732"/>
      <c r="AZ206" s="1732"/>
      <c r="BA206" s="1732"/>
      <c r="BB206" s="1732"/>
      <c r="BC206" s="1732"/>
      <c r="BD206" s="1732"/>
      <c r="BE206" s="1732"/>
      <c r="BF206" s="1732"/>
      <c r="BG206" s="1732"/>
      <c r="BH206" s="1732"/>
      <c r="BI206" s="1732"/>
      <c r="BJ206" s="1732"/>
      <c r="BK206" s="1732"/>
      <c r="BL206" s="1732"/>
      <c r="BM206" s="1732"/>
      <c r="BN206" s="1732"/>
      <c r="BO206" s="1732"/>
      <c r="BP206" s="1732"/>
      <c r="BQ206" s="1732"/>
      <c r="BR206" s="1732"/>
      <c r="BS206" s="1732"/>
      <c r="BT206" s="1732"/>
      <c r="BU206" s="1732"/>
      <c r="BV206" s="1256"/>
      <c r="BW206" s="1256"/>
      <c r="BX206" s="1256"/>
      <c r="BY206" s="1256"/>
      <c r="BZ206" s="1256"/>
      <c r="CA206" s="1256"/>
      <c r="CB206" s="1256"/>
      <c r="CC206" s="1256"/>
      <c r="CD206" s="1256"/>
      <c r="CE206" s="1256"/>
      <c r="CF206" s="1944"/>
    </row>
    <row customHeight="1" ht="11.25" hidden="1">
      <c r="A207" s="1888"/>
      <c r="B207" s="1732"/>
      <c r="C207" s="1732"/>
      <c r="D207" s="3219"/>
      <c r="E207" s="742"/>
      <c r="F207" s="742">
        <v>0</v>
      </c>
      <c r="G207" s="742"/>
      <c r="H207" s="742"/>
      <c r="I207" s="742"/>
      <c r="J207" s="742"/>
      <c r="K207" s="742"/>
      <c r="L207" s="742"/>
      <c r="M207" s="742"/>
      <c r="N207" s="742"/>
      <c r="O207" s="742"/>
      <c r="P207" s="742"/>
      <c r="Q207" s="742"/>
      <c r="R207" s="742"/>
      <c r="S207" s="743"/>
      <c r="T207" s="825"/>
      <c r="U207" s="3119"/>
      <c r="V207" s="3119"/>
      <c r="W207" s="1732"/>
      <c r="X207" s="1732"/>
      <c r="Y207" s="1732"/>
      <c r="Z207" s="1732"/>
      <c r="AA207" s="1732"/>
      <c r="AB207" s="1256"/>
      <c r="AC207" s="3214"/>
      <c r="AD207" s="736"/>
      <c r="AE207" s="1256"/>
      <c r="AF207" s="1256"/>
      <c r="AG207" s="1732"/>
      <c r="AH207" s="1732"/>
      <c r="AI207" s="1732"/>
      <c r="AJ207" s="1732"/>
      <c r="AK207" s="1732"/>
      <c r="AL207" s="1732"/>
      <c r="AM207" s="1732"/>
      <c r="AN207" s="1732"/>
      <c r="AO207" s="1732"/>
      <c r="AP207" s="1732"/>
      <c r="AQ207" s="1732"/>
      <c r="AR207" s="1732"/>
      <c r="AS207" s="1732"/>
      <c r="AT207" s="1732"/>
      <c r="AU207" s="1732"/>
      <c r="AV207" s="1732"/>
      <c r="AW207" s="1732"/>
      <c r="AX207" s="1732"/>
      <c r="AY207" s="1732"/>
      <c r="AZ207" s="1732"/>
      <c r="BA207" s="1732"/>
      <c r="BB207" s="1732"/>
      <c r="BC207" s="1732"/>
      <c r="BD207" s="1732"/>
      <c r="BE207" s="1732"/>
      <c r="BF207" s="1732"/>
      <c r="BG207" s="1732"/>
      <c r="BH207" s="1732"/>
      <c r="BI207" s="1732"/>
      <c r="BJ207" s="1732"/>
      <c r="BK207" s="1732"/>
      <c r="BL207" s="1732"/>
      <c r="BM207" s="1732"/>
      <c r="BN207" s="1732"/>
      <c r="BO207" s="1732"/>
      <c r="BP207" s="1732"/>
      <c r="BQ207" s="1732"/>
      <c r="BR207" s="1732"/>
      <c r="BS207" s="1732"/>
      <c r="BT207" s="1732"/>
      <c r="BU207" s="1732"/>
      <c r="BV207" s="1732"/>
      <c r="BW207" s="1732"/>
      <c r="BX207" s="1732"/>
      <c r="BY207" s="1732"/>
      <c r="BZ207" s="1732"/>
      <c r="CA207" s="1732"/>
      <c r="CB207" s="1732"/>
      <c r="CC207" s="1732"/>
      <c r="CD207" s="1732"/>
      <c r="CE207" s="1732"/>
      <c r="CF207" s="1944"/>
    </row>
    <row customHeight="1" ht="11.25" hidden="1">
      <c r="A208" s="1901"/>
      <c r="B208" s="1256"/>
      <c r="C208" s="519"/>
      <c r="D208" s="3219"/>
      <c r="E208" s="756" t="s">
        <v>22</v>
      </c>
      <c r="F208" s="1264" t="s">
        <v>22</v>
      </c>
      <c r="G208" s="1264" t="s">
        <v>711</v>
      </c>
      <c r="H208" s="758" t="s">
        <v>22</v>
      </c>
      <c r="I208" s="758"/>
      <c r="J208" s="758"/>
      <c r="K208" s="758"/>
      <c r="L208" s="758"/>
      <c r="M208" s="758"/>
      <c r="N208" s="758"/>
      <c r="O208" s="758"/>
      <c r="P208" s="758"/>
      <c r="Q208" s="758"/>
      <c r="R208" s="759"/>
      <c r="S208" s="760"/>
      <c r="T208" s="825"/>
      <c r="U208" s="3119"/>
      <c r="V208" s="3119"/>
      <c r="W208" s="1256"/>
      <c r="X208" s="1256"/>
      <c r="Y208" s="1256"/>
      <c r="Z208" s="1256"/>
      <c r="AA208" s="1732"/>
      <c r="AB208" s="1256"/>
      <c r="AC208" s="3214"/>
      <c r="AD208" s="736"/>
      <c r="AE208" s="1256"/>
      <c r="AF208" s="1256"/>
      <c r="AG208" s="1732"/>
      <c r="AH208" s="1732"/>
      <c r="AI208" s="1732"/>
      <c r="AJ208" s="1732"/>
      <c r="AK208" s="1732"/>
      <c r="AL208" s="1732"/>
      <c r="AM208" s="1732"/>
      <c r="AN208" s="1732"/>
      <c r="AO208" s="1732"/>
      <c r="AP208" s="1732"/>
      <c r="AQ208" s="1732"/>
      <c r="AR208" s="1732"/>
      <c r="AS208" s="1732"/>
      <c r="AT208" s="1732"/>
      <c r="AU208" s="1732"/>
      <c r="AV208" s="1732"/>
      <c r="AW208" s="1732"/>
      <c r="AX208" s="1732"/>
      <c r="AY208" s="1732"/>
      <c r="AZ208" s="1732"/>
      <c r="BA208" s="1732"/>
      <c r="BB208" s="1732"/>
      <c r="BC208" s="1732"/>
      <c r="BD208" s="1732"/>
      <c r="BE208" s="1732"/>
      <c r="BF208" s="1732"/>
      <c r="BG208" s="1732"/>
      <c r="BH208" s="1732"/>
      <c r="BI208" s="1732"/>
      <c r="BJ208" s="1732"/>
      <c r="BK208" s="1732"/>
      <c r="BL208" s="1732"/>
      <c r="BM208" s="1732"/>
      <c r="BN208" s="1732"/>
      <c r="BO208" s="1732"/>
      <c r="BP208" s="1732"/>
      <c r="BQ208" s="1732"/>
      <c r="BR208" s="1732"/>
      <c r="BS208" s="1732"/>
      <c r="BT208" s="1732"/>
      <c r="BU208" s="1732"/>
      <c r="BV208" s="1256"/>
      <c r="BW208" s="1256"/>
      <c r="BX208" s="1256"/>
      <c r="BY208" s="1256"/>
      <c r="BZ208" s="1256"/>
      <c r="CA208" s="1256"/>
      <c r="CB208" s="1256"/>
      <c r="CC208" s="1256"/>
      <c r="CD208" s="1256"/>
      <c r="CE208" s="1256"/>
      <c r="CF208" s="1944"/>
    </row>
    <row customHeight="1" ht="5.25" hidden="1">
      <c r="A209" s="1888"/>
      <c r="B209" s="1732"/>
      <c r="C209" s="1732"/>
      <c r="D209" s="3219"/>
      <c r="E209" s="1139"/>
      <c r="F209" s="1139"/>
      <c r="G209" s="1139"/>
      <c r="H209" s="1139"/>
      <c r="I209" s="1139"/>
      <c r="J209" s="1139"/>
      <c r="K209" s="1139"/>
      <c r="L209" s="1139"/>
      <c r="M209" s="1139"/>
      <c r="N209" s="1139"/>
      <c r="O209" s="1139"/>
      <c r="P209" s="1139"/>
      <c r="Q209" s="1140"/>
      <c r="R209" s="1141"/>
      <c r="S209" s="1142"/>
      <c r="T209" s="824" t="s">
        <v>707</v>
      </c>
      <c r="U209" s="3119">
        <v>1</v>
      </c>
      <c r="V209" s="3119" t="s">
        <v>669</v>
      </c>
      <c r="W209" s="1732"/>
      <c r="X209" s="1732"/>
      <c r="Y209" s="1732"/>
      <c r="Z209" s="1732"/>
      <c r="AA209" s="1732"/>
      <c r="AB209" s="1732"/>
      <c r="AC209" s="1137"/>
      <c r="AD209" s="1138"/>
      <c r="AE209" s="1732"/>
      <c r="AF209" s="1732"/>
      <c r="AG209" s="1732"/>
      <c r="AH209" s="1732"/>
      <c r="AI209" s="1732"/>
      <c r="AJ209" s="1732"/>
      <c r="AK209" s="1732"/>
      <c r="AL209" s="1732"/>
      <c r="AM209" s="1732"/>
      <c r="AN209" s="1732"/>
      <c r="AO209" s="1732"/>
      <c r="AP209" s="1732"/>
      <c r="AQ209" s="1732"/>
      <c r="AR209" s="1732"/>
      <c r="AS209" s="1732"/>
      <c r="AT209" s="1732"/>
      <c r="AU209" s="1732"/>
      <c r="AV209" s="1732"/>
      <c r="AW209" s="1732"/>
      <c r="AX209" s="1732"/>
      <c r="AY209" s="1732"/>
      <c r="AZ209" s="1732"/>
      <c r="BA209" s="1732"/>
      <c r="BB209" s="1732"/>
      <c r="BC209" s="1732"/>
      <c r="BD209" s="1732"/>
      <c r="BE209" s="1732"/>
      <c r="BF209" s="1732"/>
      <c r="BG209" s="1732"/>
      <c r="BH209" s="1732"/>
      <c r="BI209" s="1732"/>
      <c r="BJ209" s="1732"/>
      <c r="BK209" s="1732"/>
      <c r="BL209" s="1732"/>
      <c r="BM209" s="1732"/>
      <c r="BN209" s="1732"/>
      <c r="BO209" s="1732"/>
      <c r="BP209" s="1732"/>
      <c r="BQ209" s="1732"/>
      <c r="BR209" s="1732"/>
      <c r="BS209" s="1732"/>
      <c r="BT209" s="1732"/>
      <c r="BU209" s="1732"/>
      <c r="BV209" s="1732"/>
      <c r="BW209" s="1732"/>
      <c r="BX209" s="1732"/>
      <c r="BY209" s="1732"/>
      <c r="BZ209" s="1732"/>
      <c r="CA209" s="1732"/>
      <c r="CB209" s="1732"/>
      <c r="CC209" s="1732"/>
      <c r="CD209" s="1732"/>
      <c r="CE209" s="1732"/>
      <c r="CF209" s="1412"/>
    </row>
    <row customHeight="1" ht="5.25" hidden="1">
      <c r="A210" s="1888"/>
      <c r="B210" s="1732"/>
      <c r="C210" s="1732"/>
      <c r="D210" s="3219"/>
      <c r="E210" s="742"/>
      <c r="F210" s="742"/>
      <c r="G210" s="742"/>
      <c r="H210" s="742"/>
      <c r="I210" s="742"/>
      <c r="J210" s="742"/>
      <c r="K210" s="742"/>
      <c r="L210" s="742"/>
      <c r="M210" s="742"/>
      <c r="N210" s="742"/>
      <c r="O210" s="742"/>
      <c r="P210" s="742"/>
      <c r="Q210" s="742"/>
      <c r="R210" s="742"/>
      <c r="S210" s="743"/>
      <c r="T210" s="825"/>
      <c r="U210" s="3119"/>
      <c r="V210" s="3119"/>
      <c r="W210" s="1732"/>
      <c r="X210" s="1732"/>
      <c r="Y210" s="1732"/>
      <c r="Z210" s="1732"/>
      <c r="AA210" s="1732"/>
      <c r="AB210" s="1732"/>
      <c r="AC210" s="1137"/>
      <c r="AD210" s="1138"/>
      <c r="AE210" s="1732"/>
      <c r="AF210" s="1732"/>
      <c r="AG210" s="1732"/>
      <c r="AH210" s="1732"/>
      <c r="AI210" s="1732"/>
      <c r="AJ210" s="1732"/>
      <c r="AK210" s="1732"/>
      <c r="AL210" s="1732"/>
      <c r="AM210" s="1732"/>
      <c r="AN210" s="1732"/>
      <c r="AO210" s="1732"/>
      <c r="AP210" s="1732"/>
      <c r="AQ210" s="1732"/>
      <c r="AR210" s="1732"/>
      <c r="AS210" s="1732"/>
      <c r="AT210" s="1732"/>
      <c r="AU210" s="1732"/>
      <c r="AV210" s="1732"/>
      <c r="AW210" s="1732"/>
      <c r="AX210" s="1732"/>
      <c r="AY210" s="1732"/>
      <c r="AZ210" s="1732"/>
      <c r="BA210" s="1732"/>
      <c r="BB210" s="1732"/>
      <c r="BC210" s="1732"/>
      <c r="BD210" s="1732"/>
      <c r="BE210" s="1732"/>
      <c r="BF210" s="1732"/>
      <c r="BG210" s="1732"/>
      <c r="BH210" s="1732"/>
      <c r="BI210" s="1732"/>
      <c r="BJ210" s="1732"/>
      <c r="BK210" s="1732"/>
      <c r="BL210" s="1732"/>
      <c r="BM210" s="1732"/>
      <c r="BN210" s="1732"/>
      <c r="BO210" s="1732"/>
      <c r="BP210" s="1732"/>
      <c r="BQ210" s="1732"/>
      <c r="BR210" s="1732"/>
      <c r="BS210" s="1732"/>
      <c r="BT210" s="1732"/>
      <c r="BU210" s="1732"/>
      <c r="BV210" s="1732"/>
      <c r="BW210" s="1732"/>
      <c r="BX210" s="1732"/>
      <c r="BY210" s="1732"/>
      <c r="BZ210" s="1732"/>
      <c r="CA210" s="1732"/>
      <c r="CB210" s="1732"/>
      <c r="CC210" s="1732"/>
      <c r="CD210" s="1732"/>
      <c r="CE210" s="1732"/>
      <c r="CF210" s="1412"/>
    </row>
    <row customHeight="1" ht="5.25" hidden="1">
      <c r="A211" s="1888"/>
      <c r="B211" s="1732"/>
      <c r="C211" s="1732"/>
      <c r="D211" s="3220"/>
      <c r="E211" s="1143"/>
      <c r="F211" s="1144"/>
      <c r="G211" s="1144"/>
      <c r="H211" s="1145"/>
      <c r="I211" s="1145"/>
      <c r="J211" s="1145"/>
      <c r="K211" s="1145"/>
      <c r="L211" s="1145"/>
      <c r="M211" s="1145"/>
      <c r="N211" s="1145"/>
      <c r="O211" s="1145"/>
      <c r="P211" s="1145"/>
      <c r="Q211" s="1145"/>
      <c r="R211" s="1046"/>
      <c r="S211" s="1146"/>
      <c r="T211" s="825"/>
      <c r="U211" s="3119"/>
      <c r="V211" s="3119"/>
      <c r="W211" s="1732"/>
      <c r="X211" s="1732"/>
      <c r="Y211" s="1732"/>
      <c r="Z211" s="1732"/>
      <c r="AA211" s="1732"/>
      <c r="AB211" s="1732"/>
      <c r="AC211" s="1137"/>
      <c r="AD211" s="1138"/>
      <c r="AE211" s="1732"/>
      <c r="AF211" s="1732"/>
      <c r="AG211" s="1732"/>
      <c r="AH211" s="1732"/>
      <c r="AI211" s="1732"/>
      <c r="AJ211" s="1732"/>
      <c r="AK211" s="1732"/>
      <c r="AL211" s="1732"/>
      <c r="AM211" s="1732"/>
      <c r="AN211" s="1732"/>
      <c r="AO211" s="1732"/>
      <c r="AP211" s="1732"/>
      <c r="AQ211" s="1732"/>
      <c r="AR211" s="1732"/>
      <c r="AS211" s="1732"/>
      <c r="AT211" s="1732"/>
      <c r="AU211" s="1732"/>
      <c r="AV211" s="1732"/>
      <c r="AW211" s="1732"/>
      <c r="AX211" s="1732"/>
      <c r="AY211" s="1732"/>
      <c r="AZ211" s="1732"/>
      <c r="BA211" s="1732"/>
      <c r="BB211" s="1732"/>
      <c r="BC211" s="1732"/>
      <c r="BD211" s="1732"/>
      <c r="BE211" s="1732"/>
      <c r="BF211" s="1732"/>
      <c r="BG211" s="1732"/>
      <c r="BH211" s="1732"/>
      <c r="BI211" s="1732"/>
      <c r="BJ211" s="1732"/>
      <c r="BK211" s="1732"/>
      <c r="BL211" s="1732"/>
      <c r="BM211" s="1732"/>
      <c r="BN211" s="1732"/>
      <c r="BO211" s="1732"/>
      <c r="BP211" s="1732"/>
      <c r="BQ211" s="1732"/>
      <c r="BR211" s="1732"/>
      <c r="BS211" s="1732"/>
      <c r="BT211" s="1732"/>
      <c r="BU211" s="1732"/>
      <c r="BV211" s="1732"/>
      <c r="BW211" s="1732"/>
      <c r="BX211" s="1732"/>
      <c r="BY211" s="1732"/>
      <c r="BZ211" s="1732"/>
      <c r="CA211" s="1732"/>
      <c r="CB211" s="1732"/>
      <c r="CC211" s="1732"/>
      <c r="CD211" s="1732"/>
      <c r="CE211" s="1732"/>
      <c r="CF211" s="1412"/>
    </row>
    <row customHeight="1" ht="15" hidden="1">
      <c r="A212" s="730" t="s">
        <v>739</v>
      </c>
      <c r="B212" s="731"/>
      <c r="C212" s="731" t="s">
        <v>22</v>
      </c>
      <c r="D212" s="3218" t="s">
        <v>740</v>
      </c>
      <c r="E212" s="3215" t="s">
        <v>140</v>
      </c>
      <c r="F212" s="3216"/>
      <c r="G212" s="3217"/>
      <c r="H212" s="3211">
        <f>IF(A212="","",INDEX(DIFFERENTIATION_UNMERGE_VD,MATCH(A212,DIFFERENTIATION_ID_DIFF,0)))</f>
      </c>
      <c r="I212" s="3211"/>
      <c r="J212" s="3211"/>
      <c r="K212" s="3211"/>
      <c r="L212" s="3211"/>
      <c r="M212" s="3211"/>
      <c r="N212" s="3211"/>
      <c r="O212" s="3211"/>
      <c r="P212" s="3211"/>
      <c r="Q212" s="3211"/>
      <c r="R212" s="3211"/>
      <c r="S212" s="826"/>
      <c r="T212" s="823"/>
      <c r="U212" s="732"/>
      <c r="V212" s="732"/>
      <c r="W212" s="733"/>
      <c r="X212" s="733"/>
      <c r="Y212" s="733"/>
      <c r="Z212" s="733"/>
      <c r="AA212" s="734"/>
      <c r="AB212" s="735"/>
      <c r="AC212" s="3214"/>
      <c r="AD212" s="736"/>
      <c r="AE212" s="737" t="s">
        <v>22</v>
      </c>
      <c r="AF212" s="737"/>
      <c r="AG212" s="738" t="s">
        <v>704</v>
      </c>
      <c r="AH212" s="739">
        <v>3</v>
      </c>
      <c r="AI212" s="732"/>
      <c r="AJ212" s="732"/>
      <c r="AK212" s="732"/>
      <c r="AL212" s="732"/>
      <c r="AM212" s="732"/>
      <c r="AN212" s="732"/>
      <c r="AO212" s="732"/>
      <c r="AP212" s="732"/>
      <c r="AQ212" s="732"/>
      <c r="AR212" s="732"/>
      <c r="AS212" s="732"/>
      <c r="AT212" s="732"/>
      <c r="AU212" s="732"/>
      <c r="AV212" s="732"/>
      <c r="AW212" s="732"/>
      <c r="AX212" s="732"/>
      <c r="AY212" s="732"/>
      <c r="AZ212" s="732"/>
      <c r="BA212" s="732"/>
      <c r="BB212" s="732"/>
      <c r="BC212" s="732"/>
      <c r="BD212" s="732"/>
      <c r="BE212" s="732"/>
      <c r="BF212" s="732"/>
      <c r="BG212" s="732"/>
      <c r="BH212" s="732"/>
      <c r="BI212" s="732"/>
      <c r="BJ212" s="732"/>
      <c r="BK212" s="732"/>
      <c r="BL212" s="732"/>
      <c r="BM212" s="732"/>
      <c r="BN212" s="732"/>
      <c r="BO212" s="732"/>
      <c r="BP212" s="732"/>
      <c r="BQ212" s="732"/>
      <c r="BR212" s="732"/>
      <c r="BS212" s="732"/>
      <c r="BT212" s="732"/>
      <c r="BU212" s="732"/>
      <c r="BV212" s="733"/>
      <c r="BW212" s="733"/>
      <c r="BX212" s="733"/>
      <c r="BY212" s="733"/>
      <c r="BZ212" s="733"/>
      <c r="CA212" s="733"/>
      <c r="CB212" s="733"/>
      <c r="CC212" s="733"/>
      <c r="CD212" s="733"/>
      <c r="CE212" s="733"/>
      <c r="CF212" s="1944"/>
    </row>
    <row customHeight="1" ht="15" hidden="1">
      <c r="A213" s="730"/>
      <c r="B213" s="731"/>
      <c r="C213" s="731"/>
      <c r="D213" s="3219"/>
      <c r="E213" s="3215" t="s">
        <v>649</v>
      </c>
      <c r="F213" s="3216"/>
      <c r="G213" s="3217"/>
      <c r="H213" s="3211">
        <f>IF(A212="","",INDEX(DIFFERENTIATION_UNMERGE_AREA,MATCH(A212,DIFFERENTIATION_ID_DIFF,0)))</f>
      </c>
      <c r="I213" s="3211"/>
      <c r="J213" s="3211"/>
      <c r="K213" s="3211"/>
      <c r="L213" s="3211"/>
      <c r="M213" s="3211"/>
      <c r="N213" s="3211"/>
      <c r="O213" s="3211"/>
      <c r="P213" s="3211"/>
      <c r="Q213" s="3211"/>
      <c r="R213" s="3211"/>
      <c r="S213" s="826"/>
      <c r="T213" s="823"/>
      <c r="U213" s="732"/>
      <c r="V213" s="732"/>
      <c r="W213" s="733"/>
      <c r="X213" s="733"/>
      <c r="Y213" s="733"/>
      <c r="Z213" s="733"/>
      <c r="AA213" s="734"/>
      <c r="AB213" s="735"/>
      <c r="AC213" s="3214"/>
      <c r="AD213" s="736"/>
      <c r="AE213" s="737"/>
      <c r="AF213" s="737"/>
      <c r="AG213" s="738"/>
      <c r="AH213" s="739"/>
      <c r="AI213" s="732"/>
      <c r="AJ213" s="732"/>
      <c r="AK213" s="732"/>
      <c r="AL213" s="732"/>
      <c r="AM213" s="732"/>
      <c r="AN213" s="732"/>
      <c r="AO213" s="732"/>
      <c r="AP213" s="732"/>
      <c r="AQ213" s="732"/>
      <c r="AR213" s="732"/>
      <c r="AS213" s="732"/>
      <c r="AT213" s="732"/>
      <c r="AU213" s="732"/>
      <c r="AV213" s="732"/>
      <c r="AW213" s="732"/>
      <c r="AX213" s="732"/>
      <c r="AY213" s="732"/>
      <c r="AZ213" s="732"/>
      <c r="BA213" s="732"/>
      <c r="BB213" s="732"/>
      <c r="BC213" s="732"/>
      <c r="BD213" s="732"/>
      <c r="BE213" s="732"/>
      <c r="BF213" s="732"/>
      <c r="BG213" s="732"/>
      <c r="BH213" s="732"/>
      <c r="BI213" s="732"/>
      <c r="BJ213" s="732"/>
      <c r="BK213" s="732"/>
      <c r="BL213" s="732"/>
      <c r="BM213" s="732"/>
      <c r="BN213" s="732"/>
      <c r="BO213" s="732"/>
      <c r="BP213" s="732"/>
      <c r="BQ213" s="732"/>
      <c r="BR213" s="732"/>
      <c r="BS213" s="732"/>
      <c r="BT213" s="732"/>
      <c r="BU213" s="732"/>
      <c r="BV213" s="733"/>
      <c r="BW213" s="733"/>
      <c r="BX213" s="733"/>
      <c r="BY213" s="733"/>
      <c r="BZ213" s="733"/>
      <c r="CA213" s="733"/>
      <c r="CB213" s="733"/>
      <c r="CC213" s="733"/>
      <c r="CD213" s="733"/>
      <c r="CE213" s="733"/>
      <c r="CF213" s="1944"/>
    </row>
    <row customHeight="1" ht="15" hidden="1">
      <c r="A214" s="730"/>
      <c r="B214" s="731"/>
      <c r="C214" s="731"/>
      <c r="D214" s="3219"/>
      <c r="E214" s="3215" t="s">
        <v>650</v>
      </c>
      <c r="F214" s="3216"/>
      <c r="G214" s="3217"/>
      <c r="H214" s="3211">
        <f>IF(A212="","",INDEX(DIFFERENTIATION_UNMERGE_SYSTEM,MATCH(A212,DIFFERENTIATION_ID_DIFF,0)))</f>
      </c>
      <c r="I214" s="3211"/>
      <c r="J214" s="3211"/>
      <c r="K214" s="3211"/>
      <c r="L214" s="3211"/>
      <c r="M214" s="3211"/>
      <c r="N214" s="3211"/>
      <c r="O214" s="3211"/>
      <c r="P214" s="3211"/>
      <c r="Q214" s="3211"/>
      <c r="R214" s="3211"/>
      <c r="S214" s="826"/>
      <c r="T214" s="823"/>
      <c r="U214" s="732"/>
      <c r="V214" s="732"/>
      <c r="W214" s="733"/>
      <c r="X214" s="733"/>
      <c r="Y214" s="733"/>
      <c r="Z214" s="733"/>
      <c r="AA214" s="734"/>
      <c r="AB214" s="735"/>
      <c r="AC214" s="3214"/>
      <c r="AD214" s="736"/>
      <c r="AE214" s="737"/>
      <c r="AF214" s="737"/>
      <c r="AG214" s="738"/>
      <c r="AH214" s="739"/>
      <c r="AI214" s="732"/>
      <c r="AJ214" s="732"/>
      <c r="AK214" s="732"/>
      <c r="AL214" s="732"/>
      <c r="AM214" s="732"/>
      <c r="AN214" s="732"/>
      <c r="AO214" s="732"/>
      <c r="AP214" s="732"/>
      <c r="AQ214" s="732"/>
      <c r="AR214" s="732"/>
      <c r="AS214" s="732"/>
      <c r="AT214" s="732"/>
      <c r="AU214" s="732"/>
      <c r="AV214" s="732"/>
      <c r="AW214" s="732"/>
      <c r="AX214" s="732"/>
      <c r="AY214" s="732"/>
      <c r="AZ214" s="732"/>
      <c r="BA214" s="732"/>
      <c r="BB214" s="732"/>
      <c r="BC214" s="732"/>
      <c r="BD214" s="732"/>
      <c r="BE214" s="732"/>
      <c r="BF214" s="732"/>
      <c r="BG214" s="732"/>
      <c r="BH214" s="732"/>
      <c r="BI214" s="732"/>
      <c r="BJ214" s="732"/>
      <c r="BK214" s="732"/>
      <c r="BL214" s="732"/>
      <c r="BM214" s="732"/>
      <c r="BN214" s="732"/>
      <c r="BO214" s="732"/>
      <c r="BP214" s="732"/>
      <c r="BQ214" s="732"/>
      <c r="BR214" s="732"/>
      <c r="BS214" s="732"/>
      <c r="BT214" s="732"/>
      <c r="BU214" s="732"/>
      <c r="BV214" s="733"/>
      <c r="BW214" s="733"/>
      <c r="BX214" s="733"/>
      <c r="BY214" s="733"/>
      <c r="BZ214" s="733"/>
      <c r="CA214" s="733"/>
      <c r="CB214" s="733"/>
      <c r="CC214" s="733"/>
      <c r="CD214" s="733"/>
      <c r="CE214" s="733"/>
      <c r="CF214" s="1944"/>
    </row>
    <row customHeight="1" ht="24.75" hidden="1">
      <c r="A215" s="1901"/>
      <c r="B215" s="1256"/>
      <c r="C215" s="519"/>
      <c r="D215" s="3219"/>
      <c r="E215" s="3213" t="s">
        <v>705</v>
      </c>
      <c r="F215" s="3213"/>
      <c r="G215" s="3213"/>
      <c r="H215" s="3213"/>
      <c r="I215" s="3213"/>
      <c r="J215" s="3213"/>
      <c r="K215" s="3213"/>
      <c r="L215" s="3213"/>
      <c r="M215" s="3213"/>
      <c r="N215" s="3213"/>
      <c r="O215" s="3213"/>
      <c r="P215" s="3213"/>
      <c r="Q215" s="665">
        <f>SUMIF(T216:T217,"i",Q216:Q217)</f>
        <v>0</v>
      </c>
      <c r="R215" s="1117"/>
      <c r="S215" s="1893" t="s">
        <v>706</v>
      </c>
      <c r="T215" s="824" t="s">
        <v>707</v>
      </c>
      <c r="U215" s="3119">
        <v>1</v>
      </c>
      <c r="V215" s="3119">
        <f>INDEX(B_FHD_FLAG_INDEX_1,1,MATCH($A$212,B_FHD_FLAG_DIFFERENTIATION,0))</f>
      </c>
      <c r="W215" s="1256"/>
      <c r="X215" s="1256"/>
      <c r="Y215" s="1256"/>
      <c r="Z215" s="1256"/>
      <c r="AA215" s="1732"/>
      <c r="AB215" s="1256"/>
      <c r="AC215" s="3214"/>
      <c r="AD215" s="736"/>
      <c r="AE215" s="1256"/>
      <c r="AF215" s="1256"/>
      <c r="AG215" s="1732"/>
      <c r="AH215" s="1732"/>
      <c r="AI215" s="1732"/>
      <c r="AJ215" s="1732"/>
      <c r="AK215" s="1732"/>
      <c r="AL215" s="1732"/>
      <c r="AM215" s="1732"/>
      <c r="AN215" s="1732"/>
      <c r="AO215" s="1732"/>
      <c r="AP215" s="1732"/>
      <c r="AQ215" s="1732"/>
      <c r="AR215" s="1732"/>
      <c r="AS215" s="1732"/>
      <c r="AT215" s="1732"/>
      <c r="AU215" s="1732"/>
      <c r="AV215" s="1732"/>
      <c r="AW215" s="1732"/>
      <c r="AX215" s="1732"/>
      <c r="AY215" s="1732"/>
      <c r="AZ215" s="1732"/>
      <c r="BA215" s="1732"/>
      <c r="BB215" s="1732"/>
      <c r="BC215" s="1732"/>
      <c r="BD215" s="1732"/>
      <c r="BE215" s="1732"/>
      <c r="BF215" s="1732"/>
      <c r="BG215" s="1732"/>
      <c r="BH215" s="1732"/>
      <c r="BI215" s="1732"/>
      <c r="BJ215" s="1732"/>
      <c r="BK215" s="1732"/>
      <c r="BL215" s="1732"/>
      <c r="BM215" s="1732"/>
      <c r="BN215" s="1732"/>
      <c r="BO215" s="1732"/>
      <c r="BP215" s="1732"/>
      <c r="BQ215" s="1732"/>
      <c r="BR215" s="1732"/>
      <c r="BS215" s="1732"/>
      <c r="BT215" s="1732"/>
      <c r="BU215" s="1732"/>
      <c r="BV215" s="1256"/>
      <c r="BW215" s="1256"/>
      <c r="BX215" s="1256"/>
      <c r="BY215" s="1256"/>
      <c r="BZ215" s="1256"/>
      <c r="CA215" s="1256"/>
      <c r="CB215" s="1256"/>
      <c r="CC215" s="1256"/>
      <c r="CD215" s="1256"/>
      <c r="CE215" s="1256"/>
      <c r="CF215" s="1944"/>
    </row>
    <row customHeight="1" ht="11.25" hidden="1">
      <c r="A216" s="1888"/>
      <c r="B216" s="1732"/>
      <c r="C216" s="1732"/>
      <c r="D216" s="3219"/>
      <c r="E216" s="742"/>
      <c r="F216" s="742">
        <v>0</v>
      </c>
      <c r="G216" s="742"/>
      <c r="H216" s="742"/>
      <c r="I216" s="742"/>
      <c r="J216" s="742"/>
      <c r="K216" s="742"/>
      <c r="L216" s="742"/>
      <c r="M216" s="742"/>
      <c r="N216" s="742"/>
      <c r="O216" s="742"/>
      <c r="P216" s="742"/>
      <c r="Q216" s="742"/>
      <c r="R216" s="742"/>
      <c r="S216" s="743"/>
      <c r="T216" s="825"/>
      <c r="U216" s="3119"/>
      <c r="V216" s="3119"/>
      <c r="W216" s="1732"/>
      <c r="X216" s="1732"/>
      <c r="Y216" s="1732"/>
      <c r="Z216" s="1732"/>
      <c r="AA216" s="1732"/>
      <c r="AB216" s="1256"/>
      <c r="AC216" s="3214"/>
      <c r="AD216" s="736"/>
      <c r="AE216" s="1256"/>
      <c r="AF216" s="1256"/>
      <c r="AG216" s="1732"/>
      <c r="AH216" s="1732"/>
      <c r="AI216" s="1732"/>
      <c r="AJ216" s="1732"/>
      <c r="AK216" s="1732"/>
      <c r="AL216" s="1732"/>
      <c r="AM216" s="1732"/>
      <c r="AN216" s="1732"/>
      <c r="AO216" s="1732"/>
      <c r="AP216" s="1732"/>
      <c r="AQ216" s="1732"/>
      <c r="AR216" s="1732"/>
      <c r="AS216" s="1732"/>
      <c r="AT216" s="1732"/>
      <c r="AU216" s="1732"/>
      <c r="AV216" s="1732"/>
      <c r="AW216" s="1732"/>
      <c r="AX216" s="1732"/>
      <c r="AY216" s="1732"/>
      <c r="AZ216" s="1732"/>
      <c r="BA216" s="1732"/>
      <c r="BB216" s="1732"/>
      <c r="BC216" s="1732"/>
      <c r="BD216" s="1732"/>
      <c r="BE216" s="1732"/>
      <c r="BF216" s="1732"/>
      <c r="BG216" s="1732"/>
      <c r="BH216" s="1732"/>
      <c r="BI216" s="1732"/>
      <c r="BJ216" s="1732"/>
      <c r="BK216" s="1732"/>
      <c r="BL216" s="1732"/>
      <c r="BM216" s="1732"/>
      <c r="BN216" s="1732"/>
      <c r="BO216" s="1732"/>
      <c r="BP216" s="1732"/>
      <c r="BQ216" s="1732"/>
      <c r="BR216" s="1732"/>
      <c r="BS216" s="1732"/>
      <c r="BT216" s="1732"/>
      <c r="BU216" s="1732"/>
      <c r="BV216" s="1732"/>
      <c r="BW216" s="1732"/>
      <c r="BX216" s="1732"/>
      <c r="BY216" s="1732"/>
      <c r="BZ216" s="1732"/>
      <c r="CA216" s="1732"/>
      <c r="CB216" s="1732"/>
      <c r="CC216" s="1732"/>
      <c r="CD216" s="1732"/>
      <c r="CE216" s="1732"/>
      <c r="CF216" s="1944"/>
    </row>
    <row customHeight="1" ht="11.25" hidden="1">
      <c r="A217" s="1901"/>
      <c r="B217" s="1256"/>
      <c r="C217" s="519"/>
      <c r="D217" s="3219"/>
      <c r="E217" s="756" t="s">
        <v>22</v>
      </c>
      <c r="F217" s="1264" t="s">
        <v>22</v>
      </c>
      <c r="G217" s="1264" t="s">
        <v>711</v>
      </c>
      <c r="H217" s="758" t="s">
        <v>22</v>
      </c>
      <c r="I217" s="758"/>
      <c r="J217" s="758"/>
      <c r="K217" s="758"/>
      <c r="L217" s="758"/>
      <c r="M217" s="758"/>
      <c r="N217" s="758"/>
      <c r="O217" s="758"/>
      <c r="P217" s="758"/>
      <c r="Q217" s="758"/>
      <c r="R217" s="759"/>
      <c r="S217" s="760"/>
      <c r="T217" s="825"/>
      <c r="U217" s="3119"/>
      <c r="V217" s="3119"/>
      <c r="W217" s="1256"/>
      <c r="X217" s="1256"/>
      <c r="Y217" s="1256"/>
      <c r="Z217" s="1256"/>
      <c r="AA217" s="1732"/>
      <c r="AB217" s="1256"/>
      <c r="AC217" s="3214"/>
      <c r="AD217" s="736"/>
      <c r="AE217" s="1256"/>
      <c r="AF217" s="1256"/>
      <c r="AG217" s="1732"/>
      <c r="AH217" s="1732"/>
      <c r="AI217" s="1732"/>
      <c r="AJ217" s="1732"/>
      <c r="AK217" s="1732"/>
      <c r="AL217" s="1732"/>
      <c r="AM217" s="1732"/>
      <c r="AN217" s="1732"/>
      <c r="AO217" s="1732"/>
      <c r="AP217" s="1732"/>
      <c r="AQ217" s="1732"/>
      <c r="AR217" s="1732"/>
      <c r="AS217" s="1732"/>
      <c r="AT217" s="1732"/>
      <c r="AU217" s="1732"/>
      <c r="AV217" s="1732"/>
      <c r="AW217" s="1732"/>
      <c r="AX217" s="1732"/>
      <c r="AY217" s="1732"/>
      <c r="AZ217" s="1732"/>
      <c r="BA217" s="1732"/>
      <c r="BB217" s="1732"/>
      <c r="BC217" s="1732"/>
      <c r="BD217" s="1732"/>
      <c r="BE217" s="1732"/>
      <c r="BF217" s="1732"/>
      <c r="BG217" s="1732"/>
      <c r="BH217" s="1732"/>
      <c r="BI217" s="1732"/>
      <c r="BJ217" s="1732"/>
      <c r="BK217" s="1732"/>
      <c r="BL217" s="1732"/>
      <c r="BM217" s="1732"/>
      <c r="BN217" s="1732"/>
      <c r="BO217" s="1732"/>
      <c r="BP217" s="1732"/>
      <c r="BQ217" s="1732"/>
      <c r="BR217" s="1732"/>
      <c r="BS217" s="1732"/>
      <c r="BT217" s="1732"/>
      <c r="BU217" s="1732"/>
      <c r="BV217" s="1256"/>
      <c r="BW217" s="1256"/>
      <c r="BX217" s="1256"/>
      <c r="BY217" s="1256"/>
      <c r="BZ217" s="1256"/>
      <c r="CA217" s="1256"/>
      <c r="CB217" s="1256"/>
      <c r="CC217" s="1256"/>
      <c r="CD217" s="1256"/>
      <c r="CE217" s="1256"/>
      <c r="CF217" s="1944"/>
    </row>
    <row customHeight="1" ht="5.25" hidden="1">
      <c r="A218" s="1888"/>
      <c r="B218" s="1732"/>
      <c r="C218" s="1732"/>
      <c r="D218" s="3219"/>
      <c r="E218" s="1139"/>
      <c r="F218" s="1139"/>
      <c r="G218" s="1139"/>
      <c r="H218" s="1139"/>
      <c r="I218" s="1139"/>
      <c r="J218" s="1139"/>
      <c r="K218" s="1139"/>
      <c r="L218" s="1139"/>
      <c r="M218" s="1139"/>
      <c r="N218" s="1139"/>
      <c r="O218" s="1139"/>
      <c r="P218" s="1139"/>
      <c r="Q218" s="1140"/>
      <c r="R218" s="1141"/>
      <c r="S218" s="1142"/>
      <c r="T218" s="824" t="s">
        <v>707</v>
      </c>
      <c r="U218" s="3119">
        <v>1</v>
      </c>
      <c r="V218" s="3119" t="s">
        <v>669</v>
      </c>
      <c r="W218" s="1732"/>
      <c r="X218" s="1732"/>
      <c r="Y218" s="1732"/>
      <c r="Z218" s="1732"/>
      <c r="AA218" s="1732"/>
      <c r="AB218" s="1732"/>
      <c r="AC218" s="1137"/>
      <c r="AD218" s="1138"/>
      <c r="AE218" s="1732"/>
      <c r="AF218" s="1732"/>
      <c r="AG218" s="1732"/>
      <c r="AH218" s="1732"/>
      <c r="AI218" s="1732"/>
      <c r="AJ218" s="1732"/>
      <c r="AK218" s="1732"/>
      <c r="AL218" s="1732"/>
      <c r="AM218" s="1732"/>
      <c r="AN218" s="1732"/>
      <c r="AO218" s="1732"/>
      <c r="AP218" s="1732"/>
      <c r="AQ218" s="1732"/>
      <c r="AR218" s="1732"/>
      <c r="AS218" s="1732"/>
      <c r="AT218" s="1732"/>
      <c r="AU218" s="1732"/>
      <c r="AV218" s="1732"/>
      <c r="AW218" s="1732"/>
      <c r="AX218" s="1732"/>
      <c r="AY218" s="1732"/>
      <c r="AZ218" s="1732"/>
      <c r="BA218" s="1732"/>
      <c r="BB218" s="1732"/>
      <c r="BC218" s="1732"/>
      <c r="BD218" s="1732"/>
      <c r="BE218" s="1732"/>
      <c r="BF218" s="1732"/>
      <c r="BG218" s="1732"/>
      <c r="BH218" s="1732"/>
      <c r="BI218" s="1732"/>
      <c r="BJ218" s="1732"/>
      <c r="BK218" s="1732"/>
      <c r="BL218" s="1732"/>
      <c r="BM218" s="1732"/>
      <c r="BN218" s="1732"/>
      <c r="BO218" s="1732"/>
      <c r="BP218" s="1732"/>
      <c r="BQ218" s="1732"/>
      <c r="BR218" s="1732"/>
      <c r="BS218" s="1732"/>
      <c r="BT218" s="1732"/>
      <c r="BU218" s="1732"/>
      <c r="BV218" s="1732"/>
      <c r="BW218" s="1732"/>
      <c r="BX218" s="1732"/>
      <c r="BY218" s="1732"/>
      <c r="BZ218" s="1732"/>
      <c r="CA218" s="1732"/>
      <c r="CB218" s="1732"/>
      <c r="CC218" s="1732"/>
      <c r="CD218" s="1732"/>
      <c r="CE218" s="1732"/>
      <c r="CF218" s="1412"/>
    </row>
    <row customHeight="1" ht="5.25" hidden="1">
      <c r="A219" s="1888"/>
      <c r="B219" s="1732"/>
      <c r="C219" s="1732"/>
      <c r="D219" s="3219"/>
      <c r="E219" s="742"/>
      <c r="F219" s="742"/>
      <c r="G219" s="742"/>
      <c r="H219" s="742"/>
      <c r="I219" s="742"/>
      <c r="J219" s="742"/>
      <c r="K219" s="742"/>
      <c r="L219" s="742"/>
      <c r="M219" s="742"/>
      <c r="N219" s="742"/>
      <c r="O219" s="742"/>
      <c r="P219" s="742"/>
      <c r="Q219" s="742"/>
      <c r="R219" s="742"/>
      <c r="S219" s="743"/>
      <c r="T219" s="825"/>
      <c r="U219" s="3119"/>
      <c r="V219" s="3119"/>
      <c r="W219" s="1732"/>
      <c r="X219" s="1732"/>
      <c r="Y219" s="1732"/>
      <c r="Z219" s="1732"/>
      <c r="AA219" s="1732"/>
      <c r="AB219" s="1732"/>
      <c r="AC219" s="1137"/>
      <c r="AD219" s="1138"/>
      <c r="AE219" s="1732"/>
      <c r="AF219" s="1732"/>
      <c r="AG219" s="1732"/>
      <c r="AH219" s="1732"/>
      <c r="AI219" s="1732"/>
      <c r="AJ219" s="1732"/>
      <c r="AK219" s="1732"/>
      <c r="AL219" s="1732"/>
      <c r="AM219" s="1732"/>
      <c r="AN219" s="1732"/>
      <c r="AO219" s="1732"/>
      <c r="AP219" s="1732"/>
      <c r="AQ219" s="1732"/>
      <c r="AR219" s="1732"/>
      <c r="AS219" s="1732"/>
      <c r="AT219" s="1732"/>
      <c r="AU219" s="1732"/>
      <c r="AV219" s="1732"/>
      <c r="AW219" s="1732"/>
      <c r="AX219" s="1732"/>
      <c r="AY219" s="1732"/>
      <c r="AZ219" s="1732"/>
      <c r="BA219" s="1732"/>
      <c r="BB219" s="1732"/>
      <c r="BC219" s="1732"/>
      <c r="BD219" s="1732"/>
      <c r="BE219" s="1732"/>
      <c r="BF219" s="1732"/>
      <c r="BG219" s="1732"/>
      <c r="BH219" s="1732"/>
      <c r="BI219" s="1732"/>
      <c r="BJ219" s="1732"/>
      <c r="BK219" s="1732"/>
      <c r="BL219" s="1732"/>
      <c r="BM219" s="1732"/>
      <c r="BN219" s="1732"/>
      <c r="BO219" s="1732"/>
      <c r="BP219" s="1732"/>
      <c r="BQ219" s="1732"/>
      <c r="BR219" s="1732"/>
      <c r="BS219" s="1732"/>
      <c r="BT219" s="1732"/>
      <c r="BU219" s="1732"/>
      <c r="BV219" s="1732"/>
      <c r="BW219" s="1732"/>
      <c r="BX219" s="1732"/>
      <c r="BY219" s="1732"/>
      <c r="BZ219" s="1732"/>
      <c r="CA219" s="1732"/>
      <c r="CB219" s="1732"/>
      <c r="CC219" s="1732"/>
      <c r="CD219" s="1732"/>
      <c r="CE219" s="1732"/>
      <c r="CF219" s="1412"/>
    </row>
    <row customHeight="1" ht="5.25" hidden="1">
      <c r="A220" s="1888"/>
      <c r="B220" s="1732"/>
      <c r="C220" s="1732"/>
      <c r="D220" s="3220"/>
      <c r="E220" s="1143"/>
      <c r="F220" s="1144"/>
      <c r="G220" s="1144"/>
      <c r="H220" s="1145"/>
      <c r="I220" s="1145"/>
      <c r="J220" s="1145"/>
      <c r="K220" s="1145"/>
      <c r="L220" s="1145"/>
      <c r="M220" s="1145"/>
      <c r="N220" s="1145"/>
      <c r="O220" s="1145"/>
      <c r="P220" s="1145"/>
      <c r="Q220" s="1145"/>
      <c r="R220" s="1046"/>
      <c r="S220" s="1146"/>
      <c r="T220" s="825"/>
      <c r="U220" s="3119"/>
      <c r="V220" s="3119"/>
      <c r="W220" s="1732"/>
      <c r="X220" s="1732"/>
      <c r="Y220" s="1732"/>
      <c r="Z220" s="1732"/>
      <c r="AA220" s="1732"/>
      <c r="AB220" s="1732"/>
      <c r="AC220" s="1137"/>
      <c r="AD220" s="1138"/>
      <c r="AE220" s="1732"/>
      <c r="AF220" s="1732"/>
      <c r="AG220" s="1732"/>
      <c r="AH220" s="1732"/>
      <c r="AI220" s="1732"/>
      <c r="AJ220" s="1732"/>
      <c r="AK220" s="1732"/>
      <c r="AL220" s="1732"/>
      <c r="AM220" s="1732"/>
      <c r="AN220" s="1732"/>
      <c r="AO220" s="1732"/>
      <c r="AP220" s="1732"/>
      <c r="AQ220" s="1732"/>
      <c r="AR220" s="1732"/>
      <c r="AS220" s="1732"/>
      <c r="AT220" s="1732"/>
      <c r="AU220" s="1732"/>
      <c r="AV220" s="1732"/>
      <c r="AW220" s="1732"/>
      <c r="AX220" s="1732"/>
      <c r="AY220" s="1732"/>
      <c r="AZ220" s="1732"/>
      <c r="BA220" s="1732"/>
      <c r="BB220" s="1732"/>
      <c r="BC220" s="1732"/>
      <c r="BD220" s="1732"/>
      <c r="BE220" s="1732"/>
      <c r="BF220" s="1732"/>
      <c r="BG220" s="1732"/>
      <c r="BH220" s="1732"/>
      <c r="BI220" s="1732"/>
      <c r="BJ220" s="1732"/>
      <c r="BK220" s="1732"/>
      <c r="BL220" s="1732"/>
      <c r="BM220" s="1732"/>
      <c r="BN220" s="1732"/>
      <c r="BO220" s="1732"/>
      <c r="BP220" s="1732"/>
      <c r="BQ220" s="1732"/>
      <c r="BR220" s="1732"/>
      <c r="BS220" s="1732"/>
      <c r="BT220" s="1732"/>
      <c r="BU220" s="1732"/>
      <c r="BV220" s="1732"/>
      <c r="BW220" s="1732"/>
      <c r="BX220" s="1732"/>
      <c r="BY220" s="1732"/>
      <c r="BZ220" s="1732"/>
      <c r="CA220" s="1732"/>
      <c r="CB220" s="1732"/>
      <c r="CC220" s="1732"/>
      <c r="CD220" s="1732"/>
      <c r="CE220" s="1732"/>
      <c r="CF220" s="1412"/>
    </row>
    <row customHeight="1" ht="15" hidden="1">
      <c r="A221" s="730" t="s">
        <v>741</v>
      </c>
      <c r="B221" s="731"/>
      <c r="C221" s="731" t="s">
        <v>22</v>
      </c>
      <c r="D221" s="3218" t="s">
        <v>742</v>
      </c>
      <c r="E221" s="3215" t="s">
        <v>140</v>
      </c>
      <c r="F221" s="3216"/>
      <c r="G221" s="3217"/>
      <c r="H221" s="3211">
        <f>IF(A221="","",INDEX(DIFFERENTIATION_UNMERGE_VD,MATCH(A221,DIFFERENTIATION_ID_DIFF,0)))</f>
      </c>
      <c r="I221" s="3211"/>
      <c r="J221" s="3211"/>
      <c r="K221" s="3211"/>
      <c r="L221" s="3211"/>
      <c r="M221" s="3211"/>
      <c r="N221" s="3211"/>
      <c r="O221" s="3211"/>
      <c r="P221" s="3211"/>
      <c r="Q221" s="3211"/>
      <c r="R221" s="3211"/>
      <c r="S221" s="826"/>
      <c r="T221" s="823"/>
      <c r="U221" s="732"/>
      <c r="V221" s="732"/>
      <c r="W221" s="733"/>
      <c r="X221" s="733"/>
      <c r="Y221" s="733"/>
      <c r="Z221" s="733"/>
      <c r="AA221" s="734"/>
      <c r="AB221" s="735"/>
      <c r="AC221" s="3214"/>
      <c r="AD221" s="736"/>
      <c r="AE221" s="737" t="s">
        <v>22</v>
      </c>
      <c r="AF221" s="737"/>
      <c r="AG221" s="738" t="s">
        <v>704</v>
      </c>
      <c r="AH221" s="739">
        <v>3</v>
      </c>
      <c r="AI221" s="732"/>
      <c r="AJ221" s="732"/>
      <c r="AK221" s="732"/>
      <c r="AL221" s="732"/>
      <c r="AM221" s="732"/>
      <c r="AN221" s="732"/>
      <c r="AO221" s="732"/>
      <c r="AP221" s="732"/>
      <c r="AQ221" s="732"/>
      <c r="AR221" s="732"/>
      <c r="AS221" s="732"/>
      <c r="AT221" s="732"/>
      <c r="AU221" s="732"/>
      <c r="AV221" s="732"/>
      <c r="AW221" s="732"/>
      <c r="AX221" s="732"/>
      <c r="AY221" s="732"/>
      <c r="AZ221" s="732"/>
      <c r="BA221" s="732"/>
      <c r="BB221" s="732"/>
      <c r="BC221" s="732"/>
      <c r="BD221" s="732"/>
      <c r="BE221" s="732"/>
      <c r="BF221" s="732"/>
      <c r="BG221" s="732"/>
      <c r="BH221" s="732"/>
      <c r="BI221" s="732"/>
      <c r="BJ221" s="732"/>
      <c r="BK221" s="732"/>
      <c r="BL221" s="732"/>
      <c r="BM221" s="732"/>
      <c r="BN221" s="732"/>
      <c r="BO221" s="732"/>
      <c r="BP221" s="732"/>
      <c r="BQ221" s="732"/>
      <c r="BR221" s="732"/>
      <c r="BS221" s="732"/>
      <c r="BT221" s="732"/>
      <c r="BU221" s="732"/>
      <c r="BV221" s="733"/>
      <c r="BW221" s="733"/>
      <c r="BX221" s="733"/>
      <c r="BY221" s="733"/>
      <c r="BZ221" s="733"/>
      <c r="CA221" s="733"/>
      <c r="CB221" s="733"/>
      <c r="CC221" s="733"/>
      <c r="CD221" s="733"/>
      <c r="CE221" s="733"/>
      <c r="CF221" s="1944"/>
    </row>
    <row customHeight="1" ht="15" hidden="1">
      <c r="A222" s="730"/>
      <c r="B222" s="731"/>
      <c r="C222" s="731"/>
      <c r="D222" s="3219"/>
      <c r="E222" s="3215" t="s">
        <v>649</v>
      </c>
      <c r="F222" s="3216"/>
      <c r="G222" s="3217"/>
      <c r="H222" s="3211">
        <f>IF(A221="","",INDEX(DIFFERENTIATION_UNMERGE_AREA,MATCH(A221,DIFFERENTIATION_ID_DIFF,0)))</f>
      </c>
      <c r="I222" s="3211"/>
      <c r="J222" s="3211"/>
      <c r="K222" s="3211"/>
      <c r="L222" s="3211"/>
      <c r="M222" s="3211"/>
      <c r="N222" s="3211"/>
      <c r="O222" s="3211"/>
      <c r="P222" s="3211"/>
      <c r="Q222" s="3211"/>
      <c r="R222" s="3211"/>
      <c r="S222" s="826"/>
      <c r="T222" s="823"/>
      <c r="U222" s="732"/>
      <c r="V222" s="732"/>
      <c r="W222" s="733"/>
      <c r="X222" s="733"/>
      <c r="Y222" s="733"/>
      <c r="Z222" s="733"/>
      <c r="AA222" s="734"/>
      <c r="AB222" s="735"/>
      <c r="AC222" s="3214"/>
      <c r="AD222" s="736"/>
      <c r="AE222" s="737"/>
      <c r="AF222" s="737"/>
      <c r="AG222" s="738"/>
      <c r="AH222" s="739"/>
      <c r="AI222" s="732"/>
      <c r="AJ222" s="732"/>
      <c r="AK222" s="732"/>
      <c r="AL222" s="732"/>
      <c r="AM222" s="732"/>
      <c r="AN222" s="732"/>
      <c r="AO222" s="732"/>
      <c r="AP222" s="732"/>
      <c r="AQ222" s="732"/>
      <c r="AR222" s="732"/>
      <c r="AS222" s="732"/>
      <c r="AT222" s="732"/>
      <c r="AU222" s="732"/>
      <c r="AV222" s="732"/>
      <c r="AW222" s="732"/>
      <c r="AX222" s="732"/>
      <c r="AY222" s="732"/>
      <c r="AZ222" s="732"/>
      <c r="BA222" s="732"/>
      <c r="BB222" s="732"/>
      <c r="BC222" s="732"/>
      <c r="BD222" s="732"/>
      <c r="BE222" s="732"/>
      <c r="BF222" s="732"/>
      <c r="BG222" s="732"/>
      <c r="BH222" s="732"/>
      <c r="BI222" s="732"/>
      <c r="BJ222" s="732"/>
      <c r="BK222" s="732"/>
      <c r="BL222" s="732"/>
      <c r="BM222" s="732"/>
      <c r="BN222" s="732"/>
      <c r="BO222" s="732"/>
      <c r="BP222" s="732"/>
      <c r="BQ222" s="732"/>
      <c r="BR222" s="732"/>
      <c r="BS222" s="732"/>
      <c r="BT222" s="732"/>
      <c r="BU222" s="732"/>
      <c r="BV222" s="733"/>
      <c r="BW222" s="733"/>
      <c r="BX222" s="733"/>
      <c r="BY222" s="733"/>
      <c r="BZ222" s="733"/>
      <c r="CA222" s="733"/>
      <c r="CB222" s="733"/>
      <c r="CC222" s="733"/>
      <c r="CD222" s="733"/>
      <c r="CE222" s="733"/>
      <c r="CF222" s="1944"/>
    </row>
    <row customHeight="1" ht="15" hidden="1">
      <c r="A223" s="730"/>
      <c r="B223" s="731"/>
      <c r="C223" s="731"/>
      <c r="D223" s="3219"/>
      <c r="E223" s="3215" t="s">
        <v>650</v>
      </c>
      <c r="F223" s="3216"/>
      <c r="G223" s="3217"/>
      <c r="H223" s="3211">
        <f>IF(A221="","",INDEX(DIFFERENTIATION_UNMERGE_SYSTEM,MATCH(A221,DIFFERENTIATION_ID_DIFF,0)))</f>
      </c>
      <c r="I223" s="3211"/>
      <c r="J223" s="3211"/>
      <c r="K223" s="3211"/>
      <c r="L223" s="3211"/>
      <c r="M223" s="3211"/>
      <c r="N223" s="3211"/>
      <c r="O223" s="3211"/>
      <c r="P223" s="3211"/>
      <c r="Q223" s="3211"/>
      <c r="R223" s="3211"/>
      <c r="S223" s="826"/>
      <c r="T223" s="823"/>
      <c r="U223" s="732"/>
      <c r="V223" s="732"/>
      <c r="W223" s="733"/>
      <c r="X223" s="733"/>
      <c r="Y223" s="733"/>
      <c r="Z223" s="733"/>
      <c r="AA223" s="734"/>
      <c r="AB223" s="735"/>
      <c r="AC223" s="3214"/>
      <c r="AD223" s="736"/>
      <c r="AE223" s="737"/>
      <c r="AF223" s="737"/>
      <c r="AG223" s="738"/>
      <c r="AH223" s="739"/>
      <c r="AI223" s="732"/>
      <c r="AJ223" s="732"/>
      <c r="AK223" s="732"/>
      <c r="AL223" s="732"/>
      <c r="AM223" s="732"/>
      <c r="AN223" s="732"/>
      <c r="AO223" s="732"/>
      <c r="AP223" s="732"/>
      <c r="AQ223" s="732"/>
      <c r="AR223" s="732"/>
      <c r="AS223" s="732"/>
      <c r="AT223" s="732"/>
      <c r="AU223" s="732"/>
      <c r="AV223" s="732"/>
      <c r="AW223" s="732"/>
      <c r="AX223" s="732"/>
      <c r="AY223" s="732"/>
      <c r="AZ223" s="732"/>
      <c r="BA223" s="732"/>
      <c r="BB223" s="732"/>
      <c r="BC223" s="732"/>
      <c r="BD223" s="732"/>
      <c r="BE223" s="732"/>
      <c r="BF223" s="732"/>
      <c r="BG223" s="732"/>
      <c r="BH223" s="732"/>
      <c r="BI223" s="732"/>
      <c r="BJ223" s="732"/>
      <c r="BK223" s="732"/>
      <c r="BL223" s="732"/>
      <c r="BM223" s="732"/>
      <c r="BN223" s="732"/>
      <c r="BO223" s="732"/>
      <c r="BP223" s="732"/>
      <c r="BQ223" s="732"/>
      <c r="BR223" s="732"/>
      <c r="BS223" s="732"/>
      <c r="BT223" s="732"/>
      <c r="BU223" s="732"/>
      <c r="BV223" s="733"/>
      <c r="BW223" s="733"/>
      <c r="BX223" s="733"/>
      <c r="BY223" s="733"/>
      <c r="BZ223" s="733"/>
      <c r="CA223" s="733"/>
      <c r="CB223" s="733"/>
      <c r="CC223" s="733"/>
      <c r="CD223" s="733"/>
      <c r="CE223" s="733"/>
      <c r="CF223" s="1944"/>
    </row>
    <row customHeight="1" ht="24.75" hidden="1">
      <c r="A224" s="1901"/>
      <c r="B224" s="1256"/>
      <c r="C224" s="519"/>
      <c r="D224" s="3219"/>
      <c r="E224" s="3213" t="s">
        <v>705</v>
      </c>
      <c r="F224" s="3213"/>
      <c r="G224" s="3213"/>
      <c r="H224" s="3213"/>
      <c r="I224" s="3213"/>
      <c r="J224" s="3213"/>
      <c r="K224" s="3213"/>
      <c r="L224" s="3213"/>
      <c r="M224" s="3213"/>
      <c r="N224" s="3213"/>
      <c r="O224" s="3213"/>
      <c r="P224" s="3213"/>
      <c r="Q224" s="665">
        <f>SUMIF(T225:T226,"i",Q225:Q226)</f>
        <v>0</v>
      </c>
      <c r="R224" s="1117"/>
      <c r="S224" s="1893" t="s">
        <v>706</v>
      </c>
      <c r="T224" s="824" t="s">
        <v>707</v>
      </c>
      <c r="U224" s="3119">
        <v>1</v>
      </c>
      <c r="V224" s="3119">
        <f>INDEX(B_FHD_FLAG_INDEX_1,1,MATCH($A$221,B_FHD_FLAG_DIFFERENTIATION,0))</f>
      </c>
      <c r="W224" s="1256"/>
      <c r="X224" s="1256"/>
      <c r="Y224" s="1256"/>
      <c r="Z224" s="1256"/>
      <c r="AA224" s="1732"/>
      <c r="AB224" s="1256"/>
      <c r="AC224" s="3214"/>
      <c r="AD224" s="736"/>
      <c r="AE224" s="1256"/>
      <c r="AF224" s="1256"/>
      <c r="AG224" s="1732"/>
      <c r="AH224" s="1732"/>
      <c r="AI224" s="1732"/>
      <c r="AJ224" s="1732"/>
      <c r="AK224" s="1732"/>
      <c r="AL224" s="1732"/>
      <c r="AM224" s="1732"/>
      <c r="AN224" s="1732"/>
      <c r="AO224" s="1732"/>
      <c r="AP224" s="1732"/>
      <c r="AQ224" s="1732"/>
      <c r="AR224" s="1732"/>
      <c r="AS224" s="1732"/>
      <c r="AT224" s="1732"/>
      <c r="AU224" s="1732"/>
      <c r="AV224" s="1732"/>
      <c r="AW224" s="1732"/>
      <c r="AX224" s="1732"/>
      <c r="AY224" s="1732"/>
      <c r="AZ224" s="1732"/>
      <c r="BA224" s="1732"/>
      <c r="BB224" s="1732"/>
      <c r="BC224" s="1732"/>
      <c r="BD224" s="1732"/>
      <c r="BE224" s="1732"/>
      <c r="BF224" s="1732"/>
      <c r="BG224" s="1732"/>
      <c r="BH224" s="1732"/>
      <c r="BI224" s="1732"/>
      <c r="BJ224" s="1732"/>
      <c r="BK224" s="1732"/>
      <c r="BL224" s="1732"/>
      <c r="BM224" s="1732"/>
      <c r="BN224" s="1732"/>
      <c r="BO224" s="1732"/>
      <c r="BP224" s="1732"/>
      <c r="BQ224" s="1732"/>
      <c r="BR224" s="1732"/>
      <c r="BS224" s="1732"/>
      <c r="BT224" s="1732"/>
      <c r="BU224" s="1732"/>
      <c r="BV224" s="1256"/>
      <c r="BW224" s="1256"/>
      <c r="BX224" s="1256"/>
      <c r="BY224" s="1256"/>
      <c r="BZ224" s="1256"/>
      <c r="CA224" s="1256"/>
      <c r="CB224" s="1256"/>
      <c r="CC224" s="1256"/>
      <c r="CD224" s="1256"/>
      <c r="CE224" s="1256"/>
      <c r="CF224" s="1944"/>
    </row>
    <row customHeight="1" ht="11.25" hidden="1">
      <c r="A225" s="1888"/>
      <c r="B225" s="1732"/>
      <c r="C225" s="1732"/>
      <c r="D225" s="3219"/>
      <c r="E225" s="742"/>
      <c r="F225" s="742">
        <v>0</v>
      </c>
      <c r="G225" s="742"/>
      <c r="H225" s="742"/>
      <c r="I225" s="742"/>
      <c r="J225" s="742"/>
      <c r="K225" s="742"/>
      <c r="L225" s="742"/>
      <c r="M225" s="742"/>
      <c r="N225" s="742"/>
      <c r="O225" s="742"/>
      <c r="P225" s="742"/>
      <c r="Q225" s="742"/>
      <c r="R225" s="742"/>
      <c r="S225" s="743"/>
      <c r="T225" s="825"/>
      <c r="U225" s="3119"/>
      <c r="V225" s="3119"/>
      <c r="W225" s="1732"/>
      <c r="X225" s="1732"/>
      <c r="Y225" s="1732"/>
      <c r="Z225" s="1732"/>
      <c r="AA225" s="1732"/>
      <c r="AB225" s="1256"/>
      <c r="AC225" s="3214"/>
      <c r="AD225" s="736"/>
      <c r="AE225" s="1256"/>
      <c r="AF225" s="1256"/>
      <c r="AG225" s="1732"/>
      <c r="AH225" s="1732"/>
      <c r="AI225" s="1732"/>
      <c r="AJ225" s="1732"/>
      <c r="AK225" s="1732"/>
      <c r="AL225" s="1732"/>
      <c r="AM225" s="1732"/>
      <c r="AN225" s="1732"/>
      <c r="AO225" s="1732"/>
      <c r="AP225" s="1732"/>
      <c r="AQ225" s="1732"/>
      <c r="AR225" s="1732"/>
      <c r="AS225" s="1732"/>
      <c r="AT225" s="1732"/>
      <c r="AU225" s="1732"/>
      <c r="AV225" s="1732"/>
      <c r="AW225" s="1732"/>
      <c r="AX225" s="1732"/>
      <c r="AY225" s="1732"/>
      <c r="AZ225" s="1732"/>
      <c r="BA225" s="1732"/>
      <c r="BB225" s="1732"/>
      <c r="BC225" s="1732"/>
      <c r="BD225" s="1732"/>
      <c r="BE225" s="1732"/>
      <c r="BF225" s="1732"/>
      <c r="BG225" s="1732"/>
      <c r="BH225" s="1732"/>
      <c r="BI225" s="1732"/>
      <c r="BJ225" s="1732"/>
      <c r="BK225" s="1732"/>
      <c r="BL225" s="1732"/>
      <c r="BM225" s="1732"/>
      <c r="BN225" s="1732"/>
      <c r="BO225" s="1732"/>
      <c r="BP225" s="1732"/>
      <c r="BQ225" s="1732"/>
      <c r="BR225" s="1732"/>
      <c r="BS225" s="1732"/>
      <c r="BT225" s="1732"/>
      <c r="BU225" s="1732"/>
      <c r="BV225" s="1732"/>
      <c r="BW225" s="1732"/>
      <c r="BX225" s="1732"/>
      <c r="BY225" s="1732"/>
      <c r="BZ225" s="1732"/>
      <c r="CA225" s="1732"/>
      <c r="CB225" s="1732"/>
      <c r="CC225" s="1732"/>
      <c r="CD225" s="1732"/>
      <c r="CE225" s="1732"/>
      <c r="CF225" s="1944"/>
    </row>
    <row customHeight="1" ht="11.25" hidden="1">
      <c r="A226" s="1901"/>
      <c r="B226" s="1256"/>
      <c r="C226" s="519"/>
      <c r="D226" s="3219"/>
      <c r="E226" s="756" t="s">
        <v>22</v>
      </c>
      <c r="F226" s="1264" t="s">
        <v>22</v>
      </c>
      <c r="G226" s="1264" t="s">
        <v>711</v>
      </c>
      <c r="H226" s="758" t="s">
        <v>22</v>
      </c>
      <c r="I226" s="758"/>
      <c r="J226" s="758"/>
      <c r="K226" s="758"/>
      <c r="L226" s="758"/>
      <c r="M226" s="758"/>
      <c r="N226" s="758"/>
      <c r="O226" s="758"/>
      <c r="P226" s="758"/>
      <c r="Q226" s="758"/>
      <c r="R226" s="759"/>
      <c r="S226" s="760"/>
      <c r="T226" s="825"/>
      <c r="U226" s="3119"/>
      <c r="V226" s="3119"/>
      <c r="W226" s="1256"/>
      <c r="X226" s="1256"/>
      <c r="Y226" s="1256"/>
      <c r="Z226" s="1256"/>
      <c r="AA226" s="1732"/>
      <c r="AB226" s="1256"/>
      <c r="AC226" s="3214"/>
      <c r="AD226" s="736"/>
      <c r="AE226" s="1256"/>
      <c r="AF226" s="1256"/>
      <c r="AG226" s="1732"/>
      <c r="AH226" s="1732"/>
      <c r="AI226" s="1732"/>
      <c r="AJ226" s="1732"/>
      <c r="AK226" s="1732"/>
      <c r="AL226" s="1732"/>
      <c r="AM226" s="1732"/>
      <c r="AN226" s="1732"/>
      <c r="AO226" s="1732"/>
      <c r="AP226" s="1732"/>
      <c r="AQ226" s="1732"/>
      <c r="AR226" s="1732"/>
      <c r="AS226" s="1732"/>
      <c r="AT226" s="1732"/>
      <c r="AU226" s="1732"/>
      <c r="AV226" s="1732"/>
      <c r="AW226" s="1732"/>
      <c r="AX226" s="1732"/>
      <c r="AY226" s="1732"/>
      <c r="AZ226" s="1732"/>
      <c r="BA226" s="1732"/>
      <c r="BB226" s="1732"/>
      <c r="BC226" s="1732"/>
      <c r="BD226" s="1732"/>
      <c r="BE226" s="1732"/>
      <c r="BF226" s="1732"/>
      <c r="BG226" s="1732"/>
      <c r="BH226" s="1732"/>
      <c r="BI226" s="1732"/>
      <c r="BJ226" s="1732"/>
      <c r="BK226" s="1732"/>
      <c r="BL226" s="1732"/>
      <c r="BM226" s="1732"/>
      <c r="BN226" s="1732"/>
      <c r="BO226" s="1732"/>
      <c r="BP226" s="1732"/>
      <c r="BQ226" s="1732"/>
      <c r="BR226" s="1732"/>
      <c r="BS226" s="1732"/>
      <c r="BT226" s="1732"/>
      <c r="BU226" s="1732"/>
      <c r="BV226" s="1256"/>
      <c r="BW226" s="1256"/>
      <c r="BX226" s="1256"/>
      <c r="BY226" s="1256"/>
      <c r="BZ226" s="1256"/>
      <c r="CA226" s="1256"/>
      <c r="CB226" s="1256"/>
      <c r="CC226" s="1256"/>
      <c r="CD226" s="1256"/>
      <c r="CE226" s="1256"/>
      <c r="CF226" s="1944"/>
    </row>
    <row customHeight="1" ht="5.25" hidden="1">
      <c r="A227" s="1888"/>
      <c r="B227" s="1732"/>
      <c r="C227" s="1732"/>
      <c r="D227" s="3219"/>
      <c r="E227" s="1139"/>
      <c r="F227" s="1139"/>
      <c r="G227" s="1139"/>
      <c r="H227" s="1139"/>
      <c r="I227" s="1139"/>
      <c r="J227" s="1139"/>
      <c r="K227" s="1139"/>
      <c r="L227" s="1139"/>
      <c r="M227" s="1139"/>
      <c r="N227" s="1139"/>
      <c r="O227" s="1139"/>
      <c r="P227" s="1139"/>
      <c r="Q227" s="1140"/>
      <c r="R227" s="1141"/>
      <c r="S227" s="1142"/>
      <c r="T227" s="824" t="s">
        <v>707</v>
      </c>
      <c r="U227" s="3119">
        <v>1</v>
      </c>
      <c r="V227" s="3119" t="s">
        <v>669</v>
      </c>
      <c r="W227" s="1732"/>
      <c r="X227" s="1732"/>
      <c r="Y227" s="1732"/>
      <c r="Z227" s="1732"/>
      <c r="AA227" s="1732"/>
      <c r="AB227" s="1732"/>
      <c r="AC227" s="1137"/>
      <c r="AD227" s="1138"/>
      <c r="AE227" s="1732"/>
      <c r="AF227" s="1732"/>
      <c r="AG227" s="1732"/>
      <c r="AH227" s="1732"/>
      <c r="AI227" s="1732"/>
      <c r="AJ227" s="1732"/>
      <c r="AK227" s="1732"/>
      <c r="AL227" s="1732"/>
      <c r="AM227" s="1732"/>
      <c r="AN227" s="1732"/>
      <c r="AO227" s="1732"/>
      <c r="AP227" s="1732"/>
      <c r="AQ227" s="1732"/>
      <c r="AR227" s="1732"/>
      <c r="AS227" s="1732"/>
      <c r="AT227" s="1732"/>
      <c r="AU227" s="1732"/>
      <c r="AV227" s="1732"/>
      <c r="AW227" s="1732"/>
      <c r="AX227" s="1732"/>
      <c r="AY227" s="1732"/>
      <c r="AZ227" s="1732"/>
      <c r="BA227" s="1732"/>
      <c r="BB227" s="1732"/>
      <c r="BC227" s="1732"/>
      <c r="BD227" s="1732"/>
      <c r="BE227" s="1732"/>
      <c r="BF227" s="1732"/>
      <c r="BG227" s="1732"/>
      <c r="BH227" s="1732"/>
      <c r="BI227" s="1732"/>
      <c r="BJ227" s="1732"/>
      <c r="BK227" s="1732"/>
      <c r="BL227" s="1732"/>
      <c r="BM227" s="1732"/>
      <c r="BN227" s="1732"/>
      <c r="BO227" s="1732"/>
      <c r="BP227" s="1732"/>
      <c r="BQ227" s="1732"/>
      <c r="BR227" s="1732"/>
      <c r="BS227" s="1732"/>
      <c r="BT227" s="1732"/>
      <c r="BU227" s="1732"/>
      <c r="BV227" s="1732"/>
      <c r="BW227" s="1732"/>
      <c r="BX227" s="1732"/>
      <c r="BY227" s="1732"/>
      <c r="BZ227" s="1732"/>
      <c r="CA227" s="1732"/>
      <c r="CB227" s="1732"/>
      <c r="CC227" s="1732"/>
      <c r="CD227" s="1732"/>
      <c r="CE227" s="1732"/>
      <c r="CF227" s="1412"/>
    </row>
    <row customHeight="1" ht="5.25" hidden="1">
      <c r="A228" s="1888"/>
      <c r="B228" s="1732"/>
      <c r="C228" s="1732"/>
      <c r="D228" s="3219"/>
      <c r="E228" s="742"/>
      <c r="F228" s="742"/>
      <c r="G228" s="742"/>
      <c r="H228" s="742"/>
      <c r="I228" s="742"/>
      <c r="J228" s="742"/>
      <c r="K228" s="742"/>
      <c r="L228" s="742"/>
      <c r="M228" s="742"/>
      <c r="N228" s="742"/>
      <c r="O228" s="742"/>
      <c r="P228" s="742"/>
      <c r="Q228" s="742"/>
      <c r="R228" s="742"/>
      <c r="S228" s="743"/>
      <c r="T228" s="825"/>
      <c r="U228" s="3119"/>
      <c r="V228" s="3119"/>
      <c r="W228" s="1732"/>
      <c r="X228" s="1732"/>
      <c r="Y228" s="1732"/>
      <c r="Z228" s="1732"/>
      <c r="AA228" s="1732"/>
      <c r="AB228" s="1732"/>
      <c r="AC228" s="1137"/>
      <c r="AD228" s="1138"/>
      <c r="AE228" s="1732"/>
      <c r="AF228" s="1732"/>
      <c r="AG228" s="1732"/>
      <c r="AH228" s="1732"/>
      <c r="AI228" s="1732"/>
      <c r="AJ228" s="1732"/>
      <c r="AK228" s="1732"/>
      <c r="AL228" s="1732"/>
      <c r="AM228" s="1732"/>
      <c r="AN228" s="1732"/>
      <c r="AO228" s="1732"/>
      <c r="AP228" s="1732"/>
      <c r="AQ228" s="1732"/>
      <c r="AR228" s="1732"/>
      <c r="AS228" s="1732"/>
      <c r="AT228" s="1732"/>
      <c r="AU228" s="1732"/>
      <c r="AV228" s="1732"/>
      <c r="AW228" s="1732"/>
      <c r="AX228" s="1732"/>
      <c r="AY228" s="1732"/>
      <c r="AZ228" s="1732"/>
      <c r="BA228" s="1732"/>
      <c r="BB228" s="1732"/>
      <c r="BC228" s="1732"/>
      <c r="BD228" s="1732"/>
      <c r="BE228" s="1732"/>
      <c r="BF228" s="1732"/>
      <c r="BG228" s="1732"/>
      <c r="BH228" s="1732"/>
      <c r="BI228" s="1732"/>
      <c r="BJ228" s="1732"/>
      <c r="BK228" s="1732"/>
      <c r="BL228" s="1732"/>
      <c r="BM228" s="1732"/>
      <c r="BN228" s="1732"/>
      <c r="BO228" s="1732"/>
      <c r="BP228" s="1732"/>
      <c r="BQ228" s="1732"/>
      <c r="BR228" s="1732"/>
      <c r="BS228" s="1732"/>
      <c r="BT228" s="1732"/>
      <c r="BU228" s="1732"/>
      <c r="BV228" s="1732"/>
      <c r="BW228" s="1732"/>
      <c r="BX228" s="1732"/>
      <c r="BY228" s="1732"/>
      <c r="BZ228" s="1732"/>
      <c r="CA228" s="1732"/>
      <c r="CB228" s="1732"/>
      <c r="CC228" s="1732"/>
      <c r="CD228" s="1732"/>
      <c r="CE228" s="1732"/>
      <c r="CF228" s="1412"/>
    </row>
    <row customHeight="1" ht="5.25" hidden="1">
      <c r="A229" s="1888"/>
      <c r="B229" s="1732"/>
      <c r="C229" s="1732"/>
      <c r="D229" s="3220"/>
      <c r="E229" s="1143"/>
      <c r="F229" s="1144"/>
      <c r="G229" s="1144"/>
      <c r="H229" s="1145"/>
      <c r="I229" s="1145"/>
      <c r="J229" s="1145"/>
      <c r="K229" s="1145"/>
      <c r="L229" s="1145"/>
      <c r="M229" s="1145"/>
      <c r="N229" s="1145"/>
      <c r="O229" s="1145"/>
      <c r="P229" s="1145"/>
      <c r="Q229" s="1145"/>
      <c r="R229" s="1046"/>
      <c r="S229" s="1146"/>
      <c r="T229" s="825"/>
      <c r="U229" s="3119"/>
      <c r="V229" s="3119"/>
      <c r="W229" s="1732"/>
      <c r="X229" s="1732"/>
      <c r="Y229" s="1732"/>
      <c r="Z229" s="1732"/>
      <c r="AA229" s="1732"/>
      <c r="AB229" s="1732"/>
      <c r="AC229" s="1137"/>
      <c r="AD229" s="1138"/>
      <c r="AE229" s="1732"/>
      <c r="AF229" s="1732"/>
      <c r="AG229" s="1732"/>
      <c r="AH229" s="1732"/>
      <c r="AI229" s="1732"/>
      <c r="AJ229" s="1732"/>
      <c r="AK229" s="1732"/>
      <c r="AL229" s="1732"/>
      <c r="AM229" s="1732"/>
      <c r="AN229" s="1732"/>
      <c r="AO229" s="1732"/>
      <c r="AP229" s="1732"/>
      <c r="AQ229" s="1732"/>
      <c r="AR229" s="1732"/>
      <c r="AS229" s="1732"/>
      <c r="AT229" s="1732"/>
      <c r="AU229" s="1732"/>
      <c r="AV229" s="1732"/>
      <c r="AW229" s="1732"/>
      <c r="AX229" s="1732"/>
      <c r="AY229" s="1732"/>
      <c r="AZ229" s="1732"/>
      <c r="BA229" s="1732"/>
      <c r="BB229" s="1732"/>
      <c r="BC229" s="1732"/>
      <c r="BD229" s="1732"/>
      <c r="BE229" s="1732"/>
      <c r="BF229" s="1732"/>
      <c r="BG229" s="1732"/>
      <c r="BH229" s="1732"/>
      <c r="BI229" s="1732"/>
      <c r="BJ229" s="1732"/>
      <c r="BK229" s="1732"/>
      <c r="BL229" s="1732"/>
      <c r="BM229" s="1732"/>
      <c r="BN229" s="1732"/>
      <c r="BO229" s="1732"/>
      <c r="BP229" s="1732"/>
      <c r="BQ229" s="1732"/>
      <c r="BR229" s="1732"/>
      <c r="BS229" s="1732"/>
      <c r="BT229" s="1732"/>
      <c r="BU229" s="1732"/>
      <c r="BV229" s="1732"/>
      <c r="BW229" s="1732"/>
      <c r="BX229" s="1732"/>
      <c r="BY229" s="1732"/>
      <c r="BZ229" s="1732"/>
      <c r="CA229" s="1732"/>
      <c r="CB229" s="1732"/>
      <c r="CC229" s="1732"/>
      <c r="CD229" s="1732"/>
      <c r="CE229" s="1732"/>
      <c r="CF229" s="1412"/>
    </row>
    <row customHeight="1" ht="15" hidden="1">
      <c r="A230" s="730" t="s">
        <v>743</v>
      </c>
      <c r="B230" s="731"/>
      <c r="C230" s="731" t="s">
        <v>22</v>
      </c>
      <c r="D230" s="3218" t="s">
        <v>744</v>
      </c>
      <c r="E230" s="3215" t="s">
        <v>140</v>
      </c>
      <c r="F230" s="3216"/>
      <c r="G230" s="3217"/>
      <c r="H230" s="3211">
        <f>IF(A230="","",INDEX(DIFFERENTIATION_UNMERGE_VD,MATCH(A230,DIFFERENTIATION_ID_DIFF,0)))</f>
      </c>
      <c r="I230" s="3211"/>
      <c r="J230" s="3211"/>
      <c r="K230" s="3211"/>
      <c r="L230" s="3211"/>
      <c r="M230" s="3211"/>
      <c r="N230" s="3211"/>
      <c r="O230" s="3211"/>
      <c r="P230" s="3211"/>
      <c r="Q230" s="3211"/>
      <c r="R230" s="3211"/>
      <c r="S230" s="826"/>
      <c r="T230" s="823"/>
      <c r="U230" s="732"/>
      <c r="V230" s="732"/>
      <c r="W230" s="733"/>
      <c r="X230" s="733"/>
      <c r="Y230" s="733"/>
      <c r="Z230" s="733"/>
      <c r="AA230" s="734"/>
      <c r="AB230" s="735"/>
      <c r="AC230" s="3214"/>
      <c r="AD230" s="736"/>
      <c r="AE230" s="737" t="s">
        <v>22</v>
      </c>
      <c r="AF230" s="737"/>
      <c r="AG230" s="738" t="s">
        <v>704</v>
      </c>
      <c r="AH230" s="739">
        <v>3</v>
      </c>
      <c r="AI230" s="732"/>
      <c r="AJ230" s="732"/>
      <c r="AK230" s="732"/>
      <c r="AL230" s="732"/>
      <c r="AM230" s="732"/>
      <c r="AN230" s="732"/>
      <c r="AO230" s="732"/>
      <c r="AP230" s="732"/>
      <c r="AQ230" s="732"/>
      <c r="AR230" s="732"/>
      <c r="AS230" s="732"/>
      <c r="AT230" s="732"/>
      <c r="AU230" s="732"/>
      <c r="AV230" s="732"/>
      <c r="AW230" s="732"/>
      <c r="AX230" s="732"/>
      <c r="AY230" s="732"/>
      <c r="AZ230" s="732"/>
      <c r="BA230" s="732"/>
      <c r="BB230" s="732"/>
      <c r="BC230" s="732"/>
      <c r="BD230" s="732"/>
      <c r="BE230" s="732"/>
      <c r="BF230" s="732"/>
      <c r="BG230" s="732"/>
      <c r="BH230" s="732"/>
      <c r="BI230" s="732"/>
      <c r="BJ230" s="732"/>
      <c r="BK230" s="732"/>
      <c r="BL230" s="732"/>
      <c r="BM230" s="732"/>
      <c r="BN230" s="732"/>
      <c r="BO230" s="732"/>
      <c r="BP230" s="732"/>
      <c r="BQ230" s="732"/>
      <c r="BR230" s="732"/>
      <c r="BS230" s="732"/>
      <c r="BT230" s="732"/>
      <c r="BU230" s="732"/>
      <c r="BV230" s="733"/>
      <c r="BW230" s="733"/>
      <c r="BX230" s="733"/>
      <c r="BY230" s="733"/>
      <c r="BZ230" s="733"/>
      <c r="CA230" s="733"/>
      <c r="CB230" s="733"/>
      <c r="CC230" s="733"/>
      <c r="CD230" s="733"/>
      <c r="CE230" s="733"/>
      <c r="CF230" s="1944"/>
    </row>
    <row customHeight="1" ht="15" hidden="1">
      <c r="A231" s="730"/>
      <c r="B231" s="731"/>
      <c r="C231" s="731"/>
      <c r="D231" s="3219"/>
      <c r="E231" s="3215" t="s">
        <v>649</v>
      </c>
      <c r="F231" s="3216"/>
      <c r="G231" s="3217"/>
      <c r="H231" s="3211">
        <f>IF(A230="","",INDEX(DIFFERENTIATION_UNMERGE_AREA,MATCH(A230,DIFFERENTIATION_ID_DIFF,0)))</f>
      </c>
      <c r="I231" s="3211"/>
      <c r="J231" s="3211"/>
      <c r="K231" s="3211"/>
      <c r="L231" s="3211"/>
      <c r="M231" s="3211"/>
      <c r="N231" s="3211"/>
      <c r="O231" s="3211"/>
      <c r="P231" s="3211"/>
      <c r="Q231" s="3211"/>
      <c r="R231" s="3211"/>
      <c r="S231" s="826"/>
      <c r="T231" s="823"/>
      <c r="U231" s="732"/>
      <c r="V231" s="732"/>
      <c r="W231" s="733"/>
      <c r="X231" s="733"/>
      <c r="Y231" s="733"/>
      <c r="Z231" s="733"/>
      <c r="AA231" s="734"/>
      <c r="AB231" s="735"/>
      <c r="AC231" s="3214"/>
      <c r="AD231" s="736"/>
      <c r="AE231" s="737"/>
      <c r="AF231" s="737"/>
      <c r="AG231" s="738"/>
      <c r="AH231" s="739"/>
      <c r="AI231" s="732"/>
      <c r="AJ231" s="732"/>
      <c r="AK231" s="732"/>
      <c r="AL231" s="732"/>
      <c r="AM231" s="732"/>
      <c r="AN231" s="732"/>
      <c r="AO231" s="732"/>
      <c r="AP231" s="732"/>
      <c r="AQ231" s="732"/>
      <c r="AR231" s="732"/>
      <c r="AS231" s="732"/>
      <c r="AT231" s="732"/>
      <c r="AU231" s="732"/>
      <c r="AV231" s="732"/>
      <c r="AW231" s="732"/>
      <c r="AX231" s="732"/>
      <c r="AY231" s="732"/>
      <c r="AZ231" s="732"/>
      <c r="BA231" s="732"/>
      <c r="BB231" s="732"/>
      <c r="BC231" s="732"/>
      <c r="BD231" s="732"/>
      <c r="BE231" s="732"/>
      <c r="BF231" s="732"/>
      <c r="BG231" s="732"/>
      <c r="BH231" s="732"/>
      <c r="BI231" s="732"/>
      <c r="BJ231" s="732"/>
      <c r="BK231" s="732"/>
      <c r="BL231" s="732"/>
      <c r="BM231" s="732"/>
      <c r="BN231" s="732"/>
      <c r="BO231" s="732"/>
      <c r="BP231" s="732"/>
      <c r="BQ231" s="732"/>
      <c r="BR231" s="732"/>
      <c r="BS231" s="732"/>
      <c r="BT231" s="732"/>
      <c r="BU231" s="732"/>
      <c r="BV231" s="733"/>
      <c r="BW231" s="733"/>
      <c r="BX231" s="733"/>
      <c r="BY231" s="733"/>
      <c r="BZ231" s="733"/>
      <c r="CA231" s="733"/>
      <c r="CB231" s="733"/>
      <c r="CC231" s="733"/>
      <c r="CD231" s="733"/>
      <c r="CE231" s="733"/>
      <c r="CF231" s="1944"/>
    </row>
    <row customHeight="1" ht="15" hidden="1">
      <c r="A232" s="730"/>
      <c r="B232" s="731"/>
      <c r="C232" s="731"/>
      <c r="D232" s="3219"/>
      <c r="E232" s="3215" t="s">
        <v>650</v>
      </c>
      <c r="F232" s="3216"/>
      <c r="G232" s="3217"/>
      <c r="H232" s="3211">
        <f>IF(A230="","",INDEX(DIFFERENTIATION_UNMERGE_SYSTEM,MATCH(A230,DIFFERENTIATION_ID_DIFF,0)))</f>
      </c>
      <c r="I232" s="3211"/>
      <c r="J232" s="3211"/>
      <c r="K232" s="3211"/>
      <c r="L232" s="3211"/>
      <c r="M232" s="3211"/>
      <c r="N232" s="3211"/>
      <c r="O232" s="3211"/>
      <c r="P232" s="3211"/>
      <c r="Q232" s="3211"/>
      <c r="R232" s="3211"/>
      <c r="S232" s="826"/>
      <c r="T232" s="823"/>
      <c r="U232" s="732"/>
      <c r="V232" s="732"/>
      <c r="W232" s="733"/>
      <c r="X232" s="733"/>
      <c r="Y232" s="733"/>
      <c r="Z232" s="733"/>
      <c r="AA232" s="734"/>
      <c r="AB232" s="735"/>
      <c r="AC232" s="3214"/>
      <c r="AD232" s="736"/>
      <c r="AE232" s="737"/>
      <c r="AF232" s="737"/>
      <c r="AG232" s="738"/>
      <c r="AH232" s="739"/>
      <c r="AI232" s="732"/>
      <c r="AJ232" s="732"/>
      <c r="AK232" s="732"/>
      <c r="AL232" s="732"/>
      <c r="AM232" s="732"/>
      <c r="AN232" s="732"/>
      <c r="AO232" s="732"/>
      <c r="AP232" s="732"/>
      <c r="AQ232" s="732"/>
      <c r="AR232" s="732"/>
      <c r="AS232" s="732"/>
      <c r="AT232" s="732"/>
      <c r="AU232" s="732"/>
      <c r="AV232" s="732"/>
      <c r="AW232" s="732"/>
      <c r="AX232" s="732"/>
      <c r="AY232" s="732"/>
      <c r="AZ232" s="732"/>
      <c r="BA232" s="732"/>
      <c r="BB232" s="732"/>
      <c r="BC232" s="732"/>
      <c r="BD232" s="732"/>
      <c r="BE232" s="732"/>
      <c r="BF232" s="732"/>
      <c r="BG232" s="732"/>
      <c r="BH232" s="732"/>
      <c r="BI232" s="732"/>
      <c r="BJ232" s="732"/>
      <c r="BK232" s="732"/>
      <c r="BL232" s="732"/>
      <c r="BM232" s="732"/>
      <c r="BN232" s="732"/>
      <c r="BO232" s="732"/>
      <c r="BP232" s="732"/>
      <c r="BQ232" s="732"/>
      <c r="BR232" s="732"/>
      <c r="BS232" s="732"/>
      <c r="BT232" s="732"/>
      <c r="BU232" s="732"/>
      <c r="BV232" s="733"/>
      <c r="BW232" s="733"/>
      <c r="BX232" s="733"/>
      <c r="BY232" s="733"/>
      <c r="BZ232" s="733"/>
      <c r="CA232" s="733"/>
      <c r="CB232" s="733"/>
      <c r="CC232" s="733"/>
      <c r="CD232" s="733"/>
      <c r="CE232" s="733"/>
      <c r="CF232" s="1944"/>
    </row>
    <row customHeight="1" ht="24.75" hidden="1">
      <c r="A233" s="1901"/>
      <c r="B233" s="1256"/>
      <c r="C233" s="519"/>
      <c r="D233" s="3219"/>
      <c r="E233" s="3213" t="s">
        <v>705</v>
      </c>
      <c r="F233" s="3213"/>
      <c r="G233" s="3213"/>
      <c r="H233" s="3213"/>
      <c r="I233" s="3213"/>
      <c r="J233" s="3213"/>
      <c r="K233" s="3213"/>
      <c r="L233" s="3213"/>
      <c r="M233" s="3213"/>
      <c r="N233" s="3213"/>
      <c r="O233" s="3213"/>
      <c r="P233" s="3213"/>
      <c r="Q233" s="665">
        <f>SUMIF(T234:T235,"i",Q234:Q235)</f>
        <v>0</v>
      </c>
      <c r="R233" s="1117"/>
      <c r="S233" s="1893" t="s">
        <v>706</v>
      </c>
      <c r="T233" s="824" t="s">
        <v>707</v>
      </c>
      <c r="U233" s="3119">
        <v>1</v>
      </c>
      <c r="V233" s="3119">
        <f>INDEX(B_FHD_FLAG_INDEX_1,1,MATCH($A$230,B_FHD_FLAG_DIFFERENTIATION,0))</f>
      </c>
      <c r="W233" s="1256"/>
      <c r="X233" s="1256"/>
      <c r="Y233" s="1256"/>
      <c r="Z233" s="1256"/>
      <c r="AA233" s="1732"/>
      <c r="AB233" s="1256"/>
      <c r="AC233" s="3214"/>
      <c r="AD233" s="736"/>
      <c r="AE233" s="1256"/>
      <c r="AF233" s="1256"/>
      <c r="AG233" s="1732"/>
      <c r="AH233" s="1732"/>
      <c r="AI233" s="1732"/>
      <c r="AJ233" s="1732"/>
      <c r="AK233" s="1732"/>
      <c r="AL233" s="1732"/>
      <c r="AM233" s="1732"/>
      <c r="AN233" s="1732"/>
      <c r="AO233" s="1732"/>
      <c r="AP233" s="1732"/>
      <c r="AQ233" s="1732"/>
      <c r="AR233" s="1732"/>
      <c r="AS233" s="1732"/>
      <c r="AT233" s="1732"/>
      <c r="AU233" s="1732"/>
      <c r="AV233" s="1732"/>
      <c r="AW233" s="1732"/>
      <c r="AX233" s="1732"/>
      <c r="AY233" s="1732"/>
      <c r="AZ233" s="1732"/>
      <c r="BA233" s="1732"/>
      <c r="BB233" s="1732"/>
      <c r="BC233" s="1732"/>
      <c r="BD233" s="1732"/>
      <c r="BE233" s="1732"/>
      <c r="BF233" s="1732"/>
      <c r="BG233" s="1732"/>
      <c r="BH233" s="1732"/>
      <c r="BI233" s="1732"/>
      <c r="BJ233" s="1732"/>
      <c r="BK233" s="1732"/>
      <c r="BL233" s="1732"/>
      <c r="BM233" s="1732"/>
      <c r="BN233" s="1732"/>
      <c r="BO233" s="1732"/>
      <c r="BP233" s="1732"/>
      <c r="BQ233" s="1732"/>
      <c r="BR233" s="1732"/>
      <c r="BS233" s="1732"/>
      <c r="BT233" s="1732"/>
      <c r="BU233" s="1732"/>
      <c r="BV233" s="1256"/>
      <c r="BW233" s="1256"/>
      <c r="BX233" s="1256"/>
      <c r="BY233" s="1256"/>
      <c r="BZ233" s="1256"/>
      <c r="CA233" s="1256"/>
      <c r="CB233" s="1256"/>
      <c r="CC233" s="1256"/>
      <c r="CD233" s="1256"/>
      <c r="CE233" s="1256"/>
      <c r="CF233" s="1944"/>
    </row>
    <row customHeight="1" ht="11.25" hidden="1">
      <c r="A234" s="1888"/>
      <c r="B234" s="1732"/>
      <c r="C234" s="1732"/>
      <c r="D234" s="3219"/>
      <c r="E234" s="742"/>
      <c r="F234" s="742">
        <v>0</v>
      </c>
      <c r="G234" s="742"/>
      <c r="H234" s="742"/>
      <c r="I234" s="742"/>
      <c r="J234" s="742"/>
      <c r="K234" s="742"/>
      <c r="L234" s="742"/>
      <c r="M234" s="742"/>
      <c r="N234" s="742"/>
      <c r="O234" s="742"/>
      <c r="P234" s="742"/>
      <c r="Q234" s="742"/>
      <c r="R234" s="742"/>
      <c r="S234" s="743"/>
      <c r="T234" s="825"/>
      <c r="U234" s="3119"/>
      <c r="V234" s="3119"/>
      <c r="W234" s="1732"/>
      <c r="X234" s="1732"/>
      <c r="Y234" s="1732"/>
      <c r="Z234" s="1732"/>
      <c r="AA234" s="1732"/>
      <c r="AB234" s="1256"/>
      <c r="AC234" s="3214"/>
      <c r="AD234" s="736"/>
      <c r="AE234" s="1256"/>
      <c r="AF234" s="1256"/>
      <c r="AG234" s="1732"/>
      <c r="AH234" s="1732"/>
      <c r="AI234" s="1732"/>
      <c r="AJ234" s="1732"/>
      <c r="AK234" s="1732"/>
      <c r="AL234" s="1732"/>
      <c r="AM234" s="1732"/>
      <c r="AN234" s="1732"/>
      <c r="AO234" s="1732"/>
      <c r="AP234" s="1732"/>
      <c r="AQ234" s="1732"/>
      <c r="AR234" s="1732"/>
      <c r="AS234" s="1732"/>
      <c r="AT234" s="1732"/>
      <c r="AU234" s="1732"/>
      <c r="AV234" s="1732"/>
      <c r="AW234" s="1732"/>
      <c r="AX234" s="1732"/>
      <c r="AY234" s="1732"/>
      <c r="AZ234" s="1732"/>
      <c r="BA234" s="1732"/>
      <c r="BB234" s="1732"/>
      <c r="BC234" s="1732"/>
      <c r="BD234" s="1732"/>
      <c r="BE234" s="1732"/>
      <c r="BF234" s="1732"/>
      <c r="BG234" s="1732"/>
      <c r="BH234" s="1732"/>
      <c r="BI234" s="1732"/>
      <c r="BJ234" s="1732"/>
      <c r="BK234" s="1732"/>
      <c r="BL234" s="1732"/>
      <c r="BM234" s="1732"/>
      <c r="BN234" s="1732"/>
      <c r="BO234" s="1732"/>
      <c r="BP234" s="1732"/>
      <c r="BQ234" s="1732"/>
      <c r="BR234" s="1732"/>
      <c r="BS234" s="1732"/>
      <c r="BT234" s="1732"/>
      <c r="BU234" s="1732"/>
      <c r="BV234" s="1732"/>
      <c r="BW234" s="1732"/>
      <c r="BX234" s="1732"/>
      <c r="BY234" s="1732"/>
      <c r="BZ234" s="1732"/>
      <c r="CA234" s="1732"/>
      <c r="CB234" s="1732"/>
      <c r="CC234" s="1732"/>
      <c r="CD234" s="1732"/>
      <c r="CE234" s="1732"/>
      <c r="CF234" s="1944"/>
    </row>
    <row customHeight="1" ht="11.25" hidden="1">
      <c r="A235" s="1901"/>
      <c r="B235" s="1256"/>
      <c r="C235" s="519"/>
      <c r="D235" s="3219"/>
      <c r="E235" s="756" t="s">
        <v>22</v>
      </c>
      <c r="F235" s="1264" t="s">
        <v>22</v>
      </c>
      <c r="G235" s="1264" t="s">
        <v>711</v>
      </c>
      <c r="H235" s="758" t="s">
        <v>22</v>
      </c>
      <c r="I235" s="758"/>
      <c r="J235" s="758"/>
      <c r="K235" s="758"/>
      <c r="L235" s="758"/>
      <c r="M235" s="758"/>
      <c r="N235" s="758"/>
      <c r="O235" s="758"/>
      <c r="P235" s="758"/>
      <c r="Q235" s="758"/>
      <c r="R235" s="759"/>
      <c r="S235" s="760"/>
      <c r="T235" s="825"/>
      <c r="U235" s="3119"/>
      <c r="V235" s="3119"/>
      <c r="W235" s="1256"/>
      <c r="X235" s="1256"/>
      <c r="Y235" s="1256"/>
      <c r="Z235" s="1256"/>
      <c r="AA235" s="1732"/>
      <c r="AB235" s="1256"/>
      <c r="AC235" s="3214"/>
      <c r="AD235" s="736"/>
      <c r="AE235" s="1256"/>
      <c r="AF235" s="1256"/>
      <c r="AG235" s="1732"/>
      <c r="AH235" s="1732"/>
      <c r="AI235" s="1732"/>
      <c r="AJ235" s="1732"/>
      <c r="AK235" s="1732"/>
      <c r="AL235" s="1732"/>
      <c r="AM235" s="1732"/>
      <c r="AN235" s="1732"/>
      <c r="AO235" s="1732"/>
      <c r="AP235" s="1732"/>
      <c r="AQ235" s="1732"/>
      <c r="AR235" s="1732"/>
      <c r="AS235" s="1732"/>
      <c r="AT235" s="1732"/>
      <c r="AU235" s="1732"/>
      <c r="AV235" s="1732"/>
      <c r="AW235" s="1732"/>
      <c r="AX235" s="1732"/>
      <c r="AY235" s="1732"/>
      <c r="AZ235" s="1732"/>
      <c r="BA235" s="1732"/>
      <c r="BB235" s="1732"/>
      <c r="BC235" s="1732"/>
      <c r="BD235" s="1732"/>
      <c r="BE235" s="1732"/>
      <c r="BF235" s="1732"/>
      <c r="BG235" s="1732"/>
      <c r="BH235" s="1732"/>
      <c r="BI235" s="1732"/>
      <c r="BJ235" s="1732"/>
      <c r="BK235" s="1732"/>
      <c r="BL235" s="1732"/>
      <c r="BM235" s="1732"/>
      <c r="BN235" s="1732"/>
      <c r="BO235" s="1732"/>
      <c r="BP235" s="1732"/>
      <c r="BQ235" s="1732"/>
      <c r="BR235" s="1732"/>
      <c r="BS235" s="1732"/>
      <c r="BT235" s="1732"/>
      <c r="BU235" s="1732"/>
      <c r="BV235" s="1256"/>
      <c r="BW235" s="1256"/>
      <c r="BX235" s="1256"/>
      <c r="BY235" s="1256"/>
      <c r="BZ235" s="1256"/>
      <c r="CA235" s="1256"/>
      <c r="CB235" s="1256"/>
      <c r="CC235" s="1256"/>
      <c r="CD235" s="1256"/>
      <c r="CE235" s="1256"/>
      <c r="CF235" s="1944"/>
    </row>
    <row customHeight="1" ht="5.25" hidden="1">
      <c r="A236" s="1888"/>
      <c r="B236" s="1732"/>
      <c r="C236" s="1732"/>
      <c r="D236" s="3219"/>
      <c r="E236" s="1139"/>
      <c r="F236" s="1139"/>
      <c r="G236" s="1139"/>
      <c r="H236" s="1139"/>
      <c r="I236" s="1139"/>
      <c r="J236" s="1139"/>
      <c r="K236" s="1139"/>
      <c r="L236" s="1139"/>
      <c r="M236" s="1139"/>
      <c r="N236" s="1139"/>
      <c r="O236" s="1139"/>
      <c r="P236" s="1139"/>
      <c r="Q236" s="1140"/>
      <c r="R236" s="1141"/>
      <c r="S236" s="1142"/>
      <c r="T236" s="824" t="s">
        <v>707</v>
      </c>
      <c r="U236" s="3119">
        <v>1</v>
      </c>
      <c r="V236" s="3119" t="s">
        <v>669</v>
      </c>
      <c r="W236" s="1732"/>
      <c r="X236" s="1732"/>
      <c r="Y236" s="1732"/>
      <c r="Z236" s="1732"/>
      <c r="AA236" s="1732"/>
      <c r="AB236" s="1732"/>
      <c r="AC236" s="1137"/>
      <c r="AD236" s="1138"/>
      <c r="AE236" s="1732"/>
      <c r="AF236" s="1732"/>
      <c r="AG236" s="1732"/>
      <c r="AH236" s="1732"/>
      <c r="AI236" s="1732"/>
      <c r="AJ236" s="1732"/>
      <c r="AK236" s="1732"/>
      <c r="AL236" s="1732"/>
      <c r="AM236" s="1732"/>
      <c r="AN236" s="1732"/>
      <c r="AO236" s="1732"/>
      <c r="AP236" s="1732"/>
      <c r="AQ236" s="1732"/>
      <c r="AR236" s="1732"/>
      <c r="AS236" s="1732"/>
      <c r="AT236" s="1732"/>
      <c r="AU236" s="1732"/>
      <c r="AV236" s="1732"/>
      <c r="AW236" s="1732"/>
      <c r="AX236" s="1732"/>
      <c r="AY236" s="1732"/>
      <c r="AZ236" s="1732"/>
      <c r="BA236" s="1732"/>
      <c r="BB236" s="1732"/>
      <c r="BC236" s="1732"/>
      <c r="BD236" s="1732"/>
      <c r="BE236" s="1732"/>
      <c r="BF236" s="1732"/>
      <c r="BG236" s="1732"/>
      <c r="BH236" s="1732"/>
      <c r="BI236" s="1732"/>
      <c r="BJ236" s="1732"/>
      <c r="BK236" s="1732"/>
      <c r="BL236" s="1732"/>
      <c r="BM236" s="1732"/>
      <c r="BN236" s="1732"/>
      <c r="BO236" s="1732"/>
      <c r="BP236" s="1732"/>
      <c r="BQ236" s="1732"/>
      <c r="BR236" s="1732"/>
      <c r="BS236" s="1732"/>
      <c r="BT236" s="1732"/>
      <c r="BU236" s="1732"/>
      <c r="BV236" s="1732"/>
      <c r="BW236" s="1732"/>
      <c r="BX236" s="1732"/>
      <c r="BY236" s="1732"/>
      <c r="BZ236" s="1732"/>
      <c r="CA236" s="1732"/>
      <c r="CB236" s="1732"/>
      <c r="CC236" s="1732"/>
      <c r="CD236" s="1732"/>
      <c r="CE236" s="1732"/>
      <c r="CF236" s="1412"/>
    </row>
    <row customHeight="1" ht="5.25" hidden="1">
      <c r="A237" s="1888"/>
      <c r="B237" s="1732"/>
      <c r="C237" s="1732"/>
      <c r="D237" s="3219"/>
      <c r="E237" s="742"/>
      <c r="F237" s="742"/>
      <c r="G237" s="742"/>
      <c r="H237" s="742"/>
      <c r="I237" s="742"/>
      <c r="J237" s="742"/>
      <c r="K237" s="742"/>
      <c r="L237" s="742"/>
      <c r="M237" s="742"/>
      <c r="N237" s="742"/>
      <c r="O237" s="742"/>
      <c r="P237" s="742"/>
      <c r="Q237" s="742"/>
      <c r="R237" s="742"/>
      <c r="S237" s="743"/>
      <c r="T237" s="825"/>
      <c r="U237" s="3119"/>
      <c r="V237" s="3119"/>
      <c r="W237" s="1732"/>
      <c r="X237" s="1732"/>
      <c r="Y237" s="1732"/>
      <c r="Z237" s="1732"/>
      <c r="AA237" s="1732"/>
      <c r="AB237" s="1732"/>
      <c r="AC237" s="1137"/>
      <c r="AD237" s="1138"/>
      <c r="AE237" s="1732"/>
      <c r="AF237" s="1732"/>
      <c r="AG237" s="1732"/>
      <c r="AH237" s="1732"/>
      <c r="AI237" s="1732"/>
      <c r="AJ237" s="1732"/>
      <c r="AK237" s="1732"/>
      <c r="AL237" s="1732"/>
      <c r="AM237" s="1732"/>
      <c r="AN237" s="1732"/>
      <c r="AO237" s="1732"/>
      <c r="AP237" s="1732"/>
      <c r="AQ237" s="1732"/>
      <c r="AR237" s="1732"/>
      <c r="AS237" s="1732"/>
      <c r="AT237" s="1732"/>
      <c r="AU237" s="1732"/>
      <c r="AV237" s="1732"/>
      <c r="AW237" s="1732"/>
      <c r="AX237" s="1732"/>
      <c r="AY237" s="1732"/>
      <c r="AZ237" s="1732"/>
      <c r="BA237" s="1732"/>
      <c r="BB237" s="1732"/>
      <c r="BC237" s="1732"/>
      <c r="BD237" s="1732"/>
      <c r="BE237" s="1732"/>
      <c r="BF237" s="1732"/>
      <c r="BG237" s="1732"/>
      <c r="BH237" s="1732"/>
      <c r="BI237" s="1732"/>
      <c r="BJ237" s="1732"/>
      <c r="BK237" s="1732"/>
      <c r="BL237" s="1732"/>
      <c r="BM237" s="1732"/>
      <c r="BN237" s="1732"/>
      <c r="BO237" s="1732"/>
      <c r="BP237" s="1732"/>
      <c r="BQ237" s="1732"/>
      <c r="BR237" s="1732"/>
      <c r="BS237" s="1732"/>
      <c r="BT237" s="1732"/>
      <c r="BU237" s="1732"/>
      <c r="BV237" s="1732"/>
      <c r="BW237" s="1732"/>
      <c r="BX237" s="1732"/>
      <c r="BY237" s="1732"/>
      <c r="BZ237" s="1732"/>
      <c r="CA237" s="1732"/>
      <c r="CB237" s="1732"/>
      <c r="CC237" s="1732"/>
      <c r="CD237" s="1732"/>
      <c r="CE237" s="1732"/>
      <c r="CF237" s="1412"/>
    </row>
    <row customHeight="1" ht="5.25" hidden="1">
      <c r="A238" s="1888"/>
      <c r="B238" s="1732"/>
      <c r="C238" s="1732"/>
      <c r="D238" s="3220"/>
      <c r="E238" s="1143"/>
      <c r="F238" s="1144"/>
      <c r="G238" s="1144"/>
      <c r="H238" s="1145"/>
      <c r="I238" s="1145"/>
      <c r="J238" s="1145"/>
      <c r="K238" s="1145"/>
      <c r="L238" s="1145"/>
      <c r="M238" s="1145"/>
      <c r="N238" s="1145"/>
      <c r="O238" s="1145"/>
      <c r="P238" s="1145"/>
      <c r="Q238" s="1145"/>
      <c r="R238" s="1046"/>
      <c r="S238" s="1146"/>
      <c r="T238" s="825"/>
      <c r="U238" s="3119"/>
      <c r="V238" s="3119"/>
      <c r="W238" s="1732"/>
      <c r="X238" s="1732"/>
      <c r="Y238" s="1732"/>
      <c r="Z238" s="1732"/>
      <c r="AA238" s="1732"/>
      <c r="AB238" s="1732"/>
      <c r="AC238" s="1137"/>
      <c r="AD238" s="1138"/>
      <c r="AE238" s="1732"/>
      <c r="AF238" s="1732"/>
      <c r="AG238" s="1732"/>
      <c r="AH238" s="1732"/>
      <c r="AI238" s="1732"/>
      <c r="AJ238" s="1732"/>
      <c r="AK238" s="1732"/>
      <c r="AL238" s="1732"/>
      <c r="AM238" s="1732"/>
      <c r="AN238" s="1732"/>
      <c r="AO238" s="1732"/>
      <c r="AP238" s="1732"/>
      <c r="AQ238" s="1732"/>
      <c r="AR238" s="1732"/>
      <c r="AS238" s="1732"/>
      <c r="AT238" s="1732"/>
      <c r="AU238" s="1732"/>
      <c r="AV238" s="1732"/>
      <c r="AW238" s="1732"/>
      <c r="AX238" s="1732"/>
      <c r="AY238" s="1732"/>
      <c r="AZ238" s="1732"/>
      <c r="BA238" s="1732"/>
      <c r="BB238" s="1732"/>
      <c r="BC238" s="1732"/>
      <c r="BD238" s="1732"/>
      <c r="BE238" s="1732"/>
      <c r="BF238" s="1732"/>
      <c r="BG238" s="1732"/>
      <c r="BH238" s="1732"/>
      <c r="BI238" s="1732"/>
      <c r="BJ238" s="1732"/>
      <c r="BK238" s="1732"/>
      <c r="BL238" s="1732"/>
      <c r="BM238" s="1732"/>
      <c r="BN238" s="1732"/>
      <c r="BO238" s="1732"/>
      <c r="BP238" s="1732"/>
      <c r="BQ238" s="1732"/>
      <c r="BR238" s="1732"/>
      <c r="BS238" s="1732"/>
      <c r="BT238" s="1732"/>
      <c r="BU238" s="1732"/>
      <c r="BV238" s="1732"/>
      <c r="BW238" s="1732"/>
      <c r="BX238" s="1732"/>
      <c r="BY238" s="1732"/>
      <c r="BZ238" s="1732"/>
      <c r="CA238" s="1732"/>
      <c r="CB238" s="1732"/>
      <c r="CC238" s="1732"/>
      <c r="CD238" s="1732"/>
      <c r="CE238" s="1732"/>
      <c r="CF238" s="1412"/>
    </row>
    <row customHeight="1" ht="15" hidden="1">
      <c r="A239" s="730" t="s">
        <v>186</v>
      </c>
      <c r="B239" s="731"/>
      <c r="C239" s="731" t="s">
        <v>22</v>
      </c>
      <c r="D239" s="3218" t="s">
        <v>745</v>
      </c>
      <c r="E239" s="3215" t="s">
        <v>140</v>
      </c>
      <c r="F239" s="3216"/>
      <c r="G239" s="3217"/>
      <c r="H239" s="3211" t="str">
        <f>IF(A239="","",INDEX(DIFFERENTIATION_UNMERGE_VD,MATCH(A239,DIFFERENTIATION_ID_DIFF,0)))</f>
        <v>Производство тепловой энергии. Некомбинированная выработка</v>
      </c>
      <c r="I239" s="3211"/>
      <c r="J239" s="3211"/>
      <c r="K239" s="3211"/>
      <c r="L239" s="3211"/>
      <c r="M239" s="3211"/>
      <c r="N239" s="3211"/>
      <c r="O239" s="3211"/>
      <c r="P239" s="3211"/>
      <c r="Q239" s="3211"/>
      <c r="R239" s="3211"/>
      <c r="S239" s="826"/>
      <c r="T239" s="823"/>
      <c r="U239" s="732"/>
      <c r="V239" s="732"/>
      <c r="W239" s="733"/>
      <c r="X239" s="733"/>
      <c r="Y239" s="733"/>
      <c r="Z239" s="733"/>
      <c r="AA239" s="734"/>
      <c r="AB239" s="735"/>
      <c r="AC239" s="3214"/>
      <c r="AD239" s="736"/>
      <c r="AE239" s="737" t="s">
        <v>22</v>
      </c>
      <c r="AF239" s="737"/>
      <c r="AG239" s="738" t="s">
        <v>704</v>
      </c>
      <c r="AH239" s="739">
        <v>3</v>
      </c>
      <c r="AI239" s="732"/>
      <c r="AJ239" s="732"/>
      <c r="AK239" s="732"/>
      <c r="AL239" s="732"/>
      <c r="AM239" s="732"/>
      <c r="AN239" s="732"/>
      <c r="AO239" s="732"/>
      <c r="AP239" s="732"/>
      <c r="AQ239" s="732"/>
      <c r="AR239" s="732"/>
      <c r="AS239" s="732"/>
      <c r="AT239" s="732"/>
      <c r="AU239" s="732"/>
      <c r="AV239" s="732"/>
      <c r="AW239" s="732"/>
      <c r="AX239" s="732"/>
      <c r="AY239" s="732"/>
      <c r="AZ239" s="732"/>
      <c r="BA239" s="732"/>
      <c r="BB239" s="732"/>
      <c r="BC239" s="732"/>
      <c r="BD239" s="732"/>
      <c r="BE239" s="732"/>
      <c r="BF239" s="732"/>
      <c r="BG239" s="732"/>
      <c r="BH239" s="732"/>
      <c r="BI239" s="732"/>
      <c r="BJ239" s="732"/>
      <c r="BK239" s="732"/>
      <c r="BL239" s="732"/>
      <c r="BM239" s="732"/>
      <c r="BN239" s="732"/>
      <c r="BO239" s="732"/>
      <c r="BP239" s="732"/>
      <c r="BQ239" s="732"/>
      <c r="BR239" s="732"/>
      <c r="BS239" s="732"/>
      <c r="BT239" s="732"/>
      <c r="BU239" s="732"/>
      <c r="BV239" s="733"/>
      <c r="BW239" s="733"/>
      <c r="BX239" s="733"/>
      <c r="BY239" s="733"/>
      <c r="BZ239" s="733"/>
      <c r="CA239" s="733"/>
      <c r="CB239" s="733"/>
      <c r="CC239" s="733"/>
      <c r="CD239" s="733"/>
      <c r="CE239" s="733"/>
      <c r="CF239" s="1944"/>
    </row>
    <row customHeight="1" ht="15" hidden="1">
      <c r="A240" s="730"/>
      <c r="B240" s="731"/>
      <c r="C240" s="731"/>
      <c r="D240" s="3219"/>
      <c r="E240" s="3215" t="s">
        <v>649</v>
      </c>
      <c r="F240" s="3216"/>
      <c r="G240" s="3217"/>
      <c r="H240" s="3211" t="str">
        <f>IF(A239="","",INDEX(DIFFERENTIATION_UNMERGE_AREA,MATCH(A239,DIFFERENTIATION_ID_DIFF,0)))</f>
        <v>без дифференциации</v>
      </c>
      <c r="I240" s="3211"/>
      <c r="J240" s="3211"/>
      <c r="K240" s="3211"/>
      <c r="L240" s="3211"/>
      <c r="M240" s="3211"/>
      <c r="N240" s="3211"/>
      <c r="O240" s="3211"/>
      <c r="P240" s="3211"/>
      <c r="Q240" s="3211"/>
      <c r="R240" s="3211"/>
      <c r="S240" s="826"/>
      <c r="T240" s="823"/>
      <c r="U240" s="732"/>
      <c r="V240" s="732"/>
      <c r="W240" s="733"/>
      <c r="X240" s="733"/>
      <c r="Y240" s="733"/>
      <c r="Z240" s="733"/>
      <c r="AA240" s="734"/>
      <c r="AB240" s="735"/>
      <c r="AC240" s="3214"/>
      <c r="AD240" s="736"/>
      <c r="AE240" s="737"/>
      <c r="AF240" s="737"/>
      <c r="AG240" s="738"/>
      <c r="AH240" s="739"/>
      <c r="AI240" s="732"/>
      <c r="AJ240" s="732"/>
      <c r="AK240" s="732"/>
      <c r="AL240" s="732"/>
      <c r="AM240" s="732"/>
      <c r="AN240" s="732"/>
      <c r="AO240" s="732"/>
      <c r="AP240" s="732"/>
      <c r="AQ240" s="732"/>
      <c r="AR240" s="732"/>
      <c r="AS240" s="732"/>
      <c r="AT240" s="732"/>
      <c r="AU240" s="732"/>
      <c r="AV240" s="732"/>
      <c r="AW240" s="732"/>
      <c r="AX240" s="732"/>
      <c r="AY240" s="732"/>
      <c r="AZ240" s="732"/>
      <c r="BA240" s="732"/>
      <c r="BB240" s="732"/>
      <c r="BC240" s="732"/>
      <c r="BD240" s="732"/>
      <c r="BE240" s="732"/>
      <c r="BF240" s="732"/>
      <c r="BG240" s="732"/>
      <c r="BH240" s="732"/>
      <c r="BI240" s="732"/>
      <c r="BJ240" s="732"/>
      <c r="BK240" s="732"/>
      <c r="BL240" s="732"/>
      <c r="BM240" s="732"/>
      <c r="BN240" s="732"/>
      <c r="BO240" s="732"/>
      <c r="BP240" s="732"/>
      <c r="BQ240" s="732"/>
      <c r="BR240" s="732"/>
      <c r="BS240" s="732"/>
      <c r="BT240" s="732"/>
      <c r="BU240" s="732"/>
      <c r="BV240" s="733"/>
      <c r="BW240" s="733"/>
      <c r="BX240" s="733"/>
      <c r="BY240" s="733"/>
      <c r="BZ240" s="733"/>
      <c r="CA240" s="733"/>
      <c r="CB240" s="733"/>
      <c r="CC240" s="733"/>
      <c r="CD240" s="733"/>
      <c r="CE240" s="733"/>
      <c r="CF240" s="1944"/>
    </row>
    <row customHeight="1" ht="15" hidden="1">
      <c r="A241" s="730"/>
      <c r="B241" s="731"/>
      <c r="C241" s="731"/>
      <c r="D241" s="3219"/>
      <c r="E241" s="3215" t="s">
        <v>650</v>
      </c>
      <c r="F241" s="3216"/>
      <c r="G241" s="3217"/>
      <c r="H241" s="3211" t="str">
        <f>IF(A239="","",INDEX(DIFFERENTIATION_UNMERGE_SYSTEM,MATCH(A239,DIFFERENTIATION_ID_DIFF,0)))</f>
        <v>Некрасовская котельная</v>
      </c>
      <c r="I241" s="3211"/>
      <c r="J241" s="3211"/>
      <c r="K241" s="3211"/>
      <c r="L241" s="3211"/>
      <c r="M241" s="3211"/>
      <c r="N241" s="3211"/>
      <c r="O241" s="3211"/>
      <c r="P241" s="3211"/>
      <c r="Q241" s="3211"/>
      <c r="R241" s="3211"/>
      <c r="S241" s="826"/>
      <c r="T241" s="823"/>
      <c r="U241" s="732"/>
      <c r="V241" s="732"/>
      <c r="W241" s="733"/>
      <c r="X241" s="733"/>
      <c r="Y241" s="733"/>
      <c r="Z241" s="733"/>
      <c r="AA241" s="734"/>
      <c r="AB241" s="735"/>
      <c r="AC241" s="3214"/>
      <c r="AD241" s="736"/>
      <c r="AE241" s="737"/>
      <c r="AF241" s="737"/>
      <c r="AG241" s="738"/>
      <c r="AH241" s="739"/>
      <c r="AI241" s="732"/>
      <c r="AJ241" s="732"/>
      <c r="AK241" s="732"/>
      <c r="AL241" s="732"/>
      <c r="AM241" s="732"/>
      <c r="AN241" s="732"/>
      <c r="AO241" s="732"/>
      <c r="AP241" s="732"/>
      <c r="AQ241" s="732"/>
      <c r="AR241" s="732"/>
      <c r="AS241" s="732"/>
      <c r="AT241" s="732"/>
      <c r="AU241" s="732"/>
      <c r="AV241" s="732"/>
      <c r="AW241" s="732"/>
      <c r="AX241" s="732"/>
      <c r="AY241" s="732"/>
      <c r="AZ241" s="732"/>
      <c r="BA241" s="732"/>
      <c r="BB241" s="732"/>
      <c r="BC241" s="732"/>
      <c r="BD241" s="732"/>
      <c r="BE241" s="732"/>
      <c r="BF241" s="732"/>
      <c r="BG241" s="732"/>
      <c r="BH241" s="732"/>
      <c r="BI241" s="732"/>
      <c r="BJ241" s="732"/>
      <c r="BK241" s="732"/>
      <c r="BL241" s="732"/>
      <c r="BM241" s="732"/>
      <c r="BN241" s="732"/>
      <c r="BO241" s="732"/>
      <c r="BP241" s="732"/>
      <c r="BQ241" s="732"/>
      <c r="BR241" s="732"/>
      <c r="BS241" s="732"/>
      <c r="BT241" s="732"/>
      <c r="BU241" s="732"/>
      <c r="BV241" s="733"/>
      <c r="BW241" s="733"/>
      <c r="BX241" s="733"/>
      <c r="BY241" s="733"/>
      <c r="BZ241" s="733"/>
      <c r="CA241" s="733"/>
      <c r="CB241" s="733"/>
      <c r="CC241" s="733"/>
      <c r="CD241" s="733"/>
      <c r="CE241" s="733"/>
      <c r="CF241" s="1944"/>
    </row>
    <row customHeight="1" ht="24.75" hidden="1">
      <c r="A242" s="1901"/>
      <c r="B242" s="1256"/>
      <c r="C242" s="519"/>
      <c r="D242" s="3219"/>
      <c r="E242" s="3213" t="s">
        <v>705</v>
      </c>
      <c r="F242" s="3213"/>
      <c r="G242" s="3213"/>
      <c r="H242" s="3213"/>
      <c r="I242" s="3213"/>
      <c r="J242" s="3213"/>
      <c r="K242" s="3213"/>
      <c r="L242" s="3213"/>
      <c r="M242" s="3213"/>
      <c r="N242" s="3213"/>
      <c r="O242" s="3213"/>
      <c r="P242" s="3213"/>
      <c r="Q242" s="665">
        <f>SUMIF(T243:T244,"i",Q243:Q244)</f>
        <v>0</v>
      </c>
      <c r="R242" s="1117"/>
      <c r="S242" s="1893" t="s">
        <v>706</v>
      </c>
      <c r="T242" s="824" t="s">
        <v>707</v>
      </c>
      <c r="U242" s="3119">
        <v>1</v>
      </c>
      <c r="V242" s="3119" t="str">
        <f>INDEX(B_FHD_FLAG_INDEX_1,1,MATCH($A$239,B_FHD_FLAG_DIFFERENTIATION,0))</f>
        <v>отсутствует</v>
      </c>
      <c r="W242" s="1256"/>
      <c r="X242" s="1256"/>
      <c r="Y242" s="1256"/>
      <c r="Z242" s="1256"/>
      <c r="AA242" s="1732"/>
      <c r="AB242" s="1256"/>
      <c r="AC242" s="3214"/>
      <c r="AD242" s="736"/>
      <c r="AE242" s="1256"/>
      <c r="AF242" s="1256"/>
      <c r="AG242" s="1732"/>
      <c r="AH242" s="1732"/>
      <c r="AI242" s="1732"/>
      <c r="AJ242" s="1732"/>
      <c r="AK242" s="1732"/>
      <c r="AL242" s="1732"/>
      <c r="AM242" s="1732"/>
      <c r="AN242" s="1732"/>
      <c r="AO242" s="1732"/>
      <c r="AP242" s="1732"/>
      <c r="AQ242" s="1732"/>
      <c r="AR242" s="1732"/>
      <c r="AS242" s="1732"/>
      <c r="AT242" s="1732"/>
      <c r="AU242" s="1732"/>
      <c r="AV242" s="1732"/>
      <c r="AW242" s="1732"/>
      <c r="AX242" s="1732"/>
      <c r="AY242" s="1732"/>
      <c r="AZ242" s="1732"/>
      <c r="BA242" s="1732"/>
      <c r="BB242" s="1732"/>
      <c r="BC242" s="1732"/>
      <c r="BD242" s="1732"/>
      <c r="BE242" s="1732"/>
      <c r="BF242" s="1732"/>
      <c r="BG242" s="1732"/>
      <c r="BH242" s="1732"/>
      <c r="BI242" s="1732"/>
      <c r="BJ242" s="1732"/>
      <c r="BK242" s="1732"/>
      <c r="BL242" s="1732"/>
      <c r="BM242" s="1732"/>
      <c r="BN242" s="1732"/>
      <c r="BO242" s="1732"/>
      <c r="BP242" s="1732"/>
      <c r="BQ242" s="1732"/>
      <c r="BR242" s="1732"/>
      <c r="BS242" s="1732"/>
      <c r="BT242" s="1732"/>
      <c r="BU242" s="1732"/>
      <c r="BV242" s="1256"/>
      <c r="BW242" s="1256"/>
      <c r="BX242" s="1256"/>
      <c r="BY242" s="1256"/>
      <c r="BZ242" s="1256"/>
      <c r="CA242" s="1256"/>
      <c r="CB242" s="1256"/>
      <c r="CC242" s="1256"/>
      <c r="CD242" s="1256"/>
      <c r="CE242" s="1256"/>
      <c r="CF242" s="1944"/>
    </row>
    <row customHeight="1" ht="11.25" hidden="1">
      <c r="A243" s="1888"/>
      <c r="B243" s="1732"/>
      <c r="C243" s="1732"/>
      <c r="D243" s="3219"/>
      <c r="E243" s="742"/>
      <c r="F243" s="742">
        <v>0</v>
      </c>
      <c r="G243" s="742"/>
      <c r="H243" s="742"/>
      <c r="I243" s="742"/>
      <c r="J243" s="742"/>
      <c r="K243" s="742"/>
      <c r="L243" s="742"/>
      <c r="M243" s="742"/>
      <c r="N243" s="742"/>
      <c r="O243" s="742"/>
      <c r="P243" s="742"/>
      <c r="Q243" s="742"/>
      <c r="R243" s="742"/>
      <c r="S243" s="743"/>
      <c r="T243" s="825"/>
      <c r="U243" s="3119"/>
      <c r="V243" s="3119"/>
      <c r="W243" s="1732"/>
      <c r="X243" s="1732"/>
      <c r="Y243" s="1732"/>
      <c r="Z243" s="1732"/>
      <c r="AA243" s="1732"/>
      <c r="AB243" s="1256"/>
      <c r="AC243" s="3214"/>
      <c r="AD243" s="736"/>
      <c r="AE243" s="1256"/>
      <c r="AF243" s="1256"/>
      <c r="AG243" s="1732"/>
      <c r="AH243" s="1732"/>
      <c r="AI243" s="1732"/>
      <c r="AJ243" s="1732"/>
      <c r="AK243" s="1732"/>
      <c r="AL243" s="1732"/>
      <c r="AM243" s="1732"/>
      <c r="AN243" s="1732"/>
      <c r="AO243" s="1732"/>
      <c r="AP243" s="1732"/>
      <c r="AQ243" s="1732"/>
      <c r="AR243" s="1732"/>
      <c r="AS243" s="1732"/>
      <c r="AT243" s="1732"/>
      <c r="AU243" s="1732"/>
      <c r="AV243" s="1732"/>
      <c r="AW243" s="1732"/>
      <c r="AX243" s="1732"/>
      <c r="AY243" s="1732"/>
      <c r="AZ243" s="1732"/>
      <c r="BA243" s="1732"/>
      <c r="BB243" s="1732"/>
      <c r="BC243" s="1732"/>
      <c r="BD243" s="1732"/>
      <c r="BE243" s="1732"/>
      <c r="BF243" s="1732"/>
      <c r="BG243" s="1732"/>
      <c r="BH243" s="1732"/>
      <c r="BI243" s="1732"/>
      <c r="BJ243" s="1732"/>
      <c r="BK243" s="1732"/>
      <c r="BL243" s="1732"/>
      <c r="BM243" s="1732"/>
      <c r="BN243" s="1732"/>
      <c r="BO243" s="1732"/>
      <c r="BP243" s="1732"/>
      <c r="BQ243" s="1732"/>
      <c r="BR243" s="1732"/>
      <c r="BS243" s="1732"/>
      <c r="BT243" s="1732"/>
      <c r="BU243" s="1732"/>
      <c r="BV243" s="1732"/>
      <c r="BW243" s="1732"/>
      <c r="BX243" s="1732"/>
      <c r="BY243" s="1732"/>
      <c r="BZ243" s="1732"/>
      <c r="CA243" s="1732"/>
      <c r="CB243" s="1732"/>
      <c r="CC243" s="1732"/>
      <c r="CD243" s="1732"/>
      <c r="CE243" s="1732"/>
      <c r="CF243" s="1944"/>
    </row>
    <row customHeight="1" ht="11.25" hidden="1">
      <c r="A244" s="1901"/>
      <c r="B244" s="1256"/>
      <c r="C244" s="519"/>
      <c r="D244" s="3219"/>
      <c r="E244" s="756" t="s">
        <v>22</v>
      </c>
      <c r="F244" s="1264" t="s">
        <v>22</v>
      </c>
      <c r="G244" s="1264" t="s">
        <v>711</v>
      </c>
      <c r="H244" s="758" t="s">
        <v>22</v>
      </c>
      <c r="I244" s="758"/>
      <c r="J244" s="758"/>
      <c r="K244" s="758"/>
      <c r="L244" s="758"/>
      <c r="M244" s="758"/>
      <c r="N244" s="758"/>
      <c r="O244" s="758"/>
      <c r="P244" s="758"/>
      <c r="Q244" s="758"/>
      <c r="R244" s="759"/>
      <c r="S244" s="760"/>
      <c r="T244" s="825"/>
      <c r="U244" s="3119"/>
      <c r="V244" s="3119"/>
      <c r="W244" s="1256"/>
      <c r="X244" s="1256"/>
      <c r="Y244" s="1256"/>
      <c r="Z244" s="1256"/>
      <c r="AA244" s="1732"/>
      <c r="AB244" s="1256"/>
      <c r="AC244" s="3214"/>
      <c r="AD244" s="736"/>
      <c r="AE244" s="1256"/>
      <c r="AF244" s="1256"/>
      <c r="AG244" s="1732"/>
      <c r="AH244" s="1732"/>
      <c r="AI244" s="1732"/>
      <c r="AJ244" s="1732"/>
      <c r="AK244" s="1732"/>
      <c r="AL244" s="1732"/>
      <c r="AM244" s="1732"/>
      <c r="AN244" s="1732"/>
      <c r="AO244" s="1732"/>
      <c r="AP244" s="1732"/>
      <c r="AQ244" s="1732"/>
      <c r="AR244" s="1732"/>
      <c r="AS244" s="1732"/>
      <c r="AT244" s="1732"/>
      <c r="AU244" s="1732"/>
      <c r="AV244" s="1732"/>
      <c r="AW244" s="1732"/>
      <c r="AX244" s="1732"/>
      <c r="AY244" s="1732"/>
      <c r="AZ244" s="1732"/>
      <c r="BA244" s="1732"/>
      <c r="BB244" s="1732"/>
      <c r="BC244" s="1732"/>
      <c r="BD244" s="1732"/>
      <c r="BE244" s="1732"/>
      <c r="BF244" s="1732"/>
      <c r="BG244" s="1732"/>
      <c r="BH244" s="1732"/>
      <c r="BI244" s="1732"/>
      <c r="BJ244" s="1732"/>
      <c r="BK244" s="1732"/>
      <c r="BL244" s="1732"/>
      <c r="BM244" s="1732"/>
      <c r="BN244" s="1732"/>
      <c r="BO244" s="1732"/>
      <c r="BP244" s="1732"/>
      <c r="BQ244" s="1732"/>
      <c r="BR244" s="1732"/>
      <c r="BS244" s="1732"/>
      <c r="BT244" s="1732"/>
      <c r="BU244" s="1732"/>
      <c r="BV244" s="1256"/>
      <c r="BW244" s="1256"/>
      <c r="BX244" s="1256"/>
      <c r="BY244" s="1256"/>
      <c r="BZ244" s="1256"/>
      <c r="CA244" s="1256"/>
      <c r="CB244" s="1256"/>
      <c r="CC244" s="1256"/>
      <c r="CD244" s="1256"/>
      <c r="CE244" s="1256"/>
      <c r="CF244" s="1944"/>
    </row>
    <row customHeight="1" ht="5.25" hidden="1">
      <c r="A245" s="1888"/>
      <c r="B245" s="1732"/>
      <c r="C245" s="1732"/>
      <c r="D245" s="3219"/>
      <c r="E245" s="1139"/>
      <c r="F245" s="1139"/>
      <c r="G245" s="1139"/>
      <c r="H245" s="1139"/>
      <c r="I245" s="1139"/>
      <c r="J245" s="1139"/>
      <c r="K245" s="1139"/>
      <c r="L245" s="1139"/>
      <c r="M245" s="1139"/>
      <c r="N245" s="1139"/>
      <c r="O245" s="1139"/>
      <c r="P245" s="1139"/>
      <c r="Q245" s="1140"/>
      <c r="R245" s="1141"/>
      <c r="S245" s="1142"/>
      <c r="T245" s="824" t="s">
        <v>707</v>
      </c>
      <c r="U245" s="3119">
        <v>1</v>
      </c>
      <c r="V245" s="3119" t="s">
        <v>669</v>
      </c>
      <c r="W245" s="1732"/>
      <c r="X245" s="1732"/>
      <c r="Y245" s="1732"/>
      <c r="Z245" s="1732"/>
      <c r="AA245" s="1732"/>
      <c r="AB245" s="1732"/>
      <c r="AC245" s="1137"/>
      <c r="AD245" s="1138"/>
      <c r="AE245" s="1732"/>
      <c r="AF245" s="1732"/>
      <c r="AG245" s="1732"/>
      <c r="AH245" s="1732"/>
      <c r="AI245" s="1732"/>
      <c r="AJ245" s="1732"/>
      <c r="AK245" s="1732"/>
      <c r="AL245" s="1732"/>
      <c r="AM245" s="1732"/>
      <c r="AN245" s="1732"/>
      <c r="AO245" s="1732"/>
      <c r="AP245" s="1732"/>
      <c r="AQ245" s="1732"/>
      <c r="AR245" s="1732"/>
      <c r="AS245" s="1732"/>
      <c r="AT245" s="1732"/>
      <c r="AU245" s="1732"/>
      <c r="AV245" s="1732"/>
      <c r="AW245" s="1732"/>
      <c r="AX245" s="1732"/>
      <c r="AY245" s="1732"/>
      <c r="AZ245" s="1732"/>
      <c r="BA245" s="1732"/>
      <c r="BB245" s="1732"/>
      <c r="BC245" s="1732"/>
      <c r="BD245" s="1732"/>
      <c r="BE245" s="1732"/>
      <c r="BF245" s="1732"/>
      <c r="BG245" s="1732"/>
      <c r="BH245" s="1732"/>
      <c r="BI245" s="1732"/>
      <c r="BJ245" s="1732"/>
      <c r="BK245" s="1732"/>
      <c r="BL245" s="1732"/>
      <c r="BM245" s="1732"/>
      <c r="BN245" s="1732"/>
      <c r="BO245" s="1732"/>
      <c r="BP245" s="1732"/>
      <c r="BQ245" s="1732"/>
      <c r="BR245" s="1732"/>
      <c r="BS245" s="1732"/>
      <c r="BT245" s="1732"/>
      <c r="BU245" s="1732"/>
      <c r="BV245" s="1732"/>
      <c r="BW245" s="1732"/>
      <c r="BX245" s="1732"/>
      <c r="BY245" s="1732"/>
      <c r="BZ245" s="1732"/>
      <c r="CA245" s="1732"/>
      <c r="CB245" s="1732"/>
      <c r="CC245" s="1732"/>
      <c r="CD245" s="1732"/>
      <c r="CE245" s="1732"/>
      <c r="CF245" s="1412"/>
    </row>
    <row customHeight="1" ht="5.25" hidden="1">
      <c r="A246" s="1888"/>
      <c r="B246" s="1732"/>
      <c r="C246" s="1732"/>
      <c r="D246" s="3219"/>
      <c r="E246" s="742"/>
      <c r="F246" s="742"/>
      <c r="G246" s="742"/>
      <c r="H246" s="742"/>
      <c r="I246" s="742"/>
      <c r="J246" s="742"/>
      <c r="K246" s="742"/>
      <c r="L246" s="742"/>
      <c r="M246" s="742"/>
      <c r="N246" s="742"/>
      <c r="O246" s="742"/>
      <c r="P246" s="742"/>
      <c r="Q246" s="742"/>
      <c r="R246" s="742"/>
      <c r="S246" s="743"/>
      <c r="T246" s="825"/>
      <c r="U246" s="3119"/>
      <c r="V246" s="3119"/>
      <c r="W246" s="1732"/>
      <c r="X246" s="1732"/>
      <c r="Y246" s="1732"/>
      <c r="Z246" s="1732"/>
      <c r="AA246" s="1732"/>
      <c r="AB246" s="1732"/>
      <c r="AC246" s="1137"/>
      <c r="AD246" s="1138"/>
      <c r="AE246" s="1732"/>
      <c r="AF246" s="1732"/>
      <c r="AG246" s="1732"/>
      <c r="AH246" s="1732"/>
      <c r="AI246" s="1732"/>
      <c r="AJ246" s="1732"/>
      <c r="AK246" s="1732"/>
      <c r="AL246" s="1732"/>
      <c r="AM246" s="1732"/>
      <c r="AN246" s="1732"/>
      <c r="AO246" s="1732"/>
      <c r="AP246" s="1732"/>
      <c r="AQ246" s="1732"/>
      <c r="AR246" s="1732"/>
      <c r="AS246" s="1732"/>
      <c r="AT246" s="1732"/>
      <c r="AU246" s="1732"/>
      <c r="AV246" s="1732"/>
      <c r="AW246" s="1732"/>
      <c r="AX246" s="1732"/>
      <c r="AY246" s="1732"/>
      <c r="AZ246" s="1732"/>
      <c r="BA246" s="1732"/>
      <c r="BB246" s="1732"/>
      <c r="BC246" s="1732"/>
      <c r="BD246" s="1732"/>
      <c r="BE246" s="1732"/>
      <c r="BF246" s="1732"/>
      <c r="BG246" s="1732"/>
      <c r="BH246" s="1732"/>
      <c r="BI246" s="1732"/>
      <c r="BJ246" s="1732"/>
      <c r="BK246" s="1732"/>
      <c r="BL246" s="1732"/>
      <c r="BM246" s="1732"/>
      <c r="BN246" s="1732"/>
      <c r="BO246" s="1732"/>
      <c r="BP246" s="1732"/>
      <c r="BQ246" s="1732"/>
      <c r="BR246" s="1732"/>
      <c r="BS246" s="1732"/>
      <c r="BT246" s="1732"/>
      <c r="BU246" s="1732"/>
      <c r="BV246" s="1732"/>
      <c r="BW246" s="1732"/>
      <c r="BX246" s="1732"/>
      <c r="BY246" s="1732"/>
      <c r="BZ246" s="1732"/>
      <c r="CA246" s="1732"/>
      <c r="CB246" s="1732"/>
      <c r="CC246" s="1732"/>
      <c r="CD246" s="1732"/>
      <c r="CE246" s="1732"/>
      <c r="CF246" s="1412"/>
    </row>
    <row customHeight="1" ht="5.25" hidden="1">
      <c r="A247" s="1888"/>
      <c r="B247" s="1732"/>
      <c r="C247" s="1732"/>
      <c r="D247" s="3220"/>
      <c r="E247" s="1143"/>
      <c r="F247" s="1144"/>
      <c r="G247" s="1144"/>
      <c r="H247" s="1145"/>
      <c r="I247" s="1145"/>
      <c r="J247" s="1145"/>
      <c r="K247" s="1145"/>
      <c r="L247" s="1145"/>
      <c r="M247" s="1145"/>
      <c r="N247" s="1145"/>
      <c r="O247" s="1145"/>
      <c r="P247" s="1145"/>
      <c r="Q247" s="1145"/>
      <c r="R247" s="1046"/>
      <c r="S247" s="1146"/>
      <c r="T247" s="825"/>
      <c r="U247" s="3119"/>
      <c r="V247" s="3119"/>
      <c r="W247" s="1732"/>
      <c r="X247" s="1732"/>
      <c r="Y247" s="1732"/>
      <c r="Z247" s="1732"/>
      <c r="AA247" s="1732"/>
      <c r="AB247" s="1732"/>
      <c r="AC247" s="1137"/>
      <c r="AD247" s="1138"/>
      <c r="AE247" s="1732"/>
      <c r="AF247" s="1732"/>
      <c r="AG247" s="1732"/>
      <c r="AH247" s="1732"/>
      <c r="AI247" s="1732"/>
      <c r="AJ247" s="1732"/>
      <c r="AK247" s="1732"/>
      <c r="AL247" s="1732"/>
      <c r="AM247" s="1732"/>
      <c r="AN247" s="1732"/>
      <c r="AO247" s="1732"/>
      <c r="AP247" s="1732"/>
      <c r="AQ247" s="1732"/>
      <c r="AR247" s="1732"/>
      <c r="AS247" s="1732"/>
      <c r="AT247" s="1732"/>
      <c r="AU247" s="1732"/>
      <c r="AV247" s="1732"/>
      <c r="AW247" s="1732"/>
      <c r="AX247" s="1732"/>
      <c r="AY247" s="1732"/>
      <c r="AZ247" s="1732"/>
      <c r="BA247" s="1732"/>
      <c r="BB247" s="1732"/>
      <c r="BC247" s="1732"/>
      <c r="BD247" s="1732"/>
      <c r="BE247" s="1732"/>
      <c r="BF247" s="1732"/>
      <c r="BG247" s="1732"/>
      <c r="BH247" s="1732"/>
      <c r="BI247" s="1732"/>
      <c r="BJ247" s="1732"/>
      <c r="BK247" s="1732"/>
      <c r="BL247" s="1732"/>
      <c r="BM247" s="1732"/>
      <c r="BN247" s="1732"/>
      <c r="BO247" s="1732"/>
      <c r="BP247" s="1732"/>
      <c r="BQ247" s="1732"/>
      <c r="BR247" s="1732"/>
      <c r="BS247" s="1732"/>
      <c r="BT247" s="1732"/>
      <c r="BU247" s="1732"/>
      <c r="BV247" s="1732"/>
      <c r="BW247" s="1732"/>
      <c r="BX247" s="1732"/>
      <c r="BY247" s="1732"/>
      <c r="BZ247" s="1732"/>
      <c r="CA247" s="1732"/>
      <c r="CB247" s="1732"/>
      <c r="CC247" s="1732"/>
      <c r="CD247" s="1732"/>
      <c r="CE247" s="1732"/>
      <c r="CF247" s="1412"/>
    </row>
    <row customHeight="1" ht="15" hidden="1">
      <c r="A248" s="730" t="s">
        <v>188</v>
      </c>
      <c r="B248" s="731"/>
      <c r="C248" s="731" t="s">
        <v>22</v>
      </c>
      <c r="D248" s="3218" t="s">
        <v>746</v>
      </c>
      <c r="E248" s="3215" t="s">
        <v>140</v>
      </c>
      <c r="F248" s="3216"/>
      <c r="G248" s="3217"/>
      <c r="H248" s="3211" t="str">
        <f>IF(A248="","",INDEX(DIFFERENTIATION_UNMERGE_VD,MATCH(A248,DIFFERENTIATION_ID_DIFF,0)))</f>
        <v>Производство тепловой энергии. Некомбинированная выработка</v>
      </c>
      <c r="I248" s="3211"/>
      <c r="J248" s="3211"/>
      <c r="K248" s="3211"/>
      <c r="L248" s="3211"/>
      <c r="M248" s="3211"/>
      <c r="N248" s="3211"/>
      <c r="O248" s="3211"/>
      <c r="P248" s="3211"/>
      <c r="Q248" s="3211"/>
      <c r="R248" s="3211"/>
      <c r="S248" s="826"/>
      <c r="T248" s="823"/>
      <c r="U248" s="732"/>
      <c r="V248" s="732"/>
      <c r="W248" s="733"/>
      <c r="X248" s="733"/>
      <c r="Y248" s="733"/>
      <c r="Z248" s="733"/>
      <c r="AA248" s="734"/>
      <c r="AB248" s="735"/>
      <c r="AC248" s="3214"/>
      <c r="AD248" s="736"/>
      <c r="AE248" s="737" t="s">
        <v>22</v>
      </c>
      <c r="AF248" s="737"/>
      <c r="AG248" s="738" t="s">
        <v>704</v>
      </c>
      <c r="AH248" s="739">
        <v>3</v>
      </c>
      <c r="AI248" s="732"/>
      <c r="AJ248" s="732"/>
      <c r="AK248" s="732"/>
      <c r="AL248" s="732"/>
      <c r="AM248" s="732"/>
      <c r="AN248" s="732"/>
      <c r="AO248" s="732"/>
      <c r="AP248" s="732"/>
      <c r="AQ248" s="732"/>
      <c r="AR248" s="732"/>
      <c r="AS248" s="732"/>
      <c r="AT248" s="732"/>
      <c r="AU248" s="732"/>
      <c r="AV248" s="732"/>
      <c r="AW248" s="732"/>
      <c r="AX248" s="732"/>
      <c r="AY248" s="732"/>
      <c r="AZ248" s="732"/>
      <c r="BA248" s="732"/>
      <c r="BB248" s="732"/>
      <c r="BC248" s="732"/>
      <c r="BD248" s="732"/>
      <c r="BE248" s="732"/>
      <c r="BF248" s="732"/>
      <c r="BG248" s="732"/>
      <c r="BH248" s="732"/>
      <c r="BI248" s="732"/>
      <c r="BJ248" s="732"/>
      <c r="BK248" s="732"/>
      <c r="BL248" s="732"/>
      <c r="BM248" s="732"/>
      <c r="BN248" s="732"/>
      <c r="BO248" s="732"/>
      <c r="BP248" s="732"/>
      <c r="BQ248" s="732"/>
      <c r="BR248" s="732"/>
      <c r="BS248" s="732"/>
      <c r="BT248" s="732"/>
      <c r="BU248" s="732"/>
      <c r="BV248" s="733"/>
      <c r="BW248" s="733"/>
      <c r="BX248" s="733"/>
      <c r="BY248" s="733"/>
      <c r="BZ248" s="733"/>
      <c r="CA248" s="733"/>
      <c r="CB248" s="733"/>
      <c r="CC248" s="733"/>
      <c r="CD248" s="733"/>
      <c r="CE248" s="733"/>
      <c r="CF248" s="1944"/>
    </row>
    <row customHeight="1" ht="15" hidden="1">
      <c r="A249" s="730"/>
      <c r="B249" s="731"/>
      <c r="C249" s="731"/>
      <c r="D249" s="3219"/>
      <c r="E249" s="3215" t="s">
        <v>649</v>
      </c>
      <c r="F249" s="3216"/>
      <c r="G249" s="3217"/>
      <c r="H249" s="3211" t="str">
        <f>IF(A248="","",INDEX(DIFFERENTIATION_UNMERGE_AREA,MATCH(A248,DIFFERENTIATION_ID_DIFF,0)))</f>
        <v>без дифференциации</v>
      </c>
      <c r="I249" s="3211"/>
      <c r="J249" s="3211"/>
      <c r="K249" s="3211"/>
      <c r="L249" s="3211"/>
      <c r="M249" s="3211"/>
      <c r="N249" s="3211"/>
      <c r="O249" s="3211"/>
      <c r="P249" s="3211"/>
      <c r="Q249" s="3211"/>
      <c r="R249" s="3211"/>
      <c r="S249" s="826"/>
      <c r="T249" s="823"/>
      <c r="U249" s="732"/>
      <c r="V249" s="732"/>
      <c r="W249" s="733"/>
      <c r="X249" s="733"/>
      <c r="Y249" s="733"/>
      <c r="Z249" s="733"/>
      <c r="AA249" s="734"/>
      <c r="AB249" s="735"/>
      <c r="AC249" s="3214"/>
      <c r="AD249" s="736"/>
      <c r="AE249" s="737"/>
      <c r="AF249" s="737"/>
      <c r="AG249" s="738"/>
      <c r="AH249" s="739"/>
      <c r="AI249" s="732"/>
      <c r="AJ249" s="732"/>
      <c r="AK249" s="732"/>
      <c r="AL249" s="732"/>
      <c r="AM249" s="732"/>
      <c r="AN249" s="732"/>
      <c r="AO249" s="732"/>
      <c r="AP249" s="732"/>
      <c r="AQ249" s="732"/>
      <c r="AR249" s="732"/>
      <c r="AS249" s="732"/>
      <c r="AT249" s="732"/>
      <c r="AU249" s="732"/>
      <c r="AV249" s="732"/>
      <c r="AW249" s="732"/>
      <c r="AX249" s="732"/>
      <c r="AY249" s="732"/>
      <c r="AZ249" s="732"/>
      <c r="BA249" s="732"/>
      <c r="BB249" s="732"/>
      <c r="BC249" s="732"/>
      <c r="BD249" s="732"/>
      <c r="BE249" s="732"/>
      <c r="BF249" s="732"/>
      <c r="BG249" s="732"/>
      <c r="BH249" s="732"/>
      <c r="BI249" s="732"/>
      <c r="BJ249" s="732"/>
      <c r="BK249" s="732"/>
      <c r="BL249" s="732"/>
      <c r="BM249" s="732"/>
      <c r="BN249" s="732"/>
      <c r="BO249" s="732"/>
      <c r="BP249" s="732"/>
      <c r="BQ249" s="732"/>
      <c r="BR249" s="732"/>
      <c r="BS249" s="732"/>
      <c r="BT249" s="732"/>
      <c r="BU249" s="732"/>
      <c r="BV249" s="733"/>
      <c r="BW249" s="733"/>
      <c r="BX249" s="733"/>
      <c r="BY249" s="733"/>
      <c r="BZ249" s="733"/>
      <c r="CA249" s="733"/>
      <c r="CB249" s="733"/>
      <c r="CC249" s="733"/>
      <c r="CD249" s="733"/>
      <c r="CE249" s="733"/>
      <c r="CF249" s="1944"/>
    </row>
    <row customHeight="1" ht="15" hidden="1">
      <c r="A250" s="730"/>
      <c r="B250" s="731"/>
      <c r="C250" s="731"/>
      <c r="D250" s="3219"/>
      <c r="E250" s="3215" t="s">
        <v>650</v>
      </c>
      <c r="F250" s="3216"/>
      <c r="G250" s="3217"/>
      <c r="H250" s="3211" t="str">
        <f>IF(A248="","",INDEX(DIFFERENTIATION_UNMERGE_SYSTEM,MATCH(A248,DIFFERENTIATION_ID_DIFF,0)))</f>
        <v>котельная "Дземги"</v>
      </c>
      <c r="I250" s="3211"/>
      <c r="J250" s="3211"/>
      <c r="K250" s="3211"/>
      <c r="L250" s="3211"/>
      <c r="M250" s="3211"/>
      <c r="N250" s="3211"/>
      <c r="O250" s="3211"/>
      <c r="P250" s="3211"/>
      <c r="Q250" s="3211"/>
      <c r="R250" s="3211"/>
      <c r="S250" s="826"/>
      <c r="T250" s="823"/>
      <c r="U250" s="732"/>
      <c r="V250" s="732"/>
      <c r="W250" s="733"/>
      <c r="X250" s="733"/>
      <c r="Y250" s="733"/>
      <c r="Z250" s="733"/>
      <c r="AA250" s="734"/>
      <c r="AB250" s="735"/>
      <c r="AC250" s="3214"/>
      <c r="AD250" s="736"/>
      <c r="AE250" s="737"/>
      <c r="AF250" s="737"/>
      <c r="AG250" s="738"/>
      <c r="AH250" s="739"/>
      <c r="AI250" s="732"/>
      <c r="AJ250" s="732"/>
      <c r="AK250" s="732"/>
      <c r="AL250" s="732"/>
      <c r="AM250" s="732"/>
      <c r="AN250" s="732"/>
      <c r="AO250" s="732"/>
      <c r="AP250" s="732"/>
      <c r="AQ250" s="732"/>
      <c r="AR250" s="732"/>
      <c r="AS250" s="732"/>
      <c r="AT250" s="732"/>
      <c r="AU250" s="732"/>
      <c r="AV250" s="732"/>
      <c r="AW250" s="732"/>
      <c r="AX250" s="732"/>
      <c r="AY250" s="732"/>
      <c r="AZ250" s="732"/>
      <c r="BA250" s="732"/>
      <c r="BB250" s="732"/>
      <c r="BC250" s="732"/>
      <c r="BD250" s="732"/>
      <c r="BE250" s="732"/>
      <c r="BF250" s="732"/>
      <c r="BG250" s="732"/>
      <c r="BH250" s="732"/>
      <c r="BI250" s="732"/>
      <c r="BJ250" s="732"/>
      <c r="BK250" s="732"/>
      <c r="BL250" s="732"/>
      <c r="BM250" s="732"/>
      <c r="BN250" s="732"/>
      <c r="BO250" s="732"/>
      <c r="BP250" s="732"/>
      <c r="BQ250" s="732"/>
      <c r="BR250" s="732"/>
      <c r="BS250" s="732"/>
      <c r="BT250" s="732"/>
      <c r="BU250" s="732"/>
      <c r="BV250" s="733"/>
      <c r="BW250" s="733"/>
      <c r="BX250" s="733"/>
      <c r="BY250" s="733"/>
      <c r="BZ250" s="733"/>
      <c r="CA250" s="733"/>
      <c r="CB250" s="733"/>
      <c r="CC250" s="733"/>
      <c r="CD250" s="733"/>
      <c r="CE250" s="733"/>
      <c r="CF250" s="1944"/>
    </row>
    <row customHeight="1" ht="24.75" hidden="1">
      <c r="A251" s="1901"/>
      <c r="B251" s="1256"/>
      <c r="C251" s="519"/>
      <c r="D251" s="3219"/>
      <c r="E251" s="3213" t="s">
        <v>705</v>
      </c>
      <c r="F251" s="3213"/>
      <c r="G251" s="3213"/>
      <c r="H251" s="3213"/>
      <c r="I251" s="3213"/>
      <c r="J251" s="3213"/>
      <c r="K251" s="3213"/>
      <c r="L251" s="3213"/>
      <c r="M251" s="3213"/>
      <c r="N251" s="3213"/>
      <c r="O251" s="3213"/>
      <c r="P251" s="3213"/>
      <c r="Q251" s="665">
        <f>SUMIF(T252:T253,"i",Q252:Q253)</f>
        <v>0</v>
      </c>
      <c r="R251" s="1117"/>
      <c r="S251" s="1893" t="s">
        <v>706</v>
      </c>
      <c r="T251" s="824" t="s">
        <v>707</v>
      </c>
      <c r="U251" s="3119">
        <v>1</v>
      </c>
      <c r="V251" s="3119" t="str">
        <f>INDEX(B_FHD_FLAG_INDEX_1,1,MATCH($A$248,B_FHD_FLAG_DIFFERENTIATION,0))</f>
        <v>отсутствует</v>
      </c>
      <c r="W251" s="1256"/>
      <c r="X251" s="1256"/>
      <c r="Y251" s="1256"/>
      <c r="Z251" s="1256"/>
      <c r="AA251" s="1732"/>
      <c r="AB251" s="1256"/>
      <c r="AC251" s="3214"/>
      <c r="AD251" s="736"/>
      <c r="AE251" s="1256"/>
      <c r="AF251" s="1256"/>
      <c r="AG251" s="1732"/>
      <c r="AH251" s="1732"/>
      <c r="AI251" s="1732"/>
      <c r="AJ251" s="1732"/>
      <c r="AK251" s="1732"/>
      <c r="AL251" s="1732"/>
      <c r="AM251" s="1732"/>
      <c r="AN251" s="1732"/>
      <c r="AO251" s="1732"/>
      <c r="AP251" s="1732"/>
      <c r="AQ251" s="1732"/>
      <c r="AR251" s="1732"/>
      <c r="AS251" s="1732"/>
      <c r="AT251" s="1732"/>
      <c r="AU251" s="1732"/>
      <c r="AV251" s="1732"/>
      <c r="AW251" s="1732"/>
      <c r="AX251" s="1732"/>
      <c r="AY251" s="1732"/>
      <c r="AZ251" s="1732"/>
      <c r="BA251" s="1732"/>
      <c r="BB251" s="1732"/>
      <c r="BC251" s="1732"/>
      <c r="BD251" s="1732"/>
      <c r="BE251" s="1732"/>
      <c r="BF251" s="1732"/>
      <c r="BG251" s="1732"/>
      <c r="BH251" s="1732"/>
      <c r="BI251" s="1732"/>
      <c r="BJ251" s="1732"/>
      <c r="BK251" s="1732"/>
      <c r="BL251" s="1732"/>
      <c r="BM251" s="1732"/>
      <c r="BN251" s="1732"/>
      <c r="BO251" s="1732"/>
      <c r="BP251" s="1732"/>
      <c r="BQ251" s="1732"/>
      <c r="BR251" s="1732"/>
      <c r="BS251" s="1732"/>
      <c r="BT251" s="1732"/>
      <c r="BU251" s="1732"/>
      <c r="BV251" s="1256"/>
      <c r="BW251" s="1256"/>
      <c r="BX251" s="1256"/>
      <c r="BY251" s="1256"/>
      <c r="BZ251" s="1256"/>
      <c r="CA251" s="1256"/>
      <c r="CB251" s="1256"/>
      <c r="CC251" s="1256"/>
      <c r="CD251" s="1256"/>
      <c r="CE251" s="1256"/>
      <c r="CF251" s="1944"/>
    </row>
    <row customHeight="1" ht="11.25" hidden="1">
      <c r="A252" s="1888"/>
      <c r="B252" s="1732"/>
      <c r="C252" s="1732"/>
      <c r="D252" s="3219"/>
      <c r="E252" s="742"/>
      <c r="F252" s="742">
        <v>0</v>
      </c>
      <c r="G252" s="742"/>
      <c r="H252" s="742"/>
      <c r="I252" s="742"/>
      <c r="J252" s="742"/>
      <c r="K252" s="742"/>
      <c r="L252" s="742"/>
      <c r="M252" s="742"/>
      <c r="N252" s="742"/>
      <c r="O252" s="742"/>
      <c r="P252" s="742"/>
      <c r="Q252" s="742"/>
      <c r="R252" s="742"/>
      <c r="S252" s="743"/>
      <c r="T252" s="825"/>
      <c r="U252" s="3119"/>
      <c r="V252" s="3119"/>
      <c r="W252" s="1732"/>
      <c r="X252" s="1732"/>
      <c r="Y252" s="1732"/>
      <c r="Z252" s="1732"/>
      <c r="AA252" s="1732"/>
      <c r="AB252" s="1256"/>
      <c r="AC252" s="3214"/>
      <c r="AD252" s="736"/>
      <c r="AE252" s="1256"/>
      <c r="AF252" s="1256"/>
      <c r="AG252" s="1732"/>
      <c r="AH252" s="1732"/>
      <c r="AI252" s="1732"/>
      <c r="AJ252" s="1732"/>
      <c r="AK252" s="1732"/>
      <c r="AL252" s="1732"/>
      <c r="AM252" s="1732"/>
      <c r="AN252" s="1732"/>
      <c r="AO252" s="1732"/>
      <c r="AP252" s="1732"/>
      <c r="AQ252" s="1732"/>
      <c r="AR252" s="1732"/>
      <c r="AS252" s="1732"/>
      <c r="AT252" s="1732"/>
      <c r="AU252" s="1732"/>
      <c r="AV252" s="1732"/>
      <c r="AW252" s="1732"/>
      <c r="AX252" s="1732"/>
      <c r="AY252" s="1732"/>
      <c r="AZ252" s="1732"/>
      <c r="BA252" s="1732"/>
      <c r="BB252" s="1732"/>
      <c r="BC252" s="1732"/>
      <c r="BD252" s="1732"/>
      <c r="BE252" s="1732"/>
      <c r="BF252" s="1732"/>
      <c r="BG252" s="1732"/>
      <c r="BH252" s="1732"/>
      <c r="BI252" s="1732"/>
      <c r="BJ252" s="1732"/>
      <c r="BK252" s="1732"/>
      <c r="BL252" s="1732"/>
      <c r="BM252" s="1732"/>
      <c r="BN252" s="1732"/>
      <c r="BO252" s="1732"/>
      <c r="BP252" s="1732"/>
      <c r="BQ252" s="1732"/>
      <c r="BR252" s="1732"/>
      <c r="BS252" s="1732"/>
      <c r="BT252" s="1732"/>
      <c r="BU252" s="1732"/>
      <c r="BV252" s="1732"/>
      <c r="BW252" s="1732"/>
      <c r="BX252" s="1732"/>
      <c r="BY252" s="1732"/>
      <c r="BZ252" s="1732"/>
      <c r="CA252" s="1732"/>
      <c r="CB252" s="1732"/>
      <c r="CC252" s="1732"/>
      <c r="CD252" s="1732"/>
      <c r="CE252" s="1732"/>
      <c r="CF252" s="1944"/>
    </row>
    <row customHeight="1" ht="11.25" hidden="1">
      <c r="A253" s="1901"/>
      <c r="B253" s="1256"/>
      <c r="C253" s="519"/>
      <c r="D253" s="3219"/>
      <c r="E253" s="756" t="s">
        <v>22</v>
      </c>
      <c r="F253" s="1264" t="s">
        <v>22</v>
      </c>
      <c r="G253" s="1264" t="s">
        <v>711</v>
      </c>
      <c r="H253" s="758" t="s">
        <v>22</v>
      </c>
      <c r="I253" s="758"/>
      <c r="J253" s="758"/>
      <c r="K253" s="758"/>
      <c r="L253" s="758"/>
      <c r="M253" s="758"/>
      <c r="N253" s="758"/>
      <c r="O253" s="758"/>
      <c r="P253" s="758"/>
      <c r="Q253" s="758"/>
      <c r="R253" s="759"/>
      <c r="S253" s="760"/>
      <c r="T253" s="825"/>
      <c r="U253" s="3119"/>
      <c r="V253" s="3119"/>
      <c r="W253" s="1256"/>
      <c r="X253" s="1256"/>
      <c r="Y253" s="1256"/>
      <c r="Z253" s="1256"/>
      <c r="AA253" s="1732"/>
      <c r="AB253" s="1256"/>
      <c r="AC253" s="3214"/>
      <c r="AD253" s="736"/>
      <c r="AE253" s="1256"/>
      <c r="AF253" s="1256"/>
      <c r="AG253" s="1732"/>
      <c r="AH253" s="1732"/>
      <c r="AI253" s="1732"/>
      <c r="AJ253" s="1732"/>
      <c r="AK253" s="1732"/>
      <c r="AL253" s="1732"/>
      <c r="AM253" s="1732"/>
      <c r="AN253" s="1732"/>
      <c r="AO253" s="1732"/>
      <c r="AP253" s="1732"/>
      <c r="AQ253" s="1732"/>
      <c r="AR253" s="1732"/>
      <c r="AS253" s="1732"/>
      <c r="AT253" s="1732"/>
      <c r="AU253" s="1732"/>
      <c r="AV253" s="1732"/>
      <c r="AW253" s="1732"/>
      <c r="AX253" s="1732"/>
      <c r="AY253" s="1732"/>
      <c r="AZ253" s="1732"/>
      <c r="BA253" s="1732"/>
      <c r="BB253" s="1732"/>
      <c r="BC253" s="1732"/>
      <c r="BD253" s="1732"/>
      <c r="BE253" s="1732"/>
      <c r="BF253" s="1732"/>
      <c r="BG253" s="1732"/>
      <c r="BH253" s="1732"/>
      <c r="BI253" s="1732"/>
      <c r="BJ253" s="1732"/>
      <c r="BK253" s="1732"/>
      <c r="BL253" s="1732"/>
      <c r="BM253" s="1732"/>
      <c r="BN253" s="1732"/>
      <c r="BO253" s="1732"/>
      <c r="BP253" s="1732"/>
      <c r="BQ253" s="1732"/>
      <c r="BR253" s="1732"/>
      <c r="BS253" s="1732"/>
      <c r="BT253" s="1732"/>
      <c r="BU253" s="1732"/>
      <c r="BV253" s="1256"/>
      <c r="BW253" s="1256"/>
      <c r="BX253" s="1256"/>
      <c r="BY253" s="1256"/>
      <c r="BZ253" s="1256"/>
      <c r="CA253" s="1256"/>
      <c r="CB253" s="1256"/>
      <c r="CC253" s="1256"/>
      <c r="CD253" s="1256"/>
      <c r="CE253" s="1256"/>
      <c r="CF253" s="1944"/>
    </row>
    <row customHeight="1" ht="5.25" hidden="1">
      <c r="A254" s="1888"/>
      <c r="B254" s="1732"/>
      <c r="C254" s="1732"/>
      <c r="D254" s="3219"/>
      <c r="E254" s="1139"/>
      <c r="F254" s="1139"/>
      <c r="G254" s="1139"/>
      <c r="H254" s="1139"/>
      <c r="I254" s="1139"/>
      <c r="J254" s="1139"/>
      <c r="K254" s="1139"/>
      <c r="L254" s="1139"/>
      <c r="M254" s="1139"/>
      <c r="N254" s="1139"/>
      <c r="O254" s="1139"/>
      <c r="P254" s="1139"/>
      <c r="Q254" s="1140"/>
      <c r="R254" s="1141"/>
      <c r="S254" s="1142"/>
      <c r="T254" s="824" t="s">
        <v>707</v>
      </c>
      <c r="U254" s="3119">
        <v>1</v>
      </c>
      <c r="V254" s="3119" t="s">
        <v>669</v>
      </c>
      <c r="W254" s="1732"/>
      <c r="X254" s="1732"/>
      <c r="Y254" s="1732"/>
      <c r="Z254" s="1732"/>
      <c r="AA254" s="1732"/>
      <c r="AB254" s="1732"/>
      <c r="AC254" s="1137"/>
      <c r="AD254" s="1138"/>
      <c r="AE254" s="1732"/>
      <c r="AF254" s="1732"/>
      <c r="AG254" s="1732"/>
      <c r="AH254" s="1732"/>
      <c r="AI254" s="1732"/>
      <c r="AJ254" s="1732"/>
      <c r="AK254" s="1732"/>
      <c r="AL254" s="1732"/>
      <c r="AM254" s="1732"/>
      <c r="AN254" s="1732"/>
      <c r="AO254" s="1732"/>
      <c r="AP254" s="1732"/>
      <c r="AQ254" s="1732"/>
      <c r="AR254" s="1732"/>
      <c r="AS254" s="1732"/>
      <c r="AT254" s="1732"/>
      <c r="AU254" s="1732"/>
      <c r="AV254" s="1732"/>
      <c r="AW254" s="1732"/>
      <c r="AX254" s="1732"/>
      <c r="AY254" s="1732"/>
      <c r="AZ254" s="1732"/>
      <c r="BA254" s="1732"/>
      <c r="BB254" s="1732"/>
      <c r="BC254" s="1732"/>
      <c r="BD254" s="1732"/>
      <c r="BE254" s="1732"/>
      <c r="BF254" s="1732"/>
      <c r="BG254" s="1732"/>
      <c r="BH254" s="1732"/>
      <c r="BI254" s="1732"/>
      <c r="BJ254" s="1732"/>
      <c r="BK254" s="1732"/>
      <c r="BL254" s="1732"/>
      <c r="BM254" s="1732"/>
      <c r="BN254" s="1732"/>
      <c r="BO254" s="1732"/>
      <c r="BP254" s="1732"/>
      <c r="BQ254" s="1732"/>
      <c r="BR254" s="1732"/>
      <c r="BS254" s="1732"/>
      <c r="BT254" s="1732"/>
      <c r="BU254" s="1732"/>
      <c r="BV254" s="1732"/>
      <c r="BW254" s="1732"/>
      <c r="BX254" s="1732"/>
      <c r="BY254" s="1732"/>
      <c r="BZ254" s="1732"/>
      <c r="CA254" s="1732"/>
      <c r="CB254" s="1732"/>
      <c r="CC254" s="1732"/>
      <c r="CD254" s="1732"/>
      <c r="CE254" s="1732"/>
      <c r="CF254" s="1412"/>
    </row>
    <row customHeight="1" ht="5.25" hidden="1">
      <c r="A255" s="1888"/>
      <c r="B255" s="1732"/>
      <c r="C255" s="1732"/>
      <c r="D255" s="3219"/>
      <c r="E255" s="742"/>
      <c r="F255" s="742"/>
      <c r="G255" s="742"/>
      <c r="H255" s="742"/>
      <c r="I255" s="742"/>
      <c r="J255" s="742"/>
      <c r="K255" s="742"/>
      <c r="L255" s="742"/>
      <c r="M255" s="742"/>
      <c r="N255" s="742"/>
      <c r="O255" s="742"/>
      <c r="P255" s="742"/>
      <c r="Q255" s="742"/>
      <c r="R255" s="742"/>
      <c r="S255" s="743"/>
      <c r="T255" s="825"/>
      <c r="U255" s="3119"/>
      <c r="V255" s="3119"/>
      <c r="W255" s="1732"/>
      <c r="X255" s="1732"/>
      <c r="Y255" s="1732"/>
      <c r="Z255" s="1732"/>
      <c r="AA255" s="1732"/>
      <c r="AB255" s="1732"/>
      <c r="AC255" s="1137"/>
      <c r="AD255" s="1138"/>
      <c r="AE255" s="1732"/>
      <c r="AF255" s="1732"/>
      <c r="AG255" s="1732"/>
      <c r="AH255" s="1732"/>
      <c r="AI255" s="1732"/>
      <c r="AJ255" s="1732"/>
      <c r="AK255" s="1732"/>
      <c r="AL255" s="1732"/>
      <c r="AM255" s="1732"/>
      <c r="AN255" s="1732"/>
      <c r="AO255" s="1732"/>
      <c r="AP255" s="1732"/>
      <c r="AQ255" s="1732"/>
      <c r="AR255" s="1732"/>
      <c r="AS255" s="1732"/>
      <c r="AT255" s="1732"/>
      <c r="AU255" s="1732"/>
      <c r="AV255" s="1732"/>
      <c r="AW255" s="1732"/>
      <c r="AX255" s="1732"/>
      <c r="AY255" s="1732"/>
      <c r="AZ255" s="1732"/>
      <c r="BA255" s="1732"/>
      <c r="BB255" s="1732"/>
      <c r="BC255" s="1732"/>
      <c r="BD255" s="1732"/>
      <c r="BE255" s="1732"/>
      <c r="BF255" s="1732"/>
      <c r="BG255" s="1732"/>
      <c r="BH255" s="1732"/>
      <c r="BI255" s="1732"/>
      <c r="BJ255" s="1732"/>
      <c r="BK255" s="1732"/>
      <c r="BL255" s="1732"/>
      <c r="BM255" s="1732"/>
      <c r="BN255" s="1732"/>
      <c r="BO255" s="1732"/>
      <c r="BP255" s="1732"/>
      <c r="BQ255" s="1732"/>
      <c r="BR255" s="1732"/>
      <c r="BS255" s="1732"/>
      <c r="BT255" s="1732"/>
      <c r="BU255" s="1732"/>
      <c r="BV255" s="1732"/>
      <c r="BW255" s="1732"/>
      <c r="BX255" s="1732"/>
      <c r="BY255" s="1732"/>
      <c r="BZ255" s="1732"/>
      <c r="CA255" s="1732"/>
      <c r="CB255" s="1732"/>
      <c r="CC255" s="1732"/>
      <c r="CD255" s="1732"/>
      <c r="CE255" s="1732"/>
      <c r="CF255" s="1412"/>
    </row>
    <row customHeight="1" ht="5.25" hidden="1">
      <c r="A256" s="1888"/>
      <c r="B256" s="1732"/>
      <c r="C256" s="1732"/>
      <c r="D256" s="3220"/>
      <c r="E256" s="1143"/>
      <c r="F256" s="1144"/>
      <c r="G256" s="1144"/>
      <c r="H256" s="1145"/>
      <c r="I256" s="1145"/>
      <c r="J256" s="1145"/>
      <c r="K256" s="1145"/>
      <c r="L256" s="1145"/>
      <c r="M256" s="1145"/>
      <c r="N256" s="1145"/>
      <c r="O256" s="1145"/>
      <c r="P256" s="1145"/>
      <c r="Q256" s="1145"/>
      <c r="R256" s="1046"/>
      <c r="S256" s="1146"/>
      <c r="T256" s="825"/>
      <c r="U256" s="3119"/>
      <c r="V256" s="3119"/>
      <c r="W256" s="1732"/>
      <c r="X256" s="1732"/>
      <c r="Y256" s="1732"/>
      <c r="Z256" s="1732"/>
      <c r="AA256" s="1732"/>
      <c r="AB256" s="1732"/>
      <c r="AC256" s="1137"/>
      <c r="AD256" s="1138"/>
      <c r="AE256" s="1732"/>
      <c r="AF256" s="1732"/>
      <c r="AG256" s="1732"/>
      <c r="AH256" s="1732"/>
      <c r="AI256" s="1732"/>
      <c r="AJ256" s="1732"/>
      <c r="AK256" s="1732"/>
      <c r="AL256" s="1732"/>
      <c r="AM256" s="1732"/>
      <c r="AN256" s="1732"/>
      <c r="AO256" s="1732"/>
      <c r="AP256" s="1732"/>
      <c r="AQ256" s="1732"/>
      <c r="AR256" s="1732"/>
      <c r="AS256" s="1732"/>
      <c r="AT256" s="1732"/>
      <c r="AU256" s="1732"/>
      <c r="AV256" s="1732"/>
      <c r="AW256" s="1732"/>
      <c r="AX256" s="1732"/>
      <c r="AY256" s="1732"/>
      <c r="AZ256" s="1732"/>
      <c r="BA256" s="1732"/>
      <c r="BB256" s="1732"/>
      <c r="BC256" s="1732"/>
      <c r="BD256" s="1732"/>
      <c r="BE256" s="1732"/>
      <c r="BF256" s="1732"/>
      <c r="BG256" s="1732"/>
      <c r="BH256" s="1732"/>
      <c r="BI256" s="1732"/>
      <c r="BJ256" s="1732"/>
      <c r="BK256" s="1732"/>
      <c r="BL256" s="1732"/>
      <c r="BM256" s="1732"/>
      <c r="BN256" s="1732"/>
      <c r="BO256" s="1732"/>
      <c r="BP256" s="1732"/>
      <c r="BQ256" s="1732"/>
      <c r="BR256" s="1732"/>
      <c r="BS256" s="1732"/>
      <c r="BT256" s="1732"/>
      <c r="BU256" s="1732"/>
      <c r="BV256" s="1732"/>
      <c r="BW256" s="1732"/>
      <c r="BX256" s="1732"/>
      <c r="BY256" s="1732"/>
      <c r="BZ256" s="1732"/>
      <c r="CA256" s="1732"/>
      <c r="CB256" s="1732"/>
      <c r="CC256" s="1732"/>
      <c r="CD256" s="1732"/>
      <c r="CE256" s="1732"/>
      <c r="CF256" s="1412"/>
    </row>
    <row customHeight="1" ht="15" hidden="1">
      <c r="A257" s="730" t="s">
        <v>190</v>
      </c>
      <c r="B257" s="731"/>
      <c r="C257" s="731" t="s">
        <v>22</v>
      </c>
      <c r="D257" s="3218" t="s">
        <v>747</v>
      </c>
      <c r="E257" s="3215" t="s">
        <v>140</v>
      </c>
      <c r="F257" s="3216"/>
      <c r="G257" s="3217"/>
      <c r="H257" s="3211" t="str">
        <f>IF(A257="","",INDEX(DIFFERENTIATION_UNMERGE_VD,MATCH(A257,DIFFERENTIATION_ID_DIFF,0)))</f>
        <v>Производство тепловой энергии. Некомбинированная выработка</v>
      </c>
      <c r="I257" s="3211"/>
      <c r="J257" s="3211"/>
      <c r="K257" s="3211"/>
      <c r="L257" s="3211"/>
      <c r="M257" s="3211"/>
      <c r="N257" s="3211"/>
      <c r="O257" s="3211"/>
      <c r="P257" s="3211"/>
      <c r="Q257" s="3211"/>
      <c r="R257" s="3211"/>
      <c r="S257" s="826"/>
      <c r="T257" s="823"/>
      <c r="U257" s="732"/>
      <c r="V257" s="732"/>
      <c r="W257" s="733"/>
      <c r="X257" s="733"/>
      <c r="Y257" s="733"/>
      <c r="Z257" s="733"/>
      <c r="AA257" s="734"/>
      <c r="AB257" s="735"/>
      <c r="AC257" s="3214"/>
      <c r="AD257" s="736"/>
      <c r="AE257" s="737" t="s">
        <v>22</v>
      </c>
      <c r="AF257" s="737"/>
      <c r="AG257" s="738" t="s">
        <v>704</v>
      </c>
      <c r="AH257" s="739">
        <v>3</v>
      </c>
      <c r="AI257" s="732"/>
      <c r="AJ257" s="732"/>
      <c r="AK257" s="732"/>
      <c r="AL257" s="732"/>
      <c r="AM257" s="732"/>
      <c r="AN257" s="732"/>
      <c r="AO257" s="732"/>
      <c r="AP257" s="732"/>
      <c r="AQ257" s="732"/>
      <c r="AR257" s="732"/>
      <c r="AS257" s="732"/>
      <c r="AT257" s="732"/>
      <c r="AU257" s="732"/>
      <c r="AV257" s="732"/>
      <c r="AW257" s="732"/>
      <c r="AX257" s="732"/>
      <c r="AY257" s="732"/>
      <c r="AZ257" s="732"/>
      <c r="BA257" s="732"/>
      <c r="BB257" s="732"/>
      <c r="BC257" s="732"/>
      <c r="BD257" s="732"/>
      <c r="BE257" s="732"/>
      <c r="BF257" s="732"/>
      <c r="BG257" s="732"/>
      <c r="BH257" s="732"/>
      <c r="BI257" s="732"/>
      <c r="BJ257" s="732"/>
      <c r="BK257" s="732"/>
      <c r="BL257" s="732"/>
      <c r="BM257" s="732"/>
      <c r="BN257" s="732"/>
      <c r="BO257" s="732"/>
      <c r="BP257" s="732"/>
      <c r="BQ257" s="732"/>
      <c r="BR257" s="732"/>
      <c r="BS257" s="732"/>
      <c r="BT257" s="732"/>
      <c r="BU257" s="732"/>
      <c r="BV257" s="733"/>
      <c r="BW257" s="733"/>
      <c r="BX257" s="733"/>
      <c r="BY257" s="733"/>
      <c r="BZ257" s="733"/>
      <c r="CA257" s="733"/>
      <c r="CB257" s="733"/>
      <c r="CC257" s="733"/>
      <c r="CD257" s="733"/>
      <c r="CE257" s="733"/>
      <c r="CF257" s="1944"/>
    </row>
    <row customHeight="1" ht="15" hidden="1">
      <c r="A258" s="730"/>
      <c r="B258" s="731"/>
      <c r="C258" s="731"/>
      <c r="D258" s="3219"/>
      <c r="E258" s="3215" t="s">
        <v>649</v>
      </c>
      <c r="F258" s="3216"/>
      <c r="G258" s="3217"/>
      <c r="H258" s="3211" t="str">
        <f>IF(A257="","",INDEX(DIFFERENTIATION_UNMERGE_AREA,MATCH(A257,DIFFERENTIATION_ID_DIFF,0)))</f>
        <v>без дифференциации</v>
      </c>
      <c r="I258" s="3211"/>
      <c r="J258" s="3211"/>
      <c r="K258" s="3211"/>
      <c r="L258" s="3211"/>
      <c r="M258" s="3211"/>
      <c r="N258" s="3211"/>
      <c r="O258" s="3211"/>
      <c r="P258" s="3211"/>
      <c r="Q258" s="3211"/>
      <c r="R258" s="3211"/>
      <c r="S258" s="826"/>
      <c r="T258" s="823"/>
      <c r="U258" s="732"/>
      <c r="V258" s="732"/>
      <c r="W258" s="733"/>
      <c r="X258" s="733"/>
      <c r="Y258" s="733"/>
      <c r="Z258" s="733"/>
      <c r="AA258" s="734"/>
      <c r="AB258" s="735"/>
      <c r="AC258" s="3214"/>
      <c r="AD258" s="736"/>
      <c r="AE258" s="737"/>
      <c r="AF258" s="737"/>
      <c r="AG258" s="738"/>
      <c r="AH258" s="739"/>
      <c r="AI258" s="732"/>
      <c r="AJ258" s="732"/>
      <c r="AK258" s="732"/>
      <c r="AL258" s="732"/>
      <c r="AM258" s="732"/>
      <c r="AN258" s="732"/>
      <c r="AO258" s="732"/>
      <c r="AP258" s="732"/>
      <c r="AQ258" s="732"/>
      <c r="AR258" s="732"/>
      <c r="AS258" s="732"/>
      <c r="AT258" s="732"/>
      <c r="AU258" s="732"/>
      <c r="AV258" s="732"/>
      <c r="AW258" s="732"/>
      <c r="AX258" s="732"/>
      <c r="AY258" s="732"/>
      <c r="AZ258" s="732"/>
      <c r="BA258" s="732"/>
      <c r="BB258" s="732"/>
      <c r="BC258" s="732"/>
      <c r="BD258" s="732"/>
      <c r="BE258" s="732"/>
      <c r="BF258" s="732"/>
      <c r="BG258" s="732"/>
      <c r="BH258" s="732"/>
      <c r="BI258" s="732"/>
      <c r="BJ258" s="732"/>
      <c r="BK258" s="732"/>
      <c r="BL258" s="732"/>
      <c r="BM258" s="732"/>
      <c r="BN258" s="732"/>
      <c r="BO258" s="732"/>
      <c r="BP258" s="732"/>
      <c r="BQ258" s="732"/>
      <c r="BR258" s="732"/>
      <c r="BS258" s="732"/>
      <c r="BT258" s="732"/>
      <c r="BU258" s="732"/>
      <c r="BV258" s="733"/>
      <c r="BW258" s="733"/>
      <c r="BX258" s="733"/>
      <c r="BY258" s="733"/>
      <c r="BZ258" s="733"/>
      <c r="CA258" s="733"/>
      <c r="CB258" s="733"/>
      <c r="CC258" s="733"/>
      <c r="CD258" s="733"/>
      <c r="CE258" s="733"/>
      <c r="CF258" s="1944"/>
    </row>
    <row customHeight="1" ht="15" hidden="1">
      <c r="A259" s="730"/>
      <c r="B259" s="731"/>
      <c r="C259" s="731"/>
      <c r="D259" s="3219"/>
      <c r="E259" s="3215" t="s">
        <v>650</v>
      </c>
      <c r="F259" s="3216"/>
      <c r="G259" s="3217"/>
      <c r="H259" s="3211" t="str">
        <f>IF(A257="","",INDEX(DIFFERENTIATION_UNMERGE_SYSTEM,MATCH(A257,DIFFERENTIATION_ID_DIFF,0)))</f>
        <v>Майская котельная</v>
      </c>
      <c r="I259" s="3211"/>
      <c r="J259" s="3211"/>
      <c r="K259" s="3211"/>
      <c r="L259" s="3211"/>
      <c r="M259" s="3211"/>
      <c r="N259" s="3211"/>
      <c r="O259" s="3211"/>
      <c r="P259" s="3211"/>
      <c r="Q259" s="3211"/>
      <c r="R259" s="3211"/>
      <c r="S259" s="826"/>
      <c r="T259" s="823"/>
      <c r="U259" s="732"/>
      <c r="V259" s="732"/>
      <c r="W259" s="733"/>
      <c r="X259" s="733"/>
      <c r="Y259" s="733"/>
      <c r="Z259" s="733"/>
      <c r="AA259" s="734"/>
      <c r="AB259" s="735"/>
      <c r="AC259" s="3214"/>
      <c r="AD259" s="736"/>
      <c r="AE259" s="737"/>
      <c r="AF259" s="737"/>
      <c r="AG259" s="738"/>
      <c r="AH259" s="739"/>
      <c r="AI259" s="732"/>
      <c r="AJ259" s="732"/>
      <c r="AK259" s="732"/>
      <c r="AL259" s="732"/>
      <c r="AM259" s="732"/>
      <c r="AN259" s="732"/>
      <c r="AO259" s="732"/>
      <c r="AP259" s="732"/>
      <c r="AQ259" s="732"/>
      <c r="AR259" s="732"/>
      <c r="AS259" s="732"/>
      <c r="AT259" s="732"/>
      <c r="AU259" s="732"/>
      <c r="AV259" s="732"/>
      <c r="AW259" s="732"/>
      <c r="AX259" s="732"/>
      <c r="AY259" s="732"/>
      <c r="AZ259" s="732"/>
      <c r="BA259" s="732"/>
      <c r="BB259" s="732"/>
      <c r="BC259" s="732"/>
      <c r="BD259" s="732"/>
      <c r="BE259" s="732"/>
      <c r="BF259" s="732"/>
      <c r="BG259" s="732"/>
      <c r="BH259" s="732"/>
      <c r="BI259" s="732"/>
      <c r="BJ259" s="732"/>
      <c r="BK259" s="732"/>
      <c r="BL259" s="732"/>
      <c r="BM259" s="732"/>
      <c r="BN259" s="732"/>
      <c r="BO259" s="732"/>
      <c r="BP259" s="732"/>
      <c r="BQ259" s="732"/>
      <c r="BR259" s="732"/>
      <c r="BS259" s="732"/>
      <c r="BT259" s="732"/>
      <c r="BU259" s="732"/>
      <c r="BV259" s="733"/>
      <c r="BW259" s="733"/>
      <c r="BX259" s="733"/>
      <c r="BY259" s="733"/>
      <c r="BZ259" s="733"/>
      <c r="CA259" s="733"/>
      <c r="CB259" s="733"/>
      <c r="CC259" s="733"/>
      <c r="CD259" s="733"/>
      <c r="CE259" s="733"/>
      <c r="CF259" s="1944"/>
    </row>
    <row customHeight="1" ht="24.75" hidden="1">
      <c r="A260" s="1901"/>
      <c r="B260" s="1256"/>
      <c r="C260" s="519"/>
      <c r="D260" s="3219"/>
      <c r="E260" s="3213" t="s">
        <v>705</v>
      </c>
      <c r="F260" s="3213"/>
      <c r="G260" s="3213"/>
      <c r="H260" s="3213"/>
      <c r="I260" s="3213"/>
      <c r="J260" s="3213"/>
      <c r="K260" s="3213"/>
      <c r="L260" s="3213"/>
      <c r="M260" s="3213"/>
      <c r="N260" s="3213"/>
      <c r="O260" s="3213"/>
      <c r="P260" s="3213"/>
      <c r="Q260" s="665">
        <f>SUMIF(T261:T262,"i",Q261:Q262)</f>
        <v>0</v>
      </c>
      <c r="R260" s="1117"/>
      <c r="S260" s="1893" t="s">
        <v>706</v>
      </c>
      <c r="T260" s="824" t="s">
        <v>707</v>
      </c>
      <c r="U260" s="3119">
        <v>1</v>
      </c>
      <c r="V260" s="3119" t="str">
        <f>INDEX(B_FHD_FLAG_INDEX_1,1,MATCH($A$257,B_FHD_FLAG_DIFFERENTIATION,0))</f>
        <v>отсутствует</v>
      </c>
      <c r="W260" s="1256"/>
      <c r="X260" s="1256"/>
      <c r="Y260" s="1256"/>
      <c r="Z260" s="1256"/>
      <c r="AA260" s="1732"/>
      <c r="AB260" s="1256"/>
      <c r="AC260" s="3214"/>
      <c r="AD260" s="736"/>
      <c r="AE260" s="1256"/>
      <c r="AF260" s="1256"/>
      <c r="AG260" s="1732"/>
      <c r="AH260" s="1732"/>
      <c r="AI260" s="1732"/>
      <c r="AJ260" s="1732"/>
      <c r="AK260" s="1732"/>
      <c r="AL260" s="1732"/>
      <c r="AM260" s="1732"/>
      <c r="AN260" s="1732"/>
      <c r="AO260" s="1732"/>
      <c r="AP260" s="1732"/>
      <c r="AQ260" s="1732"/>
      <c r="AR260" s="1732"/>
      <c r="AS260" s="1732"/>
      <c r="AT260" s="1732"/>
      <c r="AU260" s="1732"/>
      <c r="AV260" s="1732"/>
      <c r="AW260" s="1732"/>
      <c r="AX260" s="1732"/>
      <c r="AY260" s="1732"/>
      <c r="AZ260" s="1732"/>
      <c r="BA260" s="1732"/>
      <c r="BB260" s="1732"/>
      <c r="BC260" s="1732"/>
      <c r="BD260" s="1732"/>
      <c r="BE260" s="1732"/>
      <c r="BF260" s="1732"/>
      <c r="BG260" s="1732"/>
      <c r="BH260" s="1732"/>
      <c r="BI260" s="1732"/>
      <c r="BJ260" s="1732"/>
      <c r="BK260" s="1732"/>
      <c r="BL260" s="1732"/>
      <c r="BM260" s="1732"/>
      <c r="BN260" s="1732"/>
      <c r="BO260" s="1732"/>
      <c r="BP260" s="1732"/>
      <c r="BQ260" s="1732"/>
      <c r="BR260" s="1732"/>
      <c r="BS260" s="1732"/>
      <c r="BT260" s="1732"/>
      <c r="BU260" s="1732"/>
      <c r="BV260" s="1256"/>
      <c r="BW260" s="1256"/>
      <c r="BX260" s="1256"/>
      <c r="BY260" s="1256"/>
      <c r="BZ260" s="1256"/>
      <c r="CA260" s="1256"/>
      <c r="CB260" s="1256"/>
      <c r="CC260" s="1256"/>
      <c r="CD260" s="1256"/>
      <c r="CE260" s="1256"/>
      <c r="CF260" s="1944"/>
    </row>
    <row customHeight="1" ht="11.25" hidden="1">
      <c r="A261" s="1888"/>
      <c r="B261" s="1732"/>
      <c r="C261" s="1732"/>
      <c r="D261" s="3219"/>
      <c r="E261" s="742"/>
      <c r="F261" s="742">
        <v>0</v>
      </c>
      <c r="G261" s="742"/>
      <c r="H261" s="742"/>
      <c r="I261" s="742"/>
      <c r="J261" s="742"/>
      <c r="K261" s="742"/>
      <c r="L261" s="742"/>
      <c r="M261" s="742"/>
      <c r="N261" s="742"/>
      <c r="O261" s="742"/>
      <c r="P261" s="742"/>
      <c r="Q261" s="742"/>
      <c r="R261" s="742"/>
      <c r="S261" s="743"/>
      <c r="T261" s="825"/>
      <c r="U261" s="3119"/>
      <c r="V261" s="3119"/>
      <c r="W261" s="1732"/>
      <c r="X261" s="1732"/>
      <c r="Y261" s="1732"/>
      <c r="Z261" s="1732"/>
      <c r="AA261" s="1732"/>
      <c r="AB261" s="1256"/>
      <c r="AC261" s="3214"/>
      <c r="AD261" s="736"/>
      <c r="AE261" s="1256"/>
      <c r="AF261" s="1256"/>
      <c r="AG261" s="1732"/>
      <c r="AH261" s="1732"/>
      <c r="AI261" s="1732"/>
      <c r="AJ261" s="1732"/>
      <c r="AK261" s="1732"/>
      <c r="AL261" s="1732"/>
      <c r="AM261" s="1732"/>
      <c r="AN261" s="1732"/>
      <c r="AO261" s="1732"/>
      <c r="AP261" s="1732"/>
      <c r="AQ261" s="1732"/>
      <c r="AR261" s="1732"/>
      <c r="AS261" s="1732"/>
      <c r="AT261" s="1732"/>
      <c r="AU261" s="1732"/>
      <c r="AV261" s="1732"/>
      <c r="AW261" s="1732"/>
      <c r="AX261" s="1732"/>
      <c r="AY261" s="1732"/>
      <c r="AZ261" s="1732"/>
      <c r="BA261" s="1732"/>
      <c r="BB261" s="1732"/>
      <c r="BC261" s="1732"/>
      <c r="BD261" s="1732"/>
      <c r="BE261" s="1732"/>
      <c r="BF261" s="1732"/>
      <c r="BG261" s="1732"/>
      <c r="BH261" s="1732"/>
      <c r="BI261" s="1732"/>
      <c r="BJ261" s="1732"/>
      <c r="BK261" s="1732"/>
      <c r="BL261" s="1732"/>
      <c r="BM261" s="1732"/>
      <c r="BN261" s="1732"/>
      <c r="BO261" s="1732"/>
      <c r="BP261" s="1732"/>
      <c r="BQ261" s="1732"/>
      <c r="BR261" s="1732"/>
      <c r="BS261" s="1732"/>
      <c r="BT261" s="1732"/>
      <c r="BU261" s="1732"/>
      <c r="BV261" s="1732"/>
      <c r="BW261" s="1732"/>
      <c r="BX261" s="1732"/>
      <c r="BY261" s="1732"/>
      <c r="BZ261" s="1732"/>
      <c r="CA261" s="1732"/>
      <c r="CB261" s="1732"/>
      <c r="CC261" s="1732"/>
      <c r="CD261" s="1732"/>
      <c r="CE261" s="1732"/>
      <c r="CF261" s="1944"/>
    </row>
    <row customHeight="1" ht="11.25" hidden="1">
      <c r="A262" s="1901"/>
      <c r="B262" s="1256"/>
      <c r="C262" s="519"/>
      <c r="D262" s="3219"/>
      <c r="E262" s="756" t="s">
        <v>22</v>
      </c>
      <c r="F262" s="1264" t="s">
        <v>22</v>
      </c>
      <c r="G262" s="1264" t="s">
        <v>711</v>
      </c>
      <c r="H262" s="758" t="s">
        <v>22</v>
      </c>
      <c r="I262" s="758"/>
      <c r="J262" s="758"/>
      <c r="K262" s="758"/>
      <c r="L262" s="758"/>
      <c r="M262" s="758"/>
      <c r="N262" s="758"/>
      <c r="O262" s="758"/>
      <c r="P262" s="758"/>
      <c r="Q262" s="758"/>
      <c r="R262" s="759"/>
      <c r="S262" s="760"/>
      <c r="T262" s="825"/>
      <c r="U262" s="3119"/>
      <c r="V262" s="3119"/>
      <c r="W262" s="1256"/>
      <c r="X262" s="1256"/>
      <c r="Y262" s="1256"/>
      <c r="Z262" s="1256"/>
      <c r="AA262" s="1732"/>
      <c r="AB262" s="1256"/>
      <c r="AC262" s="3214"/>
      <c r="AD262" s="736"/>
      <c r="AE262" s="1256"/>
      <c r="AF262" s="1256"/>
      <c r="AG262" s="1732"/>
      <c r="AH262" s="1732"/>
      <c r="AI262" s="1732"/>
      <c r="AJ262" s="1732"/>
      <c r="AK262" s="1732"/>
      <c r="AL262" s="1732"/>
      <c r="AM262" s="1732"/>
      <c r="AN262" s="1732"/>
      <c r="AO262" s="1732"/>
      <c r="AP262" s="1732"/>
      <c r="AQ262" s="1732"/>
      <c r="AR262" s="1732"/>
      <c r="AS262" s="1732"/>
      <c r="AT262" s="1732"/>
      <c r="AU262" s="1732"/>
      <c r="AV262" s="1732"/>
      <c r="AW262" s="1732"/>
      <c r="AX262" s="1732"/>
      <c r="AY262" s="1732"/>
      <c r="AZ262" s="1732"/>
      <c r="BA262" s="1732"/>
      <c r="BB262" s="1732"/>
      <c r="BC262" s="1732"/>
      <c r="BD262" s="1732"/>
      <c r="BE262" s="1732"/>
      <c r="BF262" s="1732"/>
      <c r="BG262" s="1732"/>
      <c r="BH262" s="1732"/>
      <c r="BI262" s="1732"/>
      <c r="BJ262" s="1732"/>
      <c r="BK262" s="1732"/>
      <c r="BL262" s="1732"/>
      <c r="BM262" s="1732"/>
      <c r="BN262" s="1732"/>
      <c r="BO262" s="1732"/>
      <c r="BP262" s="1732"/>
      <c r="BQ262" s="1732"/>
      <c r="BR262" s="1732"/>
      <c r="BS262" s="1732"/>
      <c r="BT262" s="1732"/>
      <c r="BU262" s="1732"/>
      <c r="BV262" s="1256"/>
      <c r="BW262" s="1256"/>
      <c r="BX262" s="1256"/>
      <c r="BY262" s="1256"/>
      <c r="BZ262" s="1256"/>
      <c r="CA262" s="1256"/>
      <c r="CB262" s="1256"/>
      <c r="CC262" s="1256"/>
      <c r="CD262" s="1256"/>
      <c r="CE262" s="1256"/>
      <c r="CF262" s="1944"/>
    </row>
    <row customHeight="1" ht="5.25" hidden="1">
      <c r="A263" s="1888"/>
      <c r="B263" s="1732"/>
      <c r="C263" s="1732"/>
      <c r="D263" s="3219"/>
      <c r="E263" s="1139"/>
      <c r="F263" s="1139"/>
      <c r="G263" s="1139"/>
      <c r="H263" s="1139"/>
      <c r="I263" s="1139"/>
      <c r="J263" s="1139"/>
      <c r="K263" s="1139"/>
      <c r="L263" s="1139"/>
      <c r="M263" s="1139"/>
      <c r="N263" s="1139"/>
      <c r="O263" s="1139"/>
      <c r="P263" s="1139"/>
      <c r="Q263" s="1140"/>
      <c r="R263" s="1141"/>
      <c r="S263" s="1142"/>
      <c r="T263" s="824" t="s">
        <v>707</v>
      </c>
      <c r="U263" s="3119">
        <v>1</v>
      </c>
      <c r="V263" s="3119" t="s">
        <v>669</v>
      </c>
      <c r="W263" s="1732"/>
      <c r="X263" s="1732"/>
      <c r="Y263" s="1732"/>
      <c r="Z263" s="1732"/>
      <c r="AA263" s="1732"/>
      <c r="AB263" s="1732"/>
      <c r="AC263" s="1137"/>
      <c r="AD263" s="1138"/>
      <c r="AE263" s="1732"/>
      <c r="AF263" s="1732"/>
      <c r="AG263" s="1732"/>
      <c r="AH263" s="1732"/>
      <c r="AI263" s="1732"/>
      <c r="AJ263" s="1732"/>
      <c r="AK263" s="1732"/>
      <c r="AL263" s="1732"/>
      <c r="AM263" s="1732"/>
      <c r="AN263" s="1732"/>
      <c r="AO263" s="1732"/>
      <c r="AP263" s="1732"/>
      <c r="AQ263" s="1732"/>
      <c r="AR263" s="1732"/>
      <c r="AS263" s="1732"/>
      <c r="AT263" s="1732"/>
      <c r="AU263" s="1732"/>
      <c r="AV263" s="1732"/>
      <c r="AW263" s="1732"/>
      <c r="AX263" s="1732"/>
      <c r="AY263" s="1732"/>
      <c r="AZ263" s="1732"/>
      <c r="BA263" s="1732"/>
      <c r="BB263" s="1732"/>
      <c r="BC263" s="1732"/>
      <c r="BD263" s="1732"/>
      <c r="BE263" s="1732"/>
      <c r="BF263" s="1732"/>
      <c r="BG263" s="1732"/>
      <c r="BH263" s="1732"/>
      <c r="BI263" s="1732"/>
      <c r="BJ263" s="1732"/>
      <c r="BK263" s="1732"/>
      <c r="BL263" s="1732"/>
      <c r="BM263" s="1732"/>
      <c r="BN263" s="1732"/>
      <c r="BO263" s="1732"/>
      <c r="BP263" s="1732"/>
      <c r="BQ263" s="1732"/>
      <c r="BR263" s="1732"/>
      <c r="BS263" s="1732"/>
      <c r="BT263" s="1732"/>
      <c r="BU263" s="1732"/>
      <c r="BV263" s="1732"/>
      <c r="BW263" s="1732"/>
      <c r="BX263" s="1732"/>
      <c r="BY263" s="1732"/>
      <c r="BZ263" s="1732"/>
      <c r="CA263" s="1732"/>
      <c r="CB263" s="1732"/>
      <c r="CC263" s="1732"/>
      <c r="CD263" s="1732"/>
      <c r="CE263" s="1732"/>
      <c r="CF263" s="1412"/>
    </row>
    <row customHeight="1" ht="5.25" hidden="1">
      <c r="A264" s="1888"/>
      <c r="B264" s="1732"/>
      <c r="C264" s="1732"/>
      <c r="D264" s="3219"/>
      <c r="E264" s="742"/>
      <c r="F264" s="742"/>
      <c r="G264" s="742"/>
      <c r="H264" s="742"/>
      <c r="I264" s="742"/>
      <c r="J264" s="742"/>
      <c r="K264" s="742"/>
      <c r="L264" s="742"/>
      <c r="M264" s="742"/>
      <c r="N264" s="742"/>
      <c r="O264" s="742"/>
      <c r="P264" s="742"/>
      <c r="Q264" s="742"/>
      <c r="R264" s="742"/>
      <c r="S264" s="743"/>
      <c r="T264" s="825"/>
      <c r="U264" s="3119"/>
      <c r="V264" s="3119"/>
      <c r="W264" s="1732"/>
      <c r="X264" s="1732"/>
      <c r="Y264" s="1732"/>
      <c r="Z264" s="1732"/>
      <c r="AA264" s="1732"/>
      <c r="AB264" s="1732"/>
      <c r="AC264" s="1137"/>
      <c r="AD264" s="1138"/>
      <c r="AE264" s="1732"/>
      <c r="AF264" s="1732"/>
      <c r="AG264" s="1732"/>
      <c r="AH264" s="1732"/>
      <c r="AI264" s="1732"/>
      <c r="AJ264" s="1732"/>
      <c r="AK264" s="1732"/>
      <c r="AL264" s="1732"/>
      <c r="AM264" s="1732"/>
      <c r="AN264" s="1732"/>
      <c r="AO264" s="1732"/>
      <c r="AP264" s="1732"/>
      <c r="AQ264" s="1732"/>
      <c r="AR264" s="1732"/>
      <c r="AS264" s="1732"/>
      <c r="AT264" s="1732"/>
      <c r="AU264" s="1732"/>
      <c r="AV264" s="1732"/>
      <c r="AW264" s="1732"/>
      <c r="AX264" s="1732"/>
      <c r="AY264" s="1732"/>
      <c r="AZ264" s="1732"/>
      <c r="BA264" s="1732"/>
      <c r="BB264" s="1732"/>
      <c r="BC264" s="1732"/>
      <c r="BD264" s="1732"/>
      <c r="BE264" s="1732"/>
      <c r="BF264" s="1732"/>
      <c r="BG264" s="1732"/>
      <c r="BH264" s="1732"/>
      <c r="BI264" s="1732"/>
      <c r="BJ264" s="1732"/>
      <c r="BK264" s="1732"/>
      <c r="BL264" s="1732"/>
      <c r="BM264" s="1732"/>
      <c r="BN264" s="1732"/>
      <c r="BO264" s="1732"/>
      <c r="BP264" s="1732"/>
      <c r="BQ264" s="1732"/>
      <c r="BR264" s="1732"/>
      <c r="BS264" s="1732"/>
      <c r="BT264" s="1732"/>
      <c r="BU264" s="1732"/>
      <c r="BV264" s="1732"/>
      <c r="BW264" s="1732"/>
      <c r="BX264" s="1732"/>
      <c r="BY264" s="1732"/>
      <c r="BZ264" s="1732"/>
      <c r="CA264" s="1732"/>
      <c r="CB264" s="1732"/>
      <c r="CC264" s="1732"/>
      <c r="CD264" s="1732"/>
      <c r="CE264" s="1732"/>
      <c r="CF264" s="1412"/>
    </row>
    <row customHeight="1" ht="5.25" hidden="1">
      <c r="A265" s="1888"/>
      <c r="B265" s="1732"/>
      <c r="C265" s="1732"/>
      <c r="D265" s="3220"/>
      <c r="E265" s="1143"/>
      <c r="F265" s="1144"/>
      <c r="G265" s="1144"/>
      <c r="H265" s="1145"/>
      <c r="I265" s="1145"/>
      <c r="J265" s="1145"/>
      <c r="K265" s="1145"/>
      <c r="L265" s="1145"/>
      <c r="M265" s="1145"/>
      <c r="N265" s="1145"/>
      <c r="O265" s="1145"/>
      <c r="P265" s="1145"/>
      <c r="Q265" s="1145"/>
      <c r="R265" s="1046"/>
      <c r="S265" s="1146"/>
      <c r="T265" s="825"/>
      <c r="U265" s="3119"/>
      <c r="V265" s="3119"/>
      <c r="W265" s="1732"/>
      <c r="X265" s="1732"/>
      <c r="Y265" s="1732"/>
      <c r="Z265" s="1732"/>
      <c r="AA265" s="1732"/>
      <c r="AB265" s="1732"/>
      <c r="AC265" s="1137"/>
      <c r="AD265" s="1138"/>
      <c r="AE265" s="1732"/>
      <c r="AF265" s="1732"/>
      <c r="AG265" s="1732"/>
      <c r="AH265" s="1732"/>
      <c r="AI265" s="1732"/>
      <c r="AJ265" s="1732"/>
      <c r="AK265" s="1732"/>
      <c r="AL265" s="1732"/>
      <c r="AM265" s="1732"/>
      <c r="AN265" s="1732"/>
      <c r="AO265" s="1732"/>
      <c r="AP265" s="1732"/>
      <c r="AQ265" s="1732"/>
      <c r="AR265" s="1732"/>
      <c r="AS265" s="1732"/>
      <c r="AT265" s="1732"/>
      <c r="AU265" s="1732"/>
      <c r="AV265" s="1732"/>
      <c r="AW265" s="1732"/>
      <c r="AX265" s="1732"/>
      <c r="AY265" s="1732"/>
      <c r="AZ265" s="1732"/>
      <c r="BA265" s="1732"/>
      <c r="BB265" s="1732"/>
      <c r="BC265" s="1732"/>
      <c r="BD265" s="1732"/>
      <c r="BE265" s="1732"/>
      <c r="BF265" s="1732"/>
      <c r="BG265" s="1732"/>
      <c r="BH265" s="1732"/>
      <c r="BI265" s="1732"/>
      <c r="BJ265" s="1732"/>
      <c r="BK265" s="1732"/>
      <c r="BL265" s="1732"/>
      <c r="BM265" s="1732"/>
      <c r="BN265" s="1732"/>
      <c r="BO265" s="1732"/>
      <c r="BP265" s="1732"/>
      <c r="BQ265" s="1732"/>
      <c r="BR265" s="1732"/>
      <c r="BS265" s="1732"/>
      <c r="BT265" s="1732"/>
      <c r="BU265" s="1732"/>
      <c r="BV265" s="1732"/>
      <c r="BW265" s="1732"/>
      <c r="BX265" s="1732"/>
      <c r="BY265" s="1732"/>
      <c r="BZ265" s="1732"/>
      <c r="CA265" s="1732"/>
      <c r="CB265" s="1732"/>
      <c r="CC265" s="1732"/>
      <c r="CD265" s="1732"/>
      <c r="CE265" s="1732"/>
      <c r="CF265" s="1412"/>
    </row>
    <row customHeight="1" ht="15" hidden="1">
      <c r="A266" s="730" t="s">
        <v>192</v>
      </c>
      <c r="B266" s="731"/>
      <c r="C266" s="731" t="s">
        <v>22</v>
      </c>
      <c r="D266" s="3218" t="s">
        <v>748</v>
      </c>
      <c r="E266" s="3215" t="s">
        <v>140</v>
      </c>
      <c r="F266" s="3216"/>
      <c r="G266" s="3217"/>
      <c r="H266" s="3211" t="str">
        <f>IF(A266="","",INDEX(DIFFERENTIATION_UNMERGE_VD,MATCH(A266,DIFFERENTIATION_ID_DIFF,0)))</f>
        <v>Производство тепловой энергии. Некомбинированная выработка</v>
      </c>
      <c r="I266" s="3211"/>
      <c r="J266" s="3211"/>
      <c r="K266" s="3211"/>
      <c r="L266" s="3211"/>
      <c r="M266" s="3211"/>
      <c r="N266" s="3211"/>
      <c r="O266" s="3211"/>
      <c r="P266" s="3211"/>
      <c r="Q266" s="3211"/>
      <c r="R266" s="3211"/>
      <c r="S266" s="826"/>
      <c r="T266" s="823"/>
      <c r="U266" s="732"/>
      <c r="V266" s="732"/>
      <c r="W266" s="733"/>
      <c r="X266" s="733"/>
      <c r="Y266" s="733"/>
      <c r="Z266" s="733"/>
      <c r="AA266" s="734"/>
      <c r="AB266" s="735"/>
      <c r="AC266" s="3214"/>
      <c r="AD266" s="736"/>
      <c r="AE266" s="737" t="s">
        <v>22</v>
      </c>
      <c r="AF266" s="737"/>
      <c r="AG266" s="738" t="s">
        <v>704</v>
      </c>
      <c r="AH266" s="739">
        <v>3</v>
      </c>
      <c r="AI266" s="732"/>
      <c r="AJ266" s="732"/>
      <c r="AK266" s="732"/>
      <c r="AL266" s="732"/>
      <c r="AM266" s="732"/>
      <c r="AN266" s="732"/>
      <c r="AO266" s="732"/>
      <c r="AP266" s="732"/>
      <c r="AQ266" s="732"/>
      <c r="AR266" s="732"/>
      <c r="AS266" s="732"/>
      <c r="AT266" s="732"/>
      <c r="AU266" s="732"/>
      <c r="AV266" s="732"/>
      <c r="AW266" s="732"/>
      <c r="AX266" s="732"/>
      <c r="AY266" s="732"/>
      <c r="AZ266" s="732"/>
      <c r="BA266" s="732"/>
      <c r="BB266" s="732"/>
      <c r="BC266" s="732"/>
      <c r="BD266" s="732"/>
      <c r="BE266" s="732"/>
      <c r="BF266" s="732"/>
      <c r="BG266" s="732"/>
      <c r="BH266" s="732"/>
      <c r="BI266" s="732"/>
      <c r="BJ266" s="732"/>
      <c r="BK266" s="732"/>
      <c r="BL266" s="732"/>
      <c r="BM266" s="732"/>
      <c r="BN266" s="732"/>
      <c r="BO266" s="732"/>
      <c r="BP266" s="732"/>
      <c r="BQ266" s="732"/>
      <c r="BR266" s="732"/>
      <c r="BS266" s="732"/>
      <c r="BT266" s="732"/>
      <c r="BU266" s="732"/>
      <c r="BV266" s="733"/>
      <c r="BW266" s="733"/>
      <c r="BX266" s="733"/>
      <c r="BY266" s="733"/>
      <c r="BZ266" s="733"/>
      <c r="CA266" s="733"/>
      <c r="CB266" s="733"/>
      <c r="CC266" s="733"/>
      <c r="CD266" s="733"/>
      <c r="CE266" s="733"/>
      <c r="CF266" s="1944"/>
    </row>
    <row customHeight="1" ht="15" hidden="1">
      <c r="A267" s="730"/>
      <c r="B267" s="731"/>
      <c r="C267" s="731"/>
      <c r="D267" s="3219"/>
      <c r="E267" s="3215" t="s">
        <v>649</v>
      </c>
      <c r="F267" s="3216"/>
      <c r="G267" s="3217"/>
      <c r="H267" s="3211" t="str">
        <f>IF(A266="","",INDEX(DIFFERENTIATION_UNMERGE_AREA,MATCH(A266,DIFFERENTIATION_ID_DIFF,0)))</f>
        <v>без дифференциации</v>
      </c>
      <c r="I267" s="3211"/>
      <c r="J267" s="3211"/>
      <c r="K267" s="3211"/>
      <c r="L267" s="3211"/>
      <c r="M267" s="3211"/>
      <c r="N267" s="3211"/>
      <c r="O267" s="3211"/>
      <c r="P267" s="3211"/>
      <c r="Q267" s="3211"/>
      <c r="R267" s="3211"/>
      <c r="S267" s="826"/>
      <c r="T267" s="823"/>
      <c r="U267" s="732"/>
      <c r="V267" s="732"/>
      <c r="W267" s="733"/>
      <c r="X267" s="733"/>
      <c r="Y267" s="733"/>
      <c r="Z267" s="733"/>
      <c r="AA267" s="734"/>
      <c r="AB267" s="735"/>
      <c r="AC267" s="3214"/>
      <c r="AD267" s="736"/>
      <c r="AE267" s="737"/>
      <c r="AF267" s="737"/>
      <c r="AG267" s="738"/>
      <c r="AH267" s="739"/>
      <c r="AI267" s="732"/>
      <c r="AJ267" s="732"/>
      <c r="AK267" s="732"/>
      <c r="AL267" s="732"/>
      <c r="AM267" s="732"/>
      <c r="AN267" s="732"/>
      <c r="AO267" s="732"/>
      <c r="AP267" s="732"/>
      <c r="AQ267" s="732"/>
      <c r="AR267" s="732"/>
      <c r="AS267" s="732"/>
      <c r="AT267" s="732"/>
      <c r="AU267" s="732"/>
      <c r="AV267" s="732"/>
      <c r="AW267" s="732"/>
      <c r="AX267" s="732"/>
      <c r="AY267" s="732"/>
      <c r="AZ267" s="732"/>
      <c r="BA267" s="732"/>
      <c r="BB267" s="732"/>
      <c r="BC267" s="732"/>
      <c r="BD267" s="732"/>
      <c r="BE267" s="732"/>
      <c r="BF267" s="732"/>
      <c r="BG267" s="732"/>
      <c r="BH267" s="732"/>
      <c r="BI267" s="732"/>
      <c r="BJ267" s="732"/>
      <c r="BK267" s="732"/>
      <c r="BL267" s="732"/>
      <c r="BM267" s="732"/>
      <c r="BN267" s="732"/>
      <c r="BO267" s="732"/>
      <c r="BP267" s="732"/>
      <c r="BQ267" s="732"/>
      <c r="BR267" s="732"/>
      <c r="BS267" s="732"/>
      <c r="BT267" s="732"/>
      <c r="BU267" s="732"/>
      <c r="BV267" s="733"/>
      <c r="BW267" s="733"/>
      <c r="BX267" s="733"/>
      <c r="BY267" s="733"/>
      <c r="BZ267" s="733"/>
      <c r="CA267" s="733"/>
      <c r="CB267" s="733"/>
      <c r="CC267" s="733"/>
      <c r="CD267" s="733"/>
      <c r="CE267" s="733"/>
      <c r="CF267" s="1944"/>
    </row>
    <row customHeight="1" ht="15" hidden="1">
      <c r="A268" s="730"/>
      <c r="B268" s="731"/>
      <c r="C268" s="731"/>
      <c r="D268" s="3219"/>
      <c r="E268" s="3215" t="s">
        <v>650</v>
      </c>
      <c r="F268" s="3216"/>
      <c r="G268" s="3217"/>
      <c r="H268" s="3211" t="str">
        <f>IF(A266="","",INDEX(DIFFERENTIATION_UNMERGE_SYSTEM,MATCH(A266,DIFFERENTIATION_ID_DIFF,0)))</f>
        <v>Ургальская котельная</v>
      </c>
      <c r="I268" s="3211"/>
      <c r="J268" s="3211"/>
      <c r="K268" s="3211"/>
      <c r="L268" s="3211"/>
      <c r="M268" s="3211"/>
      <c r="N268" s="3211"/>
      <c r="O268" s="3211"/>
      <c r="P268" s="3211"/>
      <c r="Q268" s="3211"/>
      <c r="R268" s="3211"/>
      <c r="S268" s="826"/>
      <c r="T268" s="823"/>
      <c r="U268" s="732"/>
      <c r="V268" s="732"/>
      <c r="W268" s="733"/>
      <c r="X268" s="733"/>
      <c r="Y268" s="733"/>
      <c r="Z268" s="733"/>
      <c r="AA268" s="734"/>
      <c r="AB268" s="735"/>
      <c r="AC268" s="3214"/>
      <c r="AD268" s="736"/>
      <c r="AE268" s="737"/>
      <c r="AF268" s="737"/>
      <c r="AG268" s="738"/>
      <c r="AH268" s="739"/>
      <c r="AI268" s="732"/>
      <c r="AJ268" s="732"/>
      <c r="AK268" s="732"/>
      <c r="AL268" s="732"/>
      <c r="AM268" s="732"/>
      <c r="AN268" s="732"/>
      <c r="AO268" s="732"/>
      <c r="AP268" s="732"/>
      <c r="AQ268" s="732"/>
      <c r="AR268" s="732"/>
      <c r="AS268" s="732"/>
      <c r="AT268" s="732"/>
      <c r="AU268" s="732"/>
      <c r="AV268" s="732"/>
      <c r="AW268" s="732"/>
      <c r="AX268" s="732"/>
      <c r="AY268" s="732"/>
      <c r="AZ268" s="732"/>
      <c r="BA268" s="732"/>
      <c r="BB268" s="732"/>
      <c r="BC268" s="732"/>
      <c r="BD268" s="732"/>
      <c r="BE268" s="732"/>
      <c r="BF268" s="732"/>
      <c r="BG268" s="732"/>
      <c r="BH268" s="732"/>
      <c r="BI268" s="732"/>
      <c r="BJ268" s="732"/>
      <c r="BK268" s="732"/>
      <c r="BL268" s="732"/>
      <c r="BM268" s="732"/>
      <c r="BN268" s="732"/>
      <c r="BO268" s="732"/>
      <c r="BP268" s="732"/>
      <c r="BQ268" s="732"/>
      <c r="BR268" s="732"/>
      <c r="BS268" s="732"/>
      <c r="BT268" s="732"/>
      <c r="BU268" s="732"/>
      <c r="BV268" s="733"/>
      <c r="BW268" s="733"/>
      <c r="BX268" s="733"/>
      <c r="BY268" s="733"/>
      <c r="BZ268" s="733"/>
      <c r="CA268" s="733"/>
      <c r="CB268" s="733"/>
      <c r="CC268" s="733"/>
      <c r="CD268" s="733"/>
      <c r="CE268" s="733"/>
      <c r="CF268" s="1944"/>
    </row>
    <row customHeight="1" ht="24.75" hidden="1">
      <c r="A269" s="1901"/>
      <c r="B269" s="1256"/>
      <c r="C269" s="519"/>
      <c r="D269" s="3219"/>
      <c r="E269" s="3213" t="s">
        <v>705</v>
      </c>
      <c r="F269" s="3213"/>
      <c r="G269" s="3213"/>
      <c r="H269" s="3213"/>
      <c r="I269" s="3213"/>
      <c r="J269" s="3213"/>
      <c r="K269" s="3213"/>
      <c r="L269" s="3213"/>
      <c r="M269" s="3213"/>
      <c r="N269" s="3213"/>
      <c r="O269" s="3213"/>
      <c r="P269" s="3213"/>
      <c r="Q269" s="665">
        <f>SUMIF(T270:T271,"i",Q270:Q271)</f>
        <v>0</v>
      </c>
      <c r="R269" s="1117"/>
      <c r="S269" s="1893" t="s">
        <v>706</v>
      </c>
      <c r="T269" s="824" t="s">
        <v>707</v>
      </c>
      <c r="U269" s="3119">
        <v>1</v>
      </c>
      <c r="V269" s="3119" t="str">
        <f>INDEX(B_FHD_FLAG_INDEX_1,1,MATCH($A$266,B_FHD_FLAG_DIFFERENTIATION,0))</f>
        <v>отсутствует</v>
      </c>
      <c r="W269" s="1256"/>
      <c r="X269" s="1256"/>
      <c r="Y269" s="1256"/>
      <c r="Z269" s="1256"/>
      <c r="AA269" s="1732"/>
      <c r="AB269" s="1256"/>
      <c r="AC269" s="3214"/>
      <c r="AD269" s="736"/>
      <c r="AE269" s="1256"/>
      <c r="AF269" s="1256"/>
      <c r="AG269" s="1732"/>
      <c r="AH269" s="1732"/>
      <c r="AI269" s="1732"/>
      <c r="AJ269" s="1732"/>
      <c r="AK269" s="1732"/>
      <c r="AL269" s="1732"/>
      <c r="AM269" s="1732"/>
      <c r="AN269" s="1732"/>
      <c r="AO269" s="1732"/>
      <c r="AP269" s="1732"/>
      <c r="AQ269" s="1732"/>
      <c r="AR269" s="1732"/>
      <c r="AS269" s="1732"/>
      <c r="AT269" s="1732"/>
      <c r="AU269" s="1732"/>
      <c r="AV269" s="1732"/>
      <c r="AW269" s="1732"/>
      <c r="AX269" s="1732"/>
      <c r="AY269" s="1732"/>
      <c r="AZ269" s="1732"/>
      <c r="BA269" s="1732"/>
      <c r="BB269" s="1732"/>
      <c r="BC269" s="1732"/>
      <c r="BD269" s="1732"/>
      <c r="BE269" s="1732"/>
      <c r="BF269" s="1732"/>
      <c r="BG269" s="1732"/>
      <c r="BH269" s="1732"/>
      <c r="BI269" s="1732"/>
      <c r="BJ269" s="1732"/>
      <c r="BK269" s="1732"/>
      <c r="BL269" s="1732"/>
      <c r="BM269" s="1732"/>
      <c r="BN269" s="1732"/>
      <c r="BO269" s="1732"/>
      <c r="BP269" s="1732"/>
      <c r="BQ269" s="1732"/>
      <c r="BR269" s="1732"/>
      <c r="BS269" s="1732"/>
      <c r="BT269" s="1732"/>
      <c r="BU269" s="1732"/>
      <c r="BV269" s="1256"/>
      <c r="BW269" s="1256"/>
      <c r="BX269" s="1256"/>
      <c r="BY269" s="1256"/>
      <c r="BZ269" s="1256"/>
      <c r="CA269" s="1256"/>
      <c r="CB269" s="1256"/>
      <c r="CC269" s="1256"/>
      <c r="CD269" s="1256"/>
      <c r="CE269" s="1256"/>
      <c r="CF269" s="1944"/>
    </row>
    <row customHeight="1" ht="11.25" hidden="1">
      <c r="A270" s="1888"/>
      <c r="B270" s="1732"/>
      <c r="C270" s="1732"/>
      <c r="D270" s="3219"/>
      <c r="E270" s="742"/>
      <c r="F270" s="742">
        <v>0</v>
      </c>
      <c r="G270" s="742"/>
      <c r="H270" s="742"/>
      <c r="I270" s="742"/>
      <c r="J270" s="742"/>
      <c r="K270" s="742"/>
      <c r="L270" s="742"/>
      <c r="M270" s="742"/>
      <c r="N270" s="742"/>
      <c r="O270" s="742"/>
      <c r="P270" s="742"/>
      <c r="Q270" s="742"/>
      <c r="R270" s="742"/>
      <c r="S270" s="743"/>
      <c r="T270" s="825"/>
      <c r="U270" s="3119"/>
      <c r="V270" s="3119"/>
      <c r="W270" s="1732"/>
      <c r="X270" s="1732"/>
      <c r="Y270" s="1732"/>
      <c r="Z270" s="1732"/>
      <c r="AA270" s="1732"/>
      <c r="AB270" s="1256"/>
      <c r="AC270" s="3214"/>
      <c r="AD270" s="736"/>
      <c r="AE270" s="1256"/>
      <c r="AF270" s="1256"/>
      <c r="AG270" s="1732"/>
      <c r="AH270" s="1732"/>
      <c r="AI270" s="1732"/>
      <c r="AJ270" s="1732"/>
      <c r="AK270" s="1732"/>
      <c r="AL270" s="1732"/>
      <c r="AM270" s="1732"/>
      <c r="AN270" s="1732"/>
      <c r="AO270" s="1732"/>
      <c r="AP270" s="1732"/>
      <c r="AQ270" s="1732"/>
      <c r="AR270" s="1732"/>
      <c r="AS270" s="1732"/>
      <c r="AT270" s="1732"/>
      <c r="AU270" s="1732"/>
      <c r="AV270" s="1732"/>
      <c r="AW270" s="1732"/>
      <c r="AX270" s="1732"/>
      <c r="AY270" s="1732"/>
      <c r="AZ270" s="1732"/>
      <c r="BA270" s="1732"/>
      <c r="BB270" s="1732"/>
      <c r="BC270" s="1732"/>
      <c r="BD270" s="1732"/>
      <c r="BE270" s="1732"/>
      <c r="BF270" s="1732"/>
      <c r="BG270" s="1732"/>
      <c r="BH270" s="1732"/>
      <c r="BI270" s="1732"/>
      <c r="BJ270" s="1732"/>
      <c r="BK270" s="1732"/>
      <c r="BL270" s="1732"/>
      <c r="BM270" s="1732"/>
      <c r="BN270" s="1732"/>
      <c r="BO270" s="1732"/>
      <c r="BP270" s="1732"/>
      <c r="BQ270" s="1732"/>
      <c r="BR270" s="1732"/>
      <c r="BS270" s="1732"/>
      <c r="BT270" s="1732"/>
      <c r="BU270" s="1732"/>
      <c r="BV270" s="1732"/>
      <c r="BW270" s="1732"/>
      <c r="BX270" s="1732"/>
      <c r="BY270" s="1732"/>
      <c r="BZ270" s="1732"/>
      <c r="CA270" s="1732"/>
      <c r="CB270" s="1732"/>
      <c r="CC270" s="1732"/>
      <c r="CD270" s="1732"/>
      <c r="CE270" s="1732"/>
      <c r="CF270" s="1944"/>
    </row>
    <row customHeight="1" ht="11.25" hidden="1">
      <c r="A271" s="1901"/>
      <c r="B271" s="1256"/>
      <c r="C271" s="519"/>
      <c r="D271" s="3219"/>
      <c r="E271" s="756" t="s">
        <v>22</v>
      </c>
      <c r="F271" s="1264" t="s">
        <v>22</v>
      </c>
      <c r="G271" s="1264" t="s">
        <v>711</v>
      </c>
      <c r="H271" s="758" t="s">
        <v>22</v>
      </c>
      <c r="I271" s="758"/>
      <c r="J271" s="758"/>
      <c r="K271" s="758"/>
      <c r="L271" s="758"/>
      <c r="M271" s="758"/>
      <c r="N271" s="758"/>
      <c r="O271" s="758"/>
      <c r="P271" s="758"/>
      <c r="Q271" s="758"/>
      <c r="R271" s="759"/>
      <c r="S271" s="760"/>
      <c r="T271" s="825"/>
      <c r="U271" s="3119"/>
      <c r="V271" s="3119"/>
      <c r="W271" s="1256"/>
      <c r="X271" s="1256"/>
      <c r="Y271" s="1256"/>
      <c r="Z271" s="1256"/>
      <c r="AA271" s="1732"/>
      <c r="AB271" s="1256"/>
      <c r="AC271" s="3214"/>
      <c r="AD271" s="736"/>
      <c r="AE271" s="1256"/>
      <c r="AF271" s="1256"/>
      <c r="AG271" s="1732"/>
      <c r="AH271" s="1732"/>
      <c r="AI271" s="1732"/>
      <c r="AJ271" s="1732"/>
      <c r="AK271" s="1732"/>
      <c r="AL271" s="1732"/>
      <c r="AM271" s="1732"/>
      <c r="AN271" s="1732"/>
      <c r="AO271" s="1732"/>
      <c r="AP271" s="1732"/>
      <c r="AQ271" s="1732"/>
      <c r="AR271" s="1732"/>
      <c r="AS271" s="1732"/>
      <c r="AT271" s="1732"/>
      <c r="AU271" s="1732"/>
      <c r="AV271" s="1732"/>
      <c r="AW271" s="1732"/>
      <c r="AX271" s="1732"/>
      <c r="AY271" s="1732"/>
      <c r="AZ271" s="1732"/>
      <c r="BA271" s="1732"/>
      <c r="BB271" s="1732"/>
      <c r="BC271" s="1732"/>
      <c r="BD271" s="1732"/>
      <c r="BE271" s="1732"/>
      <c r="BF271" s="1732"/>
      <c r="BG271" s="1732"/>
      <c r="BH271" s="1732"/>
      <c r="BI271" s="1732"/>
      <c r="BJ271" s="1732"/>
      <c r="BK271" s="1732"/>
      <c r="BL271" s="1732"/>
      <c r="BM271" s="1732"/>
      <c r="BN271" s="1732"/>
      <c r="BO271" s="1732"/>
      <c r="BP271" s="1732"/>
      <c r="BQ271" s="1732"/>
      <c r="BR271" s="1732"/>
      <c r="BS271" s="1732"/>
      <c r="BT271" s="1732"/>
      <c r="BU271" s="1732"/>
      <c r="BV271" s="1256"/>
      <c r="BW271" s="1256"/>
      <c r="BX271" s="1256"/>
      <c r="BY271" s="1256"/>
      <c r="BZ271" s="1256"/>
      <c r="CA271" s="1256"/>
      <c r="CB271" s="1256"/>
      <c r="CC271" s="1256"/>
      <c r="CD271" s="1256"/>
      <c r="CE271" s="1256"/>
      <c r="CF271" s="1944"/>
    </row>
    <row customHeight="1" ht="5.25" hidden="1">
      <c r="A272" s="1888"/>
      <c r="B272" s="1732"/>
      <c r="C272" s="1732"/>
      <c r="D272" s="3219"/>
      <c r="E272" s="1139"/>
      <c r="F272" s="1139"/>
      <c r="G272" s="1139"/>
      <c r="H272" s="1139"/>
      <c r="I272" s="1139"/>
      <c r="J272" s="1139"/>
      <c r="K272" s="1139"/>
      <c r="L272" s="1139"/>
      <c r="M272" s="1139"/>
      <c r="N272" s="1139"/>
      <c r="O272" s="1139"/>
      <c r="P272" s="1139"/>
      <c r="Q272" s="1140"/>
      <c r="R272" s="1141"/>
      <c r="S272" s="1142"/>
      <c r="T272" s="824" t="s">
        <v>707</v>
      </c>
      <c r="U272" s="3119">
        <v>1</v>
      </c>
      <c r="V272" s="3119" t="s">
        <v>669</v>
      </c>
      <c r="W272" s="1732"/>
      <c r="X272" s="1732"/>
      <c r="Y272" s="1732"/>
      <c r="Z272" s="1732"/>
      <c r="AA272" s="1732"/>
      <c r="AB272" s="1732"/>
      <c r="AC272" s="1137"/>
      <c r="AD272" s="1138"/>
      <c r="AE272" s="1732"/>
      <c r="AF272" s="1732"/>
      <c r="AG272" s="1732"/>
      <c r="AH272" s="1732"/>
      <c r="AI272" s="1732"/>
      <c r="AJ272" s="1732"/>
      <c r="AK272" s="1732"/>
      <c r="AL272" s="1732"/>
      <c r="AM272" s="1732"/>
      <c r="AN272" s="1732"/>
      <c r="AO272" s="1732"/>
      <c r="AP272" s="1732"/>
      <c r="AQ272" s="1732"/>
      <c r="AR272" s="1732"/>
      <c r="AS272" s="1732"/>
      <c r="AT272" s="1732"/>
      <c r="AU272" s="1732"/>
      <c r="AV272" s="1732"/>
      <c r="AW272" s="1732"/>
      <c r="AX272" s="1732"/>
      <c r="AY272" s="1732"/>
      <c r="AZ272" s="1732"/>
      <c r="BA272" s="1732"/>
      <c r="BB272" s="1732"/>
      <c r="BC272" s="1732"/>
      <c r="BD272" s="1732"/>
      <c r="BE272" s="1732"/>
      <c r="BF272" s="1732"/>
      <c r="BG272" s="1732"/>
      <c r="BH272" s="1732"/>
      <c r="BI272" s="1732"/>
      <c r="BJ272" s="1732"/>
      <c r="BK272" s="1732"/>
      <c r="BL272" s="1732"/>
      <c r="BM272" s="1732"/>
      <c r="BN272" s="1732"/>
      <c r="BO272" s="1732"/>
      <c r="BP272" s="1732"/>
      <c r="BQ272" s="1732"/>
      <c r="BR272" s="1732"/>
      <c r="BS272" s="1732"/>
      <c r="BT272" s="1732"/>
      <c r="BU272" s="1732"/>
      <c r="BV272" s="1732"/>
      <c r="BW272" s="1732"/>
      <c r="BX272" s="1732"/>
      <c r="BY272" s="1732"/>
      <c r="BZ272" s="1732"/>
      <c r="CA272" s="1732"/>
      <c r="CB272" s="1732"/>
      <c r="CC272" s="1732"/>
      <c r="CD272" s="1732"/>
      <c r="CE272" s="1732"/>
      <c r="CF272" s="1412"/>
    </row>
    <row customHeight="1" ht="5.25" hidden="1">
      <c r="A273" s="1888"/>
      <c r="B273" s="1732"/>
      <c r="C273" s="1732"/>
      <c r="D273" s="3219"/>
      <c r="E273" s="742"/>
      <c r="F273" s="742"/>
      <c r="G273" s="742"/>
      <c r="H273" s="742"/>
      <c r="I273" s="742"/>
      <c r="J273" s="742"/>
      <c r="K273" s="742"/>
      <c r="L273" s="742"/>
      <c r="M273" s="742"/>
      <c r="N273" s="742"/>
      <c r="O273" s="742"/>
      <c r="P273" s="742"/>
      <c r="Q273" s="742"/>
      <c r="R273" s="742"/>
      <c r="S273" s="743"/>
      <c r="T273" s="825"/>
      <c r="U273" s="3119"/>
      <c r="V273" s="3119"/>
      <c r="W273" s="1732"/>
      <c r="X273" s="1732"/>
      <c r="Y273" s="1732"/>
      <c r="Z273" s="1732"/>
      <c r="AA273" s="1732"/>
      <c r="AB273" s="1732"/>
      <c r="AC273" s="1137"/>
      <c r="AD273" s="1138"/>
      <c r="AE273" s="1732"/>
      <c r="AF273" s="1732"/>
      <c r="AG273" s="1732"/>
      <c r="AH273" s="1732"/>
      <c r="AI273" s="1732"/>
      <c r="AJ273" s="1732"/>
      <c r="AK273" s="1732"/>
      <c r="AL273" s="1732"/>
      <c r="AM273" s="1732"/>
      <c r="AN273" s="1732"/>
      <c r="AO273" s="1732"/>
      <c r="AP273" s="1732"/>
      <c r="AQ273" s="1732"/>
      <c r="AR273" s="1732"/>
      <c r="AS273" s="1732"/>
      <c r="AT273" s="1732"/>
      <c r="AU273" s="1732"/>
      <c r="AV273" s="1732"/>
      <c r="AW273" s="1732"/>
      <c r="AX273" s="1732"/>
      <c r="AY273" s="1732"/>
      <c r="AZ273" s="1732"/>
      <c r="BA273" s="1732"/>
      <c r="BB273" s="1732"/>
      <c r="BC273" s="1732"/>
      <c r="BD273" s="1732"/>
      <c r="BE273" s="1732"/>
      <c r="BF273" s="1732"/>
      <c r="BG273" s="1732"/>
      <c r="BH273" s="1732"/>
      <c r="BI273" s="1732"/>
      <c r="BJ273" s="1732"/>
      <c r="BK273" s="1732"/>
      <c r="BL273" s="1732"/>
      <c r="BM273" s="1732"/>
      <c r="BN273" s="1732"/>
      <c r="BO273" s="1732"/>
      <c r="BP273" s="1732"/>
      <c r="BQ273" s="1732"/>
      <c r="BR273" s="1732"/>
      <c r="BS273" s="1732"/>
      <c r="BT273" s="1732"/>
      <c r="BU273" s="1732"/>
      <c r="BV273" s="1732"/>
      <c r="BW273" s="1732"/>
      <c r="BX273" s="1732"/>
      <c r="BY273" s="1732"/>
      <c r="BZ273" s="1732"/>
      <c r="CA273" s="1732"/>
      <c r="CB273" s="1732"/>
      <c r="CC273" s="1732"/>
      <c r="CD273" s="1732"/>
      <c r="CE273" s="1732"/>
      <c r="CF273" s="1412"/>
    </row>
    <row customHeight="1" ht="5.25" hidden="1">
      <c r="A274" s="1888"/>
      <c r="B274" s="1732"/>
      <c r="C274" s="1732"/>
      <c r="D274" s="3220"/>
      <c r="E274" s="1143"/>
      <c r="F274" s="1144"/>
      <c r="G274" s="1144"/>
      <c r="H274" s="1145"/>
      <c r="I274" s="1145"/>
      <c r="J274" s="1145"/>
      <c r="K274" s="1145"/>
      <c r="L274" s="1145"/>
      <c r="M274" s="1145"/>
      <c r="N274" s="1145"/>
      <c r="O274" s="1145"/>
      <c r="P274" s="1145"/>
      <c r="Q274" s="1145"/>
      <c r="R274" s="1046"/>
      <c r="S274" s="1146"/>
      <c r="T274" s="825"/>
      <c r="U274" s="3119"/>
      <c r="V274" s="3119"/>
      <c r="W274" s="1732"/>
      <c r="X274" s="1732"/>
      <c r="Y274" s="1732"/>
      <c r="Z274" s="1732"/>
      <c r="AA274" s="1732"/>
      <c r="AB274" s="1732"/>
      <c r="AC274" s="1137"/>
      <c r="AD274" s="1138"/>
      <c r="AE274" s="1732"/>
      <c r="AF274" s="1732"/>
      <c r="AG274" s="1732"/>
      <c r="AH274" s="1732"/>
      <c r="AI274" s="1732"/>
      <c r="AJ274" s="1732"/>
      <c r="AK274" s="1732"/>
      <c r="AL274" s="1732"/>
      <c r="AM274" s="1732"/>
      <c r="AN274" s="1732"/>
      <c r="AO274" s="1732"/>
      <c r="AP274" s="1732"/>
      <c r="AQ274" s="1732"/>
      <c r="AR274" s="1732"/>
      <c r="AS274" s="1732"/>
      <c r="AT274" s="1732"/>
      <c r="AU274" s="1732"/>
      <c r="AV274" s="1732"/>
      <c r="AW274" s="1732"/>
      <c r="AX274" s="1732"/>
      <c r="AY274" s="1732"/>
      <c r="AZ274" s="1732"/>
      <c r="BA274" s="1732"/>
      <c r="BB274" s="1732"/>
      <c r="BC274" s="1732"/>
      <c r="BD274" s="1732"/>
      <c r="BE274" s="1732"/>
      <c r="BF274" s="1732"/>
      <c r="BG274" s="1732"/>
      <c r="BH274" s="1732"/>
      <c r="BI274" s="1732"/>
      <c r="BJ274" s="1732"/>
      <c r="BK274" s="1732"/>
      <c r="BL274" s="1732"/>
      <c r="BM274" s="1732"/>
      <c r="BN274" s="1732"/>
      <c r="BO274" s="1732"/>
      <c r="BP274" s="1732"/>
      <c r="BQ274" s="1732"/>
      <c r="BR274" s="1732"/>
      <c r="BS274" s="1732"/>
      <c r="BT274" s="1732"/>
      <c r="BU274" s="1732"/>
      <c r="BV274" s="1732"/>
      <c r="BW274" s="1732"/>
      <c r="BX274" s="1732"/>
      <c r="BY274" s="1732"/>
      <c r="BZ274" s="1732"/>
      <c r="CA274" s="1732"/>
      <c r="CB274" s="1732"/>
      <c r="CC274" s="1732"/>
      <c r="CD274" s="1732"/>
      <c r="CE274" s="1732"/>
      <c r="CF274" s="1412"/>
    </row>
    <row customHeight="1" ht="15" hidden="1">
      <c r="A275" s="730" t="s">
        <v>194</v>
      </c>
      <c r="B275" s="731"/>
      <c r="C275" s="731" t="s">
        <v>22</v>
      </c>
      <c r="D275" s="3218" t="s">
        <v>749</v>
      </c>
      <c r="E275" s="3215" t="s">
        <v>140</v>
      </c>
      <c r="F275" s="3216"/>
      <c r="G275" s="3217"/>
      <c r="H275" s="3211" t="str">
        <f>IF(A275="","",INDEX(DIFFERENTIATION_UNMERGE_VD,MATCH(A275,DIFFERENTIATION_ID_DIFF,0)))</f>
        <v>Передача. Тепловая энергия; Передача. Теплоноситель; Сбыт. Тепловая энергия; Сбыт. Теплоноситель</v>
      </c>
      <c r="I275" s="3211"/>
      <c r="J275" s="3211"/>
      <c r="K275" s="3211"/>
      <c r="L275" s="3211"/>
      <c r="M275" s="3211"/>
      <c r="N275" s="3211"/>
      <c r="O275" s="3211"/>
      <c r="P275" s="3211"/>
      <c r="Q275" s="3211"/>
      <c r="R275" s="3211"/>
      <c r="S275" s="826"/>
      <c r="T275" s="823"/>
      <c r="U275" s="732"/>
      <c r="V275" s="732"/>
      <c r="W275" s="733"/>
      <c r="X275" s="733"/>
      <c r="Y275" s="733"/>
      <c r="Z275" s="733"/>
      <c r="AA275" s="734"/>
      <c r="AB275" s="735"/>
      <c r="AC275" s="3214"/>
      <c r="AD275" s="736"/>
      <c r="AE275" s="737" t="s">
        <v>22</v>
      </c>
      <c r="AF275" s="737"/>
      <c r="AG275" s="738" t="s">
        <v>704</v>
      </c>
      <c r="AH275" s="739">
        <v>3</v>
      </c>
      <c r="AI275" s="732"/>
      <c r="AJ275" s="732"/>
      <c r="AK275" s="732"/>
      <c r="AL275" s="732"/>
      <c r="AM275" s="732"/>
      <c r="AN275" s="732"/>
      <c r="AO275" s="732"/>
      <c r="AP275" s="732"/>
      <c r="AQ275" s="732"/>
      <c r="AR275" s="732"/>
      <c r="AS275" s="732"/>
      <c r="AT275" s="732"/>
      <c r="AU275" s="732"/>
      <c r="AV275" s="732"/>
      <c r="AW275" s="732"/>
      <c r="AX275" s="732"/>
      <c r="AY275" s="732"/>
      <c r="AZ275" s="732"/>
      <c r="BA275" s="732"/>
      <c r="BB275" s="732"/>
      <c r="BC275" s="732"/>
      <c r="BD275" s="732"/>
      <c r="BE275" s="732"/>
      <c r="BF275" s="732"/>
      <c r="BG275" s="732"/>
      <c r="BH275" s="732"/>
      <c r="BI275" s="732"/>
      <c r="BJ275" s="732"/>
      <c r="BK275" s="732"/>
      <c r="BL275" s="732"/>
      <c r="BM275" s="732"/>
      <c r="BN275" s="732"/>
      <c r="BO275" s="732"/>
      <c r="BP275" s="732"/>
      <c r="BQ275" s="732"/>
      <c r="BR275" s="732"/>
      <c r="BS275" s="732"/>
      <c r="BT275" s="732"/>
      <c r="BU275" s="732"/>
      <c r="BV275" s="733"/>
      <c r="BW275" s="733"/>
      <c r="BX275" s="733"/>
      <c r="BY275" s="733"/>
      <c r="BZ275" s="733"/>
      <c r="CA275" s="733"/>
      <c r="CB275" s="733"/>
      <c r="CC275" s="733"/>
      <c r="CD275" s="733"/>
      <c r="CE275" s="733"/>
      <c r="CF275" s="1944"/>
    </row>
    <row customHeight="1" ht="15" hidden="1">
      <c r="A276" s="730"/>
      <c r="B276" s="731"/>
      <c r="C276" s="731"/>
      <c r="D276" s="3219"/>
      <c r="E276" s="3215" t="s">
        <v>649</v>
      </c>
      <c r="F276" s="3216"/>
      <c r="G276" s="3217"/>
      <c r="H276" s="3211" t="str">
        <f>IF(A275="","",INDEX(DIFFERENTIATION_UNMERGE_AREA,MATCH(A275,DIFFERENTIATION_ID_DIFF,0)))</f>
        <v>без дифференциации</v>
      </c>
      <c r="I276" s="3211"/>
      <c r="J276" s="3211"/>
      <c r="K276" s="3211"/>
      <c r="L276" s="3211"/>
      <c r="M276" s="3211"/>
      <c r="N276" s="3211"/>
      <c r="O276" s="3211"/>
      <c r="P276" s="3211"/>
      <c r="Q276" s="3211"/>
      <c r="R276" s="3211"/>
      <c r="S276" s="826"/>
      <c r="T276" s="823"/>
      <c r="U276" s="732"/>
      <c r="V276" s="732"/>
      <c r="W276" s="733"/>
      <c r="X276" s="733"/>
      <c r="Y276" s="733"/>
      <c r="Z276" s="733"/>
      <c r="AA276" s="734"/>
      <c r="AB276" s="735"/>
      <c r="AC276" s="3214"/>
      <c r="AD276" s="736"/>
      <c r="AE276" s="737"/>
      <c r="AF276" s="737"/>
      <c r="AG276" s="738"/>
      <c r="AH276" s="739"/>
      <c r="AI276" s="732"/>
      <c r="AJ276" s="732"/>
      <c r="AK276" s="732"/>
      <c r="AL276" s="732"/>
      <c r="AM276" s="732"/>
      <c r="AN276" s="732"/>
      <c r="AO276" s="732"/>
      <c r="AP276" s="732"/>
      <c r="AQ276" s="732"/>
      <c r="AR276" s="732"/>
      <c r="AS276" s="732"/>
      <c r="AT276" s="732"/>
      <c r="AU276" s="732"/>
      <c r="AV276" s="732"/>
      <c r="AW276" s="732"/>
      <c r="AX276" s="732"/>
      <c r="AY276" s="732"/>
      <c r="AZ276" s="732"/>
      <c r="BA276" s="732"/>
      <c r="BB276" s="732"/>
      <c r="BC276" s="732"/>
      <c r="BD276" s="732"/>
      <c r="BE276" s="732"/>
      <c r="BF276" s="732"/>
      <c r="BG276" s="732"/>
      <c r="BH276" s="732"/>
      <c r="BI276" s="732"/>
      <c r="BJ276" s="732"/>
      <c r="BK276" s="732"/>
      <c r="BL276" s="732"/>
      <c r="BM276" s="732"/>
      <c r="BN276" s="732"/>
      <c r="BO276" s="732"/>
      <c r="BP276" s="732"/>
      <c r="BQ276" s="732"/>
      <c r="BR276" s="732"/>
      <c r="BS276" s="732"/>
      <c r="BT276" s="732"/>
      <c r="BU276" s="732"/>
      <c r="BV276" s="733"/>
      <c r="BW276" s="733"/>
      <c r="BX276" s="733"/>
      <c r="BY276" s="733"/>
      <c r="BZ276" s="733"/>
      <c r="CA276" s="733"/>
      <c r="CB276" s="733"/>
      <c r="CC276" s="733"/>
      <c r="CD276" s="733"/>
      <c r="CE276" s="733"/>
      <c r="CF276" s="1944"/>
    </row>
    <row customHeight="1" ht="15" hidden="1">
      <c r="A277" s="730"/>
      <c r="B277" s="731"/>
      <c r="C277" s="731"/>
      <c r="D277" s="3219"/>
      <c r="E277" s="3215" t="s">
        <v>650</v>
      </c>
      <c r="F277" s="3216"/>
      <c r="G277" s="3217"/>
      <c r="H277" s="3211" t="str">
        <f>IF(A275="","",INDEX(DIFFERENTIATION_UNMERGE_SYSTEM,MATCH(A275,DIFFERENTIATION_ID_DIFF,0)))</f>
        <v>Комсомольские тепловые сети</v>
      </c>
      <c r="I277" s="3211"/>
      <c r="J277" s="3211"/>
      <c r="K277" s="3211"/>
      <c r="L277" s="3211"/>
      <c r="M277" s="3211"/>
      <c r="N277" s="3211"/>
      <c r="O277" s="3211"/>
      <c r="P277" s="3211"/>
      <c r="Q277" s="3211"/>
      <c r="R277" s="3211"/>
      <c r="S277" s="826"/>
      <c r="T277" s="823"/>
      <c r="U277" s="732"/>
      <c r="V277" s="732"/>
      <c r="W277" s="733"/>
      <c r="X277" s="733"/>
      <c r="Y277" s="733"/>
      <c r="Z277" s="733"/>
      <c r="AA277" s="734"/>
      <c r="AB277" s="735"/>
      <c r="AC277" s="3214"/>
      <c r="AD277" s="736"/>
      <c r="AE277" s="737"/>
      <c r="AF277" s="737"/>
      <c r="AG277" s="738"/>
      <c r="AH277" s="739"/>
      <c r="AI277" s="732"/>
      <c r="AJ277" s="732"/>
      <c r="AK277" s="732"/>
      <c r="AL277" s="732"/>
      <c r="AM277" s="732"/>
      <c r="AN277" s="732"/>
      <c r="AO277" s="732"/>
      <c r="AP277" s="732"/>
      <c r="AQ277" s="732"/>
      <c r="AR277" s="732"/>
      <c r="AS277" s="732"/>
      <c r="AT277" s="732"/>
      <c r="AU277" s="732"/>
      <c r="AV277" s="732"/>
      <c r="AW277" s="732"/>
      <c r="AX277" s="732"/>
      <c r="AY277" s="732"/>
      <c r="AZ277" s="732"/>
      <c r="BA277" s="732"/>
      <c r="BB277" s="732"/>
      <c r="BC277" s="732"/>
      <c r="BD277" s="732"/>
      <c r="BE277" s="732"/>
      <c r="BF277" s="732"/>
      <c r="BG277" s="732"/>
      <c r="BH277" s="732"/>
      <c r="BI277" s="732"/>
      <c r="BJ277" s="732"/>
      <c r="BK277" s="732"/>
      <c r="BL277" s="732"/>
      <c r="BM277" s="732"/>
      <c r="BN277" s="732"/>
      <c r="BO277" s="732"/>
      <c r="BP277" s="732"/>
      <c r="BQ277" s="732"/>
      <c r="BR277" s="732"/>
      <c r="BS277" s="732"/>
      <c r="BT277" s="732"/>
      <c r="BU277" s="732"/>
      <c r="BV277" s="733"/>
      <c r="BW277" s="733"/>
      <c r="BX277" s="733"/>
      <c r="BY277" s="733"/>
      <c r="BZ277" s="733"/>
      <c r="CA277" s="733"/>
      <c r="CB277" s="733"/>
      <c r="CC277" s="733"/>
      <c r="CD277" s="733"/>
      <c r="CE277" s="733"/>
      <c r="CF277" s="1944"/>
    </row>
    <row customHeight="1" ht="24.75" hidden="1">
      <c r="A278" s="1901"/>
      <c r="B278" s="1256"/>
      <c r="C278" s="519"/>
      <c r="D278" s="3219"/>
      <c r="E278" s="3213" t="s">
        <v>705</v>
      </c>
      <c r="F278" s="3213"/>
      <c r="G278" s="3213"/>
      <c r="H278" s="3213"/>
      <c r="I278" s="3213"/>
      <c r="J278" s="3213"/>
      <c r="K278" s="3213"/>
      <c r="L278" s="3213"/>
      <c r="M278" s="3213"/>
      <c r="N278" s="3213"/>
      <c r="O278" s="3213"/>
      <c r="P278" s="3213"/>
      <c r="Q278" s="665">
        <f>SUMIF(T279:T280,"i",Q279:Q280)</f>
        <v>0</v>
      </c>
      <c r="R278" s="1117"/>
      <c r="S278" s="1893" t="s">
        <v>706</v>
      </c>
      <c r="T278" s="824" t="s">
        <v>707</v>
      </c>
      <c r="U278" s="3119">
        <v>1</v>
      </c>
      <c r="V278" s="3119" t="str">
        <f>INDEX(B_FHD_FLAG_INDEX_1,1,MATCH($A$275,B_FHD_FLAG_DIFFERENTIATION,0))</f>
        <v>отсутствует</v>
      </c>
      <c r="W278" s="1256"/>
      <c r="X278" s="1256"/>
      <c r="Y278" s="1256"/>
      <c r="Z278" s="1256"/>
      <c r="AA278" s="1732"/>
      <c r="AB278" s="1256"/>
      <c r="AC278" s="3214"/>
      <c r="AD278" s="736"/>
      <c r="AE278" s="1256"/>
      <c r="AF278" s="1256"/>
      <c r="AG278" s="1732"/>
      <c r="AH278" s="1732"/>
      <c r="AI278" s="1732"/>
      <c r="AJ278" s="1732"/>
      <c r="AK278" s="1732"/>
      <c r="AL278" s="1732"/>
      <c r="AM278" s="1732"/>
      <c r="AN278" s="1732"/>
      <c r="AO278" s="1732"/>
      <c r="AP278" s="1732"/>
      <c r="AQ278" s="1732"/>
      <c r="AR278" s="1732"/>
      <c r="AS278" s="1732"/>
      <c r="AT278" s="1732"/>
      <c r="AU278" s="1732"/>
      <c r="AV278" s="1732"/>
      <c r="AW278" s="1732"/>
      <c r="AX278" s="1732"/>
      <c r="AY278" s="1732"/>
      <c r="AZ278" s="1732"/>
      <c r="BA278" s="1732"/>
      <c r="BB278" s="1732"/>
      <c r="BC278" s="1732"/>
      <c r="BD278" s="1732"/>
      <c r="BE278" s="1732"/>
      <c r="BF278" s="1732"/>
      <c r="BG278" s="1732"/>
      <c r="BH278" s="1732"/>
      <c r="BI278" s="1732"/>
      <c r="BJ278" s="1732"/>
      <c r="BK278" s="1732"/>
      <c r="BL278" s="1732"/>
      <c r="BM278" s="1732"/>
      <c r="BN278" s="1732"/>
      <c r="BO278" s="1732"/>
      <c r="BP278" s="1732"/>
      <c r="BQ278" s="1732"/>
      <c r="BR278" s="1732"/>
      <c r="BS278" s="1732"/>
      <c r="BT278" s="1732"/>
      <c r="BU278" s="1732"/>
      <c r="BV278" s="1256"/>
      <c r="BW278" s="1256"/>
      <c r="BX278" s="1256"/>
      <c r="BY278" s="1256"/>
      <c r="BZ278" s="1256"/>
      <c r="CA278" s="1256"/>
      <c r="CB278" s="1256"/>
      <c r="CC278" s="1256"/>
      <c r="CD278" s="1256"/>
      <c r="CE278" s="1256"/>
      <c r="CF278" s="1944"/>
    </row>
    <row customHeight="1" ht="11.25" hidden="1">
      <c r="A279" s="1888"/>
      <c r="B279" s="1732"/>
      <c r="C279" s="1732"/>
      <c r="D279" s="3219"/>
      <c r="E279" s="742"/>
      <c r="F279" s="742">
        <v>0</v>
      </c>
      <c r="G279" s="742"/>
      <c r="H279" s="742"/>
      <c r="I279" s="742"/>
      <c r="J279" s="742"/>
      <c r="K279" s="742"/>
      <c r="L279" s="742"/>
      <c r="M279" s="742"/>
      <c r="N279" s="742"/>
      <c r="O279" s="742"/>
      <c r="P279" s="742"/>
      <c r="Q279" s="742"/>
      <c r="R279" s="742"/>
      <c r="S279" s="743"/>
      <c r="T279" s="825"/>
      <c r="U279" s="3119"/>
      <c r="V279" s="3119"/>
      <c r="W279" s="1732"/>
      <c r="X279" s="1732"/>
      <c r="Y279" s="1732"/>
      <c r="Z279" s="1732"/>
      <c r="AA279" s="1732"/>
      <c r="AB279" s="1256"/>
      <c r="AC279" s="3214"/>
      <c r="AD279" s="736"/>
      <c r="AE279" s="1256"/>
      <c r="AF279" s="1256"/>
      <c r="AG279" s="1732"/>
      <c r="AH279" s="1732"/>
      <c r="AI279" s="1732"/>
      <c r="AJ279" s="1732"/>
      <c r="AK279" s="1732"/>
      <c r="AL279" s="1732"/>
      <c r="AM279" s="1732"/>
      <c r="AN279" s="1732"/>
      <c r="AO279" s="1732"/>
      <c r="AP279" s="1732"/>
      <c r="AQ279" s="1732"/>
      <c r="AR279" s="1732"/>
      <c r="AS279" s="1732"/>
      <c r="AT279" s="1732"/>
      <c r="AU279" s="1732"/>
      <c r="AV279" s="1732"/>
      <c r="AW279" s="1732"/>
      <c r="AX279" s="1732"/>
      <c r="AY279" s="1732"/>
      <c r="AZ279" s="1732"/>
      <c r="BA279" s="1732"/>
      <c r="BB279" s="1732"/>
      <c r="BC279" s="1732"/>
      <c r="BD279" s="1732"/>
      <c r="BE279" s="1732"/>
      <c r="BF279" s="1732"/>
      <c r="BG279" s="1732"/>
      <c r="BH279" s="1732"/>
      <c r="BI279" s="1732"/>
      <c r="BJ279" s="1732"/>
      <c r="BK279" s="1732"/>
      <c r="BL279" s="1732"/>
      <c r="BM279" s="1732"/>
      <c r="BN279" s="1732"/>
      <c r="BO279" s="1732"/>
      <c r="BP279" s="1732"/>
      <c r="BQ279" s="1732"/>
      <c r="BR279" s="1732"/>
      <c r="BS279" s="1732"/>
      <c r="BT279" s="1732"/>
      <c r="BU279" s="1732"/>
      <c r="BV279" s="1732"/>
      <c r="BW279" s="1732"/>
      <c r="BX279" s="1732"/>
      <c r="BY279" s="1732"/>
      <c r="BZ279" s="1732"/>
      <c r="CA279" s="1732"/>
      <c r="CB279" s="1732"/>
      <c r="CC279" s="1732"/>
      <c r="CD279" s="1732"/>
      <c r="CE279" s="1732"/>
      <c r="CF279" s="1944"/>
    </row>
    <row customHeight="1" ht="11.25" hidden="1">
      <c r="A280" s="1901"/>
      <c r="B280" s="1256"/>
      <c r="C280" s="519"/>
      <c r="D280" s="3219"/>
      <c r="E280" s="756" t="s">
        <v>22</v>
      </c>
      <c r="F280" s="1264" t="s">
        <v>22</v>
      </c>
      <c r="G280" s="1264" t="s">
        <v>711</v>
      </c>
      <c r="H280" s="758" t="s">
        <v>22</v>
      </c>
      <c r="I280" s="758"/>
      <c r="J280" s="758"/>
      <c r="K280" s="758"/>
      <c r="L280" s="758"/>
      <c r="M280" s="758"/>
      <c r="N280" s="758"/>
      <c r="O280" s="758"/>
      <c r="P280" s="758"/>
      <c r="Q280" s="758"/>
      <c r="R280" s="759"/>
      <c r="S280" s="760"/>
      <c r="T280" s="825"/>
      <c r="U280" s="3119"/>
      <c r="V280" s="3119"/>
      <c r="W280" s="1256"/>
      <c r="X280" s="1256"/>
      <c r="Y280" s="1256"/>
      <c r="Z280" s="1256"/>
      <c r="AA280" s="1732"/>
      <c r="AB280" s="1256"/>
      <c r="AC280" s="3214"/>
      <c r="AD280" s="736"/>
      <c r="AE280" s="1256"/>
      <c r="AF280" s="1256"/>
      <c r="AG280" s="1732"/>
      <c r="AH280" s="1732"/>
      <c r="AI280" s="1732"/>
      <c r="AJ280" s="1732"/>
      <c r="AK280" s="1732"/>
      <c r="AL280" s="1732"/>
      <c r="AM280" s="1732"/>
      <c r="AN280" s="1732"/>
      <c r="AO280" s="1732"/>
      <c r="AP280" s="1732"/>
      <c r="AQ280" s="1732"/>
      <c r="AR280" s="1732"/>
      <c r="AS280" s="1732"/>
      <c r="AT280" s="1732"/>
      <c r="AU280" s="1732"/>
      <c r="AV280" s="1732"/>
      <c r="AW280" s="1732"/>
      <c r="AX280" s="1732"/>
      <c r="AY280" s="1732"/>
      <c r="AZ280" s="1732"/>
      <c r="BA280" s="1732"/>
      <c r="BB280" s="1732"/>
      <c r="BC280" s="1732"/>
      <c r="BD280" s="1732"/>
      <c r="BE280" s="1732"/>
      <c r="BF280" s="1732"/>
      <c r="BG280" s="1732"/>
      <c r="BH280" s="1732"/>
      <c r="BI280" s="1732"/>
      <c r="BJ280" s="1732"/>
      <c r="BK280" s="1732"/>
      <c r="BL280" s="1732"/>
      <c r="BM280" s="1732"/>
      <c r="BN280" s="1732"/>
      <c r="BO280" s="1732"/>
      <c r="BP280" s="1732"/>
      <c r="BQ280" s="1732"/>
      <c r="BR280" s="1732"/>
      <c r="BS280" s="1732"/>
      <c r="BT280" s="1732"/>
      <c r="BU280" s="1732"/>
      <c r="BV280" s="1256"/>
      <c r="BW280" s="1256"/>
      <c r="BX280" s="1256"/>
      <c r="BY280" s="1256"/>
      <c r="BZ280" s="1256"/>
      <c r="CA280" s="1256"/>
      <c r="CB280" s="1256"/>
      <c r="CC280" s="1256"/>
      <c r="CD280" s="1256"/>
      <c r="CE280" s="1256"/>
      <c r="CF280" s="1944"/>
    </row>
    <row customHeight="1" ht="5.25" hidden="1">
      <c r="A281" s="1888"/>
      <c r="B281" s="1732"/>
      <c r="C281" s="1732"/>
      <c r="D281" s="3219"/>
      <c r="E281" s="1139"/>
      <c r="F281" s="1139"/>
      <c r="G281" s="1139"/>
      <c r="H281" s="1139"/>
      <c r="I281" s="1139"/>
      <c r="J281" s="1139"/>
      <c r="K281" s="1139"/>
      <c r="L281" s="1139"/>
      <c r="M281" s="1139"/>
      <c r="N281" s="1139"/>
      <c r="O281" s="1139"/>
      <c r="P281" s="1139"/>
      <c r="Q281" s="1140"/>
      <c r="R281" s="1141"/>
      <c r="S281" s="1142"/>
      <c r="T281" s="824" t="s">
        <v>707</v>
      </c>
      <c r="U281" s="3119">
        <v>1</v>
      </c>
      <c r="V281" s="3119" t="s">
        <v>669</v>
      </c>
      <c r="W281" s="1732"/>
      <c r="X281" s="1732"/>
      <c r="Y281" s="1732"/>
      <c r="Z281" s="1732"/>
      <c r="AA281" s="1732"/>
      <c r="AB281" s="1732"/>
      <c r="AC281" s="1137"/>
      <c r="AD281" s="1138"/>
      <c r="AE281" s="1732"/>
      <c r="AF281" s="1732"/>
      <c r="AG281" s="1732"/>
      <c r="AH281" s="1732"/>
      <c r="AI281" s="1732"/>
      <c r="AJ281" s="1732"/>
      <c r="AK281" s="1732"/>
      <c r="AL281" s="1732"/>
      <c r="AM281" s="1732"/>
      <c r="AN281" s="1732"/>
      <c r="AO281" s="1732"/>
      <c r="AP281" s="1732"/>
      <c r="AQ281" s="1732"/>
      <c r="AR281" s="1732"/>
      <c r="AS281" s="1732"/>
      <c r="AT281" s="1732"/>
      <c r="AU281" s="1732"/>
      <c r="AV281" s="1732"/>
      <c r="AW281" s="1732"/>
      <c r="AX281" s="1732"/>
      <c r="AY281" s="1732"/>
      <c r="AZ281" s="1732"/>
      <c r="BA281" s="1732"/>
      <c r="BB281" s="1732"/>
      <c r="BC281" s="1732"/>
      <c r="BD281" s="1732"/>
      <c r="BE281" s="1732"/>
      <c r="BF281" s="1732"/>
      <c r="BG281" s="1732"/>
      <c r="BH281" s="1732"/>
      <c r="BI281" s="1732"/>
      <c r="BJ281" s="1732"/>
      <c r="BK281" s="1732"/>
      <c r="BL281" s="1732"/>
      <c r="BM281" s="1732"/>
      <c r="BN281" s="1732"/>
      <c r="BO281" s="1732"/>
      <c r="BP281" s="1732"/>
      <c r="BQ281" s="1732"/>
      <c r="BR281" s="1732"/>
      <c r="BS281" s="1732"/>
      <c r="BT281" s="1732"/>
      <c r="BU281" s="1732"/>
      <c r="BV281" s="1732"/>
      <c r="BW281" s="1732"/>
      <c r="BX281" s="1732"/>
      <c r="BY281" s="1732"/>
      <c r="BZ281" s="1732"/>
      <c r="CA281" s="1732"/>
      <c r="CB281" s="1732"/>
      <c r="CC281" s="1732"/>
      <c r="CD281" s="1732"/>
      <c r="CE281" s="1732"/>
      <c r="CF281" s="1412"/>
    </row>
    <row customHeight="1" ht="5.25" hidden="1">
      <c r="A282" s="1888"/>
      <c r="B282" s="1732"/>
      <c r="C282" s="1732"/>
      <c r="D282" s="3219"/>
      <c r="E282" s="742"/>
      <c r="F282" s="742"/>
      <c r="G282" s="742"/>
      <c r="H282" s="742"/>
      <c r="I282" s="742"/>
      <c r="J282" s="742"/>
      <c r="K282" s="742"/>
      <c r="L282" s="742"/>
      <c r="M282" s="742"/>
      <c r="N282" s="742"/>
      <c r="O282" s="742"/>
      <c r="P282" s="742"/>
      <c r="Q282" s="742"/>
      <c r="R282" s="742"/>
      <c r="S282" s="743"/>
      <c r="T282" s="825"/>
      <c r="U282" s="3119"/>
      <c r="V282" s="3119"/>
      <c r="W282" s="1732"/>
      <c r="X282" s="1732"/>
      <c r="Y282" s="1732"/>
      <c r="Z282" s="1732"/>
      <c r="AA282" s="1732"/>
      <c r="AB282" s="1732"/>
      <c r="AC282" s="1137"/>
      <c r="AD282" s="1138"/>
      <c r="AE282" s="1732"/>
      <c r="AF282" s="1732"/>
      <c r="AG282" s="1732"/>
      <c r="AH282" s="1732"/>
      <c r="AI282" s="1732"/>
      <c r="AJ282" s="1732"/>
      <c r="AK282" s="1732"/>
      <c r="AL282" s="1732"/>
      <c r="AM282" s="1732"/>
      <c r="AN282" s="1732"/>
      <c r="AO282" s="1732"/>
      <c r="AP282" s="1732"/>
      <c r="AQ282" s="1732"/>
      <c r="AR282" s="1732"/>
      <c r="AS282" s="1732"/>
      <c r="AT282" s="1732"/>
      <c r="AU282" s="1732"/>
      <c r="AV282" s="1732"/>
      <c r="AW282" s="1732"/>
      <c r="AX282" s="1732"/>
      <c r="AY282" s="1732"/>
      <c r="AZ282" s="1732"/>
      <c r="BA282" s="1732"/>
      <c r="BB282" s="1732"/>
      <c r="BC282" s="1732"/>
      <c r="BD282" s="1732"/>
      <c r="BE282" s="1732"/>
      <c r="BF282" s="1732"/>
      <c r="BG282" s="1732"/>
      <c r="BH282" s="1732"/>
      <c r="BI282" s="1732"/>
      <c r="BJ282" s="1732"/>
      <c r="BK282" s="1732"/>
      <c r="BL282" s="1732"/>
      <c r="BM282" s="1732"/>
      <c r="BN282" s="1732"/>
      <c r="BO282" s="1732"/>
      <c r="BP282" s="1732"/>
      <c r="BQ282" s="1732"/>
      <c r="BR282" s="1732"/>
      <c r="BS282" s="1732"/>
      <c r="BT282" s="1732"/>
      <c r="BU282" s="1732"/>
      <c r="BV282" s="1732"/>
      <c r="BW282" s="1732"/>
      <c r="BX282" s="1732"/>
      <c r="BY282" s="1732"/>
      <c r="BZ282" s="1732"/>
      <c r="CA282" s="1732"/>
      <c r="CB282" s="1732"/>
      <c r="CC282" s="1732"/>
      <c r="CD282" s="1732"/>
      <c r="CE282" s="1732"/>
      <c r="CF282" s="1412"/>
    </row>
    <row customHeight="1" ht="5.25" hidden="1">
      <c r="A283" s="1888"/>
      <c r="B283" s="1732"/>
      <c r="C283" s="1732"/>
      <c r="D283" s="3220"/>
      <c r="E283" s="1143"/>
      <c r="F283" s="1144"/>
      <c r="G283" s="1144"/>
      <c r="H283" s="1145"/>
      <c r="I283" s="1145"/>
      <c r="J283" s="1145"/>
      <c r="K283" s="1145"/>
      <c r="L283" s="1145"/>
      <c r="M283" s="1145"/>
      <c r="N283" s="1145"/>
      <c r="O283" s="1145"/>
      <c r="P283" s="1145"/>
      <c r="Q283" s="1145"/>
      <c r="R283" s="1046"/>
      <c r="S283" s="1146"/>
      <c r="T283" s="825"/>
      <c r="U283" s="3119"/>
      <c r="V283" s="3119"/>
      <c r="W283" s="1732"/>
      <c r="X283" s="1732"/>
      <c r="Y283" s="1732"/>
      <c r="Z283" s="1732"/>
      <c r="AA283" s="1732"/>
      <c r="AB283" s="1732"/>
      <c r="AC283" s="1137"/>
      <c r="AD283" s="1138"/>
      <c r="AE283" s="1732"/>
      <c r="AF283" s="1732"/>
      <c r="AG283" s="1732"/>
      <c r="AH283" s="1732"/>
      <c r="AI283" s="1732"/>
      <c r="AJ283" s="1732"/>
      <c r="AK283" s="1732"/>
      <c r="AL283" s="1732"/>
      <c r="AM283" s="1732"/>
      <c r="AN283" s="1732"/>
      <c r="AO283" s="1732"/>
      <c r="AP283" s="1732"/>
      <c r="AQ283" s="1732"/>
      <c r="AR283" s="1732"/>
      <c r="AS283" s="1732"/>
      <c r="AT283" s="1732"/>
      <c r="AU283" s="1732"/>
      <c r="AV283" s="1732"/>
      <c r="AW283" s="1732"/>
      <c r="AX283" s="1732"/>
      <c r="AY283" s="1732"/>
      <c r="AZ283" s="1732"/>
      <c r="BA283" s="1732"/>
      <c r="BB283" s="1732"/>
      <c r="BC283" s="1732"/>
      <c r="BD283" s="1732"/>
      <c r="BE283" s="1732"/>
      <c r="BF283" s="1732"/>
      <c r="BG283" s="1732"/>
      <c r="BH283" s="1732"/>
      <c r="BI283" s="1732"/>
      <c r="BJ283" s="1732"/>
      <c r="BK283" s="1732"/>
      <c r="BL283" s="1732"/>
      <c r="BM283" s="1732"/>
      <c r="BN283" s="1732"/>
      <c r="BO283" s="1732"/>
      <c r="BP283" s="1732"/>
      <c r="BQ283" s="1732"/>
      <c r="BR283" s="1732"/>
      <c r="BS283" s="1732"/>
      <c r="BT283" s="1732"/>
      <c r="BU283" s="1732"/>
      <c r="BV283" s="1732"/>
      <c r="BW283" s="1732"/>
      <c r="BX283" s="1732"/>
      <c r="BY283" s="1732"/>
      <c r="BZ283" s="1732"/>
      <c r="CA283" s="1732"/>
      <c r="CB283" s="1732"/>
      <c r="CC283" s="1732"/>
      <c r="CD283" s="1732"/>
      <c r="CE283" s="1732"/>
      <c r="CF283" s="1412"/>
    </row>
    <row customHeight="1" ht="15" hidden="1">
      <c r="A284" s="730" t="s">
        <v>197</v>
      </c>
      <c r="B284" s="731"/>
      <c r="C284" s="731" t="s">
        <v>22</v>
      </c>
      <c r="D284" s="3218" t="s">
        <v>750</v>
      </c>
      <c r="E284" s="3215" t="s">
        <v>140</v>
      </c>
      <c r="F284" s="3216"/>
      <c r="G284" s="3217"/>
      <c r="H284" s="3211" t="str">
        <f>IF(A284="","",INDEX(DIFFERENTIATION_UNMERGE_VD,MATCH(A284,DIFFERENTIATION_ID_DIFF,0)))</f>
        <v>Передача. Тепловая энергия; Передача. Теплоноситель; Сбыт. Тепловая энергия; Сбыт. Теплоноситель</v>
      </c>
      <c r="I284" s="3211"/>
      <c r="J284" s="3211"/>
      <c r="K284" s="3211"/>
      <c r="L284" s="3211"/>
      <c r="M284" s="3211"/>
      <c r="N284" s="3211"/>
      <c r="O284" s="3211"/>
      <c r="P284" s="3211"/>
      <c r="Q284" s="3211"/>
      <c r="R284" s="3211"/>
      <c r="S284" s="826"/>
      <c r="T284" s="823"/>
      <c r="U284" s="732"/>
      <c r="V284" s="732"/>
      <c r="W284" s="733"/>
      <c r="X284" s="733"/>
      <c r="Y284" s="733"/>
      <c r="Z284" s="733"/>
      <c r="AA284" s="734"/>
      <c r="AB284" s="735"/>
      <c r="AC284" s="3214"/>
      <c r="AD284" s="736"/>
      <c r="AE284" s="737" t="s">
        <v>22</v>
      </c>
      <c r="AF284" s="737"/>
      <c r="AG284" s="738" t="s">
        <v>704</v>
      </c>
      <c r="AH284" s="739">
        <v>3</v>
      </c>
      <c r="AI284" s="732"/>
      <c r="AJ284" s="732"/>
      <c r="AK284" s="732"/>
      <c r="AL284" s="732"/>
      <c r="AM284" s="732"/>
      <c r="AN284" s="732"/>
      <c r="AO284" s="732"/>
      <c r="AP284" s="732"/>
      <c r="AQ284" s="732"/>
      <c r="AR284" s="732"/>
      <c r="AS284" s="732"/>
      <c r="AT284" s="732"/>
      <c r="AU284" s="732"/>
      <c r="AV284" s="732"/>
      <c r="AW284" s="732"/>
      <c r="AX284" s="732"/>
      <c r="AY284" s="732"/>
      <c r="AZ284" s="732"/>
      <c r="BA284" s="732"/>
      <c r="BB284" s="732"/>
      <c r="BC284" s="732"/>
      <c r="BD284" s="732"/>
      <c r="BE284" s="732"/>
      <c r="BF284" s="732"/>
      <c r="BG284" s="732"/>
      <c r="BH284" s="732"/>
      <c r="BI284" s="732"/>
      <c r="BJ284" s="732"/>
      <c r="BK284" s="732"/>
      <c r="BL284" s="732"/>
      <c r="BM284" s="732"/>
      <c r="BN284" s="732"/>
      <c r="BO284" s="732"/>
      <c r="BP284" s="732"/>
      <c r="BQ284" s="732"/>
      <c r="BR284" s="732"/>
      <c r="BS284" s="732"/>
      <c r="BT284" s="732"/>
      <c r="BU284" s="732"/>
      <c r="BV284" s="733"/>
      <c r="BW284" s="733"/>
      <c r="BX284" s="733"/>
      <c r="BY284" s="733"/>
      <c r="BZ284" s="733"/>
      <c r="CA284" s="733"/>
      <c r="CB284" s="733"/>
      <c r="CC284" s="733"/>
      <c r="CD284" s="733"/>
      <c r="CE284" s="733"/>
      <c r="CF284" s="1944"/>
    </row>
    <row customHeight="1" ht="15" hidden="1">
      <c r="A285" s="730"/>
      <c r="B285" s="731"/>
      <c r="C285" s="731"/>
      <c r="D285" s="3219"/>
      <c r="E285" s="3215" t="s">
        <v>649</v>
      </c>
      <c r="F285" s="3216"/>
      <c r="G285" s="3217"/>
      <c r="H285" s="3211" t="str">
        <f>IF(A284="","",INDEX(DIFFERENTIATION_UNMERGE_AREA,MATCH(A284,DIFFERENTIATION_ID_DIFF,0)))</f>
        <v>без дифференциации</v>
      </c>
      <c r="I285" s="3211"/>
      <c r="J285" s="3211"/>
      <c r="K285" s="3211"/>
      <c r="L285" s="3211"/>
      <c r="M285" s="3211"/>
      <c r="N285" s="3211"/>
      <c r="O285" s="3211"/>
      <c r="P285" s="3211"/>
      <c r="Q285" s="3211"/>
      <c r="R285" s="3211"/>
      <c r="S285" s="826"/>
      <c r="T285" s="823"/>
      <c r="U285" s="732"/>
      <c r="V285" s="732"/>
      <c r="W285" s="733"/>
      <c r="X285" s="733"/>
      <c r="Y285" s="733"/>
      <c r="Z285" s="733"/>
      <c r="AA285" s="734"/>
      <c r="AB285" s="735"/>
      <c r="AC285" s="3214"/>
      <c r="AD285" s="736"/>
      <c r="AE285" s="737"/>
      <c r="AF285" s="737"/>
      <c r="AG285" s="738"/>
      <c r="AH285" s="739"/>
      <c r="AI285" s="732"/>
      <c r="AJ285" s="732"/>
      <c r="AK285" s="732"/>
      <c r="AL285" s="732"/>
      <c r="AM285" s="732"/>
      <c r="AN285" s="732"/>
      <c r="AO285" s="732"/>
      <c r="AP285" s="732"/>
      <c r="AQ285" s="732"/>
      <c r="AR285" s="732"/>
      <c r="AS285" s="732"/>
      <c r="AT285" s="732"/>
      <c r="AU285" s="732"/>
      <c r="AV285" s="732"/>
      <c r="AW285" s="732"/>
      <c r="AX285" s="732"/>
      <c r="AY285" s="732"/>
      <c r="AZ285" s="732"/>
      <c r="BA285" s="732"/>
      <c r="BB285" s="732"/>
      <c r="BC285" s="732"/>
      <c r="BD285" s="732"/>
      <c r="BE285" s="732"/>
      <c r="BF285" s="732"/>
      <c r="BG285" s="732"/>
      <c r="BH285" s="732"/>
      <c r="BI285" s="732"/>
      <c r="BJ285" s="732"/>
      <c r="BK285" s="732"/>
      <c r="BL285" s="732"/>
      <c r="BM285" s="732"/>
      <c r="BN285" s="732"/>
      <c r="BO285" s="732"/>
      <c r="BP285" s="732"/>
      <c r="BQ285" s="732"/>
      <c r="BR285" s="732"/>
      <c r="BS285" s="732"/>
      <c r="BT285" s="732"/>
      <c r="BU285" s="732"/>
      <c r="BV285" s="733"/>
      <c r="BW285" s="733"/>
      <c r="BX285" s="733"/>
      <c r="BY285" s="733"/>
      <c r="BZ285" s="733"/>
      <c r="CA285" s="733"/>
      <c r="CB285" s="733"/>
      <c r="CC285" s="733"/>
      <c r="CD285" s="733"/>
      <c r="CE285" s="733"/>
      <c r="CF285" s="1944"/>
    </row>
    <row customHeight="1" ht="15" hidden="1">
      <c r="A286" s="730"/>
      <c r="B286" s="731"/>
      <c r="C286" s="731"/>
      <c r="D286" s="3219"/>
      <c r="E286" s="3215" t="s">
        <v>650</v>
      </c>
      <c r="F286" s="3216"/>
      <c r="G286" s="3217"/>
      <c r="H286" s="3211" t="str">
        <f>IF(A284="","",INDEX(DIFFERENTIATION_UNMERGE_SYSTEM,MATCH(A284,DIFFERENTIATION_ID_DIFF,0)))</f>
        <v>Хабаровские тепловые сети</v>
      </c>
      <c r="I286" s="3211"/>
      <c r="J286" s="3211"/>
      <c r="K286" s="3211"/>
      <c r="L286" s="3211"/>
      <c r="M286" s="3211"/>
      <c r="N286" s="3211"/>
      <c r="O286" s="3211"/>
      <c r="P286" s="3211"/>
      <c r="Q286" s="3211"/>
      <c r="R286" s="3211"/>
      <c r="S286" s="826"/>
      <c r="T286" s="823"/>
      <c r="U286" s="732"/>
      <c r="V286" s="732"/>
      <c r="W286" s="733"/>
      <c r="X286" s="733"/>
      <c r="Y286" s="733"/>
      <c r="Z286" s="733"/>
      <c r="AA286" s="734"/>
      <c r="AB286" s="735"/>
      <c r="AC286" s="3214"/>
      <c r="AD286" s="736"/>
      <c r="AE286" s="737"/>
      <c r="AF286" s="737"/>
      <c r="AG286" s="738"/>
      <c r="AH286" s="739"/>
      <c r="AI286" s="732"/>
      <c r="AJ286" s="732"/>
      <c r="AK286" s="732"/>
      <c r="AL286" s="732"/>
      <c r="AM286" s="732"/>
      <c r="AN286" s="732"/>
      <c r="AO286" s="732"/>
      <c r="AP286" s="732"/>
      <c r="AQ286" s="732"/>
      <c r="AR286" s="732"/>
      <c r="AS286" s="732"/>
      <c r="AT286" s="732"/>
      <c r="AU286" s="732"/>
      <c r="AV286" s="732"/>
      <c r="AW286" s="732"/>
      <c r="AX286" s="732"/>
      <c r="AY286" s="732"/>
      <c r="AZ286" s="732"/>
      <c r="BA286" s="732"/>
      <c r="BB286" s="732"/>
      <c r="BC286" s="732"/>
      <c r="BD286" s="732"/>
      <c r="BE286" s="732"/>
      <c r="BF286" s="732"/>
      <c r="BG286" s="732"/>
      <c r="BH286" s="732"/>
      <c r="BI286" s="732"/>
      <c r="BJ286" s="732"/>
      <c r="BK286" s="732"/>
      <c r="BL286" s="732"/>
      <c r="BM286" s="732"/>
      <c r="BN286" s="732"/>
      <c r="BO286" s="732"/>
      <c r="BP286" s="732"/>
      <c r="BQ286" s="732"/>
      <c r="BR286" s="732"/>
      <c r="BS286" s="732"/>
      <c r="BT286" s="732"/>
      <c r="BU286" s="732"/>
      <c r="BV286" s="733"/>
      <c r="BW286" s="733"/>
      <c r="BX286" s="733"/>
      <c r="BY286" s="733"/>
      <c r="BZ286" s="733"/>
      <c r="CA286" s="733"/>
      <c r="CB286" s="733"/>
      <c r="CC286" s="733"/>
      <c r="CD286" s="733"/>
      <c r="CE286" s="733"/>
      <c r="CF286" s="1944"/>
    </row>
    <row customHeight="1" ht="24.75" hidden="1">
      <c r="A287" s="1901"/>
      <c r="B287" s="1256"/>
      <c r="C287" s="519"/>
      <c r="D287" s="3219"/>
      <c r="E287" s="3213" t="s">
        <v>705</v>
      </c>
      <c r="F287" s="3213"/>
      <c r="G287" s="3213"/>
      <c r="H287" s="3213"/>
      <c r="I287" s="3213"/>
      <c r="J287" s="3213"/>
      <c r="K287" s="3213"/>
      <c r="L287" s="3213"/>
      <c r="M287" s="3213"/>
      <c r="N287" s="3213"/>
      <c r="O287" s="3213"/>
      <c r="P287" s="3213"/>
      <c r="Q287" s="665">
        <f>SUMIF(T288:T289,"i",Q288:Q289)</f>
        <v>0</v>
      </c>
      <c r="R287" s="1117"/>
      <c r="S287" s="1893" t="s">
        <v>706</v>
      </c>
      <c r="T287" s="824" t="s">
        <v>707</v>
      </c>
      <c r="U287" s="3119">
        <v>1</v>
      </c>
      <c r="V287" s="3119" t="str">
        <f>INDEX(B_FHD_FLAG_INDEX_1,1,MATCH($A$284,B_FHD_FLAG_DIFFERENTIATION,0))</f>
        <v>отсутствует</v>
      </c>
      <c r="W287" s="1256"/>
      <c r="X287" s="1256"/>
      <c r="Y287" s="1256"/>
      <c r="Z287" s="1256"/>
      <c r="AA287" s="1732"/>
      <c r="AB287" s="1256"/>
      <c r="AC287" s="3214"/>
      <c r="AD287" s="736"/>
      <c r="AE287" s="1256"/>
      <c r="AF287" s="1256"/>
      <c r="AG287" s="1732"/>
      <c r="AH287" s="1732"/>
      <c r="AI287" s="1732"/>
      <c r="AJ287" s="1732"/>
      <c r="AK287" s="1732"/>
      <c r="AL287" s="1732"/>
      <c r="AM287" s="1732"/>
      <c r="AN287" s="1732"/>
      <c r="AO287" s="1732"/>
      <c r="AP287" s="1732"/>
      <c r="AQ287" s="1732"/>
      <c r="AR287" s="1732"/>
      <c r="AS287" s="1732"/>
      <c r="AT287" s="1732"/>
      <c r="AU287" s="1732"/>
      <c r="AV287" s="1732"/>
      <c r="AW287" s="1732"/>
      <c r="AX287" s="1732"/>
      <c r="AY287" s="1732"/>
      <c r="AZ287" s="1732"/>
      <c r="BA287" s="1732"/>
      <c r="BB287" s="1732"/>
      <c r="BC287" s="1732"/>
      <c r="BD287" s="1732"/>
      <c r="BE287" s="1732"/>
      <c r="BF287" s="1732"/>
      <c r="BG287" s="1732"/>
      <c r="BH287" s="1732"/>
      <c r="BI287" s="1732"/>
      <c r="BJ287" s="1732"/>
      <c r="BK287" s="1732"/>
      <c r="BL287" s="1732"/>
      <c r="BM287" s="1732"/>
      <c r="BN287" s="1732"/>
      <c r="BO287" s="1732"/>
      <c r="BP287" s="1732"/>
      <c r="BQ287" s="1732"/>
      <c r="BR287" s="1732"/>
      <c r="BS287" s="1732"/>
      <c r="BT287" s="1732"/>
      <c r="BU287" s="1732"/>
      <c r="BV287" s="1256"/>
      <c r="BW287" s="1256"/>
      <c r="BX287" s="1256"/>
      <c r="BY287" s="1256"/>
      <c r="BZ287" s="1256"/>
      <c r="CA287" s="1256"/>
      <c r="CB287" s="1256"/>
      <c r="CC287" s="1256"/>
      <c r="CD287" s="1256"/>
      <c r="CE287" s="1256"/>
      <c r="CF287" s="1944"/>
    </row>
    <row customHeight="1" ht="11.25" hidden="1">
      <c r="A288" s="1888"/>
      <c r="B288" s="1732"/>
      <c r="C288" s="1732"/>
      <c r="D288" s="3219"/>
      <c r="E288" s="742"/>
      <c r="F288" s="742">
        <v>0</v>
      </c>
      <c r="G288" s="742"/>
      <c r="H288" s="742"/>
      <c r="I288" s="742"/>
      <c r="J288" s="742"/>
      <c r="K288" s="742"/>
      <c r="L288" s="742"/>
      <c r="M288" s="742"/>
      <c r="N288" s="742"/>
      <c r="O288" s="742"/>
      <c r="P288" s="742"/>
      <c r="Q288" s="742"/>
      <c r="R288" s="742"/>
      <c r="S288" s="743"/>
      <c r="T288" s="825"/>
      <c r="U288" s="3119"/>
      <c r="V288" s="3119"/>
      <c r="W288" s="1732"/>
      <c r="X288" s="1732"/>
      <c r="Y288" s="1732"/>
      <c r="Z288" s="1732"/>
      <c r="AA288" s="1732"/>
      <c r="AB288" s="1256"/>
      <c r="AC288" s="3214"/>
      <c r="AD288" s="736"/>
      <c r="AE288" s="1256"/>
      <c r="AF288" s="1256"/>
      <c r="AG288" s="1732"/>
      <c r="AH288" s="1732"/>
      <c r="AI288" s="1732"/>
      <c r="AJ288" s="1732"/>
      <c r="AK288" s="1732"/>
      <c r="AL288" s="1732"/>
      <c r="AM288" s="1732"/>
      <c r="AN288" s="1732"/>
      <c r="AO288" s="1732"/>
      <c r="AP288" s="1732"/>
      <c r="AQ288" s="1732"/>
      <c r="AR288" s="1732"/>
      <c r="AS288" s="1732"/>
      <c r="AT288" s="1732"/>
      <c r="AU288" s="1732"/>
      <c r="AV288" s="1732"/>
      <c r="AW288" s="1732"/>
      <c r="AX288" s="1732"/>
      <c r="AY288" s="1732"/>
      <c r="AZ288" s="1732"/>
      <c r="BA288" s="1732"/>
      <c r="BB288" s="1732"/>
      <c r="BC288" s="1732"/>
      <c r="BD288" s="1732"/>
      <c r="BE288" s="1732"/>
      <c r="BF288" s="1732"/>
      <c r="BG288" s="1732"/>
      <c r="BH288" s="1732"/>
      <c r="BI288" s="1732"/>
      <c r="BJ288" s="1732"/>
      <c r="BK288" s="1732"/>
      <c r="BL288" s="1732"/>
      <c r="BM288" s="1732"/>
      <c r="BN288" s="1732"/>
      <c r="BO288" s="1732"/>
      <c r="BP288" s="1732"/>
      <c r="BQ288" s="1732"/>
      <c r="BR288" s="1732"/>
      <c r="BS288" s="1732"/>
      <c r="BT288" s="1732"/>
      <c r="BU288" s="1732"/>
      <c r="BV288" s="1732"/>
      <c r="BW288" s="1732"/>
      <c r="BX288" s="1732"/>
      <c r="BY288" s="1732"/>
      <c r="BZ288" s="1732"/>
      <c r="CA288" s="1732"/>
      <c r="CB288" s="1732"/>
      <c r="CC288" s="1732"/>
      <c r="CD288" s="1732"/>
      <c r="CE288" s="1732"/>
      <c r="CF288" s="1944"/>
    </row>
    <row customHeight="1" ht="11.25" hidden="1">
      <c r="A289" s="1901"/>
      <c r="B289" s="1256"/>
      <c r="C289" s="519"/>
      <c r="D289" s="3219"/>
      <c r="E289" s="756" t="s">
        <v>22</v>
      </c>
      <c r="F289" s="1264" t="s">
        <v>22</v>
      </c>
      <c r="G289" s="1264" t="s">
        <v>711</v>
      </c>
      <c r="H289" s="758" t="s">
        <v>22</v>
      </c>
      <c r="I289" s="758"/>
      <c r="J289" s="758"/>
      <c r="K289" s="758"/>
      <c r="L289" s="758"/>
      <c r="M289" s="758"/>
      <c r="N289" s="758"/>
      <c r="O289" s="758"/>
      <c r="P289" s="758"/>
      <c r="Q289" s="758"/>
      <c r="R289" s="759"/>
      <c r="S289" s="760"/>
      <c r="T289" s="825"/>
      <c r="U289" s="3119"/>
      <c r="V289" s="3119"/>
      <c r="W289" s="1256"/>
      <c r="X289" s="1256"/>
      <c r="Y289" s="1256"/>
      <c r="Z289" s="1256"/>
      <c r="AA289" s="1732"/>
      <c r="AB289" s="1256"/>
      <c r="AC289" s="3214"/>
      <c r="AD289" s="736"/>
      <c r="AE289" s="1256"/>
      <c r="AF289" s="1256"/>
      <c r="AG289" s="1732"/>
      <c r="AH289" s="1732"/>
      <c r="AI289" s="1732"/>
      <c r="AJ289" s="1732"/>
      <c r="AK289" s="1732"/>
      <c r="AL289" s="1732"/>
      <c r="AM289" s="1732"/>
      <c r="AN289" s="1732"/>
      <c r="AO289" s="1732"/>
      <c r="AP289" s="1732"/>
      <c r="AQ289" s="1732"/>
      <c r="AR289" s="1732"/>
      <c r="AS289" s="1732"/>
      <c r="AT289" s="1732"/>
      <c r="AU289" s="1732"/>
      <c r="AV289" s="1732"/>
      <c r="AW289" s="1732"/>
      <c r="AX289" s="1732"/>
      <c r="AY289" s="1732"/>
      <c r="AZ289" s="1732"/>
      <c r="BA289" s="1732"/>
      <c r="BB289" s="1732"/>
      <c r="BC289" s="1732"/>
      <c r="BD289" s="1732"/>
      <c r="BE289" s="1732"/>
      <c r="BF289" s="1732"/>
      <c r="BG289" s="1732"/>
      <c r="BH289" s="1732"/>
      <c r="BI289" s="1732"/>
      <c r="BJ289" s="1732"/>
      <c r="BK289" s="1732"/>
      <c r="BL289" s="1732"/>
      <c r="BM289" s="1732"/>
      <c r="BN289" s="1732"/>
      <c r="BO289" s="1732"/>
      <c r="BP289" s="1732"/>
      <c r="BQ289" s="1732"/>
      <c r="BR289" s="1732"/>
      <c r="BS289" s="1732"/>
      <c r="BT289" s="1732"/>
      <c r="BU289" s="1732"/>
      <c r="BV289" s="1256"/>
      <c r="BW289" s="1256"/>
      <c r="BX289" s="1256"/>
      <c r="BY289" s="1256"/>
      <c r="BZ289" s="1256"/>
      <c r="CA289" s="1256"/>
      <c r="CB289" s="1256"/>
      <c r="CC289" s="1256"/>
      <c r="CD289" s="1256"/>
      <c r="CE289" s="1256"/>
      <c r="CF289" s="1944"/>
    </row>
    <row customHeight="1" ht="5.25" hidden="1">
      <c r="A290" s="1888"/>
      <c r="B290" s="1732"/>
      <c r="C290" s="1732"/>
      <c r="D290" s="3219"/>
      <c r="E290" s="1139"/>
      <c r="F290" s="1139"/>
      <c r="G290" s="1139"/>
      <c r="H290" s="1139"/>
      <c r="I290" s="1139"/>
      <c r="J290" s="1139"/>
      <c r="K290" s="1139"/>
      <c r="L290" s="1139"/>
      <c r="M290" s="1139"/>
      <c r="N290" s="1139"/>
      <c r="O290" s="1139"/>
      <c r="P290" s="1139"/>
      <c r="Q290" s="1140"/>
      <c r="R290" s="1141"/>
      <c r="S290" s="1142"/>
      <c r="T290" s="824" t="s">
        <v>707</v>
      </c>
      <c r="U290" s="3119">
        <v>1</v>
      </c>
      <c r="V290" s="3119" t="s">
        <v>669</v>
      </c>
      <c r="W290" s="1732"/>
      <c r="X290" s="1732"/>
      <c r="Y290" s="1732"/>
      <c r="Z290" s="1732"/>
      <c r="AA290" s="1732"/>
      <c r="AB290" s="1732"/>
      <c r="AC290" s="1137"/>
      <c r="AD290" s="1138"/>
      <c r="AE290" s="1732"/>
      <c r="AF290" s="1732"/>
      <c r="AG290" s="1732"/>
      <c r="AH290" s="1732"/>
      <c r="AI290" s="1732"/>
      <c r="AJ290" s="1732"/>
      <c r="AK290" s="1732"/>
      <c r="AL290" s="1732"/>
      <c r="AM290" s="1732"/>
      <c r="AN290" s="1732"/>
      <c r="AO290" s="1732"/>
      <c r="AP290" s="1732"/>
      <c r="AQ290" s="1732"/>
      <c r="AR290" s="1732"/>
      <c r="AS290" s="1732"/>
      <c r="AT290" s="1732"/>
      <c r="AU290" s="1732"/>
      <c r="AV290" s="1732"/>
      <c r="AW290" s="1732"/>
      <c r="AX290" s="1732"/>
      <c r="AY290" s="1732"/>
      <c r="AZ290" s="1732"/>
      <c r="BA290" s="1732"/>
      <c r="BB290" s="1732"/>
      <c r="BC290" s="1732"/>
      <c r="BD290" s="1732"/>
      <c r="BE290" s="1732"/>
      <c r="BF290" s="1732"/>
      <c r="BG290" s="1732"/>
      <c r="BH290" s="1732"/>
      <c r="BI290" s="1732"/>
      <c r="BJ290" s="1732"/>
      <c r="BK290" s="1732"/>
      <c r="BL290" s="1732"/>
      <c r="BM290" s="1732"/>
      <c r="BN290" s="1732"/>
      <c r="BO290" s="1732"/>
      <c r="BP290" s="1732"/>
      <c r="BQ290" s="1732"/>
      <c r="BR290" s="1732"/>
      <c r="BS290" s="1732"/>
      <c r="BT290" s="1732"/>
      <c r="BU290" s="1732"/>
      <c r="BV290" s="1732"/>
      <c r="BW290" s="1732"/>
      <c r="BX290" s="1732"/>
      <c r="BY290" s="1732"/>
      <c r="BZ290" s="1732"/>
      <c r="CA290" s="1732"/>
      <c r="CB290" s="1732"/>
      <c r="CC290" s="1732"/>
      <c r="CD290" s="1732"/>
      <c r="CE290" s="1732"/>
      <c r="CF290" s="1412"/>
    </row>
    <row customHeight="1" ht="5.25" hidden="1">
      <c r="A291" s="1888"/>
      <c r="B291" s="1732"/>
      <c r="C291" s="1732"/>
      <c r="D291" s="3219"/>
      <c r="E291" s="742"/>
      <c r="F291" s="742"/>
      <c r="G291" s="742"/>
      <c r="H291" s="742"/>
      <c r="I291" s="742"/>
      <c r="J291" s="742"/>
      <c r="K291" s="742"/>
      <c r="L291" s="742"/>
      <c r="M291" s="742"/>
      <c r="N291" s="742"/>
      <c r="O291" s="742"/>
      <c r="P291" s="742"/>
      <c r="Q291" s="742"/>
      <c r="R291" s="742"/>
      <c r="S291" s="743"/>
      <c r="T291" s="825"/>
      <c r="U291" s="3119"/>
      <c r="V291" s="3119"/>
      <c r="W291" s="1732"/>
      <c r="X291" s="1732"/>
      <c r="Y291" s="1732"/>
      <c r="Z291" s="1732"/>
      <c r="AA291" s="1732"/>
      <c r="AB291" s="1732"/>
      <c r="AC291" s="1137"/>
      <c r="AD291" s="1138"/>
      <c r="AE291" s="1732"/>
      <c r="AF291" s="1732"/>
      <c r="AG291" s="1732"/>
      <c r="AH291" s="1732"/>
      <c r="AI291" s="1732"/>
      <c r="AJ291" s="1732"/>
      <c r="AK291" s="1732"/>
      <c r="AL291" s="1732"/>
      <c r="AM291" s="1732"/>
      <c r="AN291" s="1732"/>
      <c r="AO291" s="1732"/>
      <c r="AP291" s="1732"/>
      <c r="AQ291" s="1732"/>
      <c r="AR291" s="1732"/>
      <c r="AS291" s="1732"/>
      <c r="AT291" s="1732"/>
      <c r="AU291" s="1732"/>
      <c r="AV291" s="1732"/>
      <c r="AW291" s="1732"/>
      <c r="AX291" s="1732"/>
      <c r="AY291" s="1732"/>
      <c r="AZ291" s="1732"/>
      <c r="BA291" s="1732"/>
      <c r="BB291" s="1732"/>
      <c r="BC291" s="1732"/>
      <c r="BD291" s="1732"/>
      <c r="BE291" s="1732"/>
      <c r="BF291" s="1732"/>
      <c r="BG291" s="1732"/>
      <c r="BH291" s="1732"/>
      <c r="BI291" s="1732"/>
      <c r="BJ291" s="1732"/>
      <c r="BK291" s="1732"/>
      <c r="BL291" s="1732"/>
      <c r="BM291" s="1732"/>
      <c r="BN291" s="1732"/>
      <c r="BO291" s="1732"/>
      <c r="BP291" s="1732"/>
      <c r="BQ291" s="1732"/>
      <c r="BR291" s="1732"/>
      <c r="BS291" s="1732"/>
      <c r="BT291" s="1732"/>
      <c r="BU291" s="1732"/>
      <c r="BV291" s="1732"/>
      <c r="BW291" s="1732"/>
      <c r="BX291" s="1732"/>
      <c r="BY291" s="1732"/>
      <c r="BZ291" s="1732"/>
      <c r="CA291" s="1732"/>
      <c r="CB291" s="1732"/>
      <c r="CC291" s="1732"/>
      <c r="CD291" s="1732"/>
      <c r="CE291" s="1732"/>
      <c r="CF291" s="1412"/>
    </row>
    <row customHeight="1" ht="5.25" hidden="1">
      <c r="A292" s="1888"/>
      <c r="B292" s="1732"/>
      <c r="C292" s="1732"/>
      <c r="D292" s="3220"/>
      <c r="E292" s="1143"/>
      <c r="F292" s="1144"/>
      <c r="G292" s="1144"/>
      <c r="H292" s="1145"/>
      <c r="I292" s="1145"/>
      <c r="J292" s="1145"/>
      <c r="K292" s="1145"/>
      <c r="L292" s="1145"/>
      <c r="M292" s="1145"/>
      <c r="N292" s="1145"/>
      <c r="O292" s="1145"/>
      <c r="P292" s="1145"/>
      <c r="Q292" s="1145"/>
      <c r="R292" s="1046"/>
      <c r="S292" s="1146"/>
      <c r="T292" s="825"/>
      <c r="U292" s="3119"/>
      <c r="V292" s="3119"/>
      <c r="W292" s="1732"/>
      <c r="X292" s="1732"/>
      <c r="Y292" s="1732"/>
      <c r="Z292" s="1732"/>
      <c r="AA292" s="1732"/>
      <c r="AB292" s="1732"/>
      <c r="AC292" s="1137"/>
      <c r="AD292" s="1138"/>
      <c r="AE292" s="1732"/>
      <c r="AF292" s="1732"/>
      <c r="AG292" s="1732"/>
      <c r="AH292" s="1732"/>
      <c r="AI292" s="1732"/>
      <c r="AJ292" s="1732"/>
      <c r="AK292" s="1732"/>
      <c r="AL292" s="1732"/>
      <c r="AM292" s="1732"/>
      <c r="AN292" s="1732"/>
      <c r="AO292" s="1732"/>
      <c r="AP292" s="1732"/>
      <c r="AQ292" s="1732"/>
      <c r="AR292" s="1732"/>
      <c r="AS292" s="1732"/>
      <c r="AT292" s="1732"/>
      <c r="AU292" s="1732"/>
      <c r="AV292" s="1732"/>
      <c r="AW292" s="1732"/>
      <c r="AX292" s="1732"/>
      <c r="AY292" s="1732"/>
      <c r="AZ292" s="1732"/>
      <c r="BA292" s="1732"/>
      <c r="BB292" s="1732"/>
      <c r="BC292" s="1732"/>
      <c r="BD292" s="1732"/>
      <c r="BE292" s="1732"/>
      <c r="BF292" s="1732"/>
      <c r="BG292" s="1732"/>
      <c r="BH292" s="1732"/>
      <c r="BI292" s="1732"/>
      <c r="BJ292" s="1732"/>
      <c r="BK292" s="1732"/>
      <c r="BL292" s="1732"/>
      <c r="BM292" s="1732"/>
      <c r="BN292" s="1732"/>
      <c r="BO292" s="1732"/>
      <c r="BP292" s="1732"/>
      <c r="BQ292" s="1732"/>
      <c r="BR292" s="1732"/>
      <c r="BS292" s="1732"/>
      <c r="BT292" s="1732"/>
      <c r="BU292" s="1732"/>
      <c r="BV292" s="1732"/>
      <c r="BW292" s="1732"/>
      <c r="BX292" s="1732"/>
      <c r="BY292" s="1732"/>
      <c r="BZ292" s="1732"/>
      <c r="CA292" s="1732"/>
      <c r="CB292" s="1732"/>
      <c r="CC292" s="1732"/>
      <c r="CD292" s="1732"/>
      <c r="CE292" s="1732"/>
      <c r="CF292" s="1412"/>
    </row>
    <row customHeight="1" ht="15" hidden="1">
      <c r="A293" s="730" t="s">
        <v>199</v>
      </c>
      <c r="B293" s="731"/>
      <c r="C293" s="731" t="s">
        <v>22</v>
      </c>
      <c r="D293" s="3218" t="s">
        <v>751</v>
      </c>
      <c r="E293" s="3215" t="s">
        <v>140</v>
      </c>
      <c r="F293" s="3216"/>
      <c r="G293" s="3217"/>
      <c r="H293" s="3211" t="str">
        <f>IF(A293="","",INDEX(DIFFERENTIATION_UNMERGE_VD,MATCH(A293,DIFFERENTIATION_ID_DIFF,0)))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Передача. Теплоноситель; Сбыт. Тепловая энергия; Сбыт. Теплоноситель</v>
      </c>
      <c r="I293" s="3211"/>
      <c r="J293" s="3211"/>
      <c r="K293" s="3211"/>
      <c r="L293" s="3211"/>
      <c r="M293" s="3211"/>
      <c r="N293" s="3211"/>
      <c r="O293" s="3211"/>
      <c r="P293" s="3211"/>
      <c r="Q293" s="3211"/>
      <c r="R293" s="3211"/>
      <c r="S293" s="826"/>
      <c r="T293" s="823"/>
      <c r="U293" s="732"/>
      <c r="V293" s="732"/>
      <c r="W293" s="733"/>
      <c r="X293" s="733"/>
      <c r="Y293" s="733"/>
      <c r="Z293" s="733"/>
      <c r="AA293" s="734"/>
      <c r="AB293" s="735"/>
      <c r="AC293" s="3214"/>
      <c r="AD293" s="736"/>
      <c r="AE293" s="737" t="s">
        <v>22</v>
      </c>
      <c r="AF293" s="737"/>
      <c r="AG293" s="738" t="s">
        <v>704</v>
      </c>
      <c r="AH293" s="739">
        <v>3</v>
      </c>
      <c r="AI293" s="732"/>
      <c r="AJ293" s="732"/>
      <c r="AK293" s="732"/>
      <c r="AL293" s="732"/>
      <c r="AM293" s="732"/>
      <c r="AN293" s="732"/>
      <c r="AO293" s="732"/>
      <c r="AP293" s="732"/>
      <c r="AQ293" s="732"/>
      <c r="AR293" s="732"/>
      <c r="AS293" s="732"/>
      <c r="AT293" s="732"/>
      <c r="AU293" s="732"/>
      <c r="AV293" s="732"/>
      <c r="AW293" s="732"/>
      <c r="AX293" s="732"/>
      <c r="AY293" s="732"/>
      <c r="AZ293" s="732"/>
      <c r="BA293" s="732"/>
      <c r="BB293" s="732"/>
      <c r="BC293" s="732"/>
      <c r="BD293" s="732"/>
      <c r="BE293" s="732"/>
      <c r="BF293" s="732"/>
      <c r="BG293" s="732"/>
      <c r="BH293" s="732"/>
      <c r="BI293" s="732"/>
      <c r="BJ293" s="732"/>
      <c r="BK293" s="732"/>
      <c r="BL293" s="732"/>
      <c r="BM293" s="732"/>
      <c r="BN293" s="732"/>
      <c r="BO293" s="732"/>
      <c r="BP293" s="732"/>
      <c r="BQ293" s="732"/>
      <c r="BR293" s="732"/>
      <c r="BS293" s="732"/>
      <c r="BT293" s="732"/>
      <c r="BU293" s="732"/>
      <c r="BV293" s="733"/>
      <c r="BW293" s="733"/>
      <c r="BX293" s="733"/>
      <c r="BY293" s="733"/>
      <c r="BZ293" s="733"/>
      <c r="CA293" s="733"/>
      <c r="CB293" s="733"/>
      <c r="CC293" s="733"/>
      <c r="CD293" s="733"/>
      <c r="CE293" s="733"/>
      <c r="CF293" s="1944"/>
    </row>
    <row customHeight="1" ht="15" hidden="1">
      <c r="A294" s="730"/>
      <c r="B294" s="731"/>
      <c r="C294" s="731"/>
      <c r="D294" s="3219"/>
      <c r="E294" s="3215" t="s">
        <v>649</v>
      </c>
      <c r="F294" s="3216"/>
      <c r="G294" s="3217"/>
      <c r="H294" s="3211" t="str">
        <f>IF(A293="","",INDEX(DIFFERENTIATION_UNMERGE_AREA,MATCH(A293,DIFFERENTIATION_ID_DIFF,0)))</f>
        <v>Территория 7</v>
      </c>
      <c r="I294" s="3211"/>
      <c r="J294" s="3211"/>
      <c r="K294" s="3211"/>
      <c r="L294" s="3211"/>
      <c r="M294" s="3211"/>
      <c r="N294" s="3211"/>
      <c r="O294" s="3211"/>
      <c r="P294" s="3211"/>
      <c r="Q294" s="3211"/>
      <c r="R294" s="3211"/>
      <c r="S294" s="826"/>
      <c r="T294" s="823"/>
      <c r="U294" s="732"/>
      <c r="V294" s="732"/>
      <c r="W294" s="733"/>
      <c r="X294" s="733"/>
      <c r="Y294" s="733"/>
      <c r="Z294" s="733"/>
      <c r="AA294" s="734"/>
      <c r="AB294" s="735"/>
      <c r="AC294" s="3214"/>
      <c r="AD294" s="736"/>
      <c r="AE294" s="737"/>
      <c r="AF294" s="737"/>
      <c r="AG294" s="738"/>
      <c r="AH294" s="739"/>
      <c r="AI294" s="732"/>
      <c r="AJ294" s="732"/>
      <c r="AK294" s="732"/>
      <c r="AL294" s="732"/>
      <c r="AM294" s="732"/>
      <c r="AN294" s="732"/>
      <c r="AO294" s="732"/>
      <c r="AP294" s="732"/>
      <c r="AQ294" s="732"/>
      <c r="AR294" s="732"/>
      <c r="AS294" s="732"/>
      <c r="AT294" s="732"/>
      <c r="AU294" s="732"/>
      <c r="AV294" s="732"/>
      <c r="AW294" s="732"/>
      <c r="AX294" s="732"/>
      <c r="AY294" s="732"/>
      <c r="AZ294" s="732"/>
      <c r="BA294" s="732"/>
      <c r="BB294" s="732"/>
      <c r="BC294" s="732"/>
      <c r="BD294" s="732"/>
      <c r="BE294" s="732"/>
      <c r="BF294" s="732"/>
      <c r="BG294" s="732"/>
      <c r="BH294" s="732"/>
      <c r="BI294" s="732"/>
      <c r="BJ294" s="732"/>
      <c r="BK294" s="732"/>
      <c r="BL294" s="732"/>
      <c r="BM294" s="732"/>
      <c r="BN294" s="732"/>
      <c r="BO294" s="732"/>
      <c r="BP294" s="732"/>
      <c r="BQ294" s="732"/>
      <c r="BR294" s="732"/>
      <c r="BS294" s="732"/>
      <c r="BT294" s="732"/>
      <c r="BU294" s="732"/>
      <c r="BV294" s="733"/>
      <c r="BW294" s="733"/>
      <c r="BX294" s="733"/>
      <c r="BY294" s="733"/>
      <c r="BZ294" s="733"/>
      <c r="CA294" s="733"/>
      <c r="CB294" s="733"/>
      <c r="CC294" s="733"/>
      <c r="CD294" s="733"/>
      <c r="CE294" s="733"/>
      <c r="CF294" s="1944"/>
    </row>
    <row customHeight="1" ht="15" hidden="1">
      <c r="A295" s="730"/>
      <c r="B295" s="731"/>
      <c r="C295" s="731"/>
      <c r="D295" s="3219"/>
      <c r="E295" s="3215" t="s">
        <v>650</v>
      </c>
      <c r="F295" s="3216"/>
      <c r="G295" s="3217"/>
      <c r="H295" s="3211" t="str">
        <f>IF(A293="","",INDEX(DIFFERENTIATION_UNMERGE_SYSTEM,MATCH(A293,DIFFERENTIATION_ID_DIFF,0)))</f>
        <v>ТЭЦ в г. Советская Гавань</v>
      </c>
      <c r="I295" s="3211"/>
      <c r="J295" s="3211"/>
      <c r="K295" s="3211"/>
      <c r="L295" s="3211"/>
      <c r="M295" s="3211"/>
      <c r="N295" s="3211"/>
      <c r="O295" s="3211"/>
      <c r="P295" s="3211"/>
      <c r="Q295" s="3211"/>
      <c r="R295" s="3211"/>
      <c r="S295" s="826"/>
      <c r="T295" s="823"/>
      <c r="U295" s="732"/>
      <c r="V295" s="732"/>
      <c r="W295" s="733"/>
      <c r="X295" s="733"/>
      <c r="Y295" s="733"/>
      <c r="Z295" s="733"/>
      <c r="AA295" s="734"/>
      <c r="AB295" s="735"/>
      <c r="AC295" s="3214"/>
      <c r="AD295" s="736"/>
      <c r="AE295" s="737"/>
      <c r="AF295" s="737"/>
      <c r="AG295" s="738"/>
      <c r="AH295" s="739"/>
      <c r="AI295" s="732"/>
      <c r="AJ295" s="732"/>
      <c r="AK295" s="732"/>
      <c r="AL295" s="732"/>
      <c r="AM295" s="732"/>
      <c r="AN295" s="732"/>
      <c r="AO295" s="732"/>
      <c r="AP295" s="732"/>
      <c r="AQ295" s="732"/>
      <c r="AR295" s="732"/>
      <c r="AS295" s="732"/>
      <c r="AT295" s="732"/>
      <c r="AU295" s="732"/>
      <c r="AV295" s="732"/>
      <c r="AW295" s="732"/>
      <c r="AX295" s="732"/>
      <c r="AY295" s="732"/>
      <c r="AZ295" s="732"/>
      <c r="BA295" s="732"/>
      <c r="BB295" s="732"/>
      <c r="BC295" s="732"/>
      <c r="BD295" s="732"/>
      <c r="BE295" s="732"/>
      <c r="BF295" s="732"/>
      <c r="BG295" s="732"/>
      <c r="BH295" s="732"/>
      <c r="BI295" s="732"/>
      <c r="BJ295" s="732"/>
      <c r="BK295" s="732"/>
      <c r="BL295" s="732"/>
      <c r="BM295" s="732"/>
      <c r="BN295" s="732"/>
      <c r="BO295" s="732"/>
      <c r="BP295" s="732"/>
      <c r="BQ295" s="732"/>
      <c r="BR295" s="732"/>
      <c r="BS295" s="732"/>
      <c r="BT295" s="732"/>
      <c r="BU295" s="732"/>
      <c r="BV295" s="733"/>
      <c r="BW295" s="733"/>
      <c r="BX295" s="733"/>
      <c r="BY295" s="733"/>
      <c r="BZ295" s="733"/>
      <c r="CA295" s="733"/>
      <c r="CB295" s="733"/>
      <c r="CC295" s="733"/>
      <c r="CD295" s="733"/>
      <c r="CE295" s="733"/>
      <c r="CF295" s="1944"/>
    </row>
    <row customHeight="1" ht="24.75" hidden="1">
      <c r="A296" s="1901"/>
      <c r="B296" s="1256"/>
      <c r="C296" s="519"/>
      <c r="D296" s="3219"/>
      <c r="E296" s="3213" t="s">
        <v>705</v>
      </c>
      <c r="F296" s="3213"/>
      <c r="G296" s="3213"/>
      <c r="H296" s="3213"/>
      <c r="I296" s="3213"/>
      <c r="J296" s="3213"/>
      <c r="K296" s="3213"/>
      <c r="L296" s="3213"/>
      <c r="M296" s="3213"/>
      <c r="N296" s="3213"/>
      <c r="O296" s="3213"/>
      <c r="P296" s="3213"/>
      <c r="Q296" s="665">
        <f>SUMIF(T297:T298,"i",Q297:Q298)</f>
        <v>0</v>
      </c>
      <c r="R296" s="1117"/>
      <c r="S296" s="1893" t="s">
        <v>706</v>
      </c>
      <c r="T296" s="824" t="s">
        <v>707</v>
      </c>
      <c r="U296" s="3119">
        <v>1</v>
      </c>
      <c r="V296" s="3119" t="str">
        <f>INDEX(B_FHD_FLAG_INDEX_1,1,MATCH($A$293,B_FHD_FLAG_DIFFERENTIATION,0))</f>
        <v>отсутствует</v>
      </c>
      <c r="W296" s="1256"/>
      <c r="X296" s="1256"/>
      <c r="Y296" s="1256"/>
      <c r="Z296" s="1256"/>
      <c r="AA296" s="1732"/>
      <c r="AB296" s="1256"/>
      <c r="AC296" s="3214"/>
      <c r="AD296" s="736"/>
      <c r="AE296" s="1256"/>
      <c r="AF296" s="1256"/>
      <c r="AG296" s="1732"/>
      <c r="AH296" s="1732"/>
      <c r="AI296" s="1732"/>
      <c r="AJ296" s="1732"/>
      <c r="AK296" s="1732"/>
      <c r="AL296" s="1732"/>
      <c r="AM296" s="1732"/>
      <c r="AN296" s="1732"/>
      <c r="AO296" s="1732"/>
      <c r="AP296" s="1732"/>
      <c r="AQ296" s="1732"/>
      <c r="AR296" s="1732"/>
      <c r="AS296" s="1732"/>
      <c r="AT296" s="1732"/>
      <c r="AU296" s="1732"/>
      <c r="AV296" s="1732"/>
      <c r="AW296" s="1732"/>
      <c r="AX296" s="1732"/>
      <c r="AY296" s="1732"/>
      <c r="AZ296" s="1732"/>
      <c r="BA296" s="1732"/>
      <c r="BB296" s="1732"/>
      <c r="BC296" s="1732"/>
      <c r="BD296" s="1732"/>
      <c r="BE296" s="1732"/>
      <c r="BF296" s="1732"/>
      <c r="BG296" s="1732"/>
      <c r="BH296" s="1732"/>
      <c r="BI296" s="1732"/>
      <c r="BJ296" s="1732"/>
      <c r="BK296" s="1732"/>
      <c r="BL296" s="1732"/>
      <c r="BM296" s="1732"/>
      <c r="BN296" s="1732"/>
      <c r="BO296" s="1732"/>
      <c r="BP296" s="1732"/>
      <c r="BQ296" s="1732"/>
      <c r="BR296" s="1732"/>
      <c r="BS296" s="1732"/>
      <c r="BT296" s="1732"/>
      <c r="BU296" s="1732"/>
      <c r="BV296" s="1256"/>
      <c r="BW296" s="1256"/>
      <c r="BX296" s="1256"/>
      <c r="BY296" s="1256"/>
      <c r="BZ296" s="1256"/>
      <c r="CA296" s="1256"/>
      <c r="CB296" s="1256"/>
      <c r="CC296" s="1256"/>
      <c r="CD296" s="1256"/>
      <c r="CE296" s="1256"/>
      <c r="CF296" s="1944"/>
    </row>
    <row customHeight="1" ht="11.25" hidden="1">
      <c r="A297" s="1888"/>
      <c r="B297" s="1732"/>
      <c r="C297" s="1732"/>
      <c r="D297" s="3219"/>
      <c r="E297" s="742"/>
      <c r="F297" s="742">
        <v>0</v>
      </c>
      <c r="G297" s="742"/>
      <c r="H297" s="742"/>
      <c r="I297" s="742"/>
      <c r="J297" s="742"/>
      <c r="K297" s="742"/>
      <c r="L297" s="742"/>
      <c r="M297" s="742"/>
      <c r="N297" s="742"/>
      <c r="O297" s="742"/>
      <c r="P297" s="742"/>
      <c r="Q297" s="742"/>
      <c r="R297" s="742"/>
      <c r="S297" s="743"/>
      <c r="T297" s="825"/>
      <c r="U297" s="3119"/>
      <c r="V297" s="3119"/>
      <c r="W297" s="1732"/>
      <c r="X297" s="1732"/>
      <c r="Y297" s="1732"/>
      <c r="Z297" s="1732"/>
      <c r="AA297" s="1732"/>
      <c r="AB297" s="1256"/>
      <c r="AC297" s="3214"/>
      <c r="AD297" s="736"/>
      <c r="AE297" s="1256"/>
      <c r="AF297" s="1256"/>
      <c r="AG297" s="1732"/>
      <c r="AH297" s="1732"/>
      <c r="AI297" s="1732"/>
      <c r="AJ297" s="1732"/>
      <c r="AK297" s="1732"/>
      <c r="AL297" s="1732"/>
      <c r="AM297" s="1732"/>
      <c r="AN297" s="1732"/>
      <c r="AO297" s="1732"/>
      <c r="AP297" s="1732"/>
      <c r="AQ297" s="1732"/>
      <c r="AR297" s="1732"/>
      <c r="AS297" s="1732"/>
      <c r="AT297" s="1732"/>
      <c r="AU297" s="1732"/>
      <c r="AV297" s="1732"/>
      <c r="AW297" s="1732"/>
      <c r="AX297" s="1732"/>
      <c r="AY297" s="1732"/>
      <c r="AZ297" s="1732"/>
      <c r="BA297" s="1732"/>
      <c r="BB297" s="1732"/>
      <c r="BC297" s="1732"/>
      <c r="BD297" s="1732"/>
      <c r="BE297" s="1732"/>
      <c r="BF297" s="1732"/>
      <c r="BG297" s="1732"/>
      <c r="BH297" s="1732"/>
      <c r="BI297" s="1732"/>
      <c r="BJ297" s="1732"/>
      <c r="BK297" s="1732"/>
      <c r="BL297" s="1732"/>
      <c r="BM297" s="1732"/>
      <c r="BN297" s="1732"/>
      <c r="BO297" s="1732"/>
      <c r="BP297" s="1732"/>
      <c r="BQ297" s="1732"/>
      <c r="BR297" s="1732"/>
      <c r="BS297" s="1732"/>
      <c r="BT297" s="1732"/>
      <c r="BU297" s="1732"/>
      <c r="BV297" s="1732"/>
      <c r="BW297" s="1732"/>
      <c r="BX297" s="1732"/>
      <c r="BY297" s="1732"/>
      <c r="BZ297" s="1732"/>
      <c r="CA297" s="1732"/>
      <c r="CB297" s="1732"/>
      <c r="CC297" s="1732"/>
      <c r="CD297" s="1732"/>
      <c r="CE297" s="1732"/>
      <c r="CF297" s="1944"/>
    </row>
    <row customHeight="1" ht="11.25" hidden="1">
      <c r="A298" s="1901"/>
      <c r="B298" s="1256"/>
      <c r="C298" s="519"/>
      <c r="D298" s="3219"/>
      <c r="E298" s="756" t="s">
        <v>22</v>
      </c>
      <c r="F298" s="1264" t="s">
        <v>22</v>
      </c>
      <c r="G298" s="1264" t="s">
        <v>711</v>
      </c>
      <c r="H298" s="758" t="s">
        <v>22</v>
      </c>
      <c r="I298" s="758"/>
      <c r="J298" s="758"/>
      <c r="K298" s="758"/>
      <c r="L298" s="758"/>
      <c r="M298" s="758"/>
      <c r="N298" s="758"/>
      <c r="O298" s="758"/>
      <c r="P298" s="758"/>
      <c r="Q298" s="758"/>
      <c r="R298" s="759"/>
      <c r="S298" s="760"/>
      <c r="T298" s="825"/>
      <c r="U298" s="3119"/>
      <c r="V298" s="3119"/>
      <c r="W298" s="1256"/>
      <c r="X298" s="1256"/>
      <c r="Y298" s="1256"/>
      <c r="Z298" s="1256"/>
      <c r="AA298" s="1732"/>
      <c r="AB298" s="1256"/>
      <c r="AC298" s="3214"/>
      <c r="AD298" s="736"/>
      <c r="AE298" s="1256"/>
      <c r="AF298" s="1256"/>
      <c r="AG298" s="1732"/>
      <c r="AH298" s="1732"/>
      <c r="AI298" s="1732"/>
      <c r="AJ298" s="1732"/>
      <c r="AK298" s="1732"/>
      <c r="AL298" s="1732"/>
      <c r="AM298" s="1732"/>
      <c r="AN298" s="1732"/>
      <c r="AO298" s="1732"/>
      <c r="AP298" s="1732"/>
      <c r="AQ298" s="1732"/>
      <c r="AR298" s="1732"/>
      <c r="AS298" s="1732"/>
      <c r="AT298" s="1732"/>
      <c r="AU298" s="1732"/>
      <c r="AV298" s="1732"/>
      <c r="AW298" s="1732"/>
      <c r="AX298" s="1732"/>
      <c r="AY298" s="1732"/>
      <c r="AZ298" s="1732"/>
      <c r="BA298" s="1732"/>
      <c r="BB298" s="1732"/>
      <c r="BC298" s="1732"/>
      <c r="BD298" s="1732"/>
      <c r="BE298" s="1732"/>
      <c r="BF298" s="1732"/>
      <c r="BG298" s="1732"/>
      <c r="BH298" s="1732"/>
      <c r="BI298" s="1732"/>
      <c r="BJ298" s="1732"/>
      <c r="BK298" s="1732"/>
      <c r="BL298" s="1732"/>
      <c r="BM298" s="1732"/>
      <c r="BN298" s="1732"/>
      <c r="BO298" s="1732"/>
      <c r="BP298" s="1732"/>
      <c r="BQ298" s="1732"/>
      <c r="BR298" s="1732"/>
      <c r="BS298" s="1732"/>
      <c r="BT298" s="1732"/>
      <c r="BU298" s="1732"/>
      <c r="BV298" s="1256"/>
      <c r="BW298" s="1256"/>
      <c r="BX298" s="1256"/>
      <c r="BY298" s="1256"/>
      <c r="BZ298" s="1256"/>
      <c r="CA298" s="1256"/>
      <c r="CB298" s="1256"/>
      <c r="CC298" s="1256"/>
      <c r="CD298" s="1256"/>
      <c r="CE298" s="1256"/>
      <c r="CF298" s="1944"/>
    </row>
    <row customHeight="1" ht="5.25" hidden="1">
      <c r="A299" s="1888"/>
      <c r="B299" s="1732"/>
      <c r="C299" s="1732"/>
      <c r="D299" s="3219"/>
      <c r="E299" s="1139"/>
      <c r="F299" s="1139"/>
      <c r="G299" s="1139"/>
      <c r="H299" s="1139"/>
      <c r="I299" s="1139"/>
      <c r="J299" s="1139"/>
      <c r="K299" s="1139"/>
      <c r="L299" s="1139"/>
      <c r="M299" s="1139"/>
      <c r="N299" s="1139"/>
      <c r="O299" s="1139"/>
      <c r="P299" s="1139"/>
      <c r="Q299" s="1140"/>
      <c r="R299" s="1141"/>
      <c r="S299" s="1142"/>
      <c r="T299" s="824" t="s">
        <v>707</v>
      </c>
      <c r="U299" s="3119">
        <v>1</v>
      </c>
      <c r="V299" s="3119" t="s">
        <v>669</v>
      </c>
      <c r="W299" s="1732"/>
      <c r="X299" s="1732"/>
      <c r="Y299" s="1732"/>
      <c r="Z299" s="1732"/>
      <c r="AA299" s="1732"/>
      <c r="AB299" s="1732"/>
      <c r="AC299" s="1137"/>
      <c r="AD299" s="1138"/>
      <c r="AE299" s="1732"/>
      <c r="AF299" s="1732"/>
      <c r="AG299" s="1732"/>
      <c r="AH299" s="1732"/>
      <c r="AI299" s="1732"/>
      <c r="AJ299" s="1732"/>
      <c r="AK299" s="1732"/>
      <c r="AL299" s="1732"/>
      <c r="AM299" s="1732"/>
      <c r="AN299" s="1732"/>
      <c r="AO299" s="1732"/>
      <c r="AP299" s="1732"/>
      <c r="AQ299" s="1732"/>
      <c r="AR299" s="1732"/>
      <c r="AS299" s="1732"/>
      <c r="AT299" s="1732"/>
      <c r="AU299" s="1732"/>
      <c r="AV299" s="1732"/>
      <c r="AW299" s="1732"/>
      <c r="AX299" s="1732"/>
      <c r="AY299" s="1732"/>
      <c r="AZ299" s="1732"/>
      <c r="BA299" s="1732"/>
      <c r="BB299" s="1732"/>
      <c r="BC299" s="1732"/>
      <c r="BD299" s="1732"/>
      <c r="BE299" s="1732"/>
      <c r="BF299" s="1732"/>
      <c r="BG299" s="1732"/>
      <c r="BH299" s="1732"/>
      <c r="BI299" s="1732"/>
      <c r="BJ299" s="1732"/>
      <c r="BK299" s="1732"/>
      <c r="BL299" s="1732"/>
      <c r="BM299" s="1732"/>
      <c r="BN299" s="1732"/>
      <c r="BO299" s="1732"/>
      <c r="BP299" s="1732"/>
      <c r="BQ299" s="1732"/>
      <c r="BR299" s="1732"/>
      <c r="BS299" s="1732"/>
      <c r="BT299" s="1732"/>
      <c r="BU299" s="1732"/>
      <c r="BV299" s="1732"/>
      <c r="BW299" s="1732"/>
      <c r="BX299" s="1732"/>
      <c r="BY299" s="1732"/>
      <c r="BZ299" s="1732"/>
      <c r="CA299" s="1732"/>
      <c r="CB299" s="1732"/>
      <c r="CC299" s="1732"/>
      <c r="CD299" s="1732"/>
      <c r="CE299" s="1732"/>
      <c r="CF299" s="1412"/>
    </row>
    <row customHeight="1" ht="5.25" hidden="1">
      <c r="A300" s="1888"/>
      <c r="B300" s="1732"/>
      <c r="C300" s="1732"/>
      <c r="D300" s="3219"/>
      <c r="E300" s="742"/>
      <c r="F300" s="742"/>
      <c r="G300" s="742"/>
      <c r="H300" s="742"/>
      <c r="I300" s="742"/>
      <c r="J300" s="742"/>
      <c r="K300" s="742"/>
      <c r="L300" s="742"/>
      <c r="M300" s="742"/>
      <c r="N300" s="742"/>
      <c r="O300" s="742"/>
      <c r="P300" s="742"/>
      <c r="Q300" s="742"/>
      <c r="R300" s="742"/>
      <c r="S300" s="743"/>
      <c r="T300" s="825"/>
      <c r="U300" s="3119"/>
      <c r="V300" s="3119"/>
      <c r="W300" s="1732"/>
      <c r="X300" s="1732"/>
      <c r="Y300" s="1732"/>
      <c r="Z300" s="1732"/>
      <c r="AA300" s="1732"/>
      <c r="AB300" s="1732"/>
      <c r="AC300" s="1137"/>
      <c r="AD300" s="1138"/>
      <c r="AE300" s="1732"/>
      <c r="AF300" s="1732"/>
      <c r="AG300" s="1732"/>
      <c r="AH300" s="1732"/>
      <c r="AI300" s="1732"/>
      <c r="AJ300" s="1732"/>
      <c r="AK300" s="1732"/>
      <c r="AL300" s="1732"/>
      <c r="AM300" s="1732"/>
      <c r="AN300" s="1732"/>
      <c r="AO300" s="1732"/>
      <c r="AP300" s="1732"/>
      <c r="AQ300" s="1732"/>
      <c r="AR300" s="1732"/>
      <c r="AS300" s="1732"/>
      <c r="AT300" s="1732"/>
      <c r="AU300" s="1732"/>
      <c r="AV300" s="1732"/>
      <c r="AW300" s="1732"/>
      <c r="AX300" s="1732"/>
      <c r="AY300" s="1732"/>
      <c r="AZ300" s="1732"/>
      <c r="BA300" s="1732"/>
      <c r="BB300" s="1732"/>
      <c r="BC300" s="1732"/>
      <c r="BD300" s="1732"/>
      <c r="BE300" s="1732"/>
      <c r="BF300" s="1732"/>
      <c r="BG300" s="1732"/>
      <c r="BH300" s="1732"/>
      <c r="BI300" s="1732"/>
      <c r="BJ300" s="1732"/>
      <c r="BK300" s="1732"/>
      <c r="BL300" s="1732"/>
      <c r="BM300" s="1732"/>
      <c r="BN300" s="1732"/>
      <c r="BO300" s="1732"/>
      <c r="BP300" s="1732"/>
      <c r="BQ300" s="1732"/>
      <c r="BR300" s="1732"/>
      <c r="BS300" s="1732"/>
      <c r="BT300" s="1732"/>
      <c r="BU300" s="1732"/>
      <c r="BV300" s="1732"/>
      <c r="BW300" s="1732"/>
      <c r="BX300" s="1732"/>
      <c r="BY300" s="1732"/>
      <c r="BZ300" s="1732"/>
      <c r="CA300" s="1732"/>
      <c r="CB300" s="1732"/>
      <c r="CC300" s="1732"/>
      <c r="CD300" s="1732"/>
      <c r="CE300" s="1732"/>
      <c r="CF300" s="1412"/>
    </row>
    <row customHeight="1" ht="5.25" hidden="1">
      <c r="A301" s="1888"/>
      <c r="B301" s="1732"/>
      <c r="C301" s="1732"/>
      <c r="D301" s="3220"/>
      <c r="E301" s="1143"/>
      <c r="F301" s="1144"/>
      <c r="G301" s="1144"/>
      <c r="H301" s="1145"/>
      <c r="I301" s="1145"/>
      <c r="J301" s="1145"/>
      <c r="K301" s="1145"/>
      <c r="L301" s="1145"/>
      <c r="M301" s="1145"/>
      <c r="N301" s="1145"/>
      <c r="O301" s="1145"/>
      <c r="P301" s="1145"/>
      <c r="Q301" s="1145"/>
      <c r="R301" s="1046"/>
      <c r="S301" s="1146"/>
      <c r="T301" s="825"/>
      <c r="U301" s="3119"/>
      <c r="V301" s="3119"/>
      <c r="W301" s="1732"/>
      <c r="X301" s="1732"/>
      <c r="Y301" s="1732"/>
      <c r="Z301" s="1732"/>
      <c r="AA301" s="1732"/>
      <c r="AB301" s="1732"/>
      <c r="AC301" s="1137"/>
      <c r="AD301" s="1138"/>
      <c r="AE301" s="1732"/>
      <c r="AF301" s="1732"/>
      <c r="AG301" s="1732"/>
      <c r="AH301" s="1732"/>
      <c r="AI301" s="1732"/>
      <c r="AJ301" s="1732"/>
      <c r="AK301" s="1732"/>
      <c r="AL301" s="1732"/>
      <c r="AM301" s="1732"/>
      <c r="AN301" s="1732"/>
      <c r="AO301" s="1732"/>
      <c r="AP301" s="1732"/>
      <c r="AQ301" s="1732"/>
      <c r="AR301" s="1732"/>
      <c r="AS301" s="1732"/>
      <c r="AT301" s="1732"/>
      <c r="AU301" s="1732"/>
      <c r="AV301" s="1732"/>
      <c r="AW301" s="1732"/>
      <c r="AX301" s="1732"/>
      <c r="AY301" s="1732"/>
      <c r="AZ301" s="1732"/>
      <c r="BA301" s="1732"/>
      <c r="BB301" s="1732"/>
      <c r="BC301" s="1732"/>
      <c r="BD301" s="1732"/>
      <c r="BE301" s="1732"/>
      <c r="BF301" s="1732"/>
      <c r="BG301" s="1732"/>
      <c r="BH301" s="1732"/>
      <c r="BI301" s="1732"/>
      <c r="BJ301" s="1732"/>
      <c r="BK301" s="1732"/>
      <c r="BL301" s="1732"/>
      <c r="BM301" s="1732"/>
      <c r="BN301" s="1732"/>
      <c r="BO301" s="1732"/>
      <c r="BP301" s="1732"/>
      <c r="BQ301" s="1732"/>
      <c r="BR301" s="1732"/>
      <c r="BS301" s="1732"/>
      <c r="BT301" s="1732"/>
      <c r="BU301" s="1732"/>
      <c r="BV301" s="1732"/>
      <c r="BW301" s="1732"/>
      <c r="BX301" s="1732"/>
      <c r="BY301" s="1732"/>
      <c r="BZ301" s="1732"/>
      <c r="CA301" s="1732"/>
      <c r="CB301" s="1732"/>
      <c r="CC301" s="1732"/>
      <c r="CD301" s="1732"/>
      <c r="CE301" s="1732"/>
      <c r="CF301" s="1412"/>
    </row>
    <row customHeight="1" ht="15" hidden="1">
      <c r="A302" s="730" t="s">
        <v>202</v>
      </c>
      <c r="B302" s="731"/>
      <c r="C302" s="731" t="s">
        <v>22</v>
      </c>
      <c r="D302" s="3218" t="s">
        <v>752</v>
      </c>
      <c r="E302" s="3215" t="s">
        <v>140</v>
      </c>
      <c r="F302" s="3216"/>
      <c r="G302" s="3217"/>
      <c r="H302" s="3211" t="str">
        <f>IF(A302="","",INDEX(DIFFERENTIATION_UNMERGE_VD,MATCH(A302,DIFFERENTIATION_ID_DIFF,0)))</f>
        <v>Производство тепловой энергии. Некомбинированная выработка; Передача. Тепловая энергия; Сбыт. Тепловая энергия</v>
      </c>
      <c r="I302" s="3211"/>
      <c r="J302" s="3211"/>
      <c r="K302" s="3211"/>
      <c r="L302" s="3211"/>
      <c r="M302" s="3211"/>
      <c r="N302" s="3211"/>
      <c r="O302" s="3211"/>
      <c r="P302" s="3211"/>
      <c r="Q302" s="3211"/>
      <c r="R302" s="3211"/>
      <c r="S302" s="826"/>
      <c r="T302" s="823"/>
      <c r="U302" s="732"/>
      <c r="V302" s="732"/>
      <c r="W302" s="733"/>
      <c r="X302" s="733"/>
      <c r="Y302" s="733"/>
      <c r="Z302" s="733"/>
      <c r="AA302" s="734"/>
      <c r="AB302" s="735"/>
      <c r="AC302" s="3214"/>
      <c r="AD302" s="736"/>
      <c r="AE302" s="737" t="s">
        <v>22</v>
      </c>
      <c r="AF302" s="737"/>
      <c r="AG302" s="738" t="s">
        <v>704</v>
      </c>
      <c r="AH302" s="739">
        <v>3</v>
      </c>
      <c r="AI302" s="732"/>
      <c r="AJ302" s="732"/>
      <c r="AK302" s="732"/>
      <c r="AL302" s="732"/>
      <c r="AM302" s="732"/>
      <c r="AN302" s="732"/>
      <c r="AO302" s="732"/>
      <c r="AP302" s="732"/>
      <c r="AQ302" s="732"/>
      <c r="AR302" s="732"/>
      <c r="AS302" s="732"/>
      <c r="AT302" s="732"/>
      <c r="AU302" s="732"/>
      <c r="AV302" s="732"/>
      <c r="AW302" s="732"/>
      <c r="AX302" s="732"/>
      <c r="AY302" s="732"/>
      <c r="AZ302" s="732"/>
      <c r="BA302" s="732"/>
      <c r="BB302" s="732"/>
      <c r="BC302" s="732"/>
      <c r="BD302" s="732"/>
      <c r="BE302" s="732"/>
      <c r="BF302" s="732"/>
      <c r="BG302" s="732"/>
      <c r="BH302" s="732"/>
      <c r="BI302" s="732"/>
      <c r="BJ302" s="732"/>
      <c r="BK302" s="732"/>
      <c r="BL302" s="732"/>
      <c r="BM302" s="732"/>
      <c r="BN302" s="732"/>
      <c r="BO302" s="732"/>
      <c r="BP302" s="732"/>
      <c r="BQ302" s="732"/>
      <c r="BR302" s="732"/>
      <c r="BS302" s="732"/>
      <c r="BT302" s="732"/>
      <c r="BU302" s="732"/>
      <c r="BV302" s="733"/>
      <c r="BW302" s="733"/>
      <c r="BX302" s="733"/>
      <c r="BY302" s="733"/>
      <c r="BZ302" s="733"/>
      <c r="CA302" s="733"/>
      <c r="CB302" s="733"/>
      <c r="CC302" s="733"/>
      <c r="CD302" s="733"/>
      <c r="CE302" s="733"/>
      <c r="CF302" s="4967"/>
    </row>
    <row customHeight="1" ht="15" hidden="1">
      <c r="A303" s="730"/>
      <c r="B303" s="731"/>
      <c r="C303" s="731"/>
      <c r="D303" s="3219"/>
      <c r="E303" s="3215" t="s">
        <v>649</v>
      </c>
      <c r="F303" s="3216"/>
      <c r="G303" s="3217"/>
      <c r="H303" s="3211" t="str">
        <f>IF(A302="","",INDEX(DIFFERENTIATION_UNMERGE_AREA,MATCH(A302,DIFFERENTIATION_ID_DIFF,0)))</f>
        <v>Территория 5</v>
      </c>
      <c r="I303" s="3211"/>
      <c r="J303" s="3211"/>
      <c r="K303" s="3211"/>
      <c r="L303" s="3211"/>
      <c r="M303" s="3211"/>
      <c r="N303" s="3211"/>
      <c r="O303" s="3211"/>
      <c r="P303" s="3211"/>
      <c r="Q303" s="3211"/>
      <c r="R303" s="3211"/>
      <c r="S303" s="826"/>
      <c r="T303" s="823"/>
      <c r="U303" s="732"/>
      <c r="V303" s="732"/>
      <c r="W303" s="733"/>
      <c r="X303" s="733"/>
      <c r="Y303" s="733"/>
      <c r="Z303" s="733"/>
      <c r="AA303" s="734"/>
      <c r="AB303" s="735"/>
      <c r="AC303" s="3214"/>
      <c r="AD303" s="736"/>
      <c r="AE303" s="737"/>
      <c r="AF303" s="737"/>
      <c r="AG303" s="738"/>
      <c r="AH303" s="739"/>
      <c r="AI303" s="732"/>
      <c r="AJ303" s="732"/>
      <c r="AK303" s="732"/>
      <c r="AL303" s="732"/>
      <c r="AM303" s="732"/>
      <c r="AN303" s="732"/>
      <c r="AO303" s="732"/>
      <c r="AP303" s="732"/>
      <c r="AQ303" s="732"/>
      <c r="AR303" s="732"/>
      <c r="AS303" s="732"/>
      <c r="AT303" s="732"/>
      <c r="AU303" s="732"/>
      <c r="AV303" s="732"/>
      <c r="AW303" s="732"/>
      <c r="AX303" s="732"/>
      <c r="AY303" s="732"/>
      <c r="AZ303" s="732"/>
      <c r="BA303" s="732"/>
      <c r="BB303" s="732"/>
      <c r="BC303" s="732"/>
      <c r="BD303" s="732"/>
      <c r="BE303" s="732"/>
      <c r="BF303" s="732"/>
      <c r="BG303" s="732"/>
      <c r="BH303" s="732"/>
      <c r="BI303" s="732"/>
      <c r="BJ303" s="732"/>
      <c r="BK303" s="732"/>
      <c r="BL303" s="732"/>
      <c r="BM303" s="732"/>
      <c r="BN303" s="732"/>
      <c r="BO303" s="732"/>
      <c r="BP303" s="732"/>
      <c r="BQ303" s="732"/>
      <c r="BR303" s="732"/>
      <c r="BS303" s="732"/>
      <c r="BT303" s="732"/>
      <c r="BU303" s="732"/>
      <c r="BV303" s="733"/>
      <c r="BW303" s="733"/>
      <c r="BX303" s="733"/>
      <c r="BY303" s="733"/>
      <c r="BZ303" s="733"/>
      <c r="CA303" s="733"/>
      <c r="CB303" s="733"/>
      <c r="CC303" s="733"/>
      <c r="CD303" s="733"/>
      <c r="CE303" s="733"/>
      <c r="CF303" s="4967"/>
    </row>
    <row customHeight="1" ht="15" hidden="1">
      <c r="A304" s="730"/>
      <c r="B304" s="731"/>
      <c r="C304" s="731"/>
      <c r="D304" s="3219"/>
      <c r="E304" s="3215" t="s">
        <v>650</v>
      </c>
      <c r="F304" s="3216"/>
      <c r="G304" s="3217"/>
      <c r="H304" s="3211" t="str">
        <f>IF(A302="","",INDEX(DIFFERENTIATION_UNMERGE_SYSTEM,MATCH(A302,DIFFERENTIATION_ID_DIFF,0)))</f>
        <v>котельная "Аэропорт"</v>
      </c>
      <c r="I304" s="3211"/>
      <c r="J304" s="3211"/>
      <c r="K304" s="3211"/>
      <c r="L304" s="3211"/>
      <c r="M304" s="3211"/>
      <c r="N304" s="3211"/>
      <c r="O304" s="3211"/>
      <c r="P304" s="3211"/>
      <c r="Q304" s="3211"/>
      <c r="R304" s="3211"/>
      <c r="S304" s="826"/>
      <c r="T304" s="823"/>
      <c r="U304" s="732"/>
      <c r="V304" s="732"/>
      <c r="W304" s="733"/>
      <c r="X304" s="733"/>
      <c r="Y304" s="733"/>
      <c r="Z304" s="733"/>
      <c r="AA304" s="734"/>
      <c r="AB304" s="735"/>
      <c r="AC304" s="3214"/>
      <c r="AD304" s="736"/>
      <c r="AE304" s="737"/>
      <c r="AF304" s="737"/>
      <c r="AG304" s="738"/>
      <c r="AH304" s="739"/>
      <c r="AI304" s="732"/>
      <c r="AJ304" s="732"/>
      <c r="AK304" s="732"/>
      <c r="AL304" s="732"/>
      <c r="AM304" s="732"/>
      <c r="AN304" s="732"/>
      <c r="AO304" s="732"/>
      <c r="AP304" s="732"/>
      <c r="AQ304" s="732"/>
      <c r="AR304" s="732"/>
      <c r="AS304" s="732"/>
      <c r="AT304" s="732"/>
      <c r="AU304" s="732"/>
      <c r="AV304" s="732"/>
      <c r="AW304" s="732"/>
      <c r="AX304" s="732"/>
      <c r="AY304" s="732"/>
      <c r="AZ304" s="732"/>
      <c r="BA304" s="732"/>
      <c r="BB304" s="732"/>
      <c r="BC304" s="732"/>
      <c r="BD304" s="732"/>
      <c r="BE304" s="732"/>
      <c r="BF304" s="732"/>
      <c r="BG304" s="732"/>
      <c r="BH304" s="732"/>
      <c r="BI304" s="732"/>
      <c r="BJ304" s="732"/>
      <c r="BK304" s="732"/>
      <c r="BL304" s="732"/>
      <c r="BM304" s="732"/>
      <c r="BN304" s="732"/>
      <c r="BO304" s="732"/>
      <c r="BP304" s="732"/>
      <c r="BQ304" s="732"/>
      <c r="BR304" s="732"/>
      <c r="BS304" s="732"/>
      <c r="BT304" s="732"/>
      <c r="BU304" s="732"/>
      <c r="BV304" s="733"/>
      <c r="BW304" s="733"/>
      <c r="BX304" s="733"/>
      <c r="BY304" s="733"/>
      <c r="BZ304" s="733"/>
      <c r="CA304" s="733"/>
      <c r="CB304" s="733"/>
      <c r="CC304" s="733"/>
      <c r="CD304" s="733"/>
      <c r="CE304" s="733"/>
      <c r="CF304" s="4967"/>
    </row>
    <row customHeight="1" ht="24.75" hidden="1">
      <c r="A305" s="1901"/>
      <c r="B305" s="1256"/>
      <c r="C305" s="519"/>
      <c r="D305" s="3219"/>
      <c r="E305" s="3213" t="s">
        <v>705</v>
      </c>
      <c r="F305" s="3213"/>
      <c r="G305" s="3213"/>
      <c r="H305" s="3213"/>
      <c r="I305" s="3213"/>
      <c r="J305" s="3213"/>
      <c r="K305" s="3213"/>
      <c r="L305" s="3213"/>
      <c r="M305" s="3213"/>
      <c r="N305" s="3213"/>
      <c r="O305" s="3213"/>
      <c r="P305" s="3213"/>
      <c r="Q305" s="665">
        <f>SUMIF(T306:T307,"i",Q306:Q307)</f>
        <v>0</v>
      </c>
      <c r="R305" s="1117"/>
      <c r="S305" s="1893" t="s">
        <v>706</v>
      </c>
      <c r="T305" s="824" t="s">
        <v>707</v>
      </c>
      <c r="U305" s="3119">
        <v>1</v>
      </c>
      <c r="V305" s="3119" t="str">
        <f>INDEX(B_FHD_FLAG_INDEX_1,1,MATCH($A$302,B_FHD_FLAG_DIFFERENTIATION,0))</f>
        <v>отсутствует</v>
      </c>
      <c r="W305" s="1256"/>
      <c r="X305" s="1256"/>
      <c r="Y305" s="1256"/>
      <c r="Z305" s="1256"/>
      <c r="AA305" s="1732"/>
      <c r="AB305" s="1256"/>
      <c r="AC305" s="3214"/>
      <c r="AD305" s="736"/>
      <c r="AE305" s="1256"/>
      <c r="AF305" s="1256"/>
      <c r="AG305" s="1732"/>
      <c r="AH305" s="1732"/>
      <c r="AI305" s="1732"/>
      <c r="AJ305" s="1732"/>
      <c r="AK305" s="1732"/>
      <c r="AL305" s="1732"/>
      <c r="AM305" s="1732"/>
      <c r="AN305" s="1732"/>
      <c r="AO305" s="1732"/>
      <c r="AP305" s="1732"/>
      <c r="AQ305" s="1732"/>
      <c r="AR305" s="1732"/>
      <c r="AS305" s="1732"/>
      <c r="AT305" s="1732"/>
      <c r="AU305" s="1732"/>
      <c r="AV305" s="1732"/>
      <c r="AW305" s="1732"/>
      <c r="AX305" s="1732"/>
      <c r="AY305" s="1732"/>
      <c r="AZ305" s="1732"/>
      <c r="BA305" s="1732"/>
      <c r="BB305" s="1732"/>
      <c r="BC305" s="1732"/>
      <c r="BD305" s="1732"/>
      <c r="BE305" s="1732"/>
      <c r="BF305" s="1732"/>
      <c r="BG305" s="1732"/>
      <c r="BH305" s="1732"/>
      <c r="BI305" s="1732"/>
      <c r="BJ305" s="1732"/>
      <c r="BK305" s="1732"/>
      <c r="BL305" s="1732"/>
      <c r="BM305" s="1732"/>
      <c r="BN305" s="1732"/>
      <c r="BO305" s="1732"/>
      <c r="BP305" s="1732"/>
      <c r="BQ305" s="1732"/>
      <c r="BR305" s="1732"/>
      <c r="BS305" s="1732"/>
      <c r="BT305" s="1732"/>
      <c r="BU305" s="1732"/>
      <c r="BV305" s="1256"/>
      <c r="BW305" s="1256"/>
      <c r="BX305" s="1256"/>
      <c r="BY305" s="1256"/>
      <c r="BZ305" s="1256"/>
      <c r="CA305" s="1256"/>
      <c r="CB305" s="1256"/>
      <c r="CC305" s="1256"/>
      <c r="CD305" s="1256"/>
      <c r="CE305" s="1256"/>
      <c r="CF305" s="4967"/>
    </row>
    <row customHeight="1" ht="11.25" hidden="1">
      <c r="A306" s="1888"/>
      <c r="B306" s="1732"/>
      <c r="C306" s="1732"/>
      <c r="D306" s="3219"/>
      <c r="E306" s="742"/>
      <c r="F306" s="742">
        <v>0</v>
      </c>
      <c r="G306" s="742"/>
      <c r="H306" s="742"/>
      <c r="I306" s="742"/>
      <c r="J306" s="742"/>
      <c r="K306" s="742"/>
      <c r="L306" s="742"/>
      <c r="M306" s="742"/>
      <c r="N306" s="742"/>
      <c r="O306" s="742"/>
      <c r="P306" s="742"/>
      <c r="Q306" s="742"/>
      <c r="R306" s="742"/>
      <c r="S306" s="743"/>
      <c r="T306" s="825"/>
      <c r="U306" s="3119"/>
      <c r="V306" s="3119"/>
      <c r="W306" s="1732"/>
      <c r="X306" s="1732"/>
      <c r="Y306" s="1732"/>
      <c r="Z306" s="1732"/>
      <c r="AA306" s="1732"/>
      <c r="AB306" s="1256"/>
      <c r="AC306" s="3214"/>
      <c r="AD306" s="736"/>
      <c r="AE306" s="1256"/>
      <c r="AF306" s="1256"/>
      <c r="AG306" s="1732"/>
      <c r="AH306" s="1732"/>
      <c r="AI306" s="1732"/>
      <c r="AJ306" s="1732"/>
      <c r="AK306" s="1732"/>
      <c r="AL306" s="1732"/>
      <c r="AM306" s="1732"/>
      <c r="AN306" s="1732"/>
      <c r="AO306" s="1732"/>
      <c r="AP306" s="1732"/>
      <c r="AQ306" s="1732"/>
      <c r="AR306" s="1732"/>
      <c r="AS306" s="1732"/>
      <c r="AT306" s="1732"/>
      <c r="AU306" s="1732"/>
      <c r="AV306" s="1732"/>
      <c r="AW306" s="1732"/>
      <c r="AX306" s="1732"/>
      <c r="AY306" s="1732"/>
      <c r="AZ306" s="1732"/>
      <c r="BA306" s="1732"/>
      <c r="BB306" s="1732"/>
      <c r="BC306" s="1732"/>
      <c r="BD306" s="1732"/>
      <c r="BE306" s="1732"/>
      <c r="BF306" s="1732"/>
      <c r="BG306" s="1732"/>
      <c r="BH306" s="1732"/>
      <c r="BI306" s="1732"/>
      <c r="BJ306" s="1732"/>
      <c r="BK306" s="1732"/>
      <c r="BL306" s="1732"/>
      <c r="BM306" s="1732"/>
      <c r="BN306" s="1732"/>
      <c r="BO306" s="1732"/>
      <c r="BP306" s="1732"/>
      <c r="BQ306" s="1732"/>
      <c r="BR306" s="1732"/>
      <c r="BS306" s="1732"/>
      <c r="BT306" s="1732"/>
      <c r="BU306" s="1732"/>
      <c r="BV306" s="1732"/>
      <c r="BW306" s="1732"/>
      <c r="BX306" s="1732"/>
      <c r="BY306" s="1732"/>
      <c r="BZ306" s="1732"/>
      <c r="CA306" s="1732"/>
      <c r="CB306" s="1732"/>
      <c r="CC306" s="1732"/>
      <c r="CD306" s="1732"/>
      <c r="CE306" s="1732"/>
      <c r="CF306" s="4967"/>
    </row>
    <row customHeight="1" ht="11.25" hidden="1">
      <c r="A307" s="1901"/>
      <c r="B307" s="1256"/>
      <c r="C307" s="519"/>
      <c r="D307" s="3219"/>
      <c r="E307" s="756" t="s">
        <v>22</v>
      </c>
      <c r="F307" s="1264" t="s">
        <v>22</v>
      </c>
      <c r="G307" s="1264" t="s">
        <v>711</v>
      </c>
      <c r="H307" s="758" t="s">
        <v>22</v>
      </c>
      <c r="I307" s="758"/>
      <c r="J307" s="758"/>
      <c r="K307" s="758"/>
      <c r="L307" s="758"/>
      <c r="M307" s="758"/>
      <c r="N307" s="758"/>
      <c r="O307" s="758"/>
      <c r="P307" s="758"/>
      <c r="Q307" s="758"/>
      <c r="R307" s="759"/>
      <c r="S307" s="760"/>
      <c r="T307" s="825"/>
      <c r="U307" s="3119"/>
      <c r="V307" s="3119"/>
      <c r="W307" s="1256"/>
      <c r="X307" s="1256"/>
      <c r="Y307" s="1256"/>
      <c r="Z307" s="1256"/>
      <c r="AA307" s="1732"/>
      <c r="AB307" s="1256"/>
      <c r="AC307" s="3214"/>
      <c r="AD307" s="736"/>
      <c r="AE307" s="1256"/>
      <c r="AF307" s="1256"/>
      <c r="AG307" s="1732"/>
      <c r="AH307" s="1732"/>
      <c r="AI307" s="1732"/>
      <c r="AJ307" s="1732"/>
      <c r="AK307" s="1732"/>
      <c r="AL307" s="1732"/>
      <c r="AM307" s="1732"/>
      <c r="AN307" s="1732"/>
      <c r="AO307" s="1732"/>
      <c r="AP307" s="1732"/>
      <c r="AQ307" s="1732"/>
      <c r="AR307" s="1732"/>
      <c r="AS307" s="1732"/>
      <c r="AT307" s="1732"/>
      <c r="AU307" s="1732"/>
      <c r="AV307" s="1732"/>
      <c r="AW307" s="1732"/>
      <c r="AX307" s="1732"/>
      <c r="AY307" s="1732"/>
      <c r="AZ307" s="1732"/>
      <c r="BA307" s="1732"/>
      <c r="BB307" s="1732"/>
      <c r="BC307" s="1732"/>
      <c r="BD307" s="1732"/>
      <c r="BE307" s="1732"/>
      <c r="BF307" s="1732"/>
      <c r="BG307" s="1732"/>
      <c r="BH307" s="1732"/>
      <c r="BI307" s="1732"/>
      <c r="BJ307" s="1732"/>
      <c r="BK307" s="1732"/>
      <c r="BL307" s="1732"/>
      <c r="BM307" s="1732"/>
      <c r="BN307" s="1732"/>
      <c r="BO307" s="1732"/>
      <c r="BP307" s="1732"/>
      <c r="BQ307" s="1732"/>
      <c r="BR307" s="1732"/>
      <c r="BS307" s="1732"/>
      <c r="BT307" s="1732"/>
      <c r="BU307" s="1732"/>
      <c r="BV307" s="1256"/>
      <c r="BW307" s="1256"/>
      <c r="BX307" s="1256"/>
      <c r="BY307" s="1256"/>
      <c r="BZ307" s="1256"/>
      <c r="CA307" s="1256"/>
      <c r="CB307" s="1256"/>
      <c r="CC307" s="1256"/>
      <c r="CD307" s="1256"/>
      <c r="CE307" s="1256"/>
      <c r="CF307" s="4967"/>
    </row>
    <row customHeight="1" ht="5.25" hidden="1">
      <c r="A308" s="1888"/>
      <c r="B308" s="1732"/>
      <c r="C308" s="1732"/>
      <c r="D308" s="3219"/>
      <c r="E308" s="1139"/>
      <c r="F308" s="1139"/>
      <c r="G308" s="1139"/>
      <c r="H308" s="1139"/>
      <c r="I308" s="1139"/>
      <c r="J308" s="1139"/>
      <c r="K308" s="1139"/>
      <c r="L308" s="1139"/>
      <c r="M308" s="1139"/>
      <c r="N308" s="1139"/>
      <c r="O308" s="1139"/>
      <c r="P308" s="1139"/>
      <c r="Q308" s="1140"/>
      <c r="R308" s="1141"/>
      <c r="S308" s="1142"/>
      <c r="T308" s="824" t="s">
        <v>707</v>
      </c>
      <c r="U308" s="3119">
        <v>1</v>
      </c>
      <c r="V308" s="3119" t="s">
        <v>669</v>
      </c>
      <c r="W308" s="1732"/>
      <c r="X308" s="1732"/>
      <c r="Y308" s="1732"/>
      <c r="Z308" s="1732"/>
      <c r="AA308" s="1732"/>
      <c r="AB308" s="1732"/>
      <c r="AC308" s="1137"/>
      <c r="AD308" s="1138"/>
      <c r="AE308" s="1732"/>
      <c r="AF308" s="1732"/>
      <c r="AG308" s="1732"/>
      <c r="AH308" s="1732"/>
      <c r="AI308" s="1732"/>
      <c r="AJ308" s="1732"/>
      <c r="AK308" s="1732"/>
      <c r="AL308" s="1732"/>
      <c r="AM308" s="1732"/>
      <c r="AN308" s="1732"/>
      <c r="AO308" s="1732"/>
      <c r="AP308" s="1732"/>
      <c r="AQ308" s="1732"/>
      <c r="AR308" s="1732"/>
      <c r="AS308" s="1732"/>
      <c r="AT308" s="1732"/>
      <c r="AU308" s="1732"/>
      <c r="AV308" s="1732"/>
      <c r="AW308" s="1732"/>
      <c r="AX308" s="1732"/>
      <c r="AY308" s="1732"/>
      <c r="AZ308" s="1732"/>
      <c r="BA308" s="1732"/>
      <c r="BB308" s="1732"/>
      <c r="BC308" s="1732"/>
      <c r="BD308" s="1732"/>
      <c r="BE308" s="1732"/>
      <c r="BF308" s="1732"/>
      <c r="BG308" s="1732"/>
      <c r="BH308" s="1732"/>
      <c r="BI308" s="1732"/>
      <c r="BJ308" s="1732"/>
      <c r="BK308" s="1732"/>
      <c r="BL308" s="1732"/>
      <c r="BM308" s="1732"/>
      <c r="BN308" s="1732"/>
      <c r="BO308" s="1732"/>
      <c r="BP308" s="1732"/>
      <c r="BQ308" s="1732"/>
      <c r="BR308" s="1732"/>
      <c r="BS308" s="1732"/>
      <c r="BT308" s="1732"/>
      <c r="BU308" s="1732"/>
      <c r="BV308" s="1732"/>
      <c r="BW308" s="1732"/>
      <c r="BX308" s="1732"/>
      <c r="BY308" s="1732"/>
      <c r="BZ308" s="1732"/>
      <c r="CA308" s="1732"/>
      <c r="CB308" s="1732"/>
      <c r="CC308" s="1732"/>
      <c r="CD308" s="1732"/>
      <c r="CE308" s="1732"/>
      <c r="CF308" s="4968"/>
    </row>
    <row customHeight="1" ht="5.25" hidden="1">
      <c r="A309" s="1888"/>
      <c r="B309" s="1732"/>
      <c r="C309" s="1732"/>
      <c r="D309" s="3219"/>
      <c r="E309" s="742"/>
      <c r="F309" s="742"/>
      <c r="G309" s="742"/>
      <c r="H309" s="742"/>
      <c r="I309" s="742"/>
      <c r="J309" s="742"/>
      <c r="K309" s="742"/>
      <c r="L309" s="742"/>
      <c r="M309" s="742"/>
      <c r="N309" s="742"/>
      <c r="O309" s="742"/>
      <c r="P309" s="742"/>
      <c r="Q309" s="742"/>
      <c r="R309" s="742"/>
      <c r="S309" s="743"/>
      <c r="T309" s="825"/>
      <c r="U309" s="3119"/>
      <c r="V309" s="3119"/>
      <c r="W309" s="1732"/>
      <c r="X309" s="1732"/>
      <c r="Y309" s="1732"/>
      <c r="Z309" s="1732"/>
      <c r="AA309" s="1732"/>
      <c r="AB309" s="1732"/>
      <c r="AC309" s="1137"/>
      <c r="AD309" s="1138"/>
      <c r="AE309" s="1732"/>
      <c r="AF309" s="1732"/>
      <c r="AG309" s="1732"/>
      <c r="AH309" s="1732"/>
      <c r="AI309" s="1732"/>
      <c r="AJ309" s="1732"/>
      <c r="AK309" s="1732"/>
      <c r="AL309" s="1732"/>
      <c r="AM309" s="1732"/>
      <c r="AN309" s="1732"/>
      <c r="AO309" s="1732"/>
      <c r="AP309" s="1732"/>
      <c r="AQ309" s="1732"/>
      <c r="AR309" s="1732"/>
      <c r="AS309" s="1732"/>
      <c r="AT309" s="1732"/>
      <c r="AU309" s="1732"/>
      <c r="AV309" s="1732"/>
      <c r="AW309" s="1732"/>
      <c r="AX309" s="1732"/>
      <c r="AY309" s="1732"/>
      <c r="AZ309" s="1732"/>
      <c r="BA309" s="1732"/>
      <c r="BB309" s="1732"/>
      <c r="BC309" s="1732"/>
      <c r="BD309" s="1732"/>
      <c r="BE309" s="1732"/>
      <c r="BF309" s="1732"/>
      <c r="BG309" s="1732"/>
      <c r="BH309" s="1732"/>
      <c r="BI309" s="1732"/>
      <c r="BJ309" s="1732"/>
      <c r="BK309" s="1732"/>
      <c r="BL309" s="1732"/>
      <c r="BM309" s="1732"/>
      <c r="BN309" s="1732"/>
      <c r="BO309" s="1732"/>
      <c r="BP309" s="1732"/>
      <c r="BQ309" s="1732"/>
      <c r="BR309" s="1732"/>
      <c r="BS309" s="1732"/>
      <c r="BT309" s="1732"/>
      <c r="BU309" s="1732"/>
      <c r="BV309" s="1732"/>
      <c r="BW309" s="1732"/>
      <c r="BX309" s="1732"/>
      <c r="BY309" s="1732"/>
      <c r="BZ309" s="1732"/>
      <c r="CA309" s="1732"/>
      <c r="CB309" s="1732"/>
      <c r="CC309" s="1732"/>
      <c r="CD309" s="1732"/>
      <c r="CE309" s="1732"/>
      <c r="CF309" s="4968"/>
    </row>
    <row customHeight="1" ht="5.25" hidden="1">
      <c r="A310" s="1888"/>
      <c r="B310" s="1732"/>
      <c r="C310" s="1732"/>
      <c r="D310" s="3220"/>
      <c r="E310" s="1143"/>
      <c r="F310" s="1144"/>
      <c r="G310" s="1144"/>
      <c r="H310" s="1145"/>
      <c r="I310" s="1145"/>
      <c r="J310" s="1145"/>
      <c r="K310" s="1145"/>
      <c r="L310" s="1145"/>
      <c r="M310" s="1145"/>
      <c r="N310" s="1145"/>
      <c r="O310" s="1145"/>
      <c r="P310" s="1145"/>
      <c r="Q310" s="1145"/>
      <c r="R310" s="1046"/>
      <c r="S310" s="1146"/>
      <c r="T310" s="825"/>
      <c r="U310" s="3119"/>
      <c r="V310" s="3119"/>
      <c r="W310" s="1732"/>
      <c r="X310" s="1732"/>
      <c r="Y310" s="1732"/>
      <c r="Z310" s="1732"/>
      <c r="AA310" s="1732"/>
      <c r="AB310" s="1732"/>
      <c r="AC310" s="1137"/>
      <c r="AD310" s="1138"/>
      <c r="AE310" s="1732"/>
      <c r="AF310" s="1732"/>
      <c r="AG310" s="1732"/>
      <c r="AH310" s="1732"/>
      <c r="AI310" s="1732"/>
      <c r="AJ310" s="1732"/>
      <c r="AK310" s="1732"/>
      <c r="AL310" s="1732"/>
      <c r="AM310" s="1732"/>
      <c r="AN310" s="1732"/>
      <c r="AO310" s="1732"/>
      <c r="AP310" s="1732"/>
      <c r="AQ310" s="1732"/>
      <c r="AR310" s="1732"/>
      <c r="AS310" s="1732"/>
      <c r="AT310" s="1732"/>
      <c r="AU310" s="1732"/>
      <c r="AV310" s="1732"/>
      <c r="AW310" s="1732"/>
      <c r="AX310" s="1732"/>
      <c r="AY310" s="1732"/>
      <c r="AZ310" s="1732"/>
      <c r="BA310" s="1732"/>
      <c r="BB310" s="1732"/>
      <c r="BC310" s="1732"/>
      <c r="BD310" s="1732"/>
      <c r="BE310" s="1732"/>
      <c r="BF310" s="1732"/>
      <c r="BG310" s="1732"/>
      <c r="BH310" s="1732"/>
      <c r="BI310" s="1732"/>
      <c r="BJ310" s="1732"/>
      <c r="BK310" s="1732"/>
      <c r="BL310" s="1732"/>
      <c r="BM310" s="1732"/>
      <c r="BN310" s="1732"/>
      <c r="BO310" s="1732"/>
      <c r="BP310" s="1732"/>
      <c r="BQ310" s="1732"/>
      <c r="BR310" s="1732"/>
      <c r="BS310" s="1732"/>
      <c r="BT310" s="1732"/>
      <c r="BU310" s="1732"/>
      <c r="BV310" s="1732"/>
      <c r="BW310" s="1732"/>
      <c r="BX310" s="1732"/>
      <c r="BY310" s="1732"/>
      <c r="BZ310" s="1732"/>
      <c r="CA310" s="1732"/>
      <c r="CB310" s="1732"/>
      <c r="CC310" s="1732"/>
      <c r="CD310" s="1732"/>
      <c r="CE310" s="1732"/>
      <c r="CF310" s="4968"/>
    </row>
    <row customHeight="1" ht="15" hidden="1">
      <c r="A311" s="730" t="s">
        <v>205</v>
      </c>
      <c r="B311" s="731"/>
      <c r="C311" s="731" t="s">
        <v>22</v>
      </c>
      <c r="D311" s="3218" t="s">
        <v>753</v>
      </c>
      <c r="E311" s="3215" t="s">
        <v>140</v>
      </c>
      <c r="F311" s="3216"/>
      <c r="G311" s="3217"/>
      <c r="H311" s="3211" t="str">
        <f>IF(A311="","",INDEX(DIFFERENTIATION_UNMERGE_VD,MATCH(A311,DIFFERENTIATION_ID_DIFF,0)))</f>
        <v>Производство тепловой энергии. Некомбинированная выработка; Передача. Тепловая энергия; Сбыт. Тепловая энергия</v>
      </c>
      <c r="I311" s="3211"/>
      <c r="J311" s="3211"/>
      <c r="K311" s="3211"/>
      <c r="L311" s="3211"/>
      <c r="M311" s="3211"/>
      <c r="N311" s="3211"/>
      <c r="O311" s="3211"/>
      <c r="P311" s="3211"/>
      <c r="Q311" s="3211"/>
      <c r="R311" s="3211"/>
      <c r="S311" s="826"/>
      <c r="T311" s="823"/>
      <c r="U311" s="732"/>
      <c r="V311" s="732"/>
      <c r="W311" s="733"/>
      <c r="X311" s="733"/>
      <c r="Y311" s="733"/>
      <c r="Z311" s="733"/>
      <c r="AA311" s="734"/>
      <c r="AB311" s="735"/>
      <c r="AC311" s="3214"/>
      <c r="AD311" s="736"/>
      <c r="AE311" s="737" t="s">
        <v>22</v>
      </c>
      <c r="AF311" s="737"/>
      <c r="AG311" s="738" t="s">
        <v>704</v>
      </c>
      <c r="AH311" s="739">
        <v>3</v>
      </c>
      <c r="AI311" s="732"/>
      <c r="AJ311" s="732"/>
      <c r="AK311" s="732"/>
      <c r="AL311" s="732"/>
      <c r="AM311" s="732"/>
      <c r="AN311" s="732"/>
      <c r="AO311" s="732"/>
      <c r="AP311" s="732"/>
      <c r="AQ311" s="732"/>
      <c r="AR311" s="732"/>
      <c r="AS311" s="732"/>
      <c r="AT311" s="732"/>
      <c r="AU311" s="732"/>
      <c r="AV311" s="732"/>
      <c r="AW311" s="732"/>
      <c r="AX311" s="732"/>
      <c r="AY311" s="732"/>
      <c r="AZ311" s="732"/>
      <c r="BA311" s="732"/>
      <c r="BB311" s="732"/>
      <c r="BC311" s="732"/>
      <c r="BD311" s="732"/>
      <c r="BE311" s="732"/>
      <c r="BF311" s="732"/>
      <c r="BG311" s="732"/>
      <c r="BH311" s="732"/>
      <c r="BI311" s="732"/>
      <c r="BJ311" s="732"/>
      <c r="BK311" s="732"/>
      <c r="BL311" s="732"/>
      <c r="BM311" s="732"/>
      <c r="BN311" s="732"/>
      <c r="BO311" s="732"/>
      <c r="BP311" s="732"/>
      <c r="BQ311" s="732"/>
      <c r="BR311" s="732"/>
      <c r="BS311" s="732"/>
      <c r="BT311" s="732"/>
      <c r="BU311" s="732"/>
      <c r="BV311" s="733"/>
      <c r="BW311" s="733"/>
      <c r="BX311" s="733"/>
      <c r="BY311" s="733"/>
      <c r="BZ311" s="733"/>
      <c r="CA311" s="733"/>
      <c r="CB311" s="733"/>
      <c r="CC311" s="733"/>
      <c r="CD311" s="733"/>
      <c r="CE311" s="733"/>
      <c r="CF311" s="4967"/>
    </row>
    <row customHeight="1" ht="15" hidden="1">
      <c r="A312" s="730"/>
      <c r="B312" s="731"/>
      <c r="C312" s="731"/>
      <c r="D312" s="3219"/>
      <c r="E312" s="3215" t="s">
        <v>649</v>
      </c>
      <c r="F312" s="3216"/>
      <c r="G312" s="3217"/>
      <c r="H312" s="3211" t="str">
        <f>IF(A311="","",INDEX(DIFFERENTIATION_UNMERGE_AREA,MATCH(A311,DIFFERENTIATION_ID_DIFF,0)))</f>
        <v>Территория 8</v>
      </c>
      <c r="I312" s="3211"/>
      <c r="J312" s="3211"/>
      <c r="K312" s="3211"/>
      <c r="L312" s="3211"/>
      <c r="M312" s="3211"/>
      <c r="N312" s="3211"/>
      <c r="O312" s="3211"/>
      <c r="P312" s="3211"/>
      <c r="Q312" s="3211"/>
      <c r="R312" s="3211"/>
      <c r="S312" s="826"/>
      <c r="T312" s="823"/>
      <c r="U312" s="732"/>
      <c r="V312" s="732"/>
      <c r="W312" s="733"/>
      <c r="X312" s="733"/>
      <c r="Y312" s="733"/>
      <c r="Z312" s="733"/>
      <c r="AA312" s="734"/>
      <c r="AB312" s="735"/>
      <c r="AC312" s="3214"/>
      <c r="AD312" s="736"/>
      <c r="AE312" s="737"/>
      <c r="AF312" s="737"/>
      <c r="AG312" s="738"/>
      <c r="AH312" s="739"/>
      <c r="AI312" s="732"/>
      <c r="AJ312" s="732"/>
      <c r="AK312" s="732"/>
      <c r="AL312" s="732"/>
      <c r="AM312" s="732"/>
      <c r="AN312" s="732"/>
      <c r="AO312" s="732"/>
      <c r="AP312" s="732"/>
      <c r="AQ312" s="732"/>
      <c r="AR312" s="732"/>
      <c r="AS312" s="732"/>
      <c r="AT312" s="732"/>
      <c r="AU312" s="732"/>
      <c r="AV312" s="732"/>
      <c r="AW312" s="732"/>
      <c r="AX312" s="732"/>
      <c r="AY312" s="732"/>
      <c r="AZ312" s="732"/>
      <c r="BA312" s="732"/>
      <c r="BB312" s="732"/>
      <c r="BC312" s="732"/>
      <c r="BD312" s="732"/>
      <c r="BE312" s="732"/>
      <c r="BF312" s="732"/>
      <c r="BG312" s="732"/>
      <c r="BH312" s="732"/>
      <c r="BI312" s="732"/>
      <c r="BJ312" s="732"/>
      <c r="BK312" s="732"/>
      <c r="BL312" s="732"/>
      <c r="BM312" s="732"/>
      <c r="BN312" s="732"/>
      <c r="BO312" s="732"/>
      <c r="BP312" s="732"/>
      <c r="BQ312" s="732"/>
      <c r="BR312" s="732"/>
      <c r="BS312" s="732"/>
      <c r="BT312" s="732"/>
      <c r="BU312" s="732"/>
      <c r="BV312" s="733"/>
      <c r="BW312" s="733"/>
      <c r="BX312" s="733"/>
      <c r="BY312" s="733"/>
      <c r="BZ312" s="733"/>
      <c r="CA312" s="733"/>
      <c r="CB312" s="733"/>
      <c r="CC312" s="733"/>
      <c r="CD312" s="733"/>
      <c r="CE312" s="733"/>
      <c r="CF312" s="4967"/>
    </row>
    <row customHeight="1" ht="15" hidden="1">
      <c r="A313" s="730"/>
      <c r="B313" s="731"/>
      <c r="C313" s="731"/>
      <c r="D313" s="3219"/>
      <c r="E313" s="3215" t="s">
        <v>650</v>
      </c>
      <c r="F313" s="3216"/>
      <c r="G313" s="3217"/>
      <c r="H313" s="3211" t="str">
        <f>IF(A311="","",INDEX(DIFFERENTIATION_UNMERGE_SYSTEM,MATCH(A311,DIFFERENTIATION_ID_DIFF,0)))</f>
        <v>котельная в Волочаевском городке</v>
      </c>
      <c r="I313" s="3211"/>
      <c r="J313" s="3211"/>
      <c r="K313" s="3211"/>
      <c r="L313" s="3211"/>
      <c r="M313" s="3211"/>
      <c r="N313" s="3211"/>
      <c r="O313" s="3211"/>
      <c r="P313" s="3211"/>
      <c r="Q313" s="3211"/>
      <c r="R313" s="3211"/>
      <c r="S313" s="826"/>
      <c r="T313" s="823"/>
      <c r="U313" s="732"/>
      <c r="V313" s="732"/>
      <c r="W313" s="733"/>
      <c r="X313" s="733"/>
      <c r="Y313" s="733"/>
      <c r="Z313" s="733"/>
      <c r="AA313" s="734"/>
      <c r="AB313" s="735"/>
      <c r="AC313" s="3214"/>
      <c r="AD313" s="736"/>
      <c r="AE313" s="737"/>
      <c r="AF313" s="737"/>
      <c r="AG313" s="738"/>
      <c r="AH313" s="739"/>
      <c r="AI313" s="732"/>
      <c r="AJ313" s="732"/>
      <c r="AK313" s="732"/>
      <c r="AL313" s="732"/>
      <c r="AM313" s="732"/>
      <c r="AN313" s="732"/>
      <c r="AO313" s="732"/>
      <c r="AP313" s="732"/>
      <c r="AQ313" s="732"/>
      <c r="AR313" s="732"/>
      <c r="AS313" s="732"/>
      <c r="AT313" s="732"/>
      <c r="AU313" s="732"/>
      <c r="AV313" s="732"/>
      <c r="AW313" s="732"/>
      <c r="AX313" s="732"/>
      <c r="AY313" s="732"/>
      <c r="AZ313" s="732"/>
      <c r="BA313" s="732"/>
      <c r="BB313" s="732"/>
      <c r="BC313" s="732"/>
      <c r="BD313" s="732"/>
      <c r="BE313" s="732"/>
      <c r="BF313" s="732"/>
      <c r="BG313" s="732"/>
      <c r="BH313" s="732"/>
      <c r="BI313" s="732"/>
      <c r="BJ313" s="732"/>
      <c r="BK313" s="732"/>
      <c r="BL313" s="732"/>
      <c r="BM313" s="732"/>
      <c r="BN313" s="732"/>
      <c r="BO313" s="732"/>
      <c r="BP313" s="732"/>
      <c r="BQ313" s="732"/>
      <c r="BR313" s="732"/>
      <c r="BS313" s="732"/>
      <c r="BT313" s="732"/>
      <c r="BU313" s="732"/>
      <c r="BV313" s="733"/>
      <c r="BW313" s="733"/>
      <c r="BX313" s="733"/>
      <c r="BY313" s="733"/>
      <c r="BZ313" s="733"/>
      <c r="CA313" s="733"/>
      <c r="CB313" s="733"/>
      <c r="CC313" s="733"/>
      <c r="CD313" s="733"/>
      <c r="CE313" s="733"/>
      <c r="CF313" s="4967"/>
    </row>
    <row customHeight="1" ht="24.75" hidden="1">
      <c r="A314" s="1901"/>
      <c r="B314" s="1256"/>
      <c r="C314" s="519"/>
      <c r="D314" s="3219"/>
      <c r="E314" s="3213" t="s">
        <v>705</v>
      </c>
      <c r="F314" s="3213"/>
      <c r="G314" s="3213"/>
      <c r="H314" s="3213"/>
      <c r="I314" s="3213"/>
      <c r="J314" s="3213"/>
      <c r="K314" s="3213"/>
      <c r="L314" s="3213"/>
      <c r="M314" s="3213"/>
      <c r="N314" s="3213"/>
      <c r="O314" s="3213"/>
      <c r="P314" s="3213"/>
      <c r="Q314" s="665">
        <f>SUMIF(T315:T316,"i",Q315:Q316)</f>
        <v>0</v>
      </c>
      <c r="R314" s="1117"/>
      <c r="S314" s="1893" t="s">
        <v>706</v>
      </c>
      <c r="T314" s="824" t="s">
        <v>707</v>
      </c>
      <c r="U314" s="3119">
        <v>1</v>
      </c>
      <c r="V314" s="3119" t="str">
        <f>INDEX(B_FHD_FLAG_INDEX_1,1,MATCH($A$311,B_FHD_FLAG_DIFFERENTIATION,0))</f>
        <v>отсутствует</v>
      </c>
      <c r="W314" s="1256"/>
      <c r="X314" s="1256"/>
      <c r="Y314" s="1256"/>
      <c r="Z314" s="1256"/>
      <c r="AA314" s="1732"/>
      <c r="AB314" s="1256"/>
      <c r="AC314" s="3214"/>
      <c r="AD314" s="736"/>
      <c r="AE314" s="1256"/>
      <c r="AF314" s="1256"/>
      <c r="AG314" s="1732"/>
      <c r="AH314" s="1732"/>
      <c r="AI314" s="1732"/>
      <c r="AJ314" s="1732"/>
      <c r="AK314" s="1732"/>
      <c r="AL314" s="1732"/>
      <c r="AM314" s="1732"/>
      <c r="AN314" s="1732"/>
      <c r="AO314" s="1732"/>
      <c r="AP314" s="1732"/>
      <c r="AQ314" s="1732"/>
      <c r="AR314" s="1732"/>
      <c r="AS314" s="1732"/>
      <c r="AT314" s="1732"/>
      <c r="AU314" s="1732"/>
      <c r="AV314" s="1732"/>
      <c r="AW314" s="1732"/>
      <c r="AX314" s="1732"/>
      <c r="AY314" s="1732"/>
      <c r="AZ314" s="1732"/>
      <c r="BA314" s="1732"/>
      <c r="BB314" s="1732"/>
      <c r="BC314" s="1732"/>
      <c r="BD314" s="1732"/>
      <c r="BE314" s="1732"/>
      <c r="BF314" s="1732"/>
      <c r="BG314" s="1732"/>
      <c r="BH314" s="1732"/>
      <c r="BI314" s="1732"/>
      <c r="BJ314" s="1732"/>
      <c r="BK314" s="1732"/>
      <c r="BL314" s="1732"/>
      <c r="BM314" s="1732"/>
      <c r="BN314" s="1732"/>
      <c r="BO314" s="1732"/>
      <c r="BP314" s="1732"/>
      <c r="BQ314" s="1732"/>
      <c r="BR314" s="1732"/>
      <c r="BS314" s="1732"/>
      <c r="BT314" s="1732"/>
      <c r="BU314" s="1732"/>
      <c r="BV314" s="1256"/>
      <c r="BW314" s="1256"/>
      <c r="BX314" s="1256"/>
      <c r="BY314" s="1256"/>
      <c r="BZ314" s="1256"/>
      <c r="CA314" s="1256"/>
      <c r="CB314" s="1256"/>
      <c r="CC314" s="1256"/>
      <c r="CD314" s="1256"/>
      <c r="CE314" s="1256"/>
      <c r="CF314" s="4967"/>
    </row>
    <row customHeight="1" ht="11.25" hidden="1">
      <c r="A315" s="1888"/>
      <c r="B315" s="1732"/>
      <c r="C315" s="1732"/>
      <c r="D315" s="3219"/>
      <c r="E315" s="742"/>
      <c r="F315" s="742">
        <v>0</v>
      </c>
      <c r="G315" s="742"/>
      <c r="H315" s="742"/>
      <c r="I315" s="742"/>
      <c r="J315" s="742"/>
      <c r="K315" s="742"/>
      <c r="L315" s="742"/>
      <c r="M315" s="742"/>
      <c r="N315" s="742"/>
      <c r="O315" s="742"/>
      <c r="P315" s="742"/>
      <c r="Q315" s="742"/>
      <c r="R315" s="742"/>
      <c r="S315" s="743"/>
      <c r="T315" s="825"/>
      <c r="U315" s="3119"/>
      <c r="V315" s="3119"/>
      <c r="W315" s="1732"/>
      <c r="X315" s="1732"/>
      <c r="Y315" s="1732"/>
      <c r="Z315" s="1732"/>
      <c r="AA315" s="1732"/>
      <c r="AB315" s="1256"/>
      <c r="AC315" s="3214"/>
      <c r="AD315" s="736"/>
      <c r="AE315" s="1256"/>
      <c r="AF315" s="1256"/>
      <c r="AG315" s="1732"/>
      <c r="AH315" s="1732"/>
      <c r="AI315" s="1732"/>
      <c r="AJ315" s="1732"/>
      <c r="AK315" s="1732"/>
      <c r="AL315" s="1732"/>
      <c r="AM315" s="1732"/>
      <c r="AN315" s="1732"/>
      <c r="AO315" s="1732"/>
      <c r="AP315" s="1732"/>
      <c r="AQ315" s="1732"/>
      <c r="AR315" s="1732"/>
      <c r="AS315" s="1732"/>
      <c r="AT315" s="1732"/>
      <c r="AU315" s="1732"/>
      <c r="AV315" s="1732"/>
      <c r="AW315" s="1732"/>
      <c r="AX315" s="1732"/>
      <c r="AY315" s="1732"/>
      <c r="AZ315" s="1732"/>
      <c r="BA315" s="1732"/>
      <c r="BB315" s="1732"/>
      <c r="BC315" s="1732"/>
      <c r="BD315" s="1732"/>
      <c r="BE315" s="1732"/>
      <c r="BF315" s="1732"/>
      <c r="BG315" s="1732"/>
      <c r="BH315" s="1732"/>
      <c r="BI315" s="1732"/>
      <c r="BJ315" s="1732"/>
      <c r="BK315" s="1732"/>
      <c r="BL315" s="1732"/>
      <c r="BM315" s="1732"/>
      <c r="BN315" s="1732"/>
      <c r="BO315" s="1732"/>
      <c r="BP315" s="1732"/>
      <c r="BQ315" s="1732"/>
      <c r="BR315" s="1732"/>
      <c r="BS315" s="1732"/>
      <c r="BT315" s="1732"/>
      <c r="BU315" s="1732"/>
      <c r="BV315" s="1732"/>
      <c r="BW315" s="1732"/>
      <c r="BX315" s="1732"/>
      <c r="BY315" s="1732"/>
      <c r="BZ315" s="1732"/>
      <c r="CA315" s="1732"/>
      <c r="CB315" s="1732"/>
      <c r="CC315" s="1732"/>
      <c r="CD315" s="1732"/>
      <c r="CE315" s="1732"/>
      <c r="CF315" s="4967"/>
    </row>
    <row customHeight="1" ht="11.25" hidden="1">
      <c r="A316" s="1901"/>
      <c r="B316" s="1256"/>
      <c r="C316" s="519"/>
      <c r="D316" s="3219"/>
      <c r="E316" s="756" t="s">
        <v>22</v>
      </c>
      <c r="F316" s="1264" t="s">
        <v>22</v>
      </c>
      <c r="G316" s="1264" t="s">
        <v>711</v>
      </c>
      <c r="H316" s="758" t="s">
        <v>22</v>
      </c>
      <c r="I316" s="758"/>
      <c r="J316" s="758"/>
      <c r="K316" s="758"/>
      <c r="L316" s="758"/>
      <c r="M316" s="758"/>
      <c r="N316" s="758"/>
      <c r="O316" s="758"/>
      <c r="P316" s="758"/>
      <c r="Q316" s="758"/>
      <c r="R316" s="759"/>
      <c r="S316" s="760"/>
      <c r="T316" s="825"/>
      <c r="U316" s="3119"/>
      <c r="V316" s="3119"/>
      <c r="W316" s="1256"/>
      <c r="X316" s="1256"/>
      <c r="Y316" s="1256"/>
      <c r="Z316" s="1256"/>
      <c r="AA316" s="1732"/>
      <c r="AB316" s="1256"/>
      <c r="AC316" s="3214"/>
      <c r="AD316" s="736"/>
      <c r="AE316" s="1256"/>
      <c r="AF316" s="1256"/>
      <c r="AG316" s="1732"/>
      <c r="AH316" s="1732"/>
      <c r="AI316" s="1732"/>
      <c r="AJ316" s="1732"/>
      <c r="AK316" s="1732"/>
      <c r="AL316" s="1732"/>
      <c r="AM316" s="1732"/>
      <c r="AN316" s="1732"/>
      <c r="AO316" s="1732"/>
      <c r="AP316" s="1732"/>
      <c r="AQ316" s="1732"/>
      <c r="AR316" s="1732"/>
      <c r="AS316" s="1732"/>
      <c r="AT316" s="1732"/>
      <c r="AU316" s="1732"/>
      <c r="AV316" s="1732"/>
      <c r="AW316" s="1732"/>
      <c r="AX316" s="1732"/>
      <c r="AY316" s="1732"/>
      <c r="AZ316" s="1732"/>
      <c r="BA316" s="1732"/>
      <c r="BB316" s="1732"/>
      <c r="BC316" s="1732"/>
      <c r="BD316" s="1732"/>
      <c r="BE316" s="1732"/>
      <c r="BF316" s="1732"/>
      <c r="BG316" s="1732"/>
      <c r="BH316" s="1732"/>
      <c r="BI316" s="1732"/>
      <c r="BJ316" s="1732"/>
      <c r="BK316" s="1732"/>
      <c r="BL316" s="1732"/>
      <c r="BM316" s="1732"/>
      <c r="BN316" s="1732"/>
      <c r="BO316" s="1732"/>
      <c r="BP316" s="1732"/>
      <c r="BQ316" s="1732"/>
      <c r="BR316" s="1732"/>
      <c r="BS316" s="1732"/>
      <c r="BT316" s="1732"/>
      <c r="BU316" s="1732"/>
      <c r="BV316" s="1256"/>
      <c r="BW316" s="1256"/>
      <c r="BX316" s="1256"/>
      <c r="BY316" s="1256"/>
      <c r="BZ316" s="1256"/>
      <c r="CA316" s="1256"/>
      <c r="CB316" s="1256"/>
      <c r="CC316" s="1256"/>
      <c r="CD316" s="1256"/>
      <c r="CE316" s="1256"/>
      <c r="CF316" s="4967"/>
    </row>
    <row customHeight="1" ht="5.25" hidden="1">
      <c r="A317" s="1888"/>
      <c r="B317" s="1732"/>
      <c r="C317" s="1732"/>
      <c r="D317" s="3219"/>
      <c r="E317" s="1139"/>
      <c r="F317" s="1139"/>
      <c r="G317" s="1139"/>
      <c r="H317" s="1139"/>
      <c r="I317" s="1139"/>
      <c r="J317" s="1139"/>
      <c r="K317" s="1139"/>
      <c r="L317" s="1139"/>
      <c r="M317" s="1139"/>
      <c r="N317" s="1139"/>
      <c r="O317" s="1139"/>
      <c r="P317" s="1139"/>
      <c r="Q317" s="1140"/>
      <c r="R317" s="1141"/>
      <c r="S317" s="1142"/>
      <c r="T317" s="824" t="s">
        <v>707</v>
      </c>
      <c r="U317" s="3119">
        <v>1</v>
      </c>
      <c r="V317" s="3119" t="s">
        <v>669</v>
      </c>
      <c r="W317" s="1732"/>
      <c r="X317" s="1732"/>
      <c r="Y317" s="1732"/>
      <c r="Z317" s="1732"/>
      <c r="AA317" s="1732"/>
      <c r="AB317" s="1732"/>
      <c r="AC317" s="1137"/>
      <c r="AD317" s="1138"/>
      <c r="AE317" s="1732"/>
      <c r="AF317" s="1732"/>
      <c r="AG317" s="1732"/>
      <c r="AH317" s="1732"/>
      <c r="AI317" s="1732"/>
      <c r="AJ317" s="1732"/>
      <c r="AK317" s="1732"/>
      <c r="AL317" s="1732"/>
      <c r="AM317" s="1732"/>
      <c r="AN317" s="1732"/>
      <c r="AO317" s="1732"/>
      <c r="AP317" s="1732"/>
      <c r="AQ317" s="1732"/>
      <c r="AR317" s="1732"/>
      <c r="AS317" s="1732"/>
      <c r="AT317" s="1732"/>
      <c r="AU317" s="1732"/>
      <c r="AV317" s="1732"/>
      <c r="AW317" s="1732"/>
      <c r="AX317" s="1732"/>
      <c r="AY317" s="1732"/>
      <c r="AZ317" s="1732"/>
      <c r="BA317" s="1732"/>
      <c r="BB317" s="1732"/>
      <c r="BC317" s="1732"/>
      <c r="BD317" s="1732"/>
      <c r="BE317" s="1732"/>
      <c r="BF317" s="1732"/>
      <c r="BG317" s="1732"/>
      <c r="BH317" s="1732"/>
      <c r="BI317" s="1732"/>
      <c r="BJ317" s="1732"/>
      <c r="BK317" s="1732"/>
      <c r="BL317" s="1732"/>
      <c r="BM317" s="1732"/>
      <c r="BN317" s="1732"/>
      <c r="BO317" s="1732"/>
      <c r="BP317" s="1732"/>
      <c r="BQ317" s="1732"/>
      <c r="BR317" s="1732"/>
      <c r="BS317" s="1732"/>
      <c r="BT317" s="1732"/>
      <c r="BU317" s="1732"/>
      <c r="BV317" s="1732"/>
      <c r="BW317" s="1732"/>
      <c r="BX317" s="1732"/>
      <c r="BY317" s="1732"/>
      <c r="BZ317" s="1732"/>
      <c r="CA317" s="1732"/>
      <c r="CB317" s="1732"/>
      <c r="CC317" s="1732"/>
      <c r="CD317" s="1732"/>
      <c r="CE317" s="1732"/>
      <c r="CF317" s="4968"/>
    </row>
    <row customHeight="1" ht="5.25" hidden="1">
      <c r="A318" s="1888"/>
      <c r="B318" s="1732"/>
      <c r="C318" s="1732"/>
      <c r="D318" s="3219"/>
      <c r="E318" s="742"/>
      <c r="F318" s="742"/>
      <c r="G318" s="742"/>
      <c r="H318" s="742"/>
      <c r="I318" s="742"/>
      <c r="J318" s="742"/>
      <c r="K318" s="742"/>
      <c r="L318" s="742"/>
      <c r="M318" s="742"/>
      <c r="N318" s="742"/>
      <c r="O318" s="742"/>
      <c r="P318" s="742"/>
      <c r="Q318" s="742"/>
      <c r="R318" s="742"/>
      <c r="S318" s="743"/>
      <c r="T318" s="825"/>
      <c r="U318" s="3119"/>
      <c r="V318" s="3119"/>
      <c r="W318" s="1732"/>
      <c r="X318" s="1732"/>
      <c r="Y318" s="1732"/>
      <c r="Z318" s="1732"/>
      <c r="AA318" s="1732"/>
      <c r="AB318" s="1732"/>
      <c r="AC318" s="1137"/>
      <c r="AD318" s="1138"/>
      <c r="AE318" s="1732"/>
      <c r="AF318" s="1732"/>
      <c r="AG318" s="1732"/>
      <c r="AH318" s="1732"/>
      <c r="AI318" s="1732"/>
      <c r="AJ318" s="1732"/>
      <c r="AK318" s="1732"/>
      <c r="AL318" s="1732"/>
      <c r="AM318" s="1732"/>
      <c r="AN318" s="1732"/>
      <c r="AO318" s="1732"/>
      <c r="AP318" s="1732"/>
      <c r="AQ318" s="1732"/>
      <c r="AR318" s="1732"/>
      <c r="AS318" s="1732"/>
      <c r="AT318" s="1732"/>
      <c r="AU318" s="1732"/>
      <c r="AV318" s="1732"/>
      <c r="AW318" s="1732"/>
      <c r="AX318" s="1732"/>
      <c r="AY318" s="1732"/>
      <c r="AZ318" s="1732"/>
      <c r="BA318" s="1732"/>
      <c r="BB318" s="1732"/>
      <c r="BC318" s="1732"/>
      <c r="BD318" s="1732"/>
      <c r="BE318" s="1732"/>
      <c r="BF318" s="1732"/>
      <c r="BG318" s="1732"/>
      <c r="BH318" s="1732"/>
      <c r="BI318" s="1732"/>
      <c r="BJ318" s="1732"/>
      <c r="BK318" s="1732"/>
      <c r="BL318" s="1732"/>
      <c r="BM318" s="1732"/>
      <c r="BN318" s="1732"/>
      <c r="BO318" s="1732"/>
      <c r="BP318" s="1732"/>
      <c r="BQ318" s="1732"/>
      <c r="BR318" s="1732"/>
      <c r="BS318" s="1732"/>
      <c r="BT318" s="1732"/>
      <c r="BU318" s="1732"/>
      <c r="BV318" s="1732"/>
      <c r="BW318" s="1732"/>
      <c r="BX318" s="1732"/>
      <c r="BY318" s="1732"/>
      <c r="BZ318" s="1732"/>
      <c r="CA318" s="1732"/>
      <c r="CB318" s="1732"/>
      <c r="CC318" s="1732"/>
      <c r="CD318" s="1732"/>
      <c r="CE318" s="1732"/>
      <c r="CF318" s="4968"/>
    </row>
    <row customHeight="1" ht="5.25" hidden="1">
      <c r="A319" s="1888"/>
      <c r="B319" s="1732"/>
      <c r="C319" s="1732"/>
      <c r="D319" s="3220"/>
      <c r="E319" s="1143"/>
      <c r="F319" s="1144"/>
      <c r="G319" s="1144"/>
      <c r="H319" s="1145"/>
      <c r="I319" s="1145"/>
      <c r="J319" s="1145"/>
      <c r="K319" s="1145"/>
      <c r="L319" s="1145"/>
      <c r="M319" s="1145"/>
      <c r="N319" s="1145"/>
      <c r="O319" s="1145"/>
      <c r="P319" s="1145"/>
      <c r="Q319" s="1145"/>
      <c r="R319" s="1046"/>
      <c r="S319" s="1146"/>
      <c r="T319" s="825"/>
      <c r="U319" s="3119"/>
      <c r="V319" s="3119"/>
      <c r="W319" s="1732"/>
      <c r="X319" s="1732"/>
      <c r="Y319" s="1732"/>
      <c r="Z319" s="1732"/>
      <c r="AA319" s="1732"/>
      <c r="AB319" s="1732"/>
      <c r="AC319" s="1137"/>
      <c r="AD319" s="1138"/>
      <c r="AE319" s="1732"/>
      <c r="AF319" s="1732"/>
      <c r="AG319" s="1732"/>
      <c r="AH319" s="1732"/>
      <c r="AI319" s="1732"/>
      <c r="AJ319" s="1732"/>
      <c r="AK319" s="1732"/>
      <c r="AL319" s="1732"/>
      <c r="AM319" s="1732"/>
      <c r="AN319" s="1732"/>
      <c r="AO319" s="1732"/>
      <c r="AP319" s="1732"/>
      <c r="AQ319" s="1732"/>
      <c r="AR319" s="1732"/>
      <c r="AS319" s="1732"/>
      <c r="AT319" s="1732"/>
      <c r="AU319" s="1732"/>
      <c r="AV319" s="1732"/>
      <c r="AW319" s="1732"/>
      <c r="AX319" s="1732"/>
      <c r="AY319" s="1732"/>
      <c r="AZ319" s="1732"/>
      <c r="BA319" s="1732"/>
      <c r="BB319" s="1732"/>
      <c r="BC319" s="1732"/>
      <c r="BD319" s="1732"/>
      <c r="BE319" s="1732"/>
      <c r="BF319" s="1732"/>
      <c r="BG319" s="1732"/>
      <c r="BH319" s="1732"/>
      <c r="BI319" s="1732"/>
      <c r="BJ319" s="1732"/>
      <c r="BK319" s="1732"/>
      <c r="BL319" s="1732"/>
      <c r="BM319" s="1732"/>
      <c r="BN319" s="1732"/>
      <c r="BO319" s="1732"/>
      <c r="BP319" s="1732"/>
      <c r="BQ319" s="1732"/>
      <c r="BR319" s="1732"/>
      <c r="BS319" s="1732"/>
      <c r="BT319" s="1732"/>
      <c r="BU319" s="1732"/>
      <c r="BV319" s="1732"/>
      <c r="BW319" s="1732"/>
      <c r="BX319" s="1732"/>
      <c r="BY319" s="1732"/>
      <c r="BZ319" s="1732"/>
      <c r="CA319" s="1732"/>
      <c r="CB319" s="1732"/>
      <c r="CC319" s="1732"/>
      <c r="CD319" s="1732"/>
      <c r="CE319" s="1732"/>
      <c r="CF319" s="4968"/>
    </row>
    <row customHeight="1" ht="15" hidden="1">
      <c r="A320" s="730" t="s">
        <v>206</v>
      </c>
      <c r="B320" s="731"/>
      <c r="C320" s="731" t="s">
        <v>22</v>
      </c>
      <c r="D320" s="3218" t="s">
        <v>754</v>
      </c>
      <c r="E320" s="3215" t="s">
        <v>140</v>
      </c>
      <c r="F320" s="3216"/>
      <c r="G320" s="3217"/>
      <c r="H320" s="3211" t="str">
        <f>IF(A320="","",INDEX(DIFFERENTIATION_UNMERGE_VD,MATCH(A320,DIFFERENTIATION_ID_DIFF,0)))</f>
        <v>Подключение (технологическое присоединение) к системе теплоснабжения</v>
      </c>
      <c r="I320" s="3211"/>
      <c r="J320" s="3211"/>
      <c r="K320" s="3211"/>
      <c r="L320" s="3211"/>
      <c r="M320" s="3211"/>
      <c r="N320" s="3211"/>
      <c r="O320" s="3211"/>
      <c r="P320" s="3211"/>
      <c r="Q320" s="3211"/>
      <c r="R320" s="3211"/>
      <c r="S320" s="826"/>
      <c r="T320" s="823"/>
      <c r="U320" s="732"/>
      <c r="V320" s="732"/>
      <c r="W320" s="733"/>
      <c r="X320" s="733"/>
      <c r="Y320" s="733"/>
      <c r="Z320" s="733"/>
      <c r="AA320" s="734"/>
      <c r="AB320" s="735"/>
      <c r="AC320" s="3214"/>
      <c r="AD320" s="736"/>
      <c r="AE320" s="737" t="s">
        <v>22</v>
      </c>
      <c r="AF320" s="737"/>
      <c r="AG320" s="738" t="s">
        <v>704</v>
      </c>
      <c r="AH320" s="739">
        <v>3</v>
      </c>
      <c r="AI320" s="732"/>
      <c r="AJ320" s="732"/>
      <c r="AK320" s="732"/>
      <c r="AL320" s="732"/>
      <c r="AM320" s="732"/>
      <c r="AN320" s="732"/>
      <c r="AO320" s="732"/>
      <c r="AP320" s="732"/>
      <c r="AQ320" s="732"/>
      <c r="AR320" s="732"/>
      <c r="AS320" s="732"/>
      <c r="AT320" s="732"/>
      <c r="AU320" s="732"/>
      <c r="AV320" s="732"/>
      <c r="AW320" s="732"/>
      <c r="AX320" s="732"/>
      <c r="AY320" s="732"/>
      <c r="AZ320" s="732"/>
      <c r="BA320" s="732"/>
      <c r="BB320" s="732"/>
      <c r="BC320" s="732"/>
      <c r="BD320" s="732"/>
      <c r="BE320" s="732"/>
      <c r="BF320" s="732"/>
      <c r="BG320" s="732"/>
      <c r="BH320" s="732"/>
      <c r="BI320" s="732"/>
      <c r="BJ320" s="732"/>
      <c r="BK320" s="732"/>
      <c r="BL320" s="732"/>
      <c r="BM320" s="732"/>
      <c r="BN320" s="732"/>
      <c r="BO320" s="732"/>
      <c r="BP320" s="732"/>
      <c r="BQ320" s="732"/>
      <c r="BR320" s="732"/>
      <c r="BS320" s="732"/>
      <c r="BT320" s="732"/>
      <c r="BU320" s="732"/>
      <c r="BV320" s="733"/>
      <c r="BW320" s="733"/>
      <c r="BX320" s="733"/>
      <c r="BY320" s="733"/>
      <c r="BZ320" s="733"/>
      <c r="CA320" s="733"/>
      <c r="CB320" s="733"/>
      <c r="CC320" s="733"/>
      <c r="CD320" s="733"/>
      <c r="CE320" s="733"/>
      <c r="CF320" s="4967"/>
    </row>
    <row customHeight="1" ht="15" hidden="1">
      <c r="A321" s="730"/>
      <c r="B321" s="731"/>
      <c r="C321" s="731"/>
      <c r="D321" s="3219"/>
      <c r="E321" s="3215" t="s">
        <v>649</v>
      </c>
      <c r="F321" s="3216"/>
      <c r="G321" s="3217"/>
      <c r="H321" s="3211" t="str">
        <f>IF(A320="","",INDEX(DIFFERENTIATION_UNMERGE_AREA,MATCH(A320,DIFFERENTIATION_ID_DIFF,0)))</f>
        <v>без дифференциации</v>
      </c>
      <c r="I321" s="3211"/>
      <c r="J321" s="3211"/>
      <c r="K321" s="3211"/>
      <c r="L321" s="3211"/>
      <c r="M321" s="3211"/>
      <c r="N321" s="3211"/>
      <c r="O321" s="3211"/>
      <c r="P321" s="3211"/>
      <c r="Q321" s="3211"/>
      <c r="R321" s="3211"/>
      <c r="S321" s="826"/>
      <c r="T321" s="823"/>
      <c r="U321" s="732"/>
      <c r="V321" s="732"/>
      <c r="W321" s="733"/>
      <c r="X321" s="733"/>
      <c r="Y321" s="733"/>
      <c r="Z321" s="733"/>
      <c r="AA321" s="734"/>
      <c r="AB321" s="735"/>
      <c r="AC321" s="3214"/>
      <c r="AD321" s="736"/>
      <c r="AE321" s="737"/>
      <c r="AF321" s="737"/>
      <c r="AG321" s="738"/>
      <c r="AH321" s="739"/>
      <c r="AI321" s="732"/>
      <c r="AJ321" s="732"/>
      <c r="AK321" s="732"/>
      <c r="AL321" s="732"/>
      <c r="AM321" s="732"/>
      <c r="AN321" s="732"/>
      <c r="AO321" s="732"/>
      <c r="AP321" s="732"/>
      <c r="AQ321" s="732"/>
      <c r="AR321" s="732"/>
      <c r="AS321" s="732"/>
      <c r="AT321" s="732"/>
      <c r="AU321" s="732"/>
      <c r="AV321" s="732"/>
      <c r="AW321" s="732"/>
      <c r="AX321" s="732"/>
      <c r="AY321" s="732"/>
      <c r="AZ321" s="732"/>
      <c r="BA321" s="732"/>
      <c r="BB321" s="732"/>
      <c r="BC321" s="732"/>
      <c r="BD321" s="732"/>
      <c r="BE321" s="732"/>
      <c r="BF321" s="732"/>
      <c r="BG321" s="732"/>
      <c r="BH321" s="732"/>
      <c r="BI321" s="732"/>
      <c r="BJ321" s="732"/>
      <c r="BK321" s="732"/>
      <c r="BL321" s="732"/>
      <c r="BM321" s="732"/>
      <c r="BN321" s="732"/>
      <c r="BO321" s="732"/>
      <c r="BP321" s="732"/>
      <c r="BQ321" s="732"/>
      <c r="BR321" s="732"/>
      <c r="BS321" s="732"/>
      <c r="BT321" s="732"/>
      <c r="BU321" s="732"/>
      <c r="BV321" s="733"/>
      <c r="BW321" s="733"/>
      <c r="BX321" s="733"/>
      <c r="BY321" s="733"/>
      <c r="BZ321" s="733"/>
      <c r="CA321" s="733"/>
      <c r="CB321" s="733"/>
      <c r="CC321" s="733"/>
      <c r="CD321" s="733"/>
      <c r="CE321" s="733"/>
      <c r="CF321" s="4967"/>
    </row>
    <row customHeight="1" ht="15" hidden="1">
      <c r="A322" s="730"/>
      <c r="B322" s="731"/>
      <c r="C322" s="731"/>
      <c r="D322" s="3219"/>
      <c r="E322" s="3215" t="s">
        <v>650</v>
      </c>
      <c r="F322" s="3216"/>
      <c r="G322" s="3217"/>
      <c r="H322" s="3211" t="str">
        <f>IF(A320="","",INDEX(DIFFERENTIATION_UNMERGE_SYSTEM,MATCH(A320,DIFFERENTIATION_ID_DIFF,0)))</f>
        <v>без дифференциации</v>
      </c>
      <c r="I322" s="3211"/>
      <c r="J322" s="3211"/>
      <c r="K322" s="3211"/>
      <c r="L322" s="3211"/>
      <c r="M322" s="3211"/>
      <c r="N322" s="3211"/>
      <c r="O322" s="3211"/>
      <c r="P322" s="3211"/>
      <c r="Q322" s="3211"/>
      <c r="R322" s="3211"/>
      <c r="S322" s="826"/>
      <c r="T322" s="823"/>
      <c r="U322" s="732"/>
      <c r="V322" s="732"/>
      <c r="W322" s="733"/>
      <c r="X322" s="733"/>
      <c r="Y322" s="733"/>
      <c r="Z322" s="733"/>
      <c r="AA322" s="734"/>
      <c r="AB322" s="735"/>
      <c r="AC322" s="3214"/>
      <c r="AD322" s="736"/>
      <c r="AE322" s="737"/>
      <c r="AF322" s="737"/>
      <c r="AG322" s="738"/>
      <c r="AH322" s="739"/>
      <c r="AI322" s="732"/>
      <c r="AJ322" s="732"/>
      <c r="AK322" s="732"/>
      <c r="AL322" s="732"/>
      <c r="AM322" s="732"/>
      <c r="AN322" s="732"/>
      <c r="AO322" s="732"/>
      <c r="AP322" s="732"/>
      <c r="AQ322" s="732"/>
      <c r="AR322" s="732"/>
      <c r="AS322" s="732"/>
      <c r="AT322" s="732"/>
      <c r="AU322" s="732"/>
      <c r="AV322" s="732"/>
      <c r="AW322" s="732"/>
      <c r="AX322" s="732"/>
      <c r="AY322" s="732"/>
      <c r="AZ322" s="732"/>
      <c r="BA322" s="732"/>
      <c r="BB322" s="732"/>
      <c r="BC322" s="732"/>
      <c r="BD322" s="732"/>
      <c r="BE322" s="732"/>
      <c r="BF322" s="732"/>
      <c r="BG322" s="732"/>
      <c r="BH322" s="732"/>
      <c r="BI322" s="732"/>
      <c r="BJ322" s="732"/>
      <c r="BK322" s="732"/>
      <c r="BL322" s="732"/>
      <c r="BM322" s="732"/>
      <c r="BN322" s="732"/>
      <c r="BO322" s="732"/>
      <c r="BP322" s="732"/>
      <c r="BQ322" s="732"/>
      <c r="BR322" s="732"/>
      <c r="BS322" s="732"/>
      <c r="BT322" s="732"/>
      <c r="BU322" s="732"/>
      <c r="BV322" s="733"/>
      <c r="BW322" s="733"/>
      <c r="BX322" s="733"/>
      <c r="BY322" s="733"/>
      <c r="BZ322" s="733"/>
      <c r="CA322" s="733"/>
      <c r="CB322" s="733"/>
      <c r="CC322" s="733"/>
      <c r="CD322" s="733"/>
      <c r="CE322" s="733"/>
      <c r="CF322" s="4967"/>
    </row>
    <row customHeight="1" ht="24.75" hidden="1">
      <c r="A323" s="1901"/>
      <c r="B323" s="1256"/>
      <c r="C323" s="519"/>
      <c r="D323" s="3219"/>
      <c r="E323" s="3213" t="s">
        <v>705</v>
      </c>
      <c r="F323" s="3213"/>
      <c r="G323" s="3213"/>
      <c r="H323" s="3213"/>
      <c r="I323" s="3213"/>
      <c r="J323" s="3213"/>
      <c r="K323" s="3213"/>
      <c r="L323" s="3213"/>
      <c r="M323" s="3213"/>
      <c r="N323" s="3213"/>
      <c r="O323" s="3213"/>
      <c r="P323" s="3213"/>
      <c r="Q323" s="665">
        <f>SUMIF(T324:T325,"i",Q324:Q325)</f>
        <v>0</v>
      </c>
      <c r="R323" s="1117"/>
      <c r="S323" s="1893" t="s">
        <v>706</v>
      </c>
      <c r="T323" s="824" t="s">
        <v>707</v>
      </c>
      <c r="U323" s="3119">
        <v>1</v>
      </c>
      <c r="V323" s="3119" t="str">
        <f>INDEX(B_FHD_FLAG_INDEX_1,1,MATCH($A$320,B_FHD_FLAG_DIFFERENTIATION,0))</f>
        <v>отсутствует</v>
      </c>
      <c r="W323" s="1256"/>
      <c r="X323" s="1256"/>
      <c r="Y323" s="1256"/>
      <c r="Z323" s="1256"/>
      <c r="AA323" s="1732"/>
      <c r="AB323" s="1256"/>
      <c r="AC323" s="3214"/>
      <c r="AD323" s="736"/>
      <c r="AE323" s="1256"/>
      <c r="AF323" s="1256"/>
      <c r="AG323" s="1732"/>
      <c r="AH323" s="1732"/>
      <c r="AI323" s="1732"/>
      <c r="AJ323" s="1732"/>
      <c r="AK323" s="1732"/>
      <c r="AL323" s="1732"/>
      <c r="AM323" s="1732"/>
      <c r="AN323" s="1732"/>
      <c r="AO323" s="1732"/>
      <c r="AP323" s="1732"/>
      <c r="AQ323" s="1732"/>
      <c r="AR323" s="1732"/>
      <c r="AS323" s="1732"/>
      <c r="AT323" s="1732"/>
      <c r="AU323" s="1732"/>
      <c r="AV323" s="1732"/>
      <c r="AW323" s="1732"/>
      <c r="AX323" s="1732"/>
      <c r="AY323" s="1732"/>
      <c r="AZ323" s="1732"/>
      <c r="BA323" s="1732"/>
      <c r="BB323" s="1732"/>
      <c r="BC323" s="1732"/>
      <c r="BD323" s="1732"/>
      <c r="BE323" s="1732"/>
      <c r="BF323" s="1732"/>
      <c r="BG323" s="1732"/>
      <c r="BH323" s="1732"/>
      <c r="BI323" s="1732"/>
      <c r="BJ323" s="1732"/>
      <c r="BK323" s="1732"/>
      <c r="BL323" s="1732"/>
      <c r="BM323" s="1732"/>
      <c r="BN323" s="1732"/>
      <c r="BO323" s="1732"/>
      <c r="BP323" s="1732"/>
      <c r="BQ323" s="1732"/>
      <c r="BR323" s="1732"/>
      <c r="BS323" s="1732"/>
      <c r="BT323" s="1732"/>
      <c r="BU323" s="1732"/>
      <c r="BV323" s="1256"/>
      <c r="BW323" s="1256"/>
      <c r="BX323" s="1256"/>
      <c r="BY323" s="1256"/>
      <c r="BZ323" s="1256"/>
      <c r="CA323" s="1256"/>
      <c r="CB323" s="1256"/>
      <c r="CC323" s="1256"/>
      <c r="CD323" s="1256"/>
      <c r="CE323" s="1256"/>
      <c r="CF323" s="4967"/>
    </row>
    <row customHeight="1" ht="11.25" hidden="1">
      <c r="A324" s="1888"/>
      <c r="B324" s="1732"/>
      <c r="C324" s="1732"/>
      <c r="D324" s="3219"/>
      <c r="E324" s="742"/>
      <c r="F324" s="742">
        <v>0</v>
      </c>
      <c r="G324" s="742"/>
      <c r="H324" s="742"/>
      <c r="I324" s="742"/>
      <c r="J324" s="742"/>
      <c r="K324" s="742"/>
      <c r="L324" s="742"/>
      <c r="M324" s="742"/>
      <c r="N324" s="742"/>
      <c r="O324" s="742"/>
      <c r="P324" s="742"/>
      <c r="Q324" s="742"/>
      <c r="R324" s="742"/>
      <c r="S324" s="743"/>
      <c r="T324" s="825"/>
      <c r="U324" s="3119"/>
      <c r="V324" s="3119"/>
      <c r="W324" s="1732"/>
      <c r="X324" s="1732"/>
      <c r="Y324" s="1732"/>
      <c r="Z324" s="1732"/>
      <c r="AA324" s="1732"/>
      <c r="AB324" s="1256"/>
      <c r="AC324" s="3214"/>
      <c r="AD324" s="736"/>
      <c r="AE324" s="1256"/>
      <c r="AF324" s="1256"/>
      <c r="AG324" s="1732"/>
      <c r="AH324" s="1732"/>
      <c r="AI324" s="1732"/>
      <c r="AJ324" s="1732"/>
      <c r="AK324" s="1732"/>
      <c r="AL324" s="1732"/>
      <c r="AM324" s="1732"/>
      <c r="AN324" s="1732"/>
      <c r="AO324" s="1732"/>
      <c r="AP324" s="1732"/>
      <c r="AQ324" s="1732"/>
      <c r="AR324" s="1732"/>
      <c r="AS324" s="1732"/>
      <c r="AT324" s="1732"/>
      <c r="AU324" s="1732"/>
      <c r="AV324" s="1732"/>
      <c r="AW324" s="1732"/>
      <c r="AX324" s="1732"/>
      <c r="AY324" s="1732"/>
      <c r="AZ324" s="1732"/>
      <c r="BA324" s="1732"/>
      <c r="BB324" s="1732"/>
      <c r="BC324" s="1732"/>
      <c r="BD324" s="1732"/>
      <c r="BE324" s="1732"/>
      <c r="BF324" s="1732"/>
      <c r="BG324" s="1732"/>
      <c r="BH324" s="1732"/>
      <c r="BI324" s="1732"/>
      <c r="BJ324" s="1732"/>
      <c r="BK324" s="1732"/>
      <c r="BL324" s="1732"/>
      <c r="BM324" s="1732"/>
      <c r="BN324" s="1732"/>
      <c r="BO324" s="1732"/>
      <c r="BP324" s="1732"/>
      <c r="BQ324" s="1732"/>
      <c r="BR324" s="1732"/>
      <c r="BS324" s="1732"/>
      <c r="BT324" s="1732"/>
      <c r="BU324" s="1732"/>
      <c r="BV324" s="1732"/>
      <c r="BW324" s="1732"/>
      <c r="BX324" s="1732"/>
      <c r="BY324" s="1732"/>
      <c r="BZ324" s="1732"/>
      <c r="CA324" s="1732"/>
      <c r="CB324" s="1732"/>
      <c r="CC324" s="1732"/>
      <c r="CD324" s="1732"/>
      <c r="CE324" s="1732"/>
      <c r="CF324" s="4967"/>
    </row>
    <row customHeight="1" ht="11.25" hidden="1">
      <c r="A325" s="1901"/>
      <c r="B325" s="1256"/>
      <c r="C325" s="519"/>
      <c r="D325" s="3219"/>
      <c r="E325" s="756" t="s">
        <v>22</v>
      </c>
      <c r="F325" s="1264" t="s">
        <v>22</v>
      </c>
      <c r="G325" s="1264" t="s">
        <v>711</v>
      </c>
      <c r="H325" s="758" t="s">
        <v>22</v>
      </c>
      <c r="I325" s="758"/>
      <c r="J325" s="758"/>
      <c r="K325" s="758"/>
      <c r="L325" s="758"/>
      <c r="M325" s="758"/>
      <c r="N325" s="758"/>
      <c r="O325" s="758"/>
      <c r="P325" s="758"/>
      <c r="Q325" s="758"/>
      <c r="R325" s="759"/>
      <c r="S325" s="760"/>
      <c r="T325" s="825"/>
      <c r="U325" s="3119"/>
      <c r="V325" s="3119"/>
      <c r="W325" s="1256"/>
      <c r="X325" s="1256"/>
      <c r="Y325" s="1256"/>
      <c r="Z325" s="1256"/>
      <c r="AA325" s="1732"/>
      <c r="AB325" s="1256"/>
      <c r="AC325" s="3214"/>
      <c r="AD325" s="736"/>
      <c r="AE325" s="1256"/>
      <c r="AF325" s="1256"/>
      <c r="AG325" s="1732"/>
      <c r="AH325" s="1732"/>
      <c r="AI325" s="1732"/>
      <c r="AJ325" s="1732"/>
      <c r="AK325" s="1732"/>
      <c r="AL325" s="1732"/>
      <c r="AM325" s="1732"/>
      <c r="AN325" s="1732"/>
      <c r="AO325" s="1732"/>
      <c r="AP325" s="1732"/>
      <c r="AQ325" s="1732"/>
      <c r="AR325" s="1732"/>
      <c r="AS325" s="1732"/>
      <c r="AT325" s="1732"/>
      <c r="AU325" s="1732"/>
      <c r="AV325" s="1732"/>
      <c r="AW325" s="1732"/>
      <c r="AX325" s="1732"/>
      <c r="AY325" s="1732"/>
      <c r="AZ325" s="1732"/>
      <c r="BA325" s="1732"/>
      <c r="BB325" s="1732"/>
      <c r="BC325" s="1732"/>
      <c r="BD325" s="1732"/>
      <c r="BE325" s="1732"/>
      <c r="BF325" s="1732"/>
      <c r="BG325" s="1732"/>
      <c r="BH325" s="1732"/>
      <c r="BI325" s="1732"/>
      <c r="BJ325" s="1732"/>
      <c r="BK325" s="1732"/>
      <c r="BL325" s="1732"/>
      <c r="BM325" s="1732"/>
      <c r="BN325" s="1732"/>
      <c r="BO325" s="1732"/>
      <c r="BP325" s="1732"/>
      <c r="BQ325" s="1732"/>
      <c r="BR325" s="1732"/>
      <c r="BS325" s="1732"/>
      <c r="BT325" s="1732"/>
      <c r="BU325" s="1732"/>
      <c r="BV325" s="1256"/>
      <c r="BW325" s="1256"/>
      <c r="BX325" s="1256"/>
      <c r="BY325" s="1256"/>
      <c r="BZ325" s="1256"/>
      <c r="CA325" s="1256"/>
      <c r="CB325" s="1256"/>
      <c r="CC325" s="1256"/>
      <c r="CD325" s="1256"/>
      <c r="CE325" s="1256"/>
      <c r="CF325" s="4967"/>
    </row>
    <row customHeight="1" ht="5.25" hidden="1">
      <c r="A326" s="1888"/>
      <c r="B326" s="1732"/>
      <c r="C326" s="1732"/>
      <c r="D326" s="3219"/>
      <c r="E326" s="1139"/>
      <c r="F326" s="1139"/>
      <c r="G326" s="1139"/>
      <c r="H326" s="1139"/>
      <c r="I326" s="1139"/>
      <c r="J326" s="1139"/>
      <c r="K326" s="1139"/>
      <c r="L326" s="1139"/>
      <c r="M326" s="1139"/>
      <c r="N326" s="1139"/>
      <c r="O326" s="1139"/>
      <c r="P326" s="1139"/>
      <c r="Q326" s="1140"/>
      <c r="R326" s="1141"/>
      <c r="S326" s="1142"/>
      <c r="T326" s="824" t="s">
        <v>707</v>
      </c>
      <c r="U326" s="3119">
        <v>1</v>
      </c>
      <c r="V326" s="3119" t="s">
        <v>669</v>
      </c>
      <c r="W326" s="1732"/>
      <c r="X326" s="1732"/>
      <c r="Y326" s="1732"/>
      <c r="Z326" s="1732"/>
      <c r="AA326" s="1732"/>
      <c r="AB326" s="1732"/>
      <c r="AC326" s="1137"/>
      <c r="AD326" s="1138"/>
      <c r="AE326" s="1732"/>
      <c r="AF326" s="1732"/>
      <c r="AG326" s="1732"/>
      <c r="AH326" s="1732"/>
      <c r="AI326" s="1732"/>
      <c r="AJ326" s="1732"/>
      <c r="AK326" s="1732"/>
      <c r="AL326" s="1732"/>
      <c r="AM326" s="1732"/>
      <c r="AN326" s="1732"/>
      <c r="AO326" s="1732"/>
      <c r="AP326" s="1732"/>
      <c r="AQ326" s="1732"/>
      <c r="AR326" s="1732"/>
      <c r="AS326" s="1732"/>
      <c r="AT326" s="1732"/>
      <c r="AU326" s="1732"/>
      <c r="AV326" s="1732"/>
      <c r="AW326" s="1732"/>
      <c r="AX326" s="1732"/>
      <c r="AY326" s="1732"/>
      <c r="AZ326" s="1732"/>
      <c r="BA326" s="1732"/>
      <c r="BB326" s="1732"/>
      <c r="BC326" s="1732"/>
      <c r="BD326" s="1732"/>
      <c r="BE326" s="1732"/>
      <c r="BF326" s="1732"/>
      <c r="BG326" s="1732"/>
      <c r="BH326" s="1732"/>
      <c r="BI326" s="1732"/>
      <c r="BJ326" s="1732"/>
      <c r="BK326" s="1732"/>
      <c r="BL326" s="1732"/>
      <c r="BM326" s="1732"/>
      <c r="BN326" s="1732"/>
      <c r="BO326" s="1732"/>
      <c r="BP326" s="1732"/>
      <c r="BQ326" s="1732"/>
      <c r="BR326" s="1732"/>
      <c r="BS326" s="1732"/>
      <c r="BT326" s="1732"/>
      <c r="BU326" s="1732"/>
      <c r="BV326" s="1732"/>
      <c r="BW326" s="1732"/>
      <c r="BX326" s="1732"/>
      <c r="BY326" s="1732"/>
      <c r="BZ326" s="1732"/>
      <c r="CA326" s="1732"/>
      <c r="CB326" s="1732"/>
      <c r="CC326" s="1732"/>
      <c r="CD326" s="1732"/>
      <c r="CE326" s="1732"/>
      <c r="CF326" s="4968"/>
    </row>
    <row customHeight="1" ht="5.25" hidden="1">
      <c r="A327" s="1888"/>
      <c r="B327" s="1732"/>
      <c r="C327" s="1732"/>
      <c r="D327" s="3219"/>
      <c r="E327" s="742"/>
      <c r="F327" s="742"/>
      <c r="G327" s="742"/>
      <c r="H327" s="742"/>
      <c r="I327" s="742"/>
      <c r="J327" s="742"/>
      <c r="K327" s="742"/>
      <c r="L327" s="742"/>
      <c r="M327" s="742"/>
      <c r="N327" s="742"/>
      <c r="O327" s="742"/>
      <c r="P327" s="742"/>
      <c r="Q327" s="742"/>
      <c r="R327" s="742"/>
      <c r="S327" s="743"/>
      <c r="T327" s="825"/>
      <c r="U327" s="3119"/>
      <c r="V327" s="3119"/>
      <c r="W327" s="1732"/>
      <c r="X327" s="1732"/>
      <c r="Y327" s="1732"/>
      <c r="Z327" s="1732"/>
      <c r="AA327" s="1732"/>
      <c r="AB327" s="1732"/>
      <c r="AC327" s="1137"/>
      <c r="AD327" s="1138"/>
      <c r="AE327" s="1732"/>
      <c r="AF327" s="1732"/>
      <c r="AG327" s="1732"/>
      <c r="AH327" s="1732"/>
      <c r="AI327" s="1732"/>
      <c r="AJ327" s="1732"/>
      <c r="AK327" s="1732"/>
      <c r="AL327" s="1732"/>
      <c r="AM327" s="1732"/>
      <c r="AN327" s="1732"/>
      <c r="AO327" s="1732"/>
      <c r="AP327" s="1732"/>
      <c r="AQ327" s="1732"/>
      <c r="AR327" s="1732"/>
      <c r="AS327" s="1732"/>
      <c r="AT327" s="1732"/>
      <c r="AU327" s="1732"/>
      <c r="AV327" s="1732"/>
      <c r="AW327" s="1732"/>
      <c r="AX327" s="1732"/>
      <c r="AY327" s="1732"/>
      <c r="AZ327" s="1732"/>
      <c r="BA327" s="1732"/>
      <c r="BB327" s="1732"/>
      <c r="BC327" s="1732"/>
      <c r="BD327" s="1732"/>
      <c r="BE327" s="1732"/>
      <c r="BF327" s="1732"/>
      <c r="BG327" s="1732"/>
      <c r="BH327" s="1732"/>
      <c r="BI327" s="1732"/>
      <c r="BJ327" s="1732"/>
      <c r="BK327" s="1732"/>
      <c r="BL327" s="1732"/>
      <c r="BM327" s="1732"/>
      <c r="BN327" s="1732"/>
      <c r="BO327" s="1732"/>
      <c r="BP327" s="1732"/>
      <c r="BQ327" s="1732"/>
      <c r="BR327" s="1732"/>
      <c r="BS327" s="1732"/>
      <c r="BT327" s="1732"/>
      <c r="BU327" s="1732"/>
      <c r="BV327" s="1732"/>
      <c r="BW327" s="1732"/>
      <c r="BX327" s="1732"/>
      <c r="BY327" s="1732"/>
      <c r="BZ327" s="1732"/>
      <c r="CA327" s="1732"/>
      <c r="CB327" s="1732"/>
      <c r="CC327" s="1732"/>
      <c r="CD327" s="1732"/>
      <c r="CE327" s="1732"/>
      <c r="CF327" s="4968"/>
    </row>
    <row customHeight="1" ht="5.25" hidden="1">
      <c r="A328" s="1888"/>
      <c r="B328" s="1732"/>
      <c r="C328" s="1732"/>
      <c r="D328" s="3220"/>
      <c r="E328" s="1143"/>
      <c r="F328" s="1144"/>
      <c r="G328" s="1144"/>
      <c r="H328" s="1145"/>
      <c r="I328" s="1145"/>
      <c r="J328" s="1145"/>
      <c r="K328" s="1145"/>
      <c r="L328" s="1145"/>
      <c r="M328" s="1145"/>
      <c r="N328" s="1145"/>
      <c r="O328" s="1145"/>
      <c r="P328" s="1145"/>
      <c r="Q328" s="1145"/>
      <c r="R328" s="1046"/>
      <c r="S328" s="1146"/>
      <c r="T328" s="825"/>
      <c r="U328" s="3119"/>
      <c r="V328" s="3119"/>
      <c r="W328" s="1732"/>
      <c r="X328" s="1732"/>
      <c r="Y328" s="1732"/>
      <c r="Z328" s="1732"/>
      <c r="AA328" s="1732"/>
      <c r="AB328" s="1732"/>
      <c r="AC328" s="1137"/>
      <c r="AD328" s="1138"/>
      <c r="AE328" s="1732"/>
      <c r="AF328" s="1732"/>
      <c r="AG328" s="1732"/>
      <c r="AH328" s="1732"/>
      <c r="AI328" s="1732"/>
      <c r="AJ328" s="1732"/>
      <c r="AK328" s="1732"/>
      <c r="AL328" s="1732"/>
      <c r="AM328" s="1732"/>
      <c r="AN328" s="1732"/>
      <c r="AO328" s="1732"/>
      <c r="AP328" s="1732"/>
      <c r="AQ328" s="1732"/>
      <c r="AR328" s="1732"/>
      <c r="AS328" s="1732"/>
      <c r="AT328" s="1732"/>
      <c r="AU328" s="1732"/>
      <c r="AV328" s="1732"/>
      <c r="AW328" s="1732"/>
      <c r="AX328" s="1732"/>
      <c r="AY328" s="1732"/>
      <c r="AZ328" s="1732"/>
      <c r="BA328" s="1732"/>
      <c r="BB328" s="1732"/>
      <c r="BC328" s="1732"/>
      <c r="BD328" s="1732"/>
      <c r="BE328" s="1732"/>
      <c r="BF328" s="1732"/>
      <c r="BG328" s="1732"/>
      <c r="BH328" s="1732"/>
      <c r="BI328" s="1732"/>
      <c r="BJ328" s="1732"/>
      <c r="BK328" s="1732"/>
      <c r="BL328" s="1732"/>
      <c r="BM328" s="1732"/>
      <c r="BN328" s="1732"/>
      <c r="BO328" s="1732"/>
      <c r="BP328" s="1732"/>
      <c r="BQ328" s="1732"/>
      <c r="BR328" s="1732"/>
      <c r="BS328" s="1732"/>
      <c r="BT328" s="1732"/>
      <c r="BU328" s="1732"/>
      <c r="BV328" s="1732"/>
      <c r="BW328" s="1732"/>
      <c r="BX328" s="1732"/>
      <c r="BY328" s="1732"/>
      <c r="BZ328" s="1732"/>
      <c r="CA328" s="1732"/>
      <c r="CB328" s="1732"/>
      <c r="CC328" s="1732"/>
      <c r="CD328" s="1732"/>
      <c r="CE328" s="1732"/>
      <c r="CF328" s="4968"/>
    </row>
    <row customHeight="1" ht="19.95">
      <c r="D329" s="1147"/>
      <c r="E329" s="1147"/>
      <c r="F329" s="1147"/>
      <c r="G329" s="1147"/>
      <c r="H329" s="1147"/>
      <c r="I329" s="1147"/>
      <c r="J329" s="1147"/>
      <c r="K329" s="1147"/>
      <c r="L329" s="1147"/>
      <c r="M329" s="1147"/>
      <c r="N329" s="1147"/>
      <c r="O329" s="1147"/>
      <c r="P329" s="1147"/>
      <c r="Q329" s="1147"/>
      <c r="R329" s="1147"/>
      <c r="S329" s="1147"/>
      <c r="T329" s="442"/>
      <c r="CF329" s="612">
        <v>19</v>
      </c>
    </row>
    <row customHeight="1" ht="11.549999999999999">
      <c r="D330" s="616"/>
      <c r="CF330" s="612">
        <v>11</v>
      </c>
    </row>
    <row customHeight="1" ht="11.549999999999999">
      <c r="D331" s="761"/>
      <c r="E331" s="761"/>
      <c r="F331" s="761"/>
      <c r="G331" s="762"/>
      <c r="CF331" s="612">
        <v>11</v>
      </c>
    </row>
    <row customHeight="1" ht="11.549999999999999">
      <c r="CF332" s="612">
        <v>11</v>
      </c>
    </row>
    <row customHeight="1" ht="11.549999999999999">
      <c r="D333" s="763"/>
      <c r="E333" s="3212"/>
      <c r="F333" s="3212"/>
      <c r="G333" s="3212"/>
      <c r="H333" s="3212"/>
      <c r="I333" s="3212"/>
      <c r="J333" s="3212"/>
      <c r="K333" s="3212"/>
      <c r="L333" s="3212"/>
      <c r="M333" s="3212"/>
      <c r="N333" s="3212"/>
      <c r="O333" s="3212"/>
      <c r="P333" s="3212"/>
      <c r="Q333" s="3212"/>
      <c r="R333" s="3212"/>
      <c r="CF333" s="612">
        <v>11</v>
      </c>
    </row>
    <row customHeight="1" ht="11.549999999999999">
      <c r="F334" s="863"/>
      <c r="G334" s="863"/>
      <c r="CF334" s="612">
        <v>11</v>
      </c>
    </row>
    <row customHeight="1" ht="11.25" hidden="1">
      <c r="A335" s="717" t="s">
        <v>82</v>
      </c>
      <c r="B335" s="556">
        <v>0</v>
      </c>
      <c r="C335" s="612">
        <v>3</v>
      </c>
      <c r="D335" s="612">
        <v>0</v>
      </c>
      <c r="E335" s="612">
        <v>7</v>
      </c>
      <c r="F335" s="612">
        <v>7</v>
      </c>
      <c r="G335" s="612">
        <v>29</v>
      </c>
      <c r="H335" s="612">
        <v>3</v>
      </c>
      <c r="I335" s="612">
        <v>5</v>
      </c>
      <c r="J335" s="612">
        <v>24</v>
      </c>
      <c r="K335" s="612">
        <v>24</v>
      </c>
      <c r="L335" s="612">
        <v>3</v>
      </c>
      <c r="M335" s="612">
        <v>6</v>
      </c>
      <c r="N335" s="612">
        <v>25</v>
      </c>
      <c r="O335" s="612">
        <v>18</v>
      </c>
      <c r="P335" s="612">
        <v>18</v>
      </c>
      <c r="Q335" s="612">
        <v>18</v>
      </c>
      <c r="R335" s="612">
        <v>18</v>
      </c>
      <c r="S335" s="612">
        <v>93</v>
      </c>
      <c r="T335" s="612">
        <v>10</v>
      </c>
      <c r="U335" s="718">
        <v>10</v>
      </c>
      <c r="V335" s="718">
        <v>11</v>
      </c>
      <c r="W335" s="719">
        <v>10</v>
      </c>
      <c r="X335" s="556">
        <v>10</v>
      </c>
      <c r="Y335" s="556">
        <v>10</v>
      </c>
      <c r="Z335" s="556">
        <v>10</v>
      </c>
      <c r="AA335" s="556">
        <v>10</v>
      </c>
      <c r="AB335" s="612">
        <v>8</v>
      </c>
      <c r="AC335" s="612">
        <v>8</v>
      </c>
      <c r="AD335" s="612">
        <v>8</v>
      </c>
      <c r="AE335" s="612">
        <v>8</v>
      </c>
      <c r="AF335" s="612">
        <v>8</v>
      </c>
      <c r="AG335" s="612">
        <v>8</v>
      </c>
      <c r="AH335" s="612">
        <v>8</v>
      </c>
      <c r="AI335" s="612">
        <v>8</v>
      </c>
      <c r="AJ335" s="612">
        <v>8</v>
      </c>
      <c r="AK335" s="612">
        <v>8</v>
      </c>
      <c r="AL335" s="612">
        <v>8</v>
      </c>
      <c r="AM335" s="612">
        <v>8</v>
      </c>
      <c r="AN335" s="612">
        <v>8</v>
      </c>
      <c r="AO335" s="612">
        <v>8</v>
      </c>
      <c r="AP335" s="612">
        <v>8</v>
      </c>
      <c r="AQ335" s="612">
        <v>8</v>
      </c>
      <c r="AR335" s="612">
        <v>8</v>
      </c>
      <c r="AS335" s="612">
        <v>8</v>
      </c>
      <c r="AT335" s="612">
        <v>8</v>
      </c>
      <c r="AU335" s="612">
        <v>8</v>
      </c>
      <c r="AV335" s="612">
        <v>8</v>
      </c>
      <c r="AW335" s="612">
        <v>8</v>
      </c>
      <c r="AX335" s="612">
        <v>8</v>
      </c>
      <c r="AY335" s="612">
        <v>8</v>
      </c>
      <c r="AZ335" s="612">
        <v>8</v>
      </c>
      <c r="BA335" s="612">
        <v>8</v>
      </c>
      <c r="BB335" s="612">
        <v>8</v>
      </c>
      <c r="BC335" s="612">
        <v>8</v>
      </c>
      <c r="BD335" s="612">
        <v>8</v>
      </c>
      <c r="BE335" s="612">
        <v>8</v>
      </c>
      <c r="BF335" s="612">
        <v>8</v>
      </c>
      <c r="BG335" s="612">
        <v>8</v>
      </c>
      <c r="BH335" s="612">
        <v>8</v>
      </c>
      <c r="BI335" s="612">
        <v>8</v>
      </c>
      <c r="BJ335" s="612">
        <v>8</v>
      </c>
      <c r="BK335" s="612">
        <v>8</v>
      </c>
      <c r="BL335" s="612">
        <v>8</v>
      </c>
      <c r="BM335" s="612">
        <v>8</v>
      </c>
      <c r="BN335" s="612">
        <v>8</v>
      </c>
      <c r="BO335" s="612">
        <v>8</v>
      </c>
      <c r="BP335" s="612">
        <v>8</v>
      </c>
      <c r="BQ335" s="612">
        <v>8</v>
      </c>
      <c r="BR335" s="612">
        <v>8</v>
      </c>
      <c r="BS335" s="612">
        <v>8</v>
      </c>
      <c r="BT335" s="612">
        <v>8</v>
      </c>
      <c r="BU335" s="612">
        <v>8</v>
      </c>
      <c r="BV335" s="612">
        <v>8</v>
      </c>
      <c r="BW335" s="612">
        <v>8</v>
      </c>
      <c r="BX335" s="612">
        <v>8</v>
      </c>
      <c r="BY335" s="612">
        <v>8</v>
      </c>
      <c r="BZ335" s="612">
        <v>8</v>
      </c>
      <c r="CA335" s="612">
        <v>8</v>
      </c>
      <c r="CB335" s="612">
        <v>8</v>
      </c>
      <c r="CC335" s="612">
        <v>8</v>
      </c>
      <c r="CD335" s="612">
        <v>8</v>
      </c>
      <c r="CE335" s="612">
        <v>8</v>
      </c>
      <c r="CF335" s="612">
        <v>11</v>
      </c>
    </row>
  </sheetData>
  <sheetProtection formatColumns="0" formatRows="0" autoFilter="0" sort="0" insertRows="0" insertColumns="1" deleteRows="0" deleteColumns="0"/>
  <mergeCells count="464">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92:U94"/>
    <mergeCell ref="V92:V94"/>
    <mergeCell ref="U89:U91"/>
    <mergeCell ref="V89:V91"/>
    <mergeCell ref="D86:D94"/>
    <mergeCell ref="E86:G86"/>
    <mergeCell ref="H86:R86"/>
    <mergeCell ref="AC86:AC91"/>
    <mergeCell ref="E87:G87"/>
    <mergeCell ref="H87:R87"/>
    <mergeCell ref="E88:G88"/>
    <mergeCell ref="H88:R88"/>
    <mergeCell ref="E89:P89"/>
    <mergeCell ref="U83:U85"/>
    <mergeCell ref="V83:V85"/>
    <mergeCell ref="U80:U82"/>
    <mergeCell ref="V80:V82"/>
    <mergeCell ref="D77:D85"/>
    <mergeCell ref="E77:G77"/>
    <mergeCell ref="H77:R77"/>
    <mergeCell ref="AC77:AC82"/>
    <mergeCell ref="E78:G78"/>
    <mergeCell ref="H78:R78"/>
    <mergeCell ref="E79:G79"/>
    <mergeCell ref="H79:R79"/>
    <mergeCell ref="E80:P80"/>
    <mergeCell ref="U74:U76"/>
    <mergeCell ref="V74:V76"/>
    <mergeCell ref="U71:U73"/>
    <mergeCell ref="V71:V73"/>
    <mergeCell ref="D68:D76"/>
    <mergeCell ref="E68:G68"/>
    <mergeCell ref="H68:R68"/>
    <mergeCell ref="AC68:AC73"/>
    <mergeCell ref="E69:G69"/>
    <mergeCell ref="H69:R69"/>
    <mergeCell ref="E70:G70"/>
    <mergeCell ref="H70:R70"/>
    <mergeCell ref="E71:P71"/>
    <mergeCell ref="U65:U67"/>
    <mergeCell ref="V65:V67"/>
    <mergeCell ref="U62:U64"/>
    <mergeCell ref="V62:V64"/>
    <mergeCell ref="D59:D67"/>
    <mergeCell ref="E59:G59"/>
    <mergeCell ref="H59:R59"/>
    <mergeCell ref="AC59:AC64"/>
    <mergeCell ref="E60:G60"/>
    <mergeCell ref="H60:R60"/>
    <mergeCell ref="E61:G61"/>
    <mergeCell ref="H61:R61"/>
    <mergeCell ref="E62:P62"/>
    <mergeCell ref="V56:V58"/>
    <mergeCell ref="U53:U55"/>
    <mergeCell ref="V53:V55"/>
    <mergeCell ref="D50:D58"/>
    <mergeCell ref="E50:G50"/>
    <mergeCell ref="H50:R50"/>
    <mergeCell ref="AC50:AC55"/>
    <mergeCell ref="E51:G51"/>
    <mergeCell ref="H51:R51"/>
    <mergeCell ref="E52:G52"/>
    <mergeCell ref="H52:R52"/>
    <mergeCell ref="E53:P53"/>
    <mergeCell ref="D41:D49"/>
    <mergeCell ref="E41:G41"/>
    <mergeCell ref="H41:R41"/>
    <mergeCell ref="AC41:AC46"/>
    <mergeCell ref="E42:G42"/>
    <mergeCell ref="H42:R42"/>
    <mergeCell ref="E43:G43"/>
    <mergeCell ref="H43:R43"/>
    <mergeCell ref="E44:P44"/>
    <mergeCell ref="D32:D40"/>
    <mergeCell ref="E32:G32"/>
    <mergeCell ref="H32:R32"/>
    <mergeCell ref="AC32:AC37"/>
    <mergeCell ref="E33:G33"/>
    <mergeCell ref="H33:R33"/>
    <mergeCell ref="E34:G34"/>
    <mergeCell ref="H34:R34"/>
    <mergeCell ref="E35:P35"/>
    <mergeCell ref="D23:D31"/>
    <mergeCell ref="E23:G23"/>
    <mergeCell ref="H23:R23"/>
    <mergeCell ref="AC23:AC28"/>
    <mergeCell ref="E24:G24"/>
    <mergeCell ref="H24:R24"/>
    <mergeCell ref="E25:G25"/>
    <mergeCell ref="H25:R25"/>
    <mergeCell ref="E26:P26"/>
    <mergeCell ref="E333:R333"/>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E5:K5"/>
    <mergeCell ref="E6:K6"/>
    <mergeCell ref="E9:R9"/>
    <mergeCell ref="S9:S10"/>
    <mergeCell ref="E10:F10"/>
    <mergeCell ref="H10:I10"/>
    <mergeCell ref="L10:M10"/>
    <mergeCell ref="D14:D22"/>
    <mergeCell ref="H14:R14"/>
    <mergeCell ref="H15:R15"/>
    <mergeCell ref="H16:R16"/>
    <mergeCell ref="H303:R303"/>
    <mergeCell ref="E304:G304"/>
    <mergeCell ref="H304:R304"/>
    <mergeCell ref="E305:P305"/>
    <mergeCell ref="AC302:AC307"/>
    <mergeCell ref="E303:G303"/>
    <mergeCell ref="U308:U310"/>
    <mergeCell ref="V308:V310"/>
    <mergeCell ref="U305:U307"/>
    <mergeCell ref="V305:V307"/>
    <mergeCell ref="D302:D310"/>
    <mergeCell ref="E302:G302"/>
    <mergeCell ref="H302:R302"/>
    <mergeCell ref="H312:R312"/>
    <mergeCell ref="E313:G313"/>
    <mergeCell ref="H313:R313"/>
    <mergeCell ref="E314:P314"/>
    <mergeCell ref="AC311:AC316"/>
    <mergeCell ref="E312:G312"/>
    <mergeCell ref="U317:U319"/>
    <mergeCell ref="V317:V319"/>
    <mergeCell ref="U314:U316"/>
    <mergeCell ref="V314:V316"/>
    <mergeCell ref="D311:D319"/>
    <mergeCell ref="E311:G311"/>
    <mergeCell ref="H311:R311"/>
    <mergeCell ref="H321:R321"/>
    <mergeCell ref="E322:G322"/>
    <mergeCell ref="H322:R322"/>
    <mergeCell ref="E323:P323"/>
    <mergeCell ref="AC320:AC325"/>
    <mergeCell ref="E321:G321"/>
    <mergeCell ref="U326:U328"/>
    <mergeCell ref="V326:V328"/>
    <mergeCell ref="U323:U325"/>
    <mergeCell ref="V323:V325"/>
    <mergeCell ref="D320:D328"/>
    <mergeCell ref="E320:G320"/>
    <mergeCell ref="H320:R32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651A6-B627-B69F-D23F-D476642795A1}" mc:Ignorable="x14ac xr xr2 xr3">
  <sheetPr>
    <tabColor theme="9" tint="-0.25"/>
  </sheetPr>
  <dimension ref="A1:BS204"/>
  <sheetViews>
    <sheetView topLeftCell="A1" showGridLines="0" zoomScale="90" workbookViewId="0">
      <selection activeCell="AU9" sqref="AU9"/>
    </sheetView>
  </sheetViews>
  <sheetFormatPr defaultColWidth="9.140625" customHeight="1" defaultRowHeight="11.25"/>
  <cols>
    <col min="1" max="5" style="11666" width="10.7109375" hidden="1" customWidth="1"/>
    <col min="6" max="6" style="10306" width="16.8515625" hidden="1" customWidth="1"/>
    <col min="7" max="7" style="10307" width="5.57421875" hidden="1" customWidth="1"/>
    <col min="8" max="8" style="10232" width="3.00390625" customWidth="1"/>
    <col min="9" max="9" style="10232" width="7.00390625" customWidth="1"/>
    <col min="10" max="10" style="10232" width="56.00390625" customWidth="1"/>
    <col min="11" max="11" style="10232" width="10.00390625" customWidth="1"/>
    <col min="12" max="12" style="10232" width="40.57421875" hidden="1" customWidth="1"/>
    <col min="13" max="13" style="10232" width="40.7109375" customWidth="1"/>
    <col min="14" max="44" style="10232" width="40.57421875" customWidth="1"/>
    <col min="45" max="47" style="11667" width="40.57421875" customWidth="1"/>
    <col min="48" max="48" style="10306" width="9.7109375" hidden="1" customWidth="1"/>
    <col min="49" max="49" style="10232" width="102.00390625" customWidth="1"/>
    <col min="50" max="50" style="10306" width="9.00390625" customWidth="1"/>
    <col min="51" max="51" style="10307" width="5.00390625" customWidth="1"/>
    <col min="52" max="52" style="10307" width="3.00390625" customWidth="1"/>
    <col min="53" max="56" style="10306" width="3.00390625" customWidth="1"/>
    <col min="57" max="57" style="10307" width="10.00390625" customWidth="1"/>
    <col min="58" max="58" style="10306" width="34.00390625" customWidth="1"/>
    <col min="59" max="59" style="10306" width="9.00390625" customWidth="1"/>
    <col min="60" max="60" style="11668" width="8.00390625" customWidth="1"/>
    <col min="61" max="65" style="10306" width="8.00390625" customWidth="1"/>
    <col min="66" max="70" style="10196" width="8.00390625" customWidth="1"/>
    <col min="71" max="71" style="10232" width="5.421875" hidden="1" customWidth="1"/>
  </cols>
  <sheetData>
    <row s="10306" customFormat="1" customHeight="1" ht="33.75" hidden="1">
      <c r="A1" s="1087"/>
      <c r="B1" s="1087"/>
      <c r="C1" s="1087"/>
      <c r="D1" s="1087"/>
      <c r="E1" s="1087"/>
      <c r="G1" s="1732"/>
      <c r="H1" s="979"/>
      <c r="L1" s="1462">
        <v>4</v>
      </c>
      <c r="M1" s="1462">
        <v>4</v>
      </c>
      <c r="N1" s="1462" t="s">
        <v>461</v>
      </c>
      <c r="O1" s="1462">
        <v>4</v>
      </c>
      <c r="P1" s="1462">
        <v>4</v>
      </c>
      <c r="Q1" s="1462">
        <v>4</v>
      </c>
      <c r="R1" s="1462">
        <v>4</v>
      </c>
      <c r="S1" s="1462">
        <v>4</v>
      </c>
      <c r="T1" s="1462">
        <v>4</v>
      </c>
      <c r="U1" s="1462">
        <v>4</v>
      </c>
      <c r="V1" s="1462">
        <v>4</v>
      </c>
      <c r="W1" s="1462">
        <v>4</v>
      </c>
      <c r="X1" s="1462">
        <v>4</v>
      </c>
      <c r="Y1" s="1462">
        <v>4</v>
      </c>
      <c r="Z1" s="1462">
        <v>4</v>
      </c>
      <c r="AA1" s="1462">
        <v>4</v>
      </c>
      <c r="AB1" s="1462">
        <v>4</v>
      </c>
      <c r="AC1" s="1462">
        <v>4</v>
      </c>
      <c r="AD1" s="1462">
        <v>4</v>
      </c>
      <c r="AE1" s="1462">
        <v>4</v>
      </c>
      <c r="AF1" s="1462">
        <v>4</v>
      </c>
      <c r="AG1" s="1462">
        <v>4</v>
      </c>
      <c r="AH1" s="1462">
        <v>4</v>
      </c>
      <c r="AI1" s="1462">
        <v>4</v>
      </c>
      <c r="AJ1" s="1462">
        <v>4</v>
      </c>
      <c r="AK1" s="1462">
        <v>4</v>
      </c>
      <c r="AL1" s="1462">
        <v>4</v>
      </c>
      <c r="AM1" s="1462">
        <v>4</v>
      </c>
      <c r="AN1" s="1462">
        <v>4</v>
      </c>
      <c r="AO1" s="1462">
        <v>4</v>
      </c>
      <c r="AP1" s="1462">
        <v>4</v>
      </c>
      <c r="AQ1" s="1462">
        <v>4</v>
      </c>
      <c r="AR1" s="1462">
        <v>4</v>
      </c>
      <c r="AS1" s="4608">
        <v>4</v>
      </c>
      <c r="AT1" s="4608">
        <v>4</v>
      </c>
      <c r="AU1" s="4608">
        <v>4</v>
      </c>
      <c r="AY1" s="1732"/>
      <c r="AZ1" s="1732"/>
      <c r="BE1" s="1732"/>
      <c r="BS1" s="1462" t="s">
        <v>14</v>
      </c>
    </row>
    <row s="10306" customFormat="1" customHeight="1" ht="78.75" hidden="1">
      <c r="A2" s="1087"/>
      <c r="B2" s="2144" t="s">
        <v>755</v>
      </c>
      <c r="C2" s="2144" t="s">
        <v>756</v>
      </c>
      <c r="D2" s="2143" t="s">
        <v>757</v>
      </c>
      <c r="E2" s="2147">
        <f>RIGHT(I2,LEN(I2)-SEARCH("#",SUBSTITUTE(I2,".","#",LEN(I2)-LEN(SUBSTITUTE(I2,".","")))))</f>
      </c>
      <c r="F2" s="2149">
        <f>J2</f>
        <v>0</v>
      </c>
      <c r="G2" s="1732"/>
      <c r="H2" s="2150"/>
      <c r="I2" s="2140"/>
      <c r="J2" s="647"/>
      <c r="K2" s="2110" t="s">
        <v>641</v>
      </c>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8"/>
      <c r="AR2" s="858"/>
      <c r="AS2" s="4604"/>
      <c r="AT2" s="4604"/>
      <c r="AU2" s="4604"/>
      <c r="AV2" s="650"/>
      <c r="AW2" s="1621" t="s">
        <v>642</v>
      </c>
      <c r="AX2" s="650"/>
      <c r="AY2" s="1732"/>
      <c r="AZ2" s="1732"/>
      <c r="BE2" s="1732"/>
      <c r="BH2" s="651"/>
      <c r="BN2" s="1728"/>
      <c r="BO2" s="1728"/>
      <c r="BP2" s="1728"/>
      <c r="BQ2" s="1728"/>
      <c r="BR2" s="1728"/>
      <c r="BS2" s="1462">
        <v>0</v>
      </c>
    </row>
    <row customHeight="1" ht="11.25" hidden="1">
      <c r="E3" s="2142" t="s">
        <v>758</v>
      </c>
      <c r="L3" s="1727">
        <f>0</f>
        <v>0</v>
      </c>
      <c r="M3" s="1727">
        <v>1</v>
      </c>
      <c r="N3" s="1731">
        <f>0</f>
        <v>0</v>
      </c>
      <c r="O3" s="1731">
        <f>0</f>
        <v>0</v>
      </c>
      <c r="P3" s="1731">
        <f>0</f>
        <v>0</v>
      </c>
      <c r="Q3" s="1731">
        <f>0</f>
        <v>0</v>
      </c>
      <c r="R3" s="1731">
        <f>0</f>
        <v>0</v>
      </c>
      <c r="S3" s="1731">
        <f>0</f>
        <v>0</v>
      </c>
      <c r="T3" s="1731">
        <f>0</f>
        <v>0</v>
      </c>
      <c r="U3" s="1731">
        <f>0</f>
        <v>0</v>
      </c>
      <c r="V3" s="1731">
        <f>0</f>
        <v>0</v>
      </c>
      <c r="W3" s="1731">
        <f>0</f>
        <v>0</v>
      </c>
      <c r="X3" s="1731">
        <f>0</f>
        <v>0</v>
      </c>
      <c r="Y3" s="1731">
        <f>0</f>
        <v>0</v>
      </c>
      <c r="Z3" s="1731">
        <f>0</f>
        <v>0</v>
      </c>
      <c r="AA3" s="1731">
        <f>0</f>
        <v>0</v>
      </c>
      <c r="AB3" s="1731">
        <f>0</f>
        <v>0</v>
      </c>
      <c r="AC3" s="1731">
        <f>0</f>
        <v>0</v>
      </c>
      <c r="AD3" s="1731">
        <f>0</f>
        <v>0</v>
      </c>
      <c r="AE3" s="1731">
        <f>0</f>
        <v>0</v>
      </c>
      <c r="AF3" s="1731">
        <f>0</f>
        <v>0</v>
      </c>
      <c r="AG3" s="1731">
        <f>0</f>
        <v>0</v>
      </c>
      <c r="AH3" s="1731">
        <f>0</f>
        <v>0</v>
      </c>
      <c r="AI3" s="1731">
        <f>0</f>
        <v>0</v>
      </c>
      <c r="AJ3" s="1731">
        <f>0</f>
        <v>0</v>
      </c>
      <c r="AK3" s="1731">
        <f>0</f>
        <v>0</v>
      </c>
      <c r="AL3" s="1731">
        <f>0</f>
        <v>0</v>
      </c>
      <c r="AM3" s="1731">
        <f>0</f>
        <v>0</v>
      </c>
      <c r="AN3" s="1731">
        <f>0</f>
        <v>0</v>
      </c>
      <c r="AO3" s="1731">
        <f>0</f>
        <v>0</v>
      </c>
      <c r="AP3" s="1731">
        <f>0</f>
        <v>0</v>
      </c>
      <c r="AQ3" s="1731">
        <f>0</f>
        <v>0</v>
      </c>
      <c r="AR3" s="1731">
        <f>0</f>
        <v>0</v>
      </c>
      <c r="AS3" s="4586">
        <f>0</f>
        <v>0</v>
      </c>
      <c r="AT3" s="4586">
        <f>0</f>
        <v>0</v>
      </c>
      <c r="AU3" s="4586">
        <f>0</f>
        <v>0</v>
      </c>
      <c r="BS3" s="1727">
        <v>0</v>
      </c>
    </row>
    <row s="10196" customFormat="1" customHeight="1" ht="11.25" hidden="1">
      <c r="A4" s="1087"/>
      <c r="B4" s="1087"/>
      <c r="C4" s="1087"/>
      <c r="E4" s="1087"/>
      <c r="F4" s="1462"/>
      <c r="G4" s="1732"/>
      <c r="H4" s="727"/>
      <c r="AS4" s="4618"/>
      <c r="AT4" s="4618"/>
      <c r="AU4" s="4618"/>
      <c r="AV4" s="1462"/>
      <c r="AW4" s="1728">
        <v>4</v>
      </c>
      <c r="AX4" s="1462"/>
      <c r="AY4" s="1732"/>
      <c r="AZ4" s="1732"/>
      <c r="BA4" s="1462"/>
      <c r="BB4" s="1462"/>
      <c r="BC4" s="1462"/>
      <c r="BD4" s="1462"/>
      <c r="BE4" s="1732"/>
      <c r="BF4" s="1462"/>
      <c r="BG4" s="1462"/>
      <c r="BH4" s="651"/>
      <c r="BI4" s="1462"/>
      <c r="BJ4" s="1462"/>
      <c r="BK4" s="1462"/>
      <c r="BL4" s="1462"/>
      <c r="BM4" s="1462"/>
      <c r="BS4" s="1728">
        <v>0</v>
      </c>
    </row>
    <row customHeight="1" ht="11.549999999999999">
      <c r="AS5" s="4586"/>
      <c r="AT5" s="4586"/>
      <c r="AU5" s="4586"/>
      <c r="BS5" s="1727">
        <v>11</v>
      </c>
    </row>
    <row customHeight="1" ht="57.75">
      <c r="I6" s="3046" t="s">
        <v>759</v>
      </c>
      <c r="J6" s="3046"/>
      <c r="K6" s="3046"/>
      <c r="L6" s="3046"/>
      <c r="M6" s="3046"/>
      <c r="N6" s="2178"/>
      <c r="O6" s="2178"/>
      <c r="P6" s="2178"/>
      <c r="Q6" s="2178"/>
      <c r="R6" s="2178"/>
      <c r="S6" s="2178"/>
      <c r="T6" s="2178"/>
      <c r="U6" s="2178"/>
      <c r="V6" s="2178"/>
      <c r="W6" s="2178"/>
      <c r="X6" s="2178"/>
      <c r="Y6" s="2178"/>
      <c r="Z6" s="2178"/>
      <c r="AA6" s="2178"/>
      <c r="AB6" s="2178"/>
      <c r="AC6" s="2178"/>
      <c r="AD6" s="2178"/>
      <c r="AE6" s="2178"/>
      <c r="AF6" s="2178"/>
      <c r="AG6" s="2178"/>
      <c r="AH6" s="2178"/>
      <c r="AI6" s="2178"/>
      <c r="AJ6" s="2178"/>
      <c r="AK6" s="2178"/>
      <c r="AL6" s="2178"/>
      <c r="AM6" s="2178"/>
      <c r="AN6" s="2178"/>
      <c r="AO6" s="2178"/>
      <c r="AP6" s="2178"/>
      <c r="AQ6" s="2178"/>
      <c r="AR6" s="2178"/>
      <c r="AS6" s="4984"/>
      <c r="AT6" s="4984"/>
      <c r="AU6" s="4984"/>
      <c r="AW6" s="663"/>
      <c r="BS6" s="1727">
        <v>55</v>
      </c>
    </row>
    <row customHeight="1" ht="25.2">
      <c r="I7" s="3069" t="str">
        <f>IF(org=0,"Не определено",org)</f>
        <v>АО "ДГК"</v>
      </c>
      <c r="J7" s="3069"/>
      <c r="K7" s="3069"/>
      <c r="L7" s="3069"/>
      <c r="M7" s="3069"/>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4623"/>
      <c r="AT7" s="4623"/>
      <c r="AU7" s="4623"/>
      <c r="BS7" s="1727">
        <v>24</v>
      </c>
    </row>
    <row customHeight="1" ht="11.549999999999999">
      <c r="I8" s="1232"/>
      <c r="J8" s="1232"/>
      <c r="K8" s="1232"/>
      <c r="L8" s="1232"/>
      <c r="M8" s="1232"/>
      <c r="N8" s="1233" t="s">
        <v>22</v>
      </c>
      <c r="O8" s="1233" t="s">
        <v>22</v>
      </c>
      <c r="P8" s="1233" t="s">
        <v>22</v>
      </c>
      <c r="Q8" s="1233" t="s">
        <v>22</v>
      </c>
      <c r="R8" s="1233" t="s">
        <v>22</v>
      </c>
      <c r="S8" s="1233" t="s">
        <v>22</v>
      </c>
      <c r="T8" s="1233" t="s">
        <v>22</v>
      </c>
      <c r="U8" s="1233" t="s">
        <v>22</v>
      </c>
      <c r="V8" s="1233" t="s">
        <v>22</v>
      </c>
      <c r="W8" s="1233" t="s">
        <v>22</v>
      </c>
      <c r="X8" s="1233" t="s">
        <v>22</v>
      </c>
      <c r="Y8" s="1233" t="s">
        <v>22</v>
      </c>
      <c r="Z8" s="1233" t="s">
        <v>22</v>
      </c>
      <c r="AA8" s="1233" t="s">
        <v>22</v>
      </c>
      <c r="AB8" s="1233" t="s">
        <v>22</v>
      </c>
      <c r="AC8" s="1233" t="s">
        <v>22</v>
      </c>
      <c r="AD8" s="1233" t="s">
        <v>22</v>
      </c>
      <c r="AE8" s="1233" t="s">
        <v>22</v>
      </c>
      <c r="AF8" s="1233" t="s">
        <v>22</v>
      </c>
      <c r="AG8" s="1233" t="s">
        <v>22</v>
      </c>
      <c r="AH8" s="1233" t="s">
        <v>22</v>
      </c>
      <c r="AI8" s="1233" t="s">
        <v>22</v>
      </c>
      <c r="AJ8" s="1233" t="s">
        <v>22</v>
      </c>
      <c r="AK8" s="1233" t="s">
        <v>22</v>
      </c>
      <c r="AL8" s="1233" t="s">
        <v>22</v>
      </c>
      <c r="AM8" s="1233" t="s">
        <v>22</v>
      </c>
      <c r="AN8" s="1233" t="s">
        <v>22</v>
      </c>
      <c r="AO8" s="1233" t="s">
        <v>22</v>
      </c>
      <c r="AP8" s="1233" t="s">
        <v>22</v>
      </c>
      <c r="AQ8" s="1233" t="s">
        <v>22</v>
      </c>
      <c r="AR8" s="1233" t="s">
        <v>22</v>
      </c>
      <c r="AS8" s="4626" t="s">
        <v>22</v>
      </c>
      <c r="AT8" s="4626" t="s">
        <v>22</v>
      </c>
      <c r="AU8" s="4626" t="s">
        <v>22</v>
      </c>
      <c r="BS8" s="1727">
        <v>11</v>
      </c>
    </row>
    <row s="10307" customFormat="1" customHeight="1" ht="30" hidden="1">
      <c r="A9" s="1263"/>
      <c r="B9" s="1263"/>
      <c r="C9" s="1263"/>
      <c r="E9" s="1263"/>
      <c r="L9" s="989"/>
      <c r="M9" s="989" t="s">
        <v>150</v>
      </c>
      <c r="N9" s="989" t="s">
        <v>154</v>
      </c>
      <c r="O9" s="989" t="s">
        <v>157</v>
      </c>
      <c r="P9" s="989" t="s">
        <v>159</v>
      </c>
      <c r="Q9" s="989" t="s">
        <v>161</v>
      </c>
      <c r="R9" s="989" t="s">
        <v>163</v>
      </c>
      <c r="S9" s="989" t="s">
        <v>165</v>
      </c>
      <c r="T9" s="989" t="s">
        <v>168</v>
      </c>
      <c r="U9" s="989" t="s">
        <v>171</v>
      </c>
      <c r="V9" s="989" t="s">
        <v>173</v>
      </c>
      <c r="W9" s="989" t="s">
        <v>175</v>
      </c>
      <c r="X9" s="989" t="s">
        <v>177</v>
      </c>
      <c r="Y9" s="989" t="s">
        <v>179</v>
      </c>
      <c r="Z9" s="989" t="s">
        <v>181</v>
      </c>
      <c r="AA9" s="989" t="s">
        <v>183</v>
      </c>
      <c r="AB9" s="989" t="s">
        <v>725</v>
      </c>
      <c r="AC9" s="989" t="s">
        <v>727</v>
      </c>
      <c r="AD9" s="989" t="s">
        <v>729</v>
      </c>
      <c r="AE9" s="989" t="s">
        <v>731</v>
      </c>
      <c r="AF9" s="989" t="s">
        <v>733</v>
      </c>
      <c r="AG9" s="989" t="s">
        <v>735</v>
      </c>
      <c r="AH9" s="989" t="s">
        <v>737</v>
      </c>
      <c r="AI9" s="989" t="s">
        <v>739</v>
      </c>
      <c r="AJ9" s="989" t="s">
        <v>741</v>
      </c>
      <c r="AK9" s="989" t="s">
        <v>743</v>
      </c>
      <c r="AL9" s="989" t="s">
        <v>186</v>
      </c>
      <c r="AM9" s="989" t="s">
        <v>188</v>
      </c>
      <c r="AN9" s="989" t="s">
        <v>190</v>
      </c>
      <c r="AO9" s="989" t="s">
        <v>192</v>
      </c>
      <c r="AP9" s="989" t="s">
        <v>194</v>
      </c>
      <c r="AQ9" s="989" t="s">
        <v>197</v>
      </c>
      <c r="AR9" s="989" t="s">
        <v>199</v>
      </c>
      <c r="AS9" s="4628" t="s">
        <v>202</v>
      </c>
      <c r="AT9" s="4628" t="s">
        <v>205</v>
      </c>
      <c r="AU9" s="4628" t="s">
        <v>206</v>
      </c>
      <c r="BS9" s="1732">
        <v>1</v>
      </c>
    </row>
    <row customHeight="1" ht="11.549999999999999">
      <c r="E10" s="2141" t="s">
        <v>760</v>
      </c>
      <c r="I10" s="818"/>
      <c r="J10" s="3204" t="s">
        <v>140</v>
      </c>
      <c r="K10" s="3205"/>
      <c r="L10" s="2120" t="str">
        <f>IF(L9="","",INDEX(DIFFERENTIATION_UNMERGE_VD,MATCH(L9,DIFFERENTIATION_ID_DIFF,0)))</f>
        <v/>
      </c>
      <c r="M10" s="212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184"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v>
      </c>
      <c r="O10" s="2184" t="str">
        <f>IF(O9="","",INDEX(DIFFERENTIATION_UNMERGE_VD,MATCH(O9,DIFFERENTIATION_ID_DIFF,0)))</f>
        <v>Производство тепловой энергии. Комбинированная выработка с уст. мощностью производства электрической энергии 25 МВт и более</v>
      </c>
      <c r="P10" s="2184" t="str">
        <f>IF(P9="","",INDEX(DIFFERENTIATION_UNMERGE_VD,MATCH(P9,DIFFERENTIATION_ID_DIFF,0)))</f>
        <v>Производство тепловой энергии. Комбинированная выработка с уст. мощностью производства электрической энергии 25 МВт и более</v>
      </c>
      <c r="Q10" s="2184" t="str">
        <f>IF(Q9="","",INDEX(DIFFERENTIATION_UNMERGE_VD,MATCH(Q9,DIFFERENTIATION_ID_DIFF,0)))</f>
        <v>Производство тепловой энергии. Комбинированная выработка с уст. мощностью производства электрической энергии 25 МВт и более</v>
      </c>
      <c r="R10" s="2184" t="str">
        <f>IF(R9="","",INDEX(DIFFERENTIATION_UNMERGE_VD,MATCH(R9,DIFFERENTIATION_ID_DIFF,0)))</f>
        <v>Производство тепловой энергии. Комбинированная выработка с уст. мощностью производства электрической энергии 25 МВт и более</v>
      </c>
      <c r="S10" s="2184" t="str">
        <f>IF(S9="","",INDEX(DIFFERENTIATION_UNMERGE_VD,MATCH(S9,DIFFERENTIATION_ID_DIFF,0)))</f>
        <v>Производство тепловой энергии. Комбинированная выработка с уст. мощностью производства электрической энергии 25 МВт и более</v>
      </c>
      <c r="T10" s="2184" t="str">
        <f>IF(T9="","",INDEX(DIFFERENTIATION_UNMERGE_VD,MATCH(T9,DIFFERENTIATION_ID_DIFF,0)))</f>
        <v>Производство. Теплоноситель</v>
      </c>
      <c r="U10" s="2184" t="str">
        <f>IF(U9="","",INDEX(DIFFERENTIATION_UNMERGE_VD,MATCH(U9,DIFFERENTIATION_ID_DIFF,0)))</f>
        <v>Производство. Теплоноситель</v>
      </c>
      <c r="V10" s="2184" t="str">
        <f>IF(V9="","",INDEX(DIFFERENTIATION_UNMERGE_VD,MATCH(V9,DIFFERENTIATION_ID_DIFF,0)))</f>
        <v>Производство. Теплоноситель</v>
      </c>
      <c r="W10" s="2184" t="str">
        <f>IF(W9="","",INDEX(DIFFERENTIATION_UNMERGE_VD,MATCH(W9,DIFFERENTIATION_ID_DIFF,0)))</f>
        <v>Производство. Теплоноситель</v>
      </c>
      <c r="X10" s="2184" t="str">
        <f>IF(X9="","",INDEX(DIFFERENTIATION_UNMERGE_VD,MATCH(X9,DIFFERENTIATION_ID_DIFF,0)))</f>
        <v>Производство. Теплоноситель</v>
      </c>
      <c r="Y10" s="2184" t="str">
        <f>IF(Y9="","",INDEX(DIFFERENTIATION_UNMERGE_VD,MATCH(Y9,DIFFERENTIATION_ID_DIFF,0)))</f>
        <v>Производство. Теплоноситель</v>
      </c>
      <c r="Z10" s="2184" t="str">
        <f>IF(Z9="","",INDEX(DIFFERENTIATION_UNMERGE_VD,MATCH(Z9,DIFFERENTIATION_ID_DIFF,0)))</f>
        <v>Производство. Теплоноситель</v>
      </c>
      <c r="AA10" s="2184" t="str">
        <f>IF(AA9="","",INDEX(DIFFERENTIATION_UNMERGE_VD,MATCH(AA9,DIFFERENTIATION_ID_DIFF,0)))</f>
        <v>Производство тепловой энергии. Некомбинированная выработка</v>
      </c>
      <c r="AB10" s="2184">
        <f>IF(AB9="","",INDEX(DIFFERENTIATION_UNMERGE_VD,MATCH(AB9,DIFFERENTIATION_ID_DIFF,0)))</f>
      </c>
      <c r="AC10" s="2184">
        <f>IF(AC9="","",INDEX(DIFFERENTIATION_UNMERGE_VD,MATCH(AC9,DIFFERENTIATION_ID_DIFF,0)))</f>
      </c>
      <c r="AD10" s="2184">
        <f>IF(AD9="","",INDEX(DIFFERENTIATION_UNMERGE_VD,MATCH(AD9,DIFFERENTIATION_ID_DIFF,0)))</f>
      </c>
      <c r="AE10" s="2184">
        <f>IF(AE9="","",INDEX(DIFFERENTIATION_UNMERGE_VD,MATCH(AE9,DIFFERENTIATION_ID_DIFF,0)))</f>
      </c>
      <c r="AF10" s="2184">
        <f>IF(AF9="","",INDEX(DIFFERENTIATION_UNMERGE_VD,MATCH(AF9,DIFFERENTIATION_ID_DIFF,0)))</f>
      </c>
      <c r="AG10" s="2184">
        <f>IF(AG9="","",INDEX(DIFFERENTIATION_UNMERGE_VD,MATCH(AG9,DIFFERENTIATION_ID_DIFF,0)))</f>
      </c>
      <c r="AH10" s="2184">
        <f>IF(AH9="","",INDEX(DIFFERENTIATION_UNMERGE_VD,MATCH(AH9,DIFFERENTIATION_ID_DIFF,0)))</f>
      </c>
      <c r="AI10" s="2184">
        <f>IF(AI9="","",INDEX(DIFFERENTIATION_UNMERGE_VD,MATCH(AI9,DIFFERENTIATION_ID_DIFF,0)))</f>
      </c>
      <c r="AJ10" s="2184">
        <f>IF(AJ9="","",INDEX(DIFFERENTIATION_UNMERGE_VD,MATCH(AJ9,DIFFERENTIATION_ID_DIFF,0)))</f>
      </c>
      <c r="AK10" s="2184">
        <f>IF(AK9="","",INDEX(DIFFERENTIATION_UNMERGE_VD,MATCH(AK9,DIFFERENTIATION_ID_DIFF,0)))</f>
      </c>
      <c r="AL10" s="2184" t="str">
        <f>IF(AL9="","",INDEX(DIFFERENTIATION_UNMERGE_VD,MATCH(AL9,DIFFERENTIATION_ID_DIFF,0)))</f>
        <v>Производство тепловой энергии. Некомбинированная выработка</v>
      </c>
      <c r="AM10" s="2184" t="str">
        <f>IF(AM9="","",INDEX(DIFFERENTIATION_UNMERGE_VD,MATCH(AM9,DIFFERENTIATION_ID_DIFF,0)))</f>
        <v>Производство тепловой энергии. Некомбинированная выработка</v>
      </c>
      <c r="AN10" s="2184" t="str">
        <f>IF(AN9="","",INDEX(DIFFERENTIATION_UNMERGE_VD,MATCH(AN9,DIFFERENTIATION_ID_DIFF,0)))</f>
        <v>Производство тепловой энергии. Некомбинированная выработка</v>
      </c>
      <c r="AO10" s="2184" t="str">
        <f>IF(AO9="","",INDEX(DIFFERENTIATION_UNMERGE_VD,MATCH(AO9,DIFFERENTIATION_ID_DIFF,0)))</f>
        <v>Производство тепловой энергии. Некомбинированная выработка</v>
      </c>
      <c r="AP10" s="2184" t="str">
        <f>IF(AP9="","",INDEX(DIFFERENTIATION_UNMERGE_VD,MATCH(AP9,DIFFERENTIATION_ID_DIFF,0)))</f>
        <v>Передача. Тепловая энергия; Передача. Теплоноситель; Сбыт. Тепловая энергия; Сбыт. Теплоноситель</v>
      </c>
      <c r="AQ10" s="2184" t="str">
        <f>IF(AQ9="","",INDEX(DIFFERENTIATION_UNMERGE_VD,MATCH(AQ9,DIFFERENTIATION_ID_DIFF,0)))</f>
        <v>Передача. Тепловая энергия; Передача. Теплоноситель; Сбыт. Тепловая энергия; Сбыт. Теплоноситель</v>
      </c>
      <c r="AR10" s="2184" t="str">
        <f>IF(AR9="","",INDEX(DIFFERENTIATION_UNMERGE_VD,MATCH(AR9,DIFFERENTIATION_ID_DIFF,0)))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Передача. Теплоноситель; Сбыт. Тепловая энергия; Сбыт. Теплоноситель</v>
      </c>
      <c r="AS10" s="4634" t="str">
        <f>IF(AS9="","",INDEX(DIFFERENTIATION_UNMERGE_VD,MATCH(AS9,DIFFERENTIATION_ID_DIFF,0)))</f>
        <v>Производство тепловой энергии. Некомбинированная выработка; Передача. Тепловая энергия; Сбыт. Тепловая энергия</v>
      </c>
      <c r="AT10" s="4634" t="str">
        <f>IF(AT9="","",INDEX(DIFFERENTIATION_UNMERGE_VD,MATCH(AT9,DIFFERENTIATION_ID_DIFF,0)))</f>
        <v>Производство тепловой энергии. Некомбинированная выработка; Передача. Тепловая энергия; Сбыт. Тепловая энергия</v>
      </c>
      <c r="AU10" s="4634" t="str">
        <f>IF(AU9="","",INDEX(DIFFERENTIATION_UNMERGE_VD,MATCH(AU9,DIFFERENTIATION_ID_DIFF,0)))</f>
        <v>Подключение (технологическое присоединение) к системе теплоснабжения</v>
      </c>
      <c r="AW10" s="2978" t="s">
        <v>386</v>
      </c>
      <c r="BS10" s="1727">
        <v>11</v>
      </c>
    </row>
    <row customHeight="1" ht="11.549999999999999">
      <c r="E11" s="2141" t="s">
        <v>761</v>
      </c>
      <c r="I11" s="818"/>
      <c r="J11" s="3204" t="s">
        <v>649</v>
      </c>
      <c r="K11" s="3205"/>
      <c r="L11" s="2120" t="str">
        <f>IF(L9="","",INDEX(DIFFERENTIATION_UNMERGE_AREA,MATCH(L9,DIFFERENTIATION_ID_DIFF,0)))</f>
        <v/>
      </c>
      <c r="M11" s="2120" t="str">
        <f>IF(M9="","",INDEX(DIFFERENTIATION_UNMERGE_AREA,MATCH(M9,DIFFERENTIATION_ID_DIFF,0)))</f>
        <v>Территория 1</v>
      </c>
      <c r="N11" s="2184" t="str">
        <f>IF(N9="","",INDEX(DIFFERENTIATION_UNMERGE_AREA,MATCH(N9,DIFFERENTIATION_ID_DIFF,0)))</f>
        <v>Территория 1</v>
      </c>
      <c r="O11" s="2184" t="str">
        <f>IF(O9="","",INDEX(DIFFERENTIATION_UNMERGE_AREA,MATCH(O9,DIFFERENTIATION_ID_DIFF,0)))</f>
        <v>Территория 2</v>
      </c>
      <c r="P11" s="2184" t="str">
        <f>IF(P9="","",INDEX(DIFFERENTIATION_UNMERGE_AREA,MATCH(P9,DIFFERENTIATION_ID_DIFF,0)))</f>
        <v>Территория 2</v>
      </c>
      <c r="Q11" s="2184" t="str">
        <f>IF(Q9="","",INDEX(DIFFERENTIATION_UNMERGE_AREA,MATCH(Q9,DIFFERENTIATION_ID_DIFF,0)))</f>
        <v>Территория 3</v>
      </c>
      <c r="R11" s="2184" t="str">
        <f>IF(R9="","",INDEX(DIFFERENTIATION_UNMERGE_AREA,MATCH(R9,DIFFERENTIATION_ID_DIFF,0)))</f>
        <v>Территория 4</v>
      </c>
      <c r="S11" s="2184" t="str">
        <f>IF(S9="","",INDEX(DIFFERENTIATION_UNMERGE_AREA,MATCH(S9,DIFFERENTIATION_ID_DIFF,0)))</f>
        <v>Территория 5</v>
      </c>
      <c r="T11" s="2184" t="str">
        <f>IF(T9="","",INDEX(DIFFERENTIATION_UNMERGE_AREA,MATCH(T9,DIFFERENTIATION_ID_DIFF,0)))</f>
        <v>Территория 1</v>
      </c>
      <c r="U11" s="2184" t="str">
        <f>IF(U9="","",INDEX(DIFFERENTIATION_UNMERGE_AREA,MATCH(U9,DIFFERENTIATION_ID_DIFF,0)))</f>
        <v>Территория 2</v>
      </c>
      <c r="V11" s="2184" t="str">
        <f>IF(V9="","",INDEX(DIFFERENTIATION_UNMERGE_AREA,MATCH(V9,DIFFERENTIATION_ID_DIFF,0)))</f>
        <v>Территория 3</v>
      </c>
      <c r="W11" s="2184" t="str">
        <f>IF(W9="","",INDEX(DIFFERENTIATION_UNMERGE_AREA,MATCH(W9,DIFFERENTIATION_ID_DIFF,0)))</f>
        <v>Территория 4</v>
      </c>
      <c r="X11" s="2184" t="str">
        <f>IF(X9="","",INDEX(DIFFERENTIATION_UNMERGE_AREA,MATCH(X9,DIFFERENTIATION_ID_DIFF,0)))</f>
        <v>Территория 5</v>
      </c>
      <c r="Y11" s="2184" t="str">
        <f>IF(Y9="","",INDEX(DIFFERENTIATION_UNMERGE_AREA,MATCH(Y9,DIFFERENTIATION_ID_DIFF,0)))</f>
        <v>Территория 6</v>
      </c>
      <c r="Z11" s="2184" t="str">
        <f>IF(Z9="","",INDEX(DIFFERENTIATION_UNMERGE_AREA,MATCH(Z9,DIFFERENTIATION_ID_DIFF,0)))</f>
        <v>Территория 7</v>
      </c>
      <c r="AA11" s="2184" t="str">
        <f>IF(AA9="","",INDEX(DIFFERENTIATION_UNMERGE_AREA,MATCH(AA9,DIFFERENTIATION_ID_DIFF,0)))</f>
        <v>без дифференциации</v>
      </c>
      <c r="AB11" s="2184">
        <f>IF(AB9="","",INDEX(DIFFERENTIATION_UNMERGE_AREA,MATCH(AB9,DIFFERENTIATION_ID_DIFF,0)))</f>
      </c>
      <c r="AC11" s="2184">
        <f>IF(AC9="","",INDEX(DIFFERENTIATION_UNMERGE_AREA,MATCH(AC9,DIFFERENTIATION_ID_DIFF,0)))</f>
      </c>
      <c r="AD11" s="2184">
        <f>IF(AD9="","",INDEX(DIFFERENTIATION_UNMERGE_AREA,MATCH(AD9,DIFFERENTIATION_ID_DIFF,0)))</f>
      </c>
      <c r="AE11" s="2184">
        <f>IF(AE9="","",INDEX(DIFFERENTIATION_UNMERGE_AREA,MATCH(AE9,DIFFERENTIATION_ID_DIFF,0)))</f>
      </c>
      <c r="AF11" s="2184">
        <f>IF(AF9="","",INDEX(DIFFERENTIATION_UNMERGE_AREA,MATCH(AF9,DIFFERENTIATION_ID_DIFF,0)))</f>
      </c>
      <c r="AG11" s="2184">
        <f>IF(AG9="","",INDEX(DIFFERENTIATION_UNMERGE_AREA,MATCH(AG9,DIFFERENTIATION_ID_DIFF,0)))</f>
      </c>
      <c r="AH11" s="2184">
        <f>IF(AH9="","",INDEX(DIFFERENTIATION_UNMERGE_AREA,MATCH(AH9,DIFFERENTIATION_ID_DIFF,0)))</f>
      </c>
      <c r="AI11" s="2184">
        <f>IF(AI9="","",INDEX(DIFFERENTIATION_UNMERGE_AREA,MATCH(AI9,DIFFERENTIATION_ID_DIFF,0)))</f>
      </c>
      <c r="AJ11" s="2184">
        <f>IF(AJ9="","",INDEX(DIFFERENTIATION_UNMERGE_AREA,MATCH(AJ9,DIFFERENTIATION_ID_DIFF,0)))</f>
      </c>
      <c r="AK11" s="2184">
        <f>IF(AK9="","",INDEX(DIFFERENTIATION_UNMERGE_AREA,MATCH(AK9,DIFFERENTIATION_ID_DIFF,0)))</f>
      </c>
      <c r="AL11" s="2184" t="str">
        <f>IF(AL9="","",INDEX(DIFFERENTIATION_UNMERGE_AREA,MATCH(AL9,DIFFERENTIATION_ID_DIFF,0)))</f>
        <v>без дифференциации</v>
      </c>
      <c r="AM11" s="2184" t="str">
        <f>IF(AM9="","",INDEX(DIFFERENTIATION_UNMERGE_AREA,MATCH(AM9,DIFFERENTIATION_ID_DIFF,0)))</f>
        <v>без дифференциации</v>
      </c>
      <c r="AN11" s="2184" t="str">
        <f>IF(AN9="","",INDEX(DIFFERENTIATION_UNMERGE_AREA,MATCH(AN9,DIFFERENTIATION_ID_DIFF,0)))</f>
        <v>без дифференциации</v>
      </c>
      <c r="AO11" s="2184" t="str">
        <f>IF(AO9="","",INDEX(DIFFERENTIATION_UNMERGE_AREA,MATCH(AO9,DIFFERENTIATION_ID_DIFF,0)))</f>
        <v>без дифференциации</v>
      </c>
      <c r="AP11" s="2184" t="str">
        <f>IF(AP9="","",INDEX(DIFFERENTIATION_UNMERGE_AREA,MATCH(AP9,DIFFERENTIATION_ID_DIFF,0)))</f>
        <v>без дифференциации</v>
      </c>
      <c r="AQ11" s="2184" t="str">
        <f>IF(AQ9="","",INDEX(DIFFERENTIATION_UNMERGE_AREA,MATCH(AQ9,DIFFERENTIATION_ID_DIFF,0)))</f>
        <v>без дифференциации</v>
      </c>
      <c r="AR11" s="2184" t="str">
        <f>IF(AR9="","",INDEX(DIFFERENTIATION_UNMERGE_AREA,MATCH(AR9,DIFFERENTIATION_ID_DIFF,0)))</f>
        <v>Территория 7</v>
      </c>
      <c r="AS11" s="4634" t="str">
        <f>IF(AS9="","",INDEX(DIFFERENTIATION_UNMERGE_AREA,MATCH(AS9,DIFFERENTIATION_ID_DIFF,0)))</f>
        <v>Территория 5</v>
      </c>
      <c r="AT11" s="4634" t="str">
        <f>IF(AT9="","",INDEX(DIFFERENTIATION_UNMERGE_AREA,MATCH(AT9,DIFFERENTIATION_ID_DIFF,0)))</f>
        <v>Территория 8</v>
      </c>
      <c r="AU11" s="4634" t="str">
        <f>IF(AU9="","",INDEX(DIFFERENTIATION_UNMERGE_AREA,MATCH(AU9,DIFFERENTIATION_ID_DIFF,0)))</f>
        <v>без дифференциации</v>
      </c>
      <c r="AW11" s="2978"/>
      <c r="BS11" s="1727">
        <v>11</v>
      </c>
    </row>
    <row customHeight="1" ht="11.549999999999999">
      <c r="E12" s="2141" t="s">
        <v>762</v>
      </c>
      <c r="I12" s="1758"/>
      <c r="J12" s="3204" t="s">
        <v>650</v>
      </c>
      <c r="K12" s="3205"/>
      <c r="L12" s="2120" t="str">
        <f>IF(L9="","",INDEX(DIFFERENTIATION_UNMERGE_SYSTEM,MATCH(L9,DIFFERENTIATION_ID_DIFF,0)))</f>
        <v/>
      </c>
      <c r="M12" s="2120" t="str">
        <f>IF(M9="","",INDEX(DIFFERENTIATION_UNMERGE_SYSTEM,MATCH(M9,DIFFERENTIATION_ID_DIFF,0)))</f>
        <v>Хабаровская ТЭЦ - 1</v>
      </c>
      <c r="N12" s="2184" t="str">
        <f>IF(N9="","",INDEX(DIFFERENTIATION_UNMERGE_SYSTEM,MATCH(N9,DIFFERENTIATION_ID_DIFF,0)))</f>
        <v>Хабаровская ТЭЦ - 3</v>
      </c>
      <c r="O12" s="2184" t="str">
        <f>IF(O9="","",INDEX(DIFFERENTIATION_UNMERGE_SYSTEM,MATCH(O9,DIFFERENTIATION_ID_DIFF,0)))</f>
        <v>Комсомольская ТЭЦ - 2</v>
      </c>
      <c r="P12" s="2184" t="str">
        <f>IF(P9="","",INDEX(DIFFERENTIATION_UNMERGE_SYSTEM,MATCH(P9,DIFFERENTIATION_ID_DIFF,0)))</f>
        <v>Комсомольская ТЭЦ - 3</v>
      </c>
      <c r="Q12" s="2184" t="str">
        <f>IF(Q9="","",INDEX(DIFFERENTIATION_UNMERGE_SYSTEM,MATCH(Q9,DIFFERENTIATION_ID_DIFF,0)))</f>
        <v>Амурская ТЭЦ - 1</v>
      </c>
      <c r="R12" s="2184" t="str">
        <f>IF(R9="","",INDEX(DIFFERENTIATION_UNMERGE_SYSTEM,MATCH(R9,DIFFERENTIATION_ID_DIFF,0)))</f>
        <v>Майская ГРЭС</v>
      </c>
      <c r="S12" s="2184" t="str">
        <f>IF(S9="","",INDEX(DIFFERENTIATION_UNMERGE_SYSTEM,MATCH(S9,DIFFERENTIATION_ID_DIFF,0)))</f>
        <v>Николаевская ТЭЦ</v>
      </c>
      <c r="T12" s="2184" t="str">
        <f>IF(T9="","",INDEX(DIFFERENTIATION_UNMERGE_SYSTEM,MATCH(T9,DIFFERENTIATION_ID_DIFF,0)))</f>
        <v>г. Хабаровск, Хабаровский муниципальный район</v>
      </c>
      <c r="U12" s="2184" t="str">
        <f>IF(U9="","",INDEX(DIFFERENTIATION_UNMERGE_SYSTEM,MATCH(U9,DIFFERENTIATION_ID_DIFF,0)))</f>
        <v>г. Комсомольск-на-Амуре</v>
      </c>
      <c r="V12" s="2184" t="str">
        <f>IF(V9="","",INDEX(DIFFERENTIATION_UNMERGE_SYSTEM,MATCH(V9,DIFFERENTIATION_ID_DIFF,0)))</f>
        <v>г. Амурск</v>
      </c>
      <c r="W12" s="2184" t="str">
        <f>IF(W9="","",INDEX(DIFFERENTIATION_UNMERGE_SYSTEM,MATCH(W9,DIFFERENTIATION_ID_DIFF,0)))</f>
        <v>п. Майский</v>
      </c>
      <c r="X12" s="2184" t="str">
        <f>IF(X9="","",INDEX(DIFFERENTIATION_UNMERGE_SYSTEM,MATCH(X9,DIFFERENTIATION_ID_DIFF,0)))</f>
        <v>г. Николаевск-на-Амуре</v>
      </c>
      <c r="Y12" s="2184" t="str">
        <f>IF(Y9="","",INDEX(DIFFERENTIATION_UNMERGE_SYSTEM,MATCH(Y9,DIFFERENTIATION_ID_DIFF,0)))</f>
        <v>п. Чегдомын</v>
      </c>
      <c r="Z12" s="2184" t="str">
        <f>IF(Z9="","",INDEX(DIFFERENTIATION_UNMERGE_SYSTEM,MATCH(Z9,DIFFERENTIATION_ID_DIFF,0)))</f>
        <v>г. Советская Гавань</v>
      </c>
      <c r="AA12" s="2184" t="str">
        <f>IF(AA9="","",INDEX(DIFFERENTIATION_UNMERGE_SYSTEM,MATCH(AA9,DIFFERENTIATION_ID_DIFF,0)))</f>
        <v>Хабаровская ТЭЦ-2</v>
      </c>
      <c r="AB12" s="2184">
        <f>IF(AB9="","",INDEX(DIFFERENTIATION_UNMERGE_SYSTEM,MATCH(AB9,DIFFERENTIATION_ID_DIFF,0)))</f>
      </c>
      <c r="AC12" s="2184">
        <f>IF(AC9="","",INDEX(DIFFERENTIATION_UNMERGE_SYSTEM,MATCH(AC9,DIFFERENTIATION_ID_DIFF,0)))</f>
      </c>
      <c r="AD12" s="2184">
        <f>IF(AD9="","",INDEX(DIFFERENTIATION_UNMERGE_SYSTEM,MATCH(AD9,DIFFERENTIATION_ID_DIFF,0)))</f>
      </c>
      <c r="AE12" s="2184">
        <f>IF(AE9="","",INDEX(DIFFERENTIATION_UNMERGE_SYSTEM,MATCH(AE9,DIFFERENTIATION_ID_DIFF,0)))</f>
      </c>
      <c r="AF12" s="2184">
        <f>IF(AF9="","",INDEX(DIFFERENTIATION_UNMERGE_SYSTEM,MATCH(AF9,DIFFERENTIATION_ID_DIFF,0)))</f>
      </c>
      <c r="AG12" s="2184">
        <f>IF(AG9="","",INDEX(DIFFERENTIATION_UNMERGE_SYSTEM,MATCH(AG9,DIFFERENTIATION_ID_DIFF,0)))</f>
      </c>
      <c r="AH12" s="2184">
        <f>IF(AH9="","",INDEX(DIFFERENTIATION_UNMERGE_SYSTEM,MATCH(AH9,DIFFERENTIATION_ID_DIFF,0)))</f>
      </c>
      <c r="AI12" s="2184">
        <f>IF(AI9="","",INDEX(DIFFERENTIATION_UNMERGE_SYSTEM,MATCH(AI9,DIFFERENTIATION_ID_DIFF,0)))</f>
      </c>
      <c r="AJ12" s="2184">
        <f>IF(AJ9="","",INDEX(DIFFERENTIATION_UNMERGE_SYSTEM,MATCH(AJ9,DIFFERENTIATION_ID_DIFF,0)))</f>
      </c>
      <c r="AK12" s="2184">
        <f>IF(AK9="","",INDEX(DIFFERENTIATION_UNMERGE_SYSTEM,MATCH(AK9,DIFFERENTIATION_ID_DIFF,0)))</f>
      </c>
      <c r="AL12" s="2184" t="str">
        <f>IF(AL9="","",INDEX(DIFFERENTIATION_UNMERGE_SYSTEM,MATCH(AL9,DIFFERENTIATION_ID_DIFF,0)))</f>
        <v>Некрасовская котельная</v>
      </c>
      <c r="AM12" s="2184" t="str">
        <f>IF(AM9="","",INDEX(DIFFERENTIATION_UNMERGE_SYSTEM,MATCH(AM9,DIFFERENTIATION_ID_DIFF,0)))</f>
        <v>котельная "Дземги"</v>
      </c>
      <c r="AN12" s="2184" t="str">
        <f>IF(AN9="","",INDEX(DIFFERENTIATION_UNMERGE_SYSTEM,MATCH(AN9,DIFFERENTIATION_ID_DIFF,0)))</f>
        <v>Майская котельная</v>
      </c>
      <c r="AO12" s="2184" t="str">
        <f>IF(AO9="","",INDEX(DIFFERENTIATION_UNMERGE_SYSTEM,MATCH(AO9,DIFFERENTIATION_ID_DIFF,0)))</f>
        <v>Ургальская котельная</v>
      </c>
      <c r="AP12" s="2184" t="str">
        <f>IF(AP9="","",INDEX(DIFFERENTIATION_UNMERGE_SYSTEM,MATCH(AP9,DIFFERENTIATION_ID_DIFF,0)))</f>
        <v>Комсомольские тепловые сети</v>
      </c>
      <c r="AQ12" s="2184" t="str">
        <f>IF(AQ9="","",INDEX(DIFFERENTIATION_UNMERGE_SYSTEM,MATCH(AQ9,DIFFERENTIATION_ID_DIFF,0)))</f>
        <v>Хабаровские тепловые сети</v>
      </c>
      <c r="AR12" s="2184" t="str">
        <f>IF(AR9="","",INDEX(DIFFERENTIATION_UNMERGE_SYSTEM,MATCH(AR9,DIFFERENTIATION_ID_DIFF,0)))</f>
        <v>ТЭЦ в г. Советская Гавань</v>
      </c>
      <c r="AS12" s="4634" t="str">
        <f>IF(AS9="","",INDEX(DIFFERENTIATION_UNMERGE_SYSTEM,MATCH(AS9,DIFFERENTIATION_ID_DIFF,0)))</f>
        <v>котельная "Аэропорт"</v>
      </c>
      <c r="AT12" s="4634" t="str">
        <f>IF(AT9="","",INDEX(DIFFERENTIATION_UNMERGE_SYSTEM,MATCH(AT9,DIFFERENTIATION_ID_DIFF,0)))</f>
        <v>котельная в Волочаевском городке</v>
      </c>
      <c r="AU12" s="4634" t="str">
        <f>IF(AU9="","",INDEX(DIFFERENTIATION_UNMERGE_SYSTEM,MATCH(AU9,DIFFERENTIATION_ID_DIFF,0)))</f>
        <v>без дифференциации</v>
      </c>
      <c r="AW12" s="2978"/>
      <c r="BS12" s="1727">
        <v>11</v>
      </c>
    </row>
    <row customHeight="1" ht="11.549999999999999">
      <c r="E13" s="2141" t="s">
        <v>763</v>
      </c>
      <c r="F13" s="2141" t="s">
        <v>764</v>
      </c>
      <c r="I13" s="3206" t="s">
        <v>385</v>
      </c>
      <c r="J13" s="3207"/>
      <c r="K13" s="3207"/>
      <c r="L13" s="2118"/>
      <c r="M13" s="2158"/>
      <c r="N13" s="2181"/>
      <c r="O13" s="2181"/>
      <c r="P13" s="2181"/>
      <c r="Q13" s="2181"/>
      <c r="R13" s="2181"/>
      <c r="S13" s="2181"/>
      <c r="T13" s="2181"/>
      <c r="U13" s="2181"/>
      <c r="V13" s="2181"/>
      <c r="W13" s="2181"/>
      <c r="X13" s="2181"/>
      <c r="Y13" s="2181"/>
      <c r="Z13" s="2181"/>
      <c r="AA13" s="2181"/>
      <c r="AB13" s="2181"/>
      <c r="AC13" s="2181"/>
      <c r="AD13" s="2181"/>
      <c r="AE13" s="2181"/>
      <c r="AF13" s="2181"/>
      <c r="AG13" s="2181"/>
      <c r="AH13" s="2181"/>
      <c r="AI13" s="2181"/>
      <c r="AJ13" s="2181"/>
      <c r="AK13" s="2181"/>
      <c r="AL13" s="2181"/>
      <c r="AM13" s="2181"/>
      <c r="AN13" s="2181"/>
      <c r="AO13" s="2181"/>
      <c r="AP13" s="2181"/>
      <c r="AQ13" s="2181"/>
      <c r="AR13" s="2181"/>
      <c r="AS13" s="4639"/>
      <c r="AT13" s="4639"/>
      <c r="AU13" s="4639"/>
      <c r="AW13" s="2978"/>
      <c r="BS13" s="1727">
        <v>11</v>
      </c>
    </row>
    <row customHeight="1" ht="24">
      <c r="I14" s="2111" t="s">
        <v>88</v>
      </c>
      <c r="J14" s="2111" t="s">
        <v>387</v>
      </c>
      <c r="K14" s="2111" t="s">
        <v>651</v>
      </c>
      <c r="L14" s="2151" t="s">
        <v>388</v>
      </c>
      <c r="M14" s="2152" t="s">
        <v>388</v>
      </c>
      <c r="N14" s="2175" t="s">
        <v>388</v>
      </c>
      <c r="O14" s="2175" t="s">
        <v>388</v>
      </c>
      <c r="P14" s="2175" t="s">
        <v>388</v>
      </c>
      <c r="Q14" s="2175" t="s">
        <v>388</v>
      </c>
      <c r="R14" s="2175" t="s">
        <v>388</v>
      </c>
      <c r="S14" s="2175" t="s">
        <v>388</v>
      </c>
      <c r="T14" s="2175" t="s">
        <v>388</v>
      </c>
      <c r="U14" s="2175" t="s">
        <v>388</v>
      </c>
      <c r="V14" s="2175" t="s">
        <v>388</v>
      </c>
      <c r="W14" s="2175" t="s">
        <v>388</v>
      </c>
      <c r="X14" s="2175" t="s">
        <v>388</v>
      </c>
      <c r="Y14" s="2175" t="s">
        <v>388</v>
      </c>
      <c r="Z14" s="2175" t="s">
        <v>388</v>
      </c>
      <c r="AA14" s="2175" t="s">
        <v>388</v>
      </c>
      <c r="AB14" s="2175" t="s">
        <v>388</v>
      </c>
      <c r="AC14" s="2175" t="s">
        <v>388</v>
      </c>
      <c r="AD14" s="2175" t="s">
        <v>388</v>
      </c>
      <c r="AE14" s="2175" t="s">
        <v>388</v>
      </c>
      <c r="AF14" s="2175" t="s">
        <v>388</v>
      </c>
      <c r="AG14" s="2175" t="s">
        <v>388</v>
      </c>
      <c r="AH14" s="2175" t="s">
        <v>388</v>
      </c>
      <c r="AI14" s="2175" t="s">
        <v>388</v>
      </c>
      <c r="AJ14" s="2175" t="s">
        <v>388</v>
      </c>
      <c r="AK14" s="2175" t="s">
        <v>388</v>
      </c>
      <c r="AL14" s="2175" t="s">
        <v>388</v>
      </c>
      <c r="AM14" s="2175" t="s">
        <v>388</v>
      </c>
      <c r="AN14" s="2175" t="s">
        <v>388</v>
      </c>
      <c r="AO14" s="2175" t="s">
        <v>388</v>
      </c>
      <c r="AP14" s="2175" t="s">
        <v>388</v>
      </c>
      <c r="AQ14" s="2175" t="s">
        <v>388</v>
      </c>
      <c r="AR14" s="2175" t="s">
        <v>388</v>
      </c>
      <c r="AS14" s="4994" t="s">
        <v>388</v>
      </c>
      <c r="AT14" s="4994" t="s">
        <v>388</v>
      </c>
      <c r="AU14" s="4994" t="s">
        <v>388</v>
      </c>
      <c r="AW14" s="2978"/>
      <c r="BS14" s="1727">
        <v>23</v>
      </c>
    </row>
    <row customHeight="1" ht="24">
      <c r="A15" s="2145"/>
      <c r="B15" s="2144" t="s">
        <v>765</v>
      </c>
      <c r="C15" s="2144" t="s">
        <v>766</v>
      </c>
      <c r="D15" s="2143" t="s">
        <v>767</v>
      </c>
      <c r="E15" s="2147" t="s">
        <v>768</v>
      </c>
      <c r="F15" s="2147" t="s">
        <v>768</v>
      </c>
      <c r="G15" s="1732" t="s">
        <v>674</v>
      </c>
      <c r="H15" s="2112"/>
      <c r="I15" s="1726">
        <v>1</v>
      </c>
      <c r="J15" s="2113" t="s">
        <v>769</v>
      </c>
      <c r="K15" s="2111" t="s">
        <v>391</v>
      </c>
      <c r="L15" s="769"/>
      <c r="M15" s="91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5000"/>
      <c r="AT15" s="5000"/>
      <c r="AU15" s="5000"/>
      <c r="AV15" s="650" t="s">
        <v>770</v>
      </c>
      <c r="AW15" s="1621" t="s">
        <v>771</v>
      </c>
      <c r="AX15" s="650" t="s">
        <v>770</v>
      </c>
      <c r="BS15" s="1727">
        <v>23</v>
      </c>
    </row>
    <row customHeight="1" ht="35.699999999999996">
      <c r="A16" s="2145"/>
      <c r="B16" s="2144" t="s">
        <v>772</v>
      </c>
      <c r="C16" s="2144" t="s">
        <v>773</v>
      </c>
      <c r="D16" s="2143" t="s">
        <v>757</v>
      </c>
      <c r="E16" s="2147" t="s">
        <v>768</v>
      </c>
      <c r="F16" s="2147" t="s">
        <v>768</v>
      </c>
      <c r="H16" s="2112"/>
      <c r="I16" s="1725">
        <v>2</v>
      </c>
      <c r="J16" s="2154" t="s">
        <v>774</v>
      </c>
      <c r="K16" s="2153" t="s">
        <v>641</v>
      </c>
      <c r="L16" s="2159"/>
      <c r="M16" s="1772"/>
      <c r="N16" s="2159"/>
      <c r="O16" s="2159"/>
      <c r="P16" s="2159"/>
      <c r="Q16" s="2159"/>
      <c r="R16" s="2159"/>
      <c r="S16" s="2159"/>
      <c r="T16" s="2159"/>
      <c r="U16" s="2159"/>
      <c r="V16" s="2159"/>
      <c r="W16" s="2159"/>
      <c r="X16" s="2159"/>
      <c r="Y16" s="2159"/>
      <c r="Z16" s="2159"/>
      <c r="AA16" s="2159"/>
      <c r="AB16" s="2159"/>
      <c r="AC16" s="2159"/>
      <c r="AD16" s="2159"/>
      <c r="AE16" s="2159"/>
      <c r="AF16" s="2159"/>
      <c r="AG16" s="2159"/>
      <c r="AH16" s="2159"/>
      <c r="AI16" s="2159"/>
      <c r="AJ16" s="2159"/>
      <c r="AK16" s="2159"/>
      <c r="AL16" s="2159"/>
      <c r="AM16" s="2159"/>
      <c r="AN16" s="2159"/>
      <c r="AO16" s="2159"/>
      <c r="AP16" s="2159"/>
      <c r="AQ16" s="2159"/>
      <c r="AR16" s="2159"/>
      <c r="AS16" s="5006"/>
      <c r="AT16" s="5006"/>
      <c r="AU16" s="5006"/>
      <c r="AV16" s="650" t="s">
        <v>770</v>
      </c>
      <c r="AW16" s="1621" t="s">
        <v>775</v>
      </c>
      <c r="AX16" s="650" t="s">
        <v>770</v>
      </c>
      <c r="BS16" s="1727">
        <v>34</v>
      </c>
    </row>
    <row s="10307" customFormat="1" customHeight="1" ht="17.25" hidden="1">
      <c r="A17" s="1263"/>
      <c r="B17" s="1263"/>
      <c r="C17" s="1263"/>
      <c r="D17" s="1263"/>
      <c r="E17" s="1263"/>
      <c r="H17" s="1420"/>
      <c r="I17" s="1113" t="s">
        <v>776</v>
      </c>
      <c r="J17" s="1091"/>
      <c r="K17" s="1113"/>
      <c r="L17" s="1092"/>
      <c r="M17" s="1092"/>
      <c r="N17" s="1092"/>
      <c r="O17" s="1092"/>
      <c r="P17" s="1092"/>
      <c r="Q17" s="1092"/>
      <c r="R17" s="1092"/>
      <c r="S17" s="1092"/>
      <c r="T17" s="1092"/>
      <c r="U17" s="1092"/>
      <c r="V17" s="1092"/>
      <c r="W17" s="1092"/>
      <c r="X17" s="1092"/>
      <c r="Y17" s="1092"/>
      <c r="Z17" s="1092"/>
      <c r="AA17" s="1092"/>
      <c r="AB17" s="1092"/>
      <c r="AC17" s="1092"/>
      <c r="AD17" s="1092"/>
      <c r="AE17" s="1092"/>
      <c r="AF17" s="1092"/>
      <c r="AG17" s="1092"/>
      <c r="AH17" s="1092"/>
      <c r="AI17" s="1092"/>
      <c r="AJ17" s="1092"/>
      <c r="AK17" s="1092"/>
      <c r="AL17" s="1092"/>
      <c r="AM17" s="1092"/>
      <c r="AN17" s="1092"/>
      <c r="AO17" s="1092"/>
      <c r="AP17" s="1092"/>
      <c r="AQ17" s="1092"/>
      <c r="AR17" s="1092"/>
      <c r="AS17" s="4713"/>
      <c r="AT17" s="4713"/>
      <c r="AU17" s="4713"/>
      <c r="AW17" s="1481"/>
      <c r="BS17" s="1732">
        <v>1</v>
      </c>
    </row>
    <row s="10306" customFormat="1" customHeight="1" ht="24">
      <c r="A18" s="1087"/>
      <c r="B18" s="1087"/>
      <c r="C18" s="1087"/>
      <c r="D18" s="1087"/>
      <c r="E18" s="1087"/>
      <c r="G18" s="1732"/>
      <c r="H18" s="1729"/>
      <c r="I18" s="677"/>
      <c r="J18" s="678" t="s">
        <v>682</v>
      </c>
      <c r="K18" s="679"/>
      <c r="L18" s="2161"/>
      <c r="M18" s="680"/>
      <c r="N18" s="2359"/>
      <c r="O18" s="2360"/>
      <c r="P18" s="2361"/>
      <c r="Q18" s="2362"/>
      <c r="R18" s="2363"/>
      <c r="S18" s="2364"/>
      <c r="T18" s="2365"/>
      <c r="U18" s="2366"/>
      <c r="V18" s="2367"/>
      <c r="W18" s="2368"/>
      <c r="X18" s="2369"/>
      <c r="Y18" s="2370"/>
      <c r="Z18" s="2371"/>
      <c r="AA18" s="2372"/>
      <c r="AB18" s="2373"/>
      <c r="AC18" s="2374"/>
      <c r="AD18" s="2375"/>
      <c r="AE18" s="2376"/>
      <c r="AF18" s="2377"/>
      <c r="AG18" s="2378"/>
      <c r="AH18" s="2379"/>
      <c r="AI18" s="2380"/>
      <c r="AJ18" s="2381"/>
      <c r="AK18" s="2382"/>
      <c r="AL18" s="2383"/>
      <c r="AM18" s="2384"/>
      <c r="AN18" s="2385"/>
      <c r="AO18" s="2386"/>
      <c r="AP18" s="2387"/>
      <c r="AQ18" s="2388"/>
      <c r="AR18" s="2389"/>
      <c r="AS18" s="5039"/>
      <c r="AT18" s="5040"/>
      <c r="AU18" s="5041"/>
      <c r="AV18" s="650"/>
      <c r="AW18" s="1621" t="s">
        <v>683</v>
      </c>
      <c r="AX18" s="650"/>
      <c r="AY18" s="1732"/>
      <c r="AZ18" s="1732"/>
      <c r="BE18" s="1732"/>
      <c r="BH18" s="651"/>
      <c r="BN18" s="1728"/>
      <c r="BO18" s="1728"/>
      <c r="BP18" s="1728"/>
      <c r="BQ18" s="1728"/>
      <c r="BR18" s="1728"/>
      <c r="BS18" s="1462">
        <v>23</v>
      </c>
    </row>
    <row customHeight="1" ht="19.95">
      <c r="A19" s="2145"/>
      <c r="B19" s="2144" t="s">
        <v>777</v>
      </c>
      <c r="C19" s="2144" t="s">
        <v>778</v>
      </c>
      <c r="D19" s="2143" t="s">
        <v>757</v>
      </c>
      <c r="E19" s="2147" t="s">
        <v>768</v>
      </c>
      <c r="F19" s="2147" t="s">
        <v>768</v>
      </c>
      <c r="H19" s="2112"/>
      <c r="I19" s="1760">
        <v>3</v>
      </c>
      <c r="J19" s="2113" t="s">
        <v>778</v>
      </c>
      <c r="K19" s="2109" t="s">
        <v>641</v>
      </c>
      <c r="L19" s="834"/>
      <c r="M19" s="664"/>
      <c r="N19" s="834"/>
      <c r="O19" s="834"/>
      <c r="P19" s="834"/>
      <c r="Q19" s="834"/>
      <c r="R19" s="834"/>
      <c r="S19" s="834"/>
      <c r="T19" s="834"/>
      <c r="U19" s="834"/>
      <c r="V19" s="834"/>
      <c r="W19" s="834"/>
      <c r="X19" s="834"/>
      <c r="Y19" s="834"/>
      <c r="Z19" s="834"/>
      <c r="AA19" s="834"/>
      <c r="AB19" s="834"/>
      <c r="AC19" s="834"/>
      <c r="AD19" s="834"/>
      <c r="AE19" s="834"/>
      <c r="AF19" s="834"/>
      <c r="AG19" s="834"/>
      <c r="AH19" s="834"/>
      <c r="AI19" s="834"/>
      <c r="AJ19" s="834"/>
      <c r="AK19" s="834"/>
      <c r="AL19" s="834"/>
      <c r="AM19" s="834"/>
      <c r="AN19" s="834"/>
      <c r="AO19" s="834"/>
      <c r="AP19" s="834"/>
      <c r="AQ19" s="834"/>
      <c r="AR19" s="834"/>
      <c r="AS19" s="5045"/>
      <c r="AT19" s="5045"/>
      <c r="AU19" s="5045"/>
      <c r="AV19" s="650"/>
      <c r="AW19" s="1621" t="s">
        <v>779</v>
      </c>
      <c r="AX19" s="650"/>
      <c r="BS19" s="1727">
        <v>19</v>
      </c>
    </row>
    <row customHeight="1" ht="77.7">
      <c r="A20" s="2145"/>
      <c r="B20" s="2144" t="s">
        <v>780</v>
      </c>
      <c r="C20" s="2144" t="s">
        <v>781</v>
      </c>
      <c r="D20" s="2143" t="s">
        <v>757</v>
      </c>
      <c r="E20" s="2147" t="s">
        <v>768</v>
      </c>
      <c r="F20" s="2147" t="s">
        <v>768</v>
      </c>
      <c r="H20" s="2112"/>
      <c r="I20" s="1760">
        <v>4</v>
      </c>
      <c r="J20" s="2113" t="s">
        <v>782</v>
      </c>
      <c r="K20" s="2109" t="s">
        <v>679</v>
      </c>
      <c r="L20" s="834"/>
      <c r="M20" s="664"/>
      <c r="N20" s="834"/>
      <c r="O20" s="834"/>
      <c r="P20" s="834"/>
      <c r="Q20" s="834"/>
      <c r="R20" s="834"/>
      <c r="S20" s="834"/>
      <c r="T20" s="834"/>
      <c r="U20" s="834"/>
      <c r="V20" s="834"/>
      <c r="W20" s="834"/>
      <c r="X20" s="834"/>
      <c r="Y20" s="834"/>
      <c r="Z20" s="834"/>
      <c r="AA20" s="834"/>
      <c r="AB20" s="834"/>
      <c r="AC20" s="834"/>
      <c r="AD20" s="834"/>
      <c r="AE20" s="834"/>
      <c r="AF20" s="834"/>
      <c r="AG20" s="834"/>
      <c r="AH20" s="834"/>
      <c r="AI20" s="834"/>
      <c r="AJ20" s="834"/>
      <c r="AK20" s="834"/>
      <c r="AL20" s="834"/>
      <c r="AM20" s="834"/>
      <c r="AN20" s="834"/>
      <c r="AO20" s="834"/>
      <c r="AP20" s="834"/>
      <c r="AQ20" s="834"/>
      <c r="AR20" s="834"/>
      <c r="AS20" s="5045"/>
      <c r="AT20" s="5045"/>
      <c r="AU20" s="5045"/>
      <c r="AV20" s="650"/>
      <c r="AW20" s="1621"/>
      <c r="AX20" s="650"/>
      <c r="BS20" s="1727">
        <v>74</v>
      </c>
    </row>
    <row customHeight="1" ht="35.699999999999996">
      <c r="A21" s="2145"/>
      <c r="B21" s="2144" t="s">
        <v>783</v>
      </c>
      <c r="C21" s="2144" t="s">
        <v>784</v>
      </c>
      <c r="D21" s="2143" t="s">
        <v>757</v>
      </c>
      <c r="E21" s="2147" t="s">
        <v>768</v>
      </c>
      <c r="F21" s="2147" t="s">
        <v>768</v>
      </c>
      <c r="H21" s="2112"/>
      <c r="I21" s="1760">
        <v>5</v>
      </c>
      <c r="J21" s="2113" t="s">
        <v>785</v>
      </c>
      <c r="K21" s="2109" t="s">
        <v>679</v>
      </c>
      <c r="L21" s="834"/>
      <c r="M21" s="66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4"/>
      <c r="AL21" s="834"/>
      <c r="AM21" s="834"/>
      <c r="AN21" s="834"/>
      <c r="AO21" s="834"/>
      <c r="AP21" s="834"/>
      <c r="AQ21" s="834"/>
      <c r="AR21" s="834"/>
      <c r="AS21" s="5045"/>
      <c r="AT21" s="5045"/>
      <c r="AU21" s="5045"/>
      <c r="AV21" s="650"/>
      <c r="AW21" s="1621" t="s">
        <v>779</v>
      </c>
      <c r="AX21" s="650"/>
      <c r="BS21" s="1727">
        <v>34</v>
      </c>
    </row>
    <row customHeight="1" ht="48.29999999999999">
      <c r="A22" s="2145"/>
      <c r="B22" s="2144" t="s">
        <v>786</v>
      </c>
      <c r="C22" s="2144" t="s">
        <v>787</v>
      </c>
      <c r="D22" s="2143" t="s">
        <v>757</v>
      </c>
      <c r="E22" s="2147" t="s">
        <v>768</v>
      </c>
      <c r="F22" s="2147" t="s">
        <v>768</v>
      </c>
      <c r="H22" s="2112"/>
      <c r="I22" s="1760">
        <v>6</v>
      </c>
      <c r="J22" s="2113" t="s">
        <v>788</v>
      </c>
      <c r="K22" s="2109" t="s">
        <v>679</v>
      </c>
      <c r="L22" s="834"/>
      <c r="M22" s="66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5045"/>
      <c r="AT22" s="5045"/>
      <c r="AU22" s="5045"/>
      <c r="AV22" s="650"/>
      <c r="AW22" s="1621" t="s">
        <v>789</v>
      </c>
      <c r="AX22" s="650"/>
      <c r="BS22" s="1727">
        <v>46</v>
      </c>
    </row>
    <row customHeight="1" ht="19.95">
      <c r="A23" s="2145"/>
      <c r="B23" s="2144" t="s">
        <v>790</v>
      </c>
      <c r="C23" s="2144" t="s">
        <v>791</v>
      </c>
      <c r="D23" s="2143" t="s">
        <v>757</v>
      </c>
      <c r="E23" s="2147" t="s">
        <v>768</v>
      </c>
      <c r="F23" s="2147" t="s">
        <v>768</v>
      </c>
      <c r="H23" s="2112"/>
      <c r="I23" s="1760" t="s">
        <v>792</v>
      </c>
      <c r="J23" s="1620" t="s">
        <v>793</v>
      </c>
      <c r="K23" s="2109" t="s">
        <v>679</v>
      </c>
      <c r="L23" s="834"/>
      <c r="M23" s="66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4"/>
      <c r="AO23" s="834"/>
      <c r="AP23" s="834"/>
      <c r="AQ23" s="834"/>
      <c r="AR23" s="834"/>
      <c r="AS23" s="5045"/>
      <c r="AT23" s="5045"/>
      <c r="AU23" s="5045"/>
      <c r="AV23" s="650"/>
      <c r="AW23" s="1621" t="s">
        <v>779</v>
      </c>
      <c r="AX23" s="650"/>
      <c r="BS23" s="1727">
        <v>19</v>
      </c>
    </row>
    <row customHeight="1" ht="19.95">
      <c r="A24" s="2145"/>
      <c r="B24" s="2144" t="s">
        <v>794</v>
      </c>
      <c r="C24" s="2144" t="s">
        <v>795</v>
      </c>
      <c r="D24" s="2143" t="s">
        <v>757</v>
      </c>
      <c r="E24" s="2147" t="s">
        <v>768</v>
      </c>
      <c r="F24" s="2147" t="s">
        <v>768</v>
      </c>
      <c r="H24" s="2112"/>
      <c r="I24" s="1760" t="s">
        <v>796</v>
      </c>
      <c r="J24" s="1620" t="s">
        <v>797</v>
      </c>
      <c r="K24" s="2109" t="s">
        <v>679</v>
      </c>
      <c r="L24" s="834"/>
      <c r="M24" s="66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5045"/>
      <c r="AT24" s="5045"/>
      <c r="AU24" s="5045"/>
      <c r="AV24" s="650"/>
      <c r="AW24" s="1621"/>
      <c r="AX24" s="650"/>
      <c r="BS24" s="1727">
        <v>19</v>
      </c>
    </row>
    <row customHeight="1" ht="24">
      <c r="A25" s="2145"/>
      <c r="B25" s="2144" t="s">
        <v>798</v>
      </c>
      <c r="C25" s="2144" t="s">
        <v>799</v>
      </c>
      <c r="D25" s="2143" t="s">
        <v>757</v>
      </c>
      <c r="E25" s="2147" t="s">
        <v>768</v>
      </c>
      <c r="F25" s="2147" t="s">
        <v>768</v>
      </c>
      <c r="H25" s="2112"/>
      <c r="I25" s="1760" t="s">
        <v>800</v>
      </c>
      <c r="J25" s="1620" t="s">
        <v>801</v>
      </c>
      <c r="K25" s="2109" t="s">
        <v>679</v>
      </c>
      <c r="L25" s="834"/>
      <c r="M25" s="66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5045"/>
      <c r="AT25" s="5045"/>
      <c r="AU25" s="5045"/>
      <c r="AV25" s="650"/>
      <c r="AW25" s="1621"/>
      <c r="AX25" s="650"/>
      <c r="BS25" s="1727">
        <v>23</v>
      </c>
    </row>
    <row customHeight="1" ht="24">
      <c r="A26" s="2145"/>
      <c r="B26" s="2144" t="s">
        <v>802</v>
      </c>
      <c r="C26" s="2144" t="s">
        <v>803</v>
      </c>
      <c r="D26" s="2143" t="s">
        <v>757</v>
      </c>
      <c r="E26" s="2147" t="s">
        <v>768</v>
      </c>
      <c r="F26" s="2147" t="s">
        <v>768</v>
      </c>
      <c r="H26" s="2112"/>
      <c r="I26" s="1760">
        <v>7</v>
      </c>
      <c r="J26" s="2113" t="s">
        <v>803</v>
      </c>
      <c r="K26" s="2109" t="s">
        <v>804</v>
      </c>
      <c r="L26" s="834"/>
      <c r="M26" s="664"/>
      <c r="N26" s="834"/>
      <c r="O26" s="834"/>
      <c r="P26" s="834"/>
      <c r="Q26" s="834"/>
      <c r="R26" s="834"/>
      <c r="S26" s="834"/>
      <c r="T26" s="834"/>
      <c r="U26" s="834"/>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834"/>
      <c r="AS26" s="5045"/>
      <c r="AT26" s="5045"/>
      <c r="AU26" s="5045"/>
      <c r="AV26" s="650"/>
      <c r="AW26" s="1621"/>
      <c r="AX26" s="650"/>
      <c r="BS26" s="1727">
        <v>23</v>
      </c>
    </row>
    <row customHeight="1" ht="24">
      <c r="A27" s="2145"/>
      <c r="B27" s="2144" t="s">
        <v>805</v>
      </c>
      <c r="C27" s="2144" t="s">
        <v>806</v>
      </c>
      <c r="D27" s="2143" t="s">
        <v>757</v>
      </c>
      <c r="E27" s="2147" t="s">
        <v>768</v>
      </c>
      <c r="F27" s="2147" t="s">
        <v>768</v>
      </c>
      <c r="H27" s="2112"/>
      <c r="I27" s="1760">
        <v>8</v>
      </c>
      <c r="J27" s="2113" t="s">
        <v>806</v>
      </c>
      <c r="K27" s="2109" t="s">
        <v>684</v>
      </c>
      <c r="L27" s="834"/>
      <c r="M27" s="664"/>
      <c r="N27" s="834"/>
      <c r="O27" s="834"/>
      <c r="P27" s="834"/>
      <c r="Q27" s="834"/>
      <c r="R27" s="834"/>
      <c r="S27" s="834"/>
      <c r="T27" s="834"/>
      <c r="U27" s="834"/>
      <c r="V27" s="834"/>
      <c r="W27" s="834"/>
      <c r="X27" s="834"/>
      <c r="Y27" s="834"/>
      <c r="Z27" s="834"/>
      <c r="AA27" s="834"/>
      <c r="AB27" s="834"/>
      <c r="AC27" s="834"/>
      <c r="AD27" s="834"/>
      <c r="AE27" s="834"/>
      <c r="AF27" s="834"/>
      <c r="AG27" s="834"/>
      <c r="AH27" s="834"/>
      <c r="AI27" s="834"/>
      <c r="AJ27" s="834"/>
      <c r="AK27" s="834"/>
      <c r="AL27" s="834"/>
      <c r="AM27" s="834"/>
      <c r="AN27" s="834"/>
      <c r="AO27" s="834"/>
      <c r="AP27" s="834"/>
      <c r="AQ27" s="834"/>
      <c r="AR27" s="834"/>
      <c r="AS27" s="5045"/>
      <c r="AT27" s="5045"/>
      <c r="AU27" s="5045"/>
      <c r="AV27" s="650"/>
      <c r="AW27" s="1621"/>
      <c r="AX27" s="650"/>
      <c r="BS27" s="1727">
        <v>23</v>
      </c>
    </row>
    <row customHeight="1" ht="35.699999999999996">
      <c r="A28" s="2145"/>
      <c r="B28" s="2144" t="s">
        <v>807</v>
      </c>
      <c r="C28" s="2144" t="s">
        <v>808</v>
      </c>
      <c r="D28" s="2143" t="s">
        <v>757</v>
      </c>
      <c r="E28" s="2147" t="s">
        <v>768</v>
      </c>
      <c r="F28" s="2147" t="s">
        <v>768</v>
      </c>
      <c r="H28" s="2112"/>
      <c r="I28" s="1771">
        <v>9</v>
      </c>
      <c r="J28" s="2113" t="s">
        <v>809</v>
      </c>
      <c r="K28" s="2109" t="s">
        <v>645</v>
      </c>
      <c r="L28" s="834"/>
      <c r="M28" s="66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M28" s="834"/>
      <c r="AN28" s="834"/>
      <c r="AO28" s="834"/>
      <c r="AP28" s="834"/>
      <c r="AQ28" s="834"/>
      <c r="AR28" s="834"/>
      <c r="AS28" s="5045"/>
      <c r="AT28" s="5045"/>
      <c r="AU28" s="5045"/>
      <c r="AV28" s="650"/>
      <c r="AW28" s="1621"/>
      <c r="AX28" s="650"/>
      <c r="BS28" s="1727">
        <v>34</v>
      </c>
    </row>
    <row customHeight="1" ht="35.699999999999996">
      <c r="A29" s="2145"/>
      <c r="B29" s="2144" t="s">
        <v>810</v>
      </c>
      <c r="C29" s="2144" t="s">
        <v>811</v>
      </c>
      <c r="D29" s="2143" t="s">
        <v>757</v>
      </c>
      <c r="E29" s="2147" t="s">
        <v>768</v>
      </c>
      <c r="F29" s="2147" t="s">
        <v>768</v>
      </c>
      <c r="H29" s="2112"/>
      <c r="I29" s="1771">
        <v>10</v>
      </c>
      <c r="J29" s="2113" t="s">
        <v>812</v>
      </c>
      <c r="K29" s="2109" t="s">
        <v>645</v>
      </c>
      <c r="L29" s="834"/>
      <c r="M29" s="66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5045"/>
      <c r="AT29" s="5045"/>
      <c r="AU29" s="5045"/>
      <c r="AV29" s="650"/>
      <c r="AW29" s="1621"/>
      <c r="AX29" s="650"/>
      <c r="BS29" s="1727">
        <v>34</v>
      </c>
    </row>
    <row customHeight="1" ht="24">
      <c r="A30" s="2145"/>
      <c r="B30" s="2144" t="s">
        <v>813</v>
      </c>
      <c r="C30" s="2144" t="s">
        <v>814</v>
      </c>
      <c r="D30" s="2143" t="s">
        <v>757</v>
      </c>
      <c r="E30" s="2147" t="s">
        <v>768</v>
      </c>
      <c r="F30" s="2147" t="s">
        <v>768</v>
      </c>
      <c r="H30" s="2112"/>
      <c r="I30" s="1771">
        <v>11</v>
      </c>
      <c r="J30" s="2113" t="s">
        <v>814</v>
      </c>
      <c r="K30" s="2109" t="s">
        <v>685</v>
      </c>
      <c r="L30" s="2160"/>
      <c r="M30" s="1717"/>
      <c r="N30" s="2160"/>
      <c r="O30" s="2160"/>
      <c r="P30" s="2160"/>
      <c r="Q30" s="2160"/>
      <c r="R30" s="2160"/>
      <c r="S30" s="2160"/>
      <c r="T30" s="2160"/>
      <c r="U30" s="2160"/>
      <c r="V30" s="2160"/>
      <c r="W30" s="2160"/>
      <c r="X30" s="2160"/>
      <c r="Y30" s="2160"/>
      <c r="Z30" s="2160"/>
      <c r="AA30" s="2160"/>
      <c r="AB30" s="2160"/>
      <c r="AC30" s="2160"/>
      <c r="AD30" s="2160"/>
      <c r="AE30" s="2160"/>
      <c r="AF30" s="2160"/>
      <c r="AG30" s="2160"/>
      <c r="AH30" s="2160"/>
      <c r="AI30" s="2160"/>
      <c r="AJ30" s="2160"/>
      <c r="AK30" s="2160"/>
      <c r="AL30" s="2160"/>
      <c r="AM30" s="2160"/>
      <c r="AN30" s="2160"/>
      <c r="AO30" s="2160"/>
      <c r="AP30" s="2160"/>
      <c r="AQ30" s="2160"/>
      <c r="AR30" s="2160"/>
      <c r="AS30" s="5048"/>
      <c r="AT30" s="5048"/>
      <c r="AU30" s="5048"/>
      <c r="AV30" s="650"/>
      <c r="AW30" s="1621"/>
      <c r="AX30" s="650"/>
      <c r="BS30" s="1727">
        <v>23</v>
      </c>
    </row>
    <row customHeight="1" ht="24">
      <c r="A31" s="2145"/>
      <c r="B31" s="2144" t="s">
        <v>815</v>
      </c>
      <c r="C31" s="2144" t="s">
        <v>816</v>
      </c>
      <c r="D31" s="2143" t="s">
        <v>757</v>
      </c>
      <c r="E31" s="2147" t="s">
        <v>768</v>
      </c>
      <c r="F31" s="2147" t="s">
        <v>768</v>
      </c>
      <c r="H31" s="2112"/>
      <c r="I31" s="1771">
        <v>12</v>
      </c>
      <c r="J31" s="2113" t="s">
        <v>816</v>
      </c>
      <c r="K31" s="2109" t="s">
        <v>685</v>
      </c>
      <c r="L31" s="2160"/>
      <c r="M31" s="1717"/>
      <c r="N31" s="2160"/>
      <c r="O31" s="2160"/>
      <c r="P31" s="2160"/>
      <c r="Q31" s="2160"/>
      <c r="R31" s="2160"/>
      <c r="S31" s="2160"/>
      <c r="T31" s="2160"/>
      <c r="U31" s="2160"/>
      <c r="V31" s="2160"/>
      <c r="W31" s="2160"/>
      <c r="X31" s="2160"/>
      <c r="Y31" s="2160"/>
      <c r="Z31" s="2160"/>
      <c r="AA31" s="2160"/>
      <c r="AB31" s="2160"/>
      <c r="AC31" s="2160"/>
      <c r="AD31" s="2160"/>
      <c r="AE31" s="2160"/>
      <c r="AF31" s="2160"/>
      <c r="AG31" s="2160"/>
      <c r="AH31" s="2160"/>
      <c r="AI31" s="2160"/>
      <c r="AJ31" s="2160"/>
      <c r="AK31" s="2160"/>
      <c r="AL31" s="2160"/>
      <c r="AM31" s="2160"/>
      <c r="AN31" s="2160"/>
      <c r="AO31" s="2160"/>
      <c r="AP31" s="2160"/>
      <c r="AQ31" s="2160"/>
      <c r="AR31" s="2160"/>
      <c r="AS31" s="5048"/>
      <c r="AT31" s="5048"/>
      <c r="AU31" s="5048"/>
      <c r="AV31" s="650"/>
      <c r="AW31" s="1621"/>
      <c r="AX31" s="650"/>
      <c r="BS31" s="1727">
        <v>23</v>
      </c>
    </row>
    <row customHeight="1" ht="48.29999999999999">
      <c r="A32" s="2145"/>
      <c r="B32" s="2144" t="s">
        <v>817</v>
      </c>
      <c r="C32" s="2144" t="s">
        <v>818</v>
      </c>
      <c r="D32" s="2143" t="s">
        <v>757</v>
      </c>
      <c r="E32" s="2147" t="s">
        <v>768</v>
      </c>
      <c r="F32" s="2147" t="s">
        <v>768</v>
      </c>
      <c r="H32" s="2112"/>
      <c r="I32" s="1771">
        <v>13</v>
      </c>
      <c r="J32" s="2113" t="s">
        <v>819</v>
      </c>
      <c r="K32" s="2109" t="s">
        <v>695</v>
      </c>
      <c r="L32" s="834"/>
      <c r="M32" s="664"/>
      <c r="N32" s="834"/>
      <c r="O32" s="834"/>
      <c r="P32" s="834"/>
      <c r="Q32" s="834"/>
      <c r="R32" s="834"/>
      <c r="S32" s="834"/>
      <c r="T32" s="834"/>
      <c r="U32" s="834"/>
      <c r="V32" s="834"/>
      <c r="W32" s="834"/>
      <c r="X32" s="834"/>
      <c r="Y32" s="834"/>
      <c r="Z32" s="834"/>
      <c r="AA32" s="834"/>
      <c r="AB32" s="834"/>
      <c r="AC32" s="834"/>
      <c r="AD32" s="834"/>
      <c r="AE32" s="834"/>
      <c r="AF32" s="834"/>
      <c r="AG32" s="834"/>
      <c r="AH32" s="834"/>
      <c r="AI32" s="834"/>
      <c r="AJ32" s="834"/>
      <c r="AK32" s="834"/>
      <c r="AL32" s="834"/>
      <c r="AM32" s="834"/>
      <c r="AN32" s="834"/>
      <c r="AO32" s="834"/>
      <c r="AP32" s="834"/>
      <c r="AQ32" s="834"/>
      <c r="AR32" s="834"/>
      <c r="AS32" s="5045"/>
      <c r="AT32" s="5045"/>
      <c r="AU32" s="5045"/>
      <c r="AV32" s="650"/>
      <c r="AW32" s="1621" t="s">
        <v>779</v>
      </c>
      <c r="AX32" s="650"/>
      <c r="BS32" s="1727">
        <v>46</v>
      </c>
    </row>
    <row s="10306" customFormat="1" customHeight="1" ht="48.29999999999999">
      <c r="A33" s="2145"/>
      <c r="B33" s="2144" t="s">
        <v>820</v>
      </c>
      <c r="C33" s="2144" t="s">
        <v>821</v>
      </c>
      <c r="D33" s="2143" t="s">
        <v>757</v>
      </c>
      <c r="E33" s="2147" t="s">
        <v>768</v>
      </c>
      <c r="F33" s="2147" t="s">
        <v>768</v>
      </c>
      <c r="G33" s="1732"/>
      <c r="H33" s="2112"/>
      <c r="I33" s="1771">
        <v>14</v>
      </c>
      <c r="J33" s="2125" t="s">
        <v>822</v>
      </c>
      <c r="K33" s="2114" t="s">
        <v>823</v>
      </c>
      <c r="L33" s="834"/>
      <c r="M33" s="66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5045"/>
      <c r="AT33" s="5045"/>
      <c r="AU33" s="5045"/>
      <c r="AV33" s="650"/>
      <c r="AW33" s="1621" t="s">
        <v>779</v>
      </c>
      <c r="AX33" s="650"/>
      <c r="AY33" s="1732"/>
      <c r="AZ33" s="1732"/>
      <c r="BE33" s="1732"/>
      <c r="BH33" s="651"/>
      <c r="BN33" s="1728"/>
      <c r="BO33" s="1728"/>
      <c r="BP33" s="1728"/>
      <c r="BQ33" s="1728"/>
      <c r="BR33" s="1728"/>
      <c r="BS33" s="1462">
        <v>46</v>
      </c>
    </row>
    <row customHeight="1" ht="108">
      <c r="A34" s="2145"/>
      <c r="B34" s="2144" t="s">
        <v>824</v>
      </c>
      <c r="C34" s="2144" t="s">
        <v>825</v>
      </c>
      <c r="D34" s="2143" t="s">
        <v>767</v>
      </c>
      <c r="E34" s="2147" t="s">
        <v>768</v>
      </c>
      <c r="F34" s="2147" t="s">
        <v>768</v>
      </c>
      <c r="G34" s="1732" t="s">
        <v>674</v>
      </c>
      <c r="H34" s="2112"/>
      <c r="I34" s="2123">
        <v>15</v>
      </c>
      <c r="J34" s="2124" t="s">
        <v>826</v>
      </c>
      <c r="K34" s="2109" t="s">
        <v>391</v>
      </c>
      <c r="L34" s="492"/>
      <c r="M34" s="1260"/>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5054"/>
      <c r="AT34" s="5054"/>
      <c r="AU34" s="5054"/>
      <c r="AV34" s="650"/>
      <c r="AW34" s="1621" t="s">
        <v>771</v>
      </c>
      <c r="AX34" s="650"/>
      <c r="BS34" s="1727">
        <v>103</v>
      </c>
    </row>
    <row s="10851" customFormat="1" customHeight="1" ht="11.549999999999999">
      <c r="A35" s="1087"/>
      <c r="B35" s="1087"/>
      <c r="C35" s="1087"/>
      <c r="D35" s="1087"/>
      <c r="E35" s="1087"/>
      <c r="F35" s="1732"/>
      <c r="G35" s="1732"/>
      <c r="H35" s="458"/>
      <c r="AS35" s="4889"/>
      <c r="AT35" s="4889"/>
      <c r="AU35" s="4889"/>
      <c r="AV35" s="1462"/>
      <c r="AX35" s="1462"/>
      <c r="AY35" s="1732"/>
      <c r="AZ35" s="1732"/>
      <c r="BA35" s="1462"/>
      <c r="BB35" s="1462"/>
      <c r="BC35" s="1462"/>
      <c r="BD35" s="1462"/>
      <c r="BE35" s="1732"/>
      <c r="BF35" s="1462"/>
      <c r="BG35" s="1462"/>
      <c r="BH35" s="651"/>
      <c r="BI35" s="1462"/>
      <c r="BJ35" s="1462"/>
      <c r="BK35" s="1462"/>
      <c r="BL35" s="1462"/>
      <c r="BM35" s="1462"/>
      <c r="BN35" s="1728"/>
      <c r="BO35" s="729"/>
      <c r="BP35" s="729"/>
      <c r="BQ35" s="729"/>
      <c r="BR35" s="729"/>
      <c r="BS35" s="1737">
        <v>11</v>
      </c>
    </row>
    <row s="10851" customFormat="1" customHeight="1" ht="11.549999999999999">
      <c r="A36" s="1087"/>
      <c r="B36" s="1087"/>
      <c r="C36" s="1087"/>
      <c r="D36" s="1087"/>
      <c r="E36" s="1087"/>
      <c r="F36" s="1732"/>
      <c r="G36" s="1732"/>
      <c r="H36" s="458"/>
      <c r="AS36" s="4889"/>
      <c r="AT36" s="4889"/>
      <c r="AU36" s="4889"/>
      <c r="AV36" s="1462"/>
      <c r="AX36" s="1462"/>
      <c r="AY36" s="1732"/>
      <c r="AZ36" s="1732"/>
      <c r="BA36" s="1462"/>
      <c r="BB36" s="1462"/>
      <c r="BC36" s="1462"/>
      <c r="BD36" s="1462"/>
      <c r="BE36" s="1732"/>
      <c r="BF36" s="1462"/>
      <c r="BG36" s="1462"/>
      <c r="BH36" s="651"/>
      <c r="BI36" s="1462"/>
      <c r="BJ36" s="1462"/>
      <c r="BK36" s="1462"/>
      <c r="BL36" s="1462"/>
      <c r="BM36" s="1462"/>
      <c r="BN36" s="1728"/>
      <c r="BO36" s="729"/>
      <c r="BP36" s="729"/>
      <c r="BQ36" s="729"/>
      <c r="BR36" s="729"/>
      <c r="BS36" s="1737">
        <v>11</v>
      </c>
    </row>
    <row s="10851" customFormat="1" customHeight="1" ht="11.549999999999999">
      <c r="A37" s="1087"/>
      <c r="B37" s="1087"/>
      <c r="C37" s="1087"/>
      <c r="D37" s="1087"/>
      <c r="E37" s="1087"/>
      <c r="F37" s="1732"/>
      <c r="G37" s="1732"/>
      <c r="H37" s="458"/>
      <c r="L37" s="729"/>
      <c r="M37" s="729"/>
      <c r="N37" s="729"/>
      <c r="O37" s="729"/>
      <c r="P37" s="729"/>
      <c r="Q37" s="729"/>
      <c r="R37" s="729"/>
      <c r="S37" s="729"/>
      <c r="T37" s="729"/>
      <c r="U37" s="729"/>
      <c r="V37" s="729"/>
      <c r="W37" s="729"/>
      <c r="X37" s="729"/>
      <c r="Y37" s="729"/>
      <c r="Z37" s="729"/>
      <c r="AA37" s="729"/>
      <c r="AB37" s="729"/>
      <c r="AC37" s="729"/>
      <c r="AD37" s="729"/>
      <c r="AE37" s="729"/>
      <c r="AF37" s="729"/>
      <c r="AG37" s="729"/>
      <c r="AH37" s="729"/>
      <c r="AI37" s="729"/>
      <c r="AJ37" s="729"/>
      <c r="AK37" s="729"/>
      <c r="AL37" s="729"/>
      <c r="AM37" s="729"/>
      <c r="AN37" s="729"/>
      <c r="AO37" s="729"/>
      <c r="AP37" s="729"/>
      <c r="AQ37" s="729"/>
      <c r="AR37" s="729"/>
      <c r="AS37" s="4890"/>
      <c r="AT37" s="4890"/>
      <c r="AU37" s="4890"/>
      <c r="AV37" s="1462"/>
      <c r="AX37" s="1462"/>
      <c r="AY37" s="1732"/>
      <c r="AZ37" s="1732"/>
      <c r="BA37" s="1462"/>
      <c r="BB37" s="1462"/>
      <c r="BC37" s="1462"/>
      <c r="BD37" s="1462"/>
      <c r="BE37" s="1732"/>
      <c r="BF37" s="1462"/>
      <c r="BG37" s="1462"/>
      <c r="BH37" s="651"/>
      <c r="BI37" s="1462"/>
      <c r="BJ37" s="1462"/>
      <c r="BK37" s="1462"/>
      <c r="BL37" s="1462"/>
      <c r="BM37" s="1462"/>
      <c r="BN37" s="1728"/>
      <c r="BO37" s="729"/>
      <c r="BP37" s="729"/>
      <c r="BQ37" s="729"/>
      <c r="BR37" s="729"/>
      <c r="BS37" s="1737">
        <v>11</v>
      </c>
    </row>
    <row s="10851" customFormat="1" customHeight="1" ht="11.549999999999999">
      <c r="A38" s="1087"/>
      <c r="B38" s="1087"/>
      <c r="C38" s="1087"/>
      <c r="D38" s="1087"/>
      <c r="E38" s="1087"/>
      <c r="F38" s="1732"/>
      <c r="G38" s="1732"/>
      <c r="H38" s="458"/>
      <c r="AS38" s="4889"/>
      <c r="AT38" s="4889"/>
      <c r="AU38" s="4889"/>
      <c r="AV38" s="1462"/>
      <c r="AX38" s="1462"/>
      <c r="AY38" s="1732"/>
      <c r="AZ38" s="1732"/>
      <c r="BA38" s="1462"/>
      <c r="BB38" s="1462"/>
      <c r="BC38" s="1462"/>
      <c r="BD38" s="1462"/>
      <c r="BE38" s="1732"/>
      <c r="BF38" s="1462"/>
      <c r="BG38" s="1462"/>
      <c r="BH38" s="651"/>
      <c r="BI38" s="1462"/>
      <c r="BJ38" s="1462"/>
      <c r="BK38" s="1462"/>
      <c r="BL38" s="1462"/>
      <c r="BM38" s="1462"/>
      <c r="BN38" s="1728"/>
      <c r="BO38" s="729"/>
      <c r="BP38" s="729"/>
      <c r="BQ38" s="729"/>
      <c r="BR38" s="729"/>
      <c r="BS38" s="1737">
        <v>11</v>
      </c>
    </row>
    <row s="10851" customFormat="1" customHeight="1" ht="11.549999999999999">
      <c r="A39" s="1087"/>
      <c r="B39" s="1087"/>
      <c r="C39" s="1087"/>
      <c r="D39" s="1087"/>
      <c r="E39" s="1087"/>
      <c r="F39" s="1732"/>
      <c r="G39" s="1732"/>
      <c r="H39" s="458"/>
      <c r="AS39" s="4889"/>
      <c r="AT39" s="4889"/>
      <c r="AU39" s="4889"/>
      <c r="AV39" s="1462"/>
      <c r="AX39" s="1462"/>
      <c r="AY39" s="1732"/>
      <c r="AZ39" s="1732"/>
      <c r="BA39" s="1462"/>
      <c r="BB39" s="1462"/>
      <c r="BC39" s="1462"/>
      <c r="BD39" s="1462"/>
      <c r="BE39" s="1732"/>
      <c r="BF39" s="1462"/>
      <c r="BG39" s="1462"/>
      <c r="BH39" s="651"/>
      <c r="BI39" s="1462"/>
      <c r="BJ39" s="1462"/>
      <c r="BK39" s="1462"/>
      <c r="BL39" s="1462"/>
      <c r="BM39" s="1462"/>
      <c r="BN39" s="1728"/>
      <c r="BO39" s="729"/>
      <c r="BP39" s="729"/>
      <c r="BQ39" s="729"/>
      <c r="BR39" s="729"/>
      <c r="BS39" s="1737">
        <v>11</v>
      </c>
    </row>
    <row s="10851" customFormat="1" customHeight="1" ht="11.549999999999999">
      <c r="A40" s="1087"/>
      <c r="B40" s="1087"/>
      <c r="C40" s="1087"/>
      <c r="D40" s="1087"/>
      <c r="E40" s="1087"/>
      <c r="F40" s="1732"/>
      <c r="G40" s="1732"/>
      <c r="H40" s="458"/>
      <c r="AS40" s="4889"/>
      <c r="AT40" s="4889"/>
      <c r="AU40" s="4889"/>
      <c r="AV40" s="1462"/>
      <c r="AX40" s="1462"/>
      <c r="AY40" s="1732"/>
      <c r="AZ40" s="1732"/>
      <c r="BA40" s="1462"/>
      <c r="BB40" s="1462"/>
      <c r="BC40" s="1462"/>
      <c r="BD40" s="1462"/>
      <c r="BE40" s="1732"/>
      <c r="BF40" s="1462"/>
      <c r="BG40" s="1462"/>
      <c r="BH40" s="651"/>
      <c r="BI40" s="1462"/>
      <c r="BJ40" s="1462"/>
      <c r="BK40" s="1462"/>
      <c r="BL40" s="1462"/>
      <c r="BM40" s="1462"/>
      <c r="BN40" s="1728"/>
      <c r="BO40" s="729"/>
      <c r="BP40" s="729"/>
      <c r="BQ40" s="729"/>
      <c r="BR40" s="729"/>
      <c r="BS40" s="1737">
        <v>11</v>
      </c>
    </row>
    <row s="10851" customFormat="1" customHeight="1" ht="11.549999999999999">
      <c r="A41" s="1087"/>
      <c r="B41" s="1087"/>
      <c r="C41" s="1087"/>
      <c r="D41" s="1087"/>
      <c r="E41" s="1087"/>
      <c r="F41" s="1732"/>
      <c r="G41" s="1732"/>
      <c r="H41" s="458"/>
      <c r="AS41" s="4889"/>
      <c r="AT41" s="4889"/>
      <c r="AU41" s="4889"/>
      <c r="AV41" s="1462"/>
      <c r="AX41" s="1462"/>
      <c r="AY41" s="1732"/>
      <c r="AZ41" s="1732"/>
      <c r="BA41" s="1462"/>
      <c r="BB41" s="1462"/>
      <c r="BC41" s="1462"/>
      <c r="BD41" s="1462"/>
      <c r="BE41" s="1732"/>
      <c r="BF41" s="1462"/>
      <c r="BG41" s="1462"/>
      <c r="BH41" s="651"/>
      <c r="BI41" s="1462"/>
      <c r="BJ41" s="1462"/>
      <c r="BK41" s="1462"/>
      <c r="BL41" s="1462"/>
      <c r="BM41" s="1462"/>
      <c r="BN41" s="1728"/>
      <c r="BO41" s="729"/>
      <c r="BP41" s="729"/>
      <c r="BQ41" s="729"/>
      <c r="BR41" s="729"/>
      <c r="BS41" s="1737">
        <v>11</v>
      </c>
    </row>
    <row s="10851" customFormat="1" customHeight="1" ht="11.549999999999999">
      <c r="A42" s="1087"/>
      <c r="B42" s="1087"/>
      <c r="C42" s="1087"/>
      <c r="D42" s="1087"/>
      <c r="E42" s="1087"/>
      <c r="F42" s="1732"/>
      <c r="G42" s="1732"/>
      <c r="H42" s="458"/>
      <c r="AS42" s="4889"/>
      <c r="AT42" s="4889"/>
      <c r="AU42" s="4889"/>
      <c r="AV42" s="1462"/>
      <c r="AX42" s="1462"/>
      <c r="AY42" s="1732"/>
      <c r="AZ42" s="1732"/>
      <c r="BA42" s="1462"/>
      <c r="BB42" s="1462"/>
      <c r="BC42" s="1462"/>
      <c r="BD42" s="1462"/>
      <c r="BE42" s="1732"/>
      <c r="BF42" s="1462"/>
      <c r="BG42" s="1462"/>
      <c r="BH42" s="651"/>
      <c r="BI42" s="1462"/>
      <c r="BJ42" s="1462"/>
      <c r="BK42" s="1462"/>
      <c r="BL42" s="1462"/>
      <c r="BM42" s="1462"/>
      <c r="BN42" s="1728"/>
      <c r="BO42" s="729"/>
      <c r="BP42" s="729"/>
      <c r="BQ42" s="729"/>
      <c r="BR42" s="729"/>
      <c r="BS42" s="1737">
        <v>11</v>
      </c>
    </row>
    <row s="10851" customFormat="1" customHeight="1" ht="11.549999999999999">
      <c r="A43" s="1087"/>
      <c r="B43" s="1087"/>
      <c r="C43" s="1087"/>
      <c r="D43" s="1087"/>
      <c r="E43" s="1087"/>
      <c r="F43" s="1732"/>
      <c r="G43" s="1732"/>
      <c r="H43" s="458"/>
      <c r="AS43" s="4889"/>
      <c r="AT43" s="4889"/>
      <c r="AU43" s="4889"/>
      <c r="AV43" s="1462"/>
      <c r="AX43" s="1462"/>
      <c r="AY43" s="1732"/>
      <c r="AZ43" s="1732"/>
      <c r="BA43" s="1462"/>
      <c r="BB43" s="1462"/>
      <c r="BC43" s="1462"/>
      <c r="BD43" s="1462"/>
      <c r="BE43" s="1732"/>
      <c r="BF43" s="1462"/>
      <c r="BG43" s="1462"/>
      <c r="BH43" s="651"/>
      <c r="BI43" s="1462"/>
      <c r="BJ43" s="1462"/>
      <c r="BK43" s="1462"/>
      <c r="BL43" s="1462"/>
      <c r="BM43" s="1462"/>
      <c r="BN43" s="1728"/>
      <c r="BO43" s="729"/>
      <c r="BP43" s="729"/>
      <c r="BQ43" s="729"/>
      <c r="BR43" s="729"/>
      <c r="BS43" s="1737">
        <v>11</v>
      </c>
    </row>
    <row s="10851" customFormat="1" customHeight="1" ht="11.549999999999999">
      <c r="A44" s="1087"/>
      <c r="B44" s="1087"/>
      <c r="C44" s="1087"/>
      <c r="D44" s="1087"/>
      <c r="E44" s="1087"/>
      <c r="F44" s="1732"/>
      <c r="G44" s="1732"/>
      <c r="H44" s="458"/>
      <c r="AS44" s="4889"/>
      <c r="AT44" s="4889"/>
      <c r="AU44" s="4889"/>
      <c r="AV44" s="1462"/>
      <c r="AX44" s="1462"/>
      <c r="AY44" s="1732"/>
      <c r="AZ44" s="1732"/>
      <c r="BA44" s="1462"/>
      <c r="BB44" s="1462"/>
      <c r="BC44" s="1462"/>
      <c r="BD44" s="1462"/>
      <c r="BE44" s="1732"/>
      <c r="BF44" s="1462"/>
      <c r="BG44" s="1462"/>
      <c r="BH44" s="651"/>
      <c r="BI44" s="1462"/>
      <c r="BJ44" s="1462"/>
      <c r="BK44" s="1462"/>
      <c r="BL44" s="1462"/>
      <c r="BM44" s="1462"/>
      <c r="BN44" s="1728"/>
      <c r="BO44" s="729"/>
      <c r="BP44" s="729"/>
      <c r="BQ44" s="729"/>
      <c r="BR44" s="729"/>
      <c r="BS44" s="1737">
        <v>11</v>
      </c>
    </row>
    <row s="10851" customFormat="1" customHeight="1" ht="11.549999999999999">
      <c r="A45" s="1087"/>
      <c r="B45" s="1087"/>
      <c r="C45" s="1087"/>
      <c r="D45" s="1087"/>
      <c r="E45" s="1087"/>
      <c r="F45" s="1732"/>
      <c r="G45" s="1732"/>
      <c r="H45" s="458"/>
      <c r="AS45" s="4889"/>
      <c r="AT45" s="4889"/>
      <c r="AU45" s="4889"/>
      <c r="AV45" s="1462"/>
      <c r="AX45" s="1462"/>
      <c r="AY45" s="1732"/>
      <c r="AZ45" s="1732"/>
      <c r="BA45" s="1462"/>
      <c r="BB45" s="1462"/>
      <c r="BC45" s="1462"/>
      <c r="BD45" s="1462"/>
      <c r="BE45" s="1732"/>
      <c r="BF45" s="1462"/>
      <c r="BG45" s="1462"/>
      <c r="BH45" s="651"/>
      <c r="BI45" s="1462"/>
      <c r="BJ45" s="1462"/>
      <c r="BK45" s="1462"/>
      <c r="BL45" s="1462"/>
      <c r="BM45" s="1462"/>
      <c r="BN45" s="1728"/>
      <c r="BO45" s="729"/>
      <c r="BP45" s="729"/>
      <c r="BQ45" s="729"/>
      <c r="BR45" s="729"/>
      <c r="BS45" s="1737">
        <v>11</v>
      </c>
    </row>
    <row s="10851" customFormat="1" customHeight="1" ht="11.549999999999999">
      <c r="A46" s="1087"/>
      <c r="B46" s="1087"/>
      <c r="C46" s="1087"/>
      <c r="D46" s="1087"/>
      <c r="E46" s="1087"/>
      <c r="F46" s="1732"/>
      <c r="G46" s="1732"/>
      <c r="H46" s="458"/>
      <c r="AS46" s="4889"/>
      <c r="AT46" s="4889"/>
      <c r="AU46" s="4889"/>
      <c r="AV46" s="1462"/>
      <c r="AX46" s="1462"/>
      <c r="AY46" s="1732"/>
      <c r="AZ46" s="1732"/>
      <c r="BA46" s="1462"/>
      <c r="BB46" s="1462"/>
      <c r="BC46" s="1462"/>
      <c r="BD46" s="1462"/>
      <c r="BE46" s="1732"/>
      <c r="BF46" s="1462"/>
      <c r="BG46" s="1462"/>
      <c r="BH46" s="651"/>
      <c r="BI46" s="1462"/>
      <c r="BJ46" s="1462"/>
      <c r="BK46" s="1462"/>
      <c r="BL46" s="1462"/>
      <c r="BM46" s="1462"/>
      <c r="BN46" s="1728"/>
      <c r="BO46" s="729"/>
      <c r="BP46" s="729"/>
      <c r="BQ46" s="729"/>
      <c r="BR46" s="729"/>
      <c r="BS46" s="1737">
        <v>11</v>
      </c>
    </row>
    <row s="10851" customFormat="1" customHeight="1" ht="11.549999999999999">
      <c r="A47" s="1087"/>
      <c r="B47" s="1087"/>
      <c r="C47" s="1087"/>
      <c r="D47" s="1087"/>
      <c r="E47" s="1087"/>
      <c r="F47" s="1732"/>
      <c r="G47" s="1732"/>
      <c r="H47" s="458"/>
      <c r="AS47" s="4889"/>
      <c r="AT47" s="4889"/>
      <c r="AU47" s="4889"/>
      <c r="AV47" s="1462"/>
      <c r="AX47" s="1462"/>
      <c r="AY47" s="1732"/>
      <c r="AZ47" s="1732"/>
      <c r="BA47" s="1462"/>
      <c r="BB47" s="1462"/>
      <c r="BC47" s="1462"/>
      <c r="BD47" s="1462"/>
      <c r="BE47" s="1732"/>
      <c r="BF47" s="1462"/>
      <c r="BG47" s="1462"/>
      <c r="BH47" s="651"/>
      <c r="BI47" s="1462"/>
      <c r="BJ47" s="1462"/>
      <c r="BK47" s="1462"/>
      <c r="BL47" s="1462"/>
      <c r="BM47" s="1462"/>
      <c r="BN47" s="1728"/>
      <c r="BO47" s="729"/>
      <c r="BP47" s="729"/>
      <c r="BQ47" s="729"/>
      <c r="BR47" s="729"/>
      <c r="BS47" s="1737">
        <v>11</v>
      </c>
    </row>
    <row s="10851" customFormat="1" customHeight="1" ht="11.549999999999999">
      <c r="A48" s="1087"/>
      <c r="B48" s="1087"/>
      <c r="C48" s="1087"/>
      <c r="D48" s="1087"/>
      <c r="E48" s="1087"/>
      <c r="F48" s="1732"/>
      <c r="G48" s="1732"/>
      <c r="H48" s="458"/>
      <c r="AS48" s="4889"/>
      <c r="AT48" s="4889"/>
      <c r="AU48" s="4889"/>
      <c r="AV48" s="1462"/>
      <c r="AX48" s="1462"/>
      <c r="AY48" s="1732"/>
      <c r="AZ48" s="1732"/>
      <c r="BA48" s="1462"/>
      <c r="BB48" s="1462"/>
      <c r="BC48" s="1462"/>
      <c r="BD48" s="1462"/>
      <c r="BE48" s="1732"/>
      <c r="BF48" s="1462"/>
      <c r="BG48" s="1462"/>
      <c r="BH48" s="651"/>
      <c r="BI48" s="1462"/>
      <c r="BJ48" s="1462"/>
      <c r="BK48" s="1462"/>
      <c r="BL48" s="1462"/>
      <c r="BM48" s="1462"/>
      <c r="BN48" s="1728"/>
      <c r="BO48" s="729"/>
      <c r="BP48" s="729"/>
      <c r="BQ48" s="729"/>
      <c r="BR48" s="729"/>
      <c r="BS48" s="1737">
        <v>11</v>
      </c>
    </row>
    <row s="10851" customFormat="1" customHeight="1" ht="11.549999999999999">
      <c r="A49" s="1087"/>
      <c r="B49" s="1087"/>
      <c r="C49" s="1087"/>
      <c r="D49" s="1087"/>
      <c r="E49" s="1087"/>
      <c r="F49" s="1732"/>
      <c r="G49" s="1732"/>
      <c r="H49" s="458"/>
      <c r="AS49" s="4889"/>
      <c r="AT49" s="4889"/>
      <c r="AU49" s="4889"/>
      <c r="AV49" s="1462"/>
      <c r="AX49" s="1462"/>
      <c r="AY49" s="1732"/>
      <c r="AZ49" s="1732"/>
      <c r="BA49" s="1462"/>
      <c r="BB49" s="1462"/>
      <c r="BC49" s="1462"/>
      <c r="BD49" s="1462"/>
      <c r="BE49" s="1732"/>
      <c r="BF49" s="1462"/>
      <c r="BG49" s="1462"/>
      <c r="BH49" s="651"/>
      <c r="BI49" s="1462"/>
      <c r="BJ49" s="1462"/>
      <c r="BK49" s="1462"/>
      <c r="BL49" s="1462"/>
      <c r="BM49" s="1462"/>
      <c r="BN49" s="1728"/>
      <c r="BO49" s="729"/>
      <c r="BP49" s="729"/>
      <c r="BQ49" s="729"/>
      <c r="BR49" s="729"/>
      <c r="BS49" s="1737">
        <v>11</v>
      </c>
    </row>
    <row s="10851" customFormat="1" customHeight="1" ht="11.549999999999999">
      <c r="A50" s="1087"/>
      <c r="B50" s="1087"/>
      <c r="C50" s="1087"/>
      <c r="D50" s="1087"/>
      <c r="E50" s="1087"/>
      <c r="F50" s="1732"/>
      <c r="G50" s="1732"/>
      <c r="H50" s="458"/>
      <c r="AS50" s="4889"/>
      <c r="AT50" s="4889"/>
      <c r="AU50" s="4889"/>
      <c r="AV50" s="1462"/>
      <c r="AX50" s="1462"/>
      <c r="AY50" s="1732"/>
      <c r="AZ50" s="1732"/>
      <c r="BA50" s="1462"/>
      <c r="BB50" s="1462"/>
      <c r="BC50" s="1462"/>
      <c r="BD50" s="1462"/>
      <c r="BE50" s="1732"/>
      <c r="BF50" s="1462"/>
      <c r="BG50" s="1462"/>
      <c r="BH50" s="651"/>
      <c r="BI50" s="1462"/>
      <c r="BJ50" s="1462"/>
      <c r="BK50" s="1462"/>
      <c r="BL50" s="1462"/>
      <c r="BM50" s="1462"/>
      <c r="BN50" s="1728"/>
      <c r="BO50" s="729"/>
      <c r="BP50" s="729"/>
      <c r="BQ50" s="729"/>
      <c r="BR50" s="729"/>
      <c r="BS50" s="1737">
        <v>11</v>
      </c>
    </row>
    <row s="10851" customFormat="1" customHeight="1" ht="11.549999999999999">
      <c r="A51" s="1087"/>
      <c r="B51" s="1087"/>
      <c r="C51" s="1087"/>
      <c r="D51" s="1087"/>
      <c r="E51" s="1087"/>
      <c r="F51" s="1732"/>
      <c r="G51" s="1732"/>
      <c r="H51" s="458"/>
      <c r="AS51" s="4889"/>
      <c r="AT51" s="4889"/>
      <c r="AU51" s="4889"/>
      <c r="AV51" s="1462"/>
      <c r="AX51" s="1462"/>
      <c r="AY51" s="1732"/>
      <c r="AZ51" s="1732"/>
      <c r="BA51" s="1462"/>
      <c r="BB51" s="1462"/>
      <c r="BC51" s="1462"/>
      <c r="BD51" s="1462"/>
      <c r="BE51" s="1732"/>
      <c r="BF51" s="1462"/>
      <c r="BG51" s="1462"/>
      <c r="BH51" s="651"/>
      <c r="BI51" s="1462"/>
      <c r="BJ51" s="1462"/>
      <c r="BK51" s="1462"/>
      <c r="BL51" s="1462"/>
      <c r="BM51" s="1462"/>
      <c r="BN51" s="1728"/>
      <c r="BO51" s="729"/>
      <c r="BP51" s="729"/>
      <c r="BQ51" s="729"/>
      <c r="BR51" s="729"/>
      <c r="BS51" s="1737">
        <v>11</v>
      </c>
    </row>
    <row s="10851" customFormat="1" customHeight="1" ht="11.549999999999999">
      <c r="A52" s="1087"/>
      <c r="B52" s="1087"/>
      <c r="C52" s="1087"/>
      <c r="D52" s="1087"/>
      <c r="E52" s="1087"/>
      <c r="F52" s="1732"/>
      <c r="G52" s="1732"/>
      <c r="H52" s="458"/>
      <c r="AS52" s="4889"/>
      <c r="AT52" s="4889"/>
      <c r="AU52" s="4889"/>
      <c r="AV52" s="1462"/>
      <c r="AX52" s="1462"/>
      <c r="AY52" s="1732"/>
      <c r="AZ52" s="1732"/>
      <c r="BA52" s="1462"/>
      <c r="BB52" s="1462"/>
      <c r="BC52" s="1462"/>
      <c r="BD52" s="1462"/>
      <c r="BE52" s="1732"/>
      <c r="BF52" s="1462"/>
      <c r="BG52" s="1462"/>
      <c r="BH52" s="651"/>
      <c r="BI52" s="1462"/>
      <c r="BJ52" s="1462"/>
      <c r="BK52" s="1462"/>
      <c r="BL52" s="1462"/>
      <c r="BM52" s="1462"/>
      <c r="BN52" s="1728"/>
      <c r="BO52" s="729"/>
      <c r="BP52" s="729"/>
      <c r="BQ52" s="729"/>
      <c r="BR52" s="729"/>
      <c r="BS52" s="1737">
        <v>11</v>
      </c>
    </row>
    <row s="10851" customFormat="1" customHeight="1" ht="11.549999999999999">
      <c r="A53" s="1087"/>
      <c r="B53" s="1087"/>
      <c r="C53" s="1087"/>
      <c r="D53" s="1087"/>
      <c r="E53" s="1087"/>
      <c r="F53" s="1732"/>
      <c r="G53" s="1732"/>
      <c r="H53" s="458"/>
      <c r="AS53" s="4889"/>
      <c r="AT53" s="4889"/>
      <c r="AU53" s="4889"/>
      <c r="AV53" s="1462"/>
      <c r="AX53" s="1462"/>
      <c r="AY53" s="1732"/>
      <c r="AZ53" s="1732"/>
      <c r="BA53" s="1462"/>
      <c r="BB53" s="1462"/>
      <c r="BC53" s="1462"/>
      <c r="BD53" s="1462"/>
      <c r="BE53" s="1732"/>
      <c r="BF53" s="1462"/>
      <c r="BG53" s="1462"/>
      <c r="BH53" s="651"/>
      <c r="BI53" s="1462"/>
      <c r="BJ53" s="1462"/>
      <c r="BK53" s="1462"/>
      <c r="BL53" s="1462"/>
      <c r="BM53" s="1462"/>
      <c r="BN53" s="1728"/>
      <c r="BO53" s="729"/>
      <c r="BP53" s="729"/>
      <c r="BQ53" s="729"/>
      <c r="BR53" s="729"/>
      <c r="BS53" s="1737">
        <v>11</v>
      </c>
    </row>
    <row s="10851" customFormat="1" customHeight="1" ht="11.549999999999999">
      <c r="A54" s="1087"/>
      <c r="B54" s="1087"/>
      <c r="C54" s="1087"/>
      <c r="D54" s="1087"/>
      <c r="E54" s="1087"/>
      <c r="F54" s="1732"/>
      <c r="G54" s="1732"/>
      <c r="H54" s="458"/>
      <c r="AS54" s="4889"/>
      <c r="AT54" s="4889"/>
      <c r="AU54" s="4889"/>
      <c r="AV54" s="1462"/>
      <c r="AX54" s="1462"/>
      <c r="AY54" s="1732"/>
      <c r="AZ54" s="1732"/>
      <c r="BA54" s="1462"/>
      <c r="BB54" s="1462"/>
      <c r="BC54" s="1462"/>
      <c r="BD54" s="1462"/>
      <c r="BE54" s="1732"/>
      <c r="BF54" s="1462"/>
      <c r="BG54" s="1462"/>
      <c r="BH54" s="651"/>
      <c r="BI54" s="1462"/>
      <c r="BJ54" s="1462"/>
      <c r="BK54" s="1462"/>
      <c r="BL54" s="1462"/>
      <c r="BM54" s="1462"/>
      <c r="BN54" s="1728"/>
      <c r="BO54" s="729"/>
      <c r="BP54" s="729"/>
      <c r="BQ54" s="729"/>
      <c r="BR54" s="729"/>
      <c r="BS54" s="1737">
        <v>11</v>
      </c>
    </row>
    <row s="10851" customFormat="1" customHeight="1" ht="11.549999999999999">
      <c r="A55" s="1087"/>
      <c r="B55" s="1087"/>
      <c r="C55" s="1087"/>
      <c r="D55" s="1087"/>
      <c r="E55" s="1087"/>
      <c r="F55" s="1732"/>
      <c r="G55" s="1732"/>
      <c r="H55" s="458"/>
      <c r="AS55" s="4889"/>
      <c r="AT55" s="4889"/>
      <c r="AU55" s="4889"/>
      <c r="AV55" s="1462"/>
      <c r="AX55" s="1462"/>
      <c r="AY55" s="1732"/>
      <c r="AZ55" s="1732"/>
      <c r="BA55" s="1462"/>
      <c r="BB55" s="1462"/>
      <c r="BC55" s="1462"/>
      <c r="BD55" s="1462"/>
      <c r="BE55" s="1732"/>
      <c r="BF55" s="1462"/>
      <c r="BG55" s="1462"/>
      <c r="BH55" s="651"/>
      <c r="BI55" s="1462"/>
      <c r="BJ55" s="1462"/>
      <c r="BK55" s="1462"/>
      <c r="BL55" s="1462"/>
      <c r="BM55" s="1462"/>
      <c r="BN55" s="1728"/>
      <c r="BO55" s="729"/>
      <c r="BP55" s="729"/>
      <c r="BQ55" s="729"/>
      <c r="BR55" s="729"/>
      <c r="BS55" s="1737">
        <v>11</v>
      </c>
    </row>
    <row s="10851" customFormat="1" customHeight="1" ht="11.549999999999999">
      <c r="A56" s="1087"/>
      <c r="B56" s="1087"/>
      <c r="C56" s="1087"/>
      <c r="D56" s="1087"/>
      <c r="E56" s="1087"/>
      <c r="F56" s="1732"/>
      <c r="G56" s="1732"/>
      <c r="H56" s="458"/>
      <c r="AS56" s="4889"/>
      <c r="AT56" s="4889"/>
      <c r="AU56" s="4889"/>
      <c r="AV56" s="1462"/>
      <c r="AX56" s="1462"/>
      <c r="AY56" s="1732"/>
      <c r="AZ56" s="1732"/>
      <c r="BA56" s="1462"/>
      <c r="BB56" s="1462"/>
      <c r="BC56" s="1462"/>
      <c r="BD56" s="1462"/>
      <c r="BE56" s="1732"/>
      <c r="BF56" s="1462"/>
      <c r="BG56" s="1462"/>
      <c r="BH56" s="651"/>
      <c r="BI56" s="1462"/>
      <c r="BJ56" s="1462"/>
      <c r="BK56" s="1462"/>
      <c r="BL56" s="1462"/>
      <c r="BM56" s="1462"/>
      <c r="BN56" s="1728"/>
      <c r="BO56" s="729"/>
      <c r="BP56" s="729"/>
      <c r="BQ56" s="729"/>
      <c r="BR56" s="729"/>
      <c r="BS56" s="1737">
        <v>11</v>
      </c>
    </row>
    <row s="10851" customFormat="1" customHeight="1" ht="11.549999999999999">
      <c r="A57" s="1087"/>
      <c r="B57" s="1087"/>
      <c r="C57" s="1087"/>
      <c r="D57" s="1087"/>
      <c r="E57" s="1087"/>
      <c r="F57" s="1732"/>
      <c r="G57" s="1732"/>
      <c r="H57" s="458"/>
      <c r="AS57" s="4889"/>
      <c r="AT57" s="4889"/>
      <c r="AU57" s="4889"/>
      <c r="AV57" s="1462"/>
      <c r="AX57" s="1462"/>
      <c r="AY57" s="1732"/>
      <c r="AZ57" s="1732"/>
      <c r="BA57" s="1462"/>
      <c r="BB57" s="1462"/>
      <c r="BC57" s="1462"/>
      <c r="BD57" s="1462"/>
      <c r="BE57" s="1732"/>
      <c r="BF57" s="1462"/>
      <c r="BG57" s="1462"/>
      <c r="BH57" s="651"/>
      <c r="BI57" s="1462"/>
      <c r="BJ57" s="1462"/>
      <c r="BK57" s="1462"/>
      <c r="BL57" s="1462"/>
      <c r="BM57" s="1462"/>
      <c r="BN57" s="1728"/>
      <c r="BO57" s="729"/>
      <c r="BP57" s="729"/>
      <c r="BQ57" s="729"/>
      <c r="BR57" s="729"/>
      <c r="BS57" s="1737">
        <v>11</v>
      </c>
    </row>
    <row s="10851" customFormat="1" customHeight="1" ht="11.549999999999999">
      <c r="A58" s="1087"/>
      <c r="B58" s="1087"/>
      <c r="C58" s="1087"/>
      <c r="D58" s="1087"/>
      <c r="E58" s="1087"/>
      <c r="F58" s="1732"/>
      <c r="G58" s="1732"/>
      <c r="H58" s="458"/>
      <c r="AS58" s="4889"/>
      <c r="AT58" s="4889"/>
      <c r="AU58" s="4889"/>
      <c r="AV58" s="1462"/>
      <c r="AX58" s="1462"/>
      <c r="AY58" s="1732"/>
      <c r="AZ58" s="1732"/>
      <c r="BA58" s="1462"/>
      <c r="BB58" s="1462"/>
      <c r="BC58" s="1462"/>
      <c r="BD58" s="1462"/>
      <c r="BE58" s="1732"/>
      <c r="BF58" s="1462"/>
      <c r="BG58" s="1462"/>
      <c r="BH58" s="651"/>
      <c r="BI58" s="1462"/>
      <c r="BJ58" s="1462"/>
      <c r="BK58" s="1462"/>
      <c r="BL58" s="1462"/>
      <c r="BM58" s="1462"/>
      <c r="BN58" s="1728"/>
      <c r="BO58" s="729"/>
      <c r="BP58" s="729"/>
      <c r="BQ58" s="729"/>
      <c r="BR58" s="729"/>
      <c r="BS58" s="1737">
        <v>11</v>
      </c>
    </row>
    <row s="10851" customFormat="1" customHeight="1" ht="11.549999999999999">
      <c r="A59" s="1087"/>
      <c r="B59" s="1087"/>
      <c r="C59" s="1087"/>
      <c r="D59" s="1087"/>
      <c r="E59" s="1087"/>
      <c r="F59" s="1732"/>
      <c r="G59" s="1732"/>
      <c r="H59" s="458"/>
      <c r="AS59" s="4889"/>
      <c r="AT59" s="4889"/>
      <c r="AU59" s="4889"/>
      <c r="AV59" s="1462"/>
      <c r="AX59" s="1462"/>
      <c r="AY59" s="1732"/>
      <c r="AZ59" s="1732"/>
      <c r="BA59" s="1462"/>
      <c r="BB59" s="1462"/>
      <c r="BC59" s="1462"/>
      <c r="BD59" s="1462"/>
      <c r="BE59" s="1732"/>
      <c r="BF59" s="1462"/>
      <c r="BG59" s="1462"/>
      <c r="BH59" s="651"/>
      <c r="BI59" s="1462"/>
      <c r="BJ59" s="1462"/>
      <c r="BK59" s="1462"/>
      <c r="BL59" s="1462"/>
      <c r="BM59" s="1462"/>
      <c r="BN59" s="1728"/>
      <c r="BO59" s="729"/>
      <c r="BP59" s="729"/>
      <c r="BQ59" s="729"/>
      <c r="BR59" s="729"/>
      <c r="BS59" s="1737">
        <v>11</v>
      </c>
    </row>
    <row s="10851" customFormat="1" customHeight="1" ht="11.549999999999999">
      <c r="A60" s="1087"/>
      <c r="B60" s="1087"/>
      <c r="C60" s="1087"/>
      <c r="D60" s="1087"/>
      <c r="E60" s="1087"/>
      <c r="F60" s="1732"/>
      <c r="G60" s="1732"/>
      <c r="H60" s="458"/>
      <c r="AS60" s="4889"/>
      <c r="AT60" s="4889"/>
      <c r="AU60" s="4889"/>
      <c r="AV60" s="1462"/>
      <c r="AX60" s="1462"/>
      <c r="AY60" s="1732"/>
      <c r="AZ60" s="1732"/>
      <c r="BA60" s="1462"/>
      <c r="BB60" s="1462"/>
      <c r="BC60" s="1462"/>
      <c r="BD60" s="1462"/>
      <c r="BE60" s="1732"/>
      <c r="BF60" s="1462"/>
      <c r="BG60" s="1462"/>
      <c r="BH60" s="651"/>
      <c r="BI60" s="1462"/>
      <c r="BJ60" s="1462"/>
      <c r="BK60" s="1462"/>
      <c r="BL60" s="1462"/>
      <c r="BM60" s="1462"/>
      <c r="BN60" s="1728"/>
      <c r="BO60" s="729"/>
      <c r="BP60" s="729"/>
      <c r="BQ60" s="729"/>
      <c r="BR60" s="729"/>
      <c r="BS60" s="1737">
        <v>11</v>
      </c>
    </row>
    <row s="10851" customFormat="1" customHeight="1" ht="11.549999999999999">
      <c r="A61" s="1087"/>
      <c r="B61" s="1087"/>
      <c r="C61" s="1087"/>
      <c r="D61" s="1087"/>
      <c r="E61" s="1087"/>
      <c r="F61" s="1732"/>
      <c r="G61" s="1732"/>
      <c r="H61" s="458"/>
      <c r="AS61" s="4889"/>
      <c r="AT61" s="4889"/>
      <c r="AU61" s="4889"/>
      <c r="AV61" s="1462"/>
      <c r="AX61" s="1462"/>
      <c r="AY61" s="1732"/>
      <c r="AZ61" s="1732"/>
      <c r="BA61" s="1462"/>
      <c r="BB61" s="1462"/>
      <c r="BC61" s="1462"/>
      <c r="BD61" s="1462"/>
      <c r="BE61" s="1732"/>
      <c r="BF61" s="1462"/>
      <c r="BG61" s="1462"/>
      <c r="BH61" s="651"/>
      <c r="BI61" s="1462"/>
      <c r="BJ61" s="1462"/>
      <c r="BK61" s="1462"/>
      <c r="BL61" s="1462"/>
      <c r="BM61" s="1462"/>
      <c r="BN61" s="1728"/>
      <c r="BO61" s="729"/>
      <c r="BP61" s="729"/>
      <c r="BQ61" s="729"/>
      <c r="BR61" s="729"/>
      <c r="BS61" s="1737">
        <v>11</v>
      </c>
    </row>
    <row s="10851" customFormat="1" customHeight="1" ht="11.549999999999999">
      <c r="A62" s="1087"/>
      <c r="B62" s="1087"/>
      <c r="C62" s="1087"/>
      <c r="D62" s="1087"/>
      <c r="E62" s="1087"/>
      <c r="F62" s="1732"/>
      <c r="G62" s="1732"/>
      <c r="H62" s="458"/>
      <c r="AS62" s="4889"/>
      <c r="AT62" s="4889"/>
      <c r="AU62" s="4889"/>
      <c r="AV62" s="1462"/>
      <c r="AX62" s="1462"/>
      <c r="AY62" s="1732"/>
      <c r="AZ62" s="1732"/>
      <c r="BA62" s="1462"/>
      <c r="BB62" s="1462"/>
      <c r="BC62" s="1462"/>
      <c r="BD62" s="1462"/>
      <c r="BE62" s="1732"/>
      <c r="BF62" s="1462"/>
      <c r="BG62" s="1462"/>
      <c r="BH62" s="651"/>
      <c r="BI62" s="1462"/>
      <c r="BJ62" s="1462"/>
      <c r="BK62" s="1462"/>
      <c r="BL62" s="1462"/>
      <c r="BM62" s="1462"/>
      <c r="BN62" s="1728"/>
      <c r="BO62" s="729"/>
      <c r="BP62" s="729"/>
      <c r="BQ62" s="729"/>
      <c r="BR62" s="729"/>
      <c r="BS62" s="1737">
        <v>11</v>
      </c>
    </row>
    <row s="10851" customFormat="1" customHeight="1" ht="11.549999999999999">
      <c r="A63" s="1087"/>
      <c r="B63" s="1087"/>
      <c r="C63" s="1087"/>
      <c r="D63" s="1087"/>
      <c r="E63" s="1087"/>
      <c r="F63" s="1732"/>
      <c r="G63" s="1732"/>
      <c r="H63" s="458"/>
      <c r="AS63" s="4889"/>
      <c r="AT63" s="4889"/>
      <c r="AU63" s="4889"/>
      <c r="AV63" s="1462"/>
      <c r="AX63" s="1462"/>
      <c r="AY63" s="1732"/>
      <c r="AZ63" s="1732"/>
      <c r="BA63" s="1462"/>
      <c r="BB63" s="1462"/>
      <c r="BC63" s="1462"/>
      <c r="BD63" s="1462"/>
      <c r="BE63" s="1732"/>
      <c r="BF63" s="1462"/>
      <c r="BG63" s="1462"/>
      <c r="BH63" s="651"/>
      <c r="BI63" s="1462"/>
      <c r="BJ63" s="1462"/>
      <c r="BK63" s="1462"/>
      <c r="BL63" s="1462"/>
      <c r="BM63" s="1462"/>
      <c r="BN63" s="1728"/>
      <c r="BO63" s="729"/>
      <c r="BP63" s="729"/>
      <c r="BQ63" s="729"/>
      <c r="BR63" s="729"/>
      <c r="BS63" s="1737">
        <v>11</v>
      </c>
    </row>
    <row s="10851" customFormat="1" customHeight="1" ht="11.549999999999999">
      <c r="A64" s="1087"/>
      <c r="B64" s="1087"/>
      <c r="C64" s="1087"/>
      <c r="D64" s="1087"/>
      <c r="E64" s="1087"/>
      <c r="F64" s="1732"/>
      <c r="G64" s="1732"/>
      <c r="H64" s="458"/>
      <c r="AS64" s="4889"/>
      <c r="AT64" s="4889"/>
      <c r="AU64" s="4889"/>
      <c r="AV64" s="1462"/>
      <c r="AX64" s="1462"/>
      <c r="AY64" s="1732"/>
      <c r="AZ64" s="1732"/>
      <c r="BA64" s="1462"/>
      <c r="BB64" s="1462"/>
      <c r="BC64" s="1462"/>
      <c r="BD64" s="1462"/>
      <c r="BE64" s="1732"/>
      <c r="BF64" s="1462"/>
      <c r="BG64" s="1462"/>
      <c r="BH64" s="651"/>
      <c r="BI64" s="1462"/>
      <c r="BJ64" s="1462"/>
      <c r="BK64" s="1462"/>
      <c r="BL64" s="1462"/>
      <c r="BM64" s="1462"/>
      <c r="BN64" s="1728"/>
      <c r="BO64" s="729"/>
      <c r="BP64" s="729"/>
      <c r="BQ64" s="729"/>
      <c r="BR64" s="729"/>
      <c r="BS64" s="1737">
        <v>11</v>
      </c>
    </row>
    <row s="10851" customFormat="1" customHeight="1" ht="11.549999999999999">
      <c r="A65" s="1087"/>
      <c r="B65" s="1087"/>
      <c r="C65" s="1087"/>
      <c r="D65" s="1087"/>
      <c r="E65" s="1087"/>
      <c r="F65" s="1732"/>
      <c r="G65" s="1732"/>
      <c r="H65" s="458"/>
      <c r="AS65" s="4889"/>
      <c r="AT65" s="4889"/>
      <c r="AU65" s="4889"/>
      <c r="AV65" s="1462"/>
      <c r="AX65" s="1462"/>
      <c r="AY65" s="1732"/>
      <c r="AZ65" s="1732"/>
      <c r="BA65" s="1462"/>
      <c r="BB65" s="1462"/>
      <c r="BC65" s="1462"/>
      <c r="BD65" s="1462"/>
      <c r="BE65" s="1732"/>
      <c r="BF65" s="1462"/>
      <c r="BG65" s="1462"/>
      <c r="BH65" s="651"/>
      <c r="BI65" s="1462"/>
      <c r="BJ65" s="1462"/>
      <c r="BK65" s="1462"/>
      <c r="BL65" s="1462"/>
      <c r="BM65" s="1462"/>
      <c r="BN65" s="1728"/>
      <c r="BO65" s="729"/>
      <c r="BP65" s="729"/>
      <c r="BQ65" s="729"/>
      <c r="BR65" s="729"/>
      <c r="BS65" s="1737">
        <v>11</v>
      </c>
    </row>
    <row s="10851" customFormat="1" customHeight="1" ht="11.549999999999999">
      <c r="A66" s="1087"/>
      <c r="B66" s="1087"/>
      <c r="C66" s="1087"/>
      <c r="D66" s="1087"/>
      <c r="E66" s="1087"/>
      <c r="F66" s="1732"/>
      <c r="G66" s="1732"/>
      <c r="H66" s="458"/>
      <c r="AS66" s="4889"/>
      <c r="AT66" s="4889"/>
      <c r="AU66" s="4889"/>
      <c r="AV66" s="1462"/>
      <c r="AX66" s="1462"/>
      <c r="AY66" s="1732"/>
      <c r="AZ66" s="1732"/>
      <c r="BA66" s="1462"/>
      <c r="BB66" s="1462"/>
      <c r="BC66" s="1462"/>
      <c r="BD66" s="1462"/>
      <c r="BE66" s="1732"/>
      <c r="BF66" s="1462"/>
      <c r="BG66" s="1462"/>
      <c r="BH66" s="651"/>
      <c r="BI66" s="1462"/>
      <c r="BJ66" s="1462"/>
      <c r="BK66" s="1462"/>
      <c r="BL66" s="1462"/>
      <c r="BM66" s="1462"/>
      <c r="BN66" s="1728"/>
      <c r="BO66" s="729"/>
      <c r="BP66" s="729"/>
      <c r="BQ66" s="729"/>
      <c r="BR66" s="729"/>
      <c r="BS66" s="1737">
        <v>11</v>
      </c>
    </row>
    <row s="10851" customFormat="1" customHeight="1" ht="11.549999999999999">
      <c r="A67" s="1087"/>
      <c r="B67" s="1087"/>
      <c r="C67" s="1087"/>
      <c r="D67" s="1087"/>
      <c r="E67" s="1087"/>
      <c r="F67" s="1732"/>
      <c r="G67" s="1732"/>
      <c r="H67" s="458"/>
      <c r="AS67" s="4889"/>
      <c r="AT67" s="4889"/>
      <c r="AU67" s="4889"/>
      <c r="AV67" s="1462"/>
      <c r="AX67" s="1462"/>
      <c r="AY67" s="1732"/>
      <c r="AZ67" s="1732"/>
      <c r="BA67" s="1462"/>
      <c r="BB67" s="1462"/>
      <c r="BC67" s="1462"/>
      <c r="BD67" s="1462"/>
      <c r="BE67" s="1732"/>
      <c r="BF67" s="1462"/>
      <c r="BG67" s="1462"/>
      <c r="BH67" s="651"/>
      <c r="BI67" s="1462"/>
      <c r="BJ67" s="1462"/>
      <c r="BK67" s="1462"/>
      <c r="BL67" s="1462"/>
      <c r="BM67" s="1462"/>
      <c r="BN67" s="1728"/>
      <c r="BO67" s="729"/>
      <c r="BP67" s="729"/>
      <c r="BQ67" s="729"/>
      <c r="BR67" s="729"/>
      <c r="BS67" s="1737">
        <v>11</v>
      </c>
    </row>
    <row s="10851" customFormat="1" customHeight="1" ht="11.549999999999999">
      <c r="A68" s="1087"/>
      <c r="B68" s="1087"/>
      <c r="C68" s="1087"/>
      <c r="D68" s="1087"/>
      <c r="E68" s="1087"/>
      <c r="F68" s="1732"/>
      <c r="G68" s="1732"/>
      <c r="H68" s="458"/>
      <c r="AS68" s="4889"/>
      <c r="AT68" s="4889"/>
      <c r="AU68" s="4889"/>
      <c r="AV68" s="1462"/>
      <c r="AX68" s="1462"/>
      <c r="AY68" s="1732"/>
      <c r="AZ68" s="1732"/>
      <c r="BA68" s="1462"/>
      <c r="BB68" s="1462"/>
      <c r="BC68" s="1462"/>
      <c r="BD68" s="1462"/>
      <c r="BE68" s="1732"/>
      <c r="BF68" s="1462"/>
      <c r="BG68" s="1462"/>
      <c r="BH68" s="651"/>
      <c r="BI68" s="1462"/>
      <c r="BJ68" s="1462"/>
      <c r="BK68" s="1462"/>
      <c r="BL68" s="1462"/>
      <c r="BM68" s="1462"/>
      <c r="BN68" s="1728"/>
      <c r="BO68" s="729"/>
      <c r="BP68" s="729"/>
      <c r="BQ68" s="729"/>
      <c r="BR68" s="729"/>
      <c r="BS68" s="1737">
        <v>11</v>
      </c>
    </row>
    <row s="10851" customFormat="1" customHeight="1" ht="11.549999999999999">
      <c r="A69" s="1087"/>
      <c r="B69" s="1087"/>
      <c r="C69" s="1087"/>
      <c r="D69" s="1087"/>
      <c r="E69" s="1087"/>
      <c r="F69" s="1732"/>
      <c r="G69" s="1732"/>
      <c r="H69" s="458"/>
      <c r="AS69" s="4889"/>
      <c r="AT69" s="4889"/>
      <c r="AU69" s="4889"/>
      <c r="AV69" s="1462"/>
      <c r="AX69" s="1462"/>
      <c r="AY69" s="1732"/>
      <c r="AZ69" s="1732"/>
      <c r="BA69" s="1462"/>
      <c r="BB69" s="1462"/>
      <c r="BC69" s="1462"/>
      <c r="BD69" s="1462"/>
      <c r="BE69" s="1732"/>
      <c r="BF69" s="1462"/>
      <c r="BG69" s="1462"/>
      <c r="BH69" s="651"/>
      <c r="BI69" s="1462"/>
      <c r="BJ69" s="1462"/>
      <c r="BK69" s="1462"/>
      <c r="BL69" s="1462"/>
      <c r="BM69" s="1462"/>
      <c r="BN69" s="1728"/>
      <c r="BO69" s="729"/>
      <c r="BP69" s="729"/>
      <c r="BQ69" s="729"/>
      <c r="BR69" s="729"/>
      <c r="BS69" s="1737">
        <v>11</v>
      </c>
    </row>
    <row s="10851" customFormat="1" customHeight="1" ht="11.549999999999999">
      <c r="A70" s="1087"/>
      <c r="B70" s="1087"/>
      <c r="C70" s="1087"/>
      <c r="D70" s="1087"/>
      <c r="E70" s="1087"/>
      <c r="F70" s="1732"/>
      <c r="G70" s="1732"/>
      <c r="H70" s="458"/>
      <c r="AS70" s="4889"/>
      <c r="AT70" s="4889"/>
      <c r="AU70" s="4889"/>
      <c r="AV70" s="1462"/>
      <c r="AX70" s="1462"/>
      <c r="AY70" s="1732"/>
      <c r="AZ70" s="1732"/>
      <c r="BA70" s="1462"/>
      <c r="BB70" s="1462"/>
      <c r="BC70" s="1462"/>
      <c r="BD70" s="1462"/>
      <c r="BE70" s="1732"/>
      <c r="BF70" s="1462"/>
      <c r="BG70" s="1462"/>
      <c r="BH70" s="651"/>
      <c r="BI70" s="1462"/>
      <c r="BJ70" s="1462"/>
      <c r="BK70" s="1462"/>
      <c r="BL70" s="1462"/>
      <c r="BM70" s="1462"/>
      <c r="BN70" s="1728"/>
      <c r="BO70" s="729"/>
      <c r="BP70" s="729"/>
      <c r="BQ70" s="729"/>
      <c r="BR70" s="729"/>
      <c r="BS70" s="1737">
        <v>11</v>
      </c>
    </row>
    <row s="10851" customFormat="1" customHeight="1" ht="11.549999999999999">
      <c r="A71" s="1087"/>
      <c r="B71" s="1087"/>
      <c r="C71" s="1087"/>
      <c r="D71" s="1087"/>
      <c r="E71" s="1087"/>
      <c r="F71" s="1732"/>
      <c r="G71" s="1732"/>
      <c r="H71" s="458"/>
      <c r="AS71" s="4889"/>
      <c r="AT71" s="4889"/>
      <c r="AU71" s="4889"/>
      <c r="AV71" s="1462"/>
      <c r="AX71" s="1462"/>
      <c r="AY71" s="1732"/>
      <c r="AZ71" s="1732"/>
      <c r="BA71" s="1462"/>
      <c r="BB71" s="1462"/>
      <c r="BC71" s="1462"/>
      <c r="BD71" s="1462"/>
      <c r="BE71" s="1732"/>
      <c r="BF71" s="1462"/>
      <c r="BG71" s="1462"/>
      <c r="BH71" s="651"/>
      <c r="BI71" s="1462"/>
      <c r="BJ71" s="1462"/>
      <c r="BK71" s="1462"/>
      <c r="BL71" s="1462"/>
      <c r="BM71" s="1462"/>
      <c r="BN71" s="1728"/>
      <c r="BO71" s="729"/>
      <c r="BP71" s="729"/>
      <c r="BQ71" s="729"/>
      <c r="BR71" s="729"/>
      <c r="BS71" s="1737">
        <v>11</v>
      </c>
    </row>
    <row s="10851" customFormat="1" customHeight="1" ht="11.549999999999999">
      <c r="A72" s="1087"/>
      <c r="B72" s="1087"/>
      <c r="C72" s="1087"/>
      <c r="D72" s="1087"/>
      <c r="E72" s="1087"/>
      <c r="F72" s="1732"/>
      <c r="G72" s="1732"/>
      <c r="H72" s="458"/>
      <c r="AS72" s="4889"/>
      <c r="AT72" s="4889"/>
      <c r="AU72" s="4889"/>
      <c r="AV72" s="1462"/>
      <c r="AX72" s="1462"/>
      <c r="AY72" s="1732"/>
      <c r="AZ72" s="1732"/>
      <c r="BA72" s="1462"/>
      <c r="BB72" s="1462"/>
      <c r="BC72" s="1462"/>
      <c r="BD72" s="1462"/>
      <c r="BE72" s="1732"/>
      <c r="BF72" s="1462"/>
      <c r="BG72" s="1462"/>
      <c r="BH72" s="651"/>
      <c r="BI72" s="1462"/>
      <c r="BJ72" s="1462"/>
      <c r="BK72" s="1462"/>
      <c r="BL72" s="1462"/>
      <c r="BM72" s="1462"/>
      <c r="BN72" s="1728"/>
      <c r="BO72" s="729"/>
      <c r="BP72" s="729"/>
      <c r="BQ72" s="729"/>
      <c r="BR72" s="729"/>
      <c r="BS72" s="1737">
        <v>11</v>
      </c>
    </row>
    <row s="10851" customFormat="1" customHeight="1" ht="11.549999999999999">
      <c r="A73" s="1087"/>
      <c r="B73" s="1087"/>
      <c r="C73" s="1087"/>
      <c r="D73" s="1087"/>
      <c r="E73" s="1087"/>
      <c r="F73" s="1732"/>
      <c r="G73" s="1732"/>
      <c r="H73" s="458"/>
      <c r="AS73" s="4889"/>
      <c r="AT73" s="4889"/>
      <c r="AU73" s="4889"/>
      <c r="AV73" s="1462"/>
      <c r="AX73" s="1462"/>
      <c r="AY73" s="1732"/>
      <c r="AZ73" s="1732"/>
      <c r="BA73" s="1462"/>
      <c r="BB73" s="1462"/>
      <c r="BC73" s="1462"/>
      <c r="BD73" s="1462"/>
      <c r="BE73" s="1732"/>
      <c r="BF73" s="1462"/>
      <c r="BG73" s="1462"/>
      <c r="BH73" s="651"/>
      <c r="BI73" s="1462"/>
      <c r="BJ73" s="1462"/>
      <c r="BK73" s="1462"/>
      <c r="BL73" s="1462"/>
      <c r="BM73" s="1462"/>
      <c r="BN73" s="1728"/>
      <c r="BO73" s="729"/>
      <c r="BP73" s="729"/>
      <c r="BQ73" s="729"/>
      <c r="BR73" s="729"/>
      <c r="BS73" s="1737">
        <v>11</v>
      </c>
    </row>
    <row s="10851" customFormat="1" customHeight="1" ht="11.549999999999999">
      <c r="A74" s="1087"/>
      <c r="B74" s="1087"/>
      <c r="C74" s="1087"/>
      <c r="D74" s="1087"/>
      <c r="E74" s="1087"/>
      <c r="F74" s="1732"/>
      <c r="G74" s="1732"/>
      <c r="H74" s="458"/>
      <c r="AS74" s="4889"/>
      <c r="AT74" s="4889"/>
      <c r="AU74" s="4889"/>
      <c r="AV74" s="1462"/>
      <c r="AX74" s="1462"/>
      <c r="AY74" s="1732"/>
      <c r="AZ74" s="1732"/>
      <c r="BA74" s="1462"/>
      <c r="BB74" s="1462"/>
      <c r="BC74" s="1462"/>
      <c r="BD74" s="1462"/>
      <c r="BE74" s="1732"/>
      <c r="BF74" s="1462"/>
      <c r="BG74" s="1462"/>
      <c r="BH74" s="651"/>
      <c r="BI74" s="1462"/>
      <c r="BJ74" s="1462"/>
      <c r="BK74" s="1462"/>
      <c r="BL74" s="1462"/>
      <c r="BM74" s="1462"/>
      <c r="BN74" s="1728"/>
      <c r="BO74" s="729"/>
      <c r="BP74" s="729"/>
      <c r="BQ74" s="729"/>
      <c r="BR74" s="729"/>
      <c r="BS74" s="1737">
        <v>11</v>
      </c>
    </row>
    <row s="10851" customFormat="1" customHeight="1" ht="11.549999999999999">
      <c r="A75" s="1087"/>
      <c r="B75" s="1087"/>
      <c r="C75" s="1087"/>
      <c r="D75" s="1087"/>
      <c r="E75" s="1087"/>
      <c r="F75" s="1732"/>
      <c r="G75" s="1732"/>
      <c r="H75" s="458"/>
      <c r="AS75" s="4889"/>
      <c r="AT75" s="4889"/>
      <c r="AU75" s="4889"/>
      <c r="AV75" s="1462"/>
      <c r="AX75" s="1462"/>
      <c r="AY75" s="1732"/>
      <c r="AZ75" s="1732"/>
      <c r="BA75" s="1462"/>
      <c r="BB75" s="1462"/>
      <c r="BC75" s="1462"/>
      <c r="BD75" s="1462"/>
      <c r="BE75" s="1732"/>
      <c r="BF75" s="1462"/>
      <c r="BG75" s="1462"/>
      <c r="BH75" s="651"/>
      <c r="BI75" s="1462"/>
      <c r="BJ75" s="1462"/>
      <c r="BK75" s="1462"/>
      <c r="BL75" s="1462"/>
      <c r="BM75" s="1462"/>
      <c r="BN75" s="1728"/>
      <c r="BO75" s="729"/>
      <c r="BP75" s="729"/>
      <c r="BQ75" s="729"/>
      <c r="BR75" s="729"/>
      <c r="BS75" s="1737">
        <v>11</v>
      </c>
    </row>
    <row s="10851" customFormat="1" customHeight="1" ht="11.549999999999999">
      <c r="A76" s="1087"/>
      <c r="B76" s="1087"/>
      <c r="C76" s="1087"/>
      <c r="D76" s="1087"/>
      <c r="E76" s="1087"/>
      <c r="F76" s="1732"/>
      <c r="G76" s="1732"/>
      <c r="H76" s="458"/>
      <c r="AS76" s="4889"/>
      <c r="AT76" s="4889"/>
      <c r="AU76" s="4889"/>
      <c r="AV76" s="1462"/>
      <c r="AX76" s="1462"/>
      <c r="AY76" s="1732"/>
      <c r="AZ76" s="1732"/>
      <c r="BA76" s="1462"/>
      <c r="BB76" s="1462"/>
      <c r="BC76" s="1462"/>
      <c r="BD76" s="1462"/>
      <c r="BE76" s="1732"/>
      <c r="BF76" s="1462"/>
      <c r="BG76" s="1462"/>
      <c r="BH76" s="651"/>
      <c r="BI76" s="1462"/>
      <c r="BJ76" s="1462"/>
      <c r="BK76" s="1462"/>
      <c r="BL76" s="1462"/>
      <c r="BM76" s="1462"/>
      <c r="BN76" s="1728"/>
      <c r="BO76" s="729"/>
      <c r="BP76" s="729"/>
      <c r="BQ76" s="729"/>
      <c r="BR76" s="729"/>
      <c r="BS76" s="1737">
        <v>11</v>
      </c>
    </row>
    <row s="10851" customFormat="1" customHeight="1" ht="11.549999999999999">
      <c r="A77" s="1087"/>
      <c r="B77" s="1087"/>
      <c r="C77" s="1087"/>
      <c r="D77" s="1087"/>
      <c r="E77" s="1087"/>
      <c r="F77" s="1732"/>
      <c r="G77" s="1732"/>
      <c r="H77" s="458"/>
      <c r="AS77" s="4889"/>
      <c r="AT77" s="4889"/>
      <c r="AU77" s="4889"/>
      <c r="AV77" s="1462"/>
      <c r="AX77" s="1462"/>
      <c r="AY77" s="1732"/>
      <c r="AZ77" s="1732"/>
      <c r="BA77" s="1462"/>
      <c r="BB77" s="1462"/>
      <c r="BC77" s="1462"/>
      <c r="BD77" s="1462"/>
      <c r="BE77" s="1732"/>
      <c r="BF77" s="1462"/>
      <c r="BG77" s="1462"/>
      <c r="BH77" s="651"/>
      <c r="BI77" s="1462"/>
      <c r="BJ77" s="1462"/>
      <c r="BK77" s="1462"/>
      <c r="BL77" s="1462"/>
      <c r="BM77" s="1462"/>
      <c r="BN77" s="1728"/>
      <c r="BO77" s="729"/>
      <c r="BP77" s="729"/>
      <c r="BQ77" s="729"/>
      <c r="BR77" s="729"/>
      <c r="BS77" s="1737">
        <v>11</v>
      </c>
    </row>
    <row s="10851" customFormat="1" customHeight="1" ht="11.549999999999999">
      <c r="A78" s="1087"/>
      <c r="B78" s="1087"/>
      <c r="C78" s="1087"/>
      <c r="D78" s="1087"/>
      <c r="E78" s="1087"/>
      <c r="F78" s="1732"/>
      <c r="G78" s="1732"/>
      <c r="H78" s="458"/>
      <c r="AS78" s="4889"/>
      <c r="AT78" s="4889"/>
      <c r="AU78" s="4889"/>
      <c r="AV78" s="1462"/>
      <c r="AX78" s="1462"/>
      <c r="AY78" s="1732"/>
      <c r="AZ78" s="1732"/>
      <c r="BA78" s="1462"/>
      <c r="BB78" s="1462"/>
      <c r="BC78" s="1462"/>
      <c r="BD78" s="1462"/>
      <c r="BE78" s="1732"/>
      <c r="BF78" s="1462"/>
      <c r="BG78" s="1462"/>
      <c r="BH78" s="651"/>
      <c r="BI78" s="1462"/>
      <c r="BJ78" s="1462"/>
      <c r="BK78" s="1462"/>
      <c r="BL78" s="1462"/>
      <c r="BM78" s="1462"/>
      <c r="BN78" s="1728"/>
      <c r="BO78" s="729"/>
      <c r="BP78" s="729"/>
      <c r="BQ78" s="729"/>
      <c r="BR78" s="729"/>
      <c r="BS78" s="1737">
        <v>11</v>
      </c>
    </row>
    <row s="10851" customFormat="1" customHeight="1" ht="11.549999999999999">
      <c r="A79" s="1087"/>
      <c r="B79" s="1087"/>
      <c r="C79" s="1087"/>
      <c r="D79" s="1087"/>
      <c r="E79" s="1087"/>
      <c r="F79" s="1732"/>
      <c r="G79" s="1732"/>
      <c r="H79" s="458"/>
      <c r="AS79" s="4889"/>
      <c r="AT79" s="4889"/>
      <c r="AU79" s="4889"/>
      <c r="AV79" s="1462"/>
      <c r="AX79" s="1462"/>
      <c r="AY79" s="1732"/>
      <c r="AZ79" s="1732"/>
      <c r="BA79" s="1462"/>
      <c r="BB79" s="1462"/>
      <c r="BC79" s="1462"/>
      <c r="BD79" s="1462"/>
      <c r="BE79" s="1732"/>
      <c r="BF79" s="1462"/>
      <c r="BG79" s="1462"/>
      <c r="BH79" s="651"/>
      <c r="BI79" s="1462"/>
      <c r="BJ79" s="1462"/>
      <c r="BK79" s="1462"/>
      <c r="BL79" s="1462"/>
      <c r="BM79" s="1462"/>
      <c r="BN79" s="1728"/>
      <c r="BO79" s="729"/>
      <c r="BP79" s="729"/>
      <c r="BQ79" s="729"/>
      <c r="BR79" s="729"/>
      <c r="BS79" s="1737">
        <v>11</v>
      </c>
    </row>
    <row s="10851" customFormat="1" customHeight="1" ht="11.549999999999999">
      <c r="A80" s="1087"/>
      <c r="B80" s="1087"/>
      <c r="C80" s="1087"/>
      <c r="D80" s="1087"/>
      <c r="E80" s="1087"/>
      <c r="F80" s="1732"/>
      <c r="G80" s="1732"/>
      <c r="H80" s="458"/>
      <c r="AS80" s="4889"/>
      <c r="AT80" s="4889"/>
      <c r="AU80" s="4889"/>
      <c r="AV80" s="1462"/>
      <c r="AX80" s="1462"/>
      <c r="AY80" s="1732"/>
      <c r="AZ80" s="1732"/>
      <c r="BA80" s="1462"/>
      <c r="BB80" s="1462"/>
      <c r="BC80" s="1462"/>
      <c r="BD80" s="1462"/>
      <c r="BE80" s="1732"/>
      <c r="BF80" s="1462"/>
      <c r="BG80" s="1462"/>
      <c r="BH80" s="651"/>
      <c r="BI80" s="1462"/>
      <c r="BJ80" s="1462"/>
      <c r="BK80" s="1462"/>
      <c r="BL80" s="1462"/>
      <c r="BM80" s="1462"/>
      <c r="BN80" s="1728"/>
      <c r="BO80" s="729"/>
      <c r="BP80" s="729"/>
      <c r="BQ80" s="729"/>
      <c r="BR80" s="729"/>
      <c r="BS80" s="1737">
        <v>11</v>
      </c>
    </row>
    <row s="10851" customFormat="1" customHeight="1" ht="11.549999999999999">
      <c r="A81" s="1087"/>
      <c r="B81" s="1087"/>
      <c r="C81" s="1087"/>
      <c r="D81" s="1087"/>
      <c r="E81" s="1087"/>
      <c r="F81" s="1732"/>
      <c r="G81" s="1732"/>
      <c r="H81" s="458"/>
      <c r="AS81" s="4889"/>
      <c r="AT81" s="4889"/>
      <c r="AU81" s="4889"/>
      <c r="AV81" s="1462"/>
      <c r="AX81" s="1462"/>
      <c r="AY81" s="1732"/>
      <c r="AZ81" s="1732"/>
      <c r="BA81" s="1462"/>
      <c r="BB81" s="1462"/>
      <c r="BC81" s="1462"/>
      <c r="BD81" s="1462"/>
      <c r="BE81" s="1732"/>
      <c r="BF81" s="1462"/>
      <c r="BG81" s="1462"/>
      <c r="BH81" s="651"/>
      <c r="BI81" s="1462"/>
      <c r="BJ81" s="1462"/>
      <c r="BK81" s="1462"/>
      <c r="BL81" s="1462"/>
      <c r="BM81" s="1462"/>
      <c r="BN81" s="1728"/>
      <c r="BO81" s="729"/>
      <c r="BP81" s="729"/>
      <c r="BQ81" s="729"/>
      <c r="BR81" s="729"/>
      <c r="BS81" s="1737">
        <v>11</v>
      </c>
    </row>
    <row s="10851" customFormat="1" customHeight="1" ht="11.549999999999999">
      <c r="A82" s="1087"/>
      <c r="B82" s="1087"/>
      <c r="C82" s="1087"/>
      <c r="D82" s="1087"/>
      <c r="E82" s="1087"/>
      <c r="F82" s="1732"/>
      <c r="G82" s="1732"/>
      <c r="H82" s="458"/>
      <c r="AS82" s="4889"/>
      <c r="AT82" s="4889"/>
      <c r="AU82" s="4889"/>
      <c r="AV82" s="1462"/>
      <c r="AX82" s="1462"/>
      <c r="AY82" s="1732"/>
      <c r="AZ82" s="1732"/>
      <c r="BA82" s="1462"/>
      <c r="BB82" s="1462"/>
      <c r="BC82" s="1462"/>
      <c r="BD82" s="1462"/>
      <c r="BE82" s="1732"/>
      <c r="BF82" s="1462"/>
      <c r="BG82" s="1462"/>
      <c r="BH82" s="651"/>
      <c r="BI82" s="1462"/>
      <c r="BJ82" s="1462"/>
      <c r="BK82" s="1462"/>
      <c r="BL82" s="1462"/>
      <c r="BM82" s="1462"/>
      <c r="BN82" s="1728"/>
      <c r="BO82" s="729"/>
      <c r="BP82" s="729"/>
      <c r="BQ82" s="729"/>
      <c r="BR82" s="729"/>
      <c r="BS82" s="1737">
        <v>11</v>
      </c>
    </row>
    <row s="10851" customFormat="1" customHeight="1" ht="11.549999999999999">
      <c r="A83" s="1087"/>
      <c r="B83" s="1087"/>
      <c r="C83" s="1087"/>
      <c r="D83" s="1087"/>
      <c r="E83" s="1087"/>
      <c r="F83" s="1732"/>
      <c r="G83" s="1732"/>
      <c r="H83" s="458"/>
      <c r="AS83" s="4889"/>
      <c r="AT83" s="4889"/>
      <c r="AU83" s="4889"/>
      <c r="AV83" s="1462"/>
      <c r="AX83" s="1462"/>
      <c r="AY83" s="1732"/>
      <c r="AZ83" s="1732"/>
      <c r="BA83" s="1462"/>
      <c r="BB83" s="1462"/>
      <c r="BC83" s="1462"/>
      <c r="BD83" s="1462"/>
      <c r="BE83" s="1732"/>
      <c r="BF83" s="1462"/>
      <c r="BG83" s="1462"/>
      <c r="BH83" s="651"/>
      <c r="BI83" s="1462"/>
      <c r="BJ83" s="1462"/>
      <c r="BK83" s="1462"/>
      <c r="BL83" s="1462"/>
      <c r="BM83" s="1462"/>
      <c r="BN83" s="1728"/>
      <c r="BO83" s="729"/>
      <c r="BP83" s="729"/>
      <c r="BQ83" s="729"/>
      <c r="BR83" s="729"/>
      <c r="BS83" s="1737">
        <v>11</v>
      </c>
    </row>
    <row s="10851" customFormat="1" customHeight="1" ht="11.549999999999999">
      <c r="A84" s="1087"/>
      <c r="B84" s="1087"/>
      <c r="C84" s="1087"/>
      <c r="D84" s="1087"/>
      <c r="E84" s="1087"/>
      <c r="F84" s="1732"/>
      <c r="G84" s="1732"/>
      <c r="H84" s="458"/>
      <c r="AS84" s="4889"/>
      <c r="AT84" s="4889"/>
      <c r="AU84" s="4889"/>
      <c r="AV84" s="1462"/>
      <c r="AX84" s="1462"/>
      <c r="AY84" s="1732"/>
      <c r="AZ84" s="1732"/>
      <c r="BA84" s="1462"/>
      <c r="BB84" s="1462"/>
      <c r="BC84" s="1462"/>
      <c r="BD84" s="1462"/>
      <c r="BE84" s="1732"/>
      <c r="BF84" s="1462"/>
      <c r="BG84" s="1462"/>
      <c r="BH84" s="651"/>
      <c r="BI84" s="1462"/>
      <c r="BJ84" s="1462"/>
      <c r="BK84" s="1462"/>
      <c r="BL84" s="1462"/>
      <c r="BM84" s="1462"/>
      <c r="BN84" s="1728"/>
      <c r="BO84" s="729"/>
      <c r="BP84" s="729"/>
      <c r="BQ84" s="729"/>
      <c r="BR84" s="729"/>
      <c r="BS84" s="1737">
        <v>11</v>
      </c>
    </row>
    <row s="10851" customFormat="1" customHeight="1" ht="11.549999999999999">
      <c r="A85" s="1087"/>
      <c r="B85" s="1087"/>
      <c r="C85" s="1087"/>
      <c r="D85" s="1087"/>
      <c r="E85" s="1087"/>
      <c r="F85" s="1732"/>
      <c r="G85" s="1732"/>
      <c r="H85" s="458"/>
      <c r="AS85" s="4889"/>
      <c r="AT85" s="4889"/>
      <c r="AU85" s="4889"/>
      <c r="AV85" s="1462"/>
      <c r="AX85" s="1462"/>
      <c r="AY85" s="1732"/>
      <c r="AZ85" s="1732"/>
      <c r="BA85" s="1462"/>
      <c r="BB85" s="1462"/>
      <c r="BC85" s="1462"/>
      <c r="BD85" s="1462"/>
      <c r="BE85" s="1732"/>
      <c r="BF85" s="1462"/>
      <c r="BG85" s="1462"/>
      <c r="BH85" s="651"/>
      <c r="BI85" s="1462"/>
      <c r="BJ85" s="1462"/>
      <c r="BK85" s="1462"/>
      <c r="BL85" s="1462"/>
      <c r="BM85" s="1462"/>
      <c r="BN85" s="1728"/>
      <c r="BO85" s="729"/>
      <c r="BP85" s="729"/>
      <c r="BQ85" s="729"/>
      <c r="BR85" s="729"/>
      <c r="BS85" s="1737">
        <v>11</v>
      </c>
    </row>
    <row s="10851" customFormat="1" customHeight="1" ht="11.549999999999999">
      <c r="A86" s="1087"/>
      <c r="B86" s="1087"/>
      <c r="C86" s="1087"/>
      <c r="D86" s="1087"/>
      <c r="E86" s="1087"/>
      <c r="F86" s="1732"/>
      <c r="G86" s="1732"/>
      <c r="H86" s="458"/>
      <c r="AS86" s="4889"/>
      <c r="AT86" s="4889"/>
      <c r="AU86" s="4889"/>
      <c r="AV86" s="1462"/>
      <c r="AX86" s="1462"/>
      <c r="AY86" s="1732"/>
      <c r="AZ86" s="1732"/>
      <c r="BA86" s="1462"/>
      <c r="BB86" s="1462"/>
      <c r="BC86" s="1462"/>
      <c r="BD86" s="1462"/>
      <c r="BE86" s="1732"/>
      <c r="BF86" s="1462"/>
      <c r="BG86" s="1462"/>
      <c r="BH86" s="651"/>
      <c r="BI86" s="1462"/>
      <c r="BJ86" s="1462"/>
      <c r="BK86" s="1462"/>
      <c r="BL86" s="1462"/>
      <c r="BM86" s="1462"/>
      <c r="BN86" s="1728"/>
      <c r="BO86" s="729"/>
      <c r="BP86" s="729"/>
      <c r="BQ86" s="729"/>
      <c r="BR86" s="729"/>
      <c r="BS86" s="1737">
        <v>11</v>
      </c>
    </row>
    <row s="10851" customFormat="1" customHeight="1" ht="11.549999999999999">
      <c r="A87" s="1087"/>
      <c r="B87" s="1087"/>
      <c r="C87" s="1087"/>
      <c r="D87" s="1087"/>
      <c r="E87" s="1087"/>
      <c r="F87" s="1732"/>
      <c r="G87" s="1732"/>
      <c r="H87" s="458"/>
      <c r="AS87" s="4889"/>
      <c r="AT87" s="4889"/>
      <c r="AU87" s="4889"/>
      <c r="AV87" s="1462"/>
      <c r="AX87" s="1462"/>
      <c r="AY87" s="1732"/>
      <c r="AZ87" s="1732"/>
      <c r="BA87" s="1462"/>
      <c r="BB87" s="1462"/>
      <c r="BC87" s="1462"/>
      <c r="BD87" s="1462"/>
      <c r="BE87" s="1732"/>
      <c r="BF87" s="1462"/>
      <c r="BG87" s="1462"/>
      <c r="BH87" s="651"/>
      <c r="BI87" s="1462"/>
      <c r="BJ87" s="1462"/>
      <c r="BK87" s="1462"/>
      <c r="BL87" s="1462"/>
      <c r="BM87" s="1462"/>
      <c r="BN87" s="1728"/>
      <c r="BO87" s="729"/>
      <c r="BP87" s="729"/>
      <c r="BQ87" s="729"/>
      <c r="BR87" s="729"/>
      <c r="BS87" s="1737">
        <v>11</v>
      </c>
    </row>
    <row s="10851" customFormat="1" customHeight="1" ht="11.549999999999999">
      <c r="A88" s="1087"/>
      <c r="B88" s="1087"/>
      <c r="C88" s="1087"/>
      <c r="D88" s="1087"/>
      <c r="E88" s="1087"/>
      <c r="F88" s="1732"/>
      <c r="G88" s="1732"/>
      <c r="H88" s="458"/>
      <c r="AS88" s="4889"/>
      <c r="AT88" s="4889"/>
      <c r="AU88" s="4889"/>
      <c r="AV88" s="1462"/>
      <c r="AX88" s="1462"/>
      <c r="AY88" s="1732"/>
      <c r="AZ88" s="1732"/>
      <c r="BA88" s="1462"/>
      <c r="BB88" s="1462"/>
      <c r="BC88" s="1462"/>
      <c r="BD88" s="1462"/>
      <c r="BE88" s="1732"/>
      <c r="BF88" s="1462"/>
      <c r="BG88" s="1462"/>
      <c r="BH88" s="651"/>
      <c r="BI88" s="1462"/>
      <c r="BJ88" s="1462"/>
      <c r="BK88" s="1462"/>
      <c r="BL88" s="1462"/>
      <c r="BM88" s="1462"/>
      <c r="BN88" s="1728"/>
      <c r="BO88" s="729"/>
      <c r="BP88" s="729"/>
      <c r="BQ88" s="729"/>
      <c r="BR88" s="729"/>
      <c r="BS88" s="1737">
        <v>11</v>
      </c>
    </row>
    <row s="10851" customFormat="1" customHeight="1" ht="11.549999999999999">
      <c r="A89" s="1087"/>
      <c r="B89" s="1087"/>
      <c r="C89" s="1087"/>
      <c r="D89" s="1087"/>
      <c r="E89" s="1087"/>
      <c r="F89" s="1732"/>
      <c r="G89" s="1732"/>
      <c r="H89" s="458"/>
      <c r="AS89" s="4889"/>
      <c r="AT89" s="4889"/>
      <c r="AU89" s="4889"/>
      <c r="AV89" s="1462"/>
      <c r="AX89" s="1462"/>
      <c r="AY89" s="1732"/>
      <c r="AZ89" s="1732"/>
      <c r="BA89" s="1462"/>
      <c r="BB89" s="1462"/>
      <c r="BC89" s="1462"/>
      <c r="BD89" s="1462"/>
      <c r="BE89" s="1732"/>
      <c r="BF89" s="1462"/>
      <c r="BG89" s="1462"/>
      <c r="BH89" s="651"/>
      <c r="BI89" s="1462"/>
      <c r="BJ89" s="1462"/>
      <c r="BK89" s="1462"/>
      <c r="BL89" s="1462"/>
      <c r="BM89" s="1462"/>
      <c r="BN89" s="1728"/>
      <c r="BO89" s="729"/>
      <c r="BP89" s="729"/>
      <c r="BQ89" s="729"/>
      <c r="BR89" s="729"/>
      <c r="BS89" s="1737">
        <v>11</v>
      </c>
    </row>
    <row s="10851" customFormat="1" customHeight="1" ht="11.549999999999999">
      <c r="A90" s="1087"/>
      <c r="B90" s="1087"/>
      <c r="C90" s="1087"/>
      <c r="D90" s="1087"/>
      <c r="E90" s="1087"/>
      <c r="F90" s="1732"/>
      <c r="G90" s="1732"/>
      <c r="H90" s="458"/>
      <c r="AS90" s="4889"/>
      <c r="AT90" s="4889"/>
      <c r="AU90" s="4889"/>
      <c r="AV90" s="1462"/>
      <c r="AX90" s="1462"/>
      <c r="AY90" s="1732"/>
      <c r="AZ90" s="1732"/>
      <c r="BA90" s="1462"/>
      <c r="BB90" s="1462"/>
      <c r="BC90" s="1462"/>
      <c r="BD90" s="1462"/>
      <c r="BE90" s="1732"/>
      <c r="BF90" s="1462"/>
      <c r="BG90" s="1462"/>
      <c r="BH90" s="651"/>
      <c r="BI90" s="1462"/>
      <c r="BJ90" s="1462"/>
      <c r="BK90" s="1462"/>
      <c r="BL90" s="1462"/>
      <c r="BM90" s="1462"/>
      <c r="BN90" s="1728"/>
      <c r="BO90" s="729"/>
      <c r="BP90" s="729"/>
      <c r="BQ90" s="729"/>
      <c r="BR90" s="729"/>
      <c r="BS90" s="1737">
        <v>11</v>
      </c>
    </row>
    <row s="10851" customFormat="1" customHeight="1" ht="11.549999999999999">
      <c r="A91" s="1087"/>
      <c r="B91" s="1087"/>
      <c r="C91" s="1087"/>
      <c r="D91" s="1087"/>
      <c r="E91" s="1087"/>
      <c r="F91" s="1732"/>
      <c r="G91" s="1732"/>
      <c r="H91" s="458"/>
      <c r="AS91" s="4889"/>
      <c r="AT91" s="4889"/>
      <c r="AU91" s="4889"/>
      <c r="AV91" s="1462"/>
      <c r="AX91" s="1462"/>
      <c r="AY91" s="1732"/>
      <c r="AZ91" s="1732"/>
      <c r="BA91" s="1462"/>
      <c r="BB91" s="1462"/>
      <c r="BC91" s="1462"/>
      <c r="BD91" s="1462"/>
      <c r="BE91" s="1732"/>
      <c r="BF91" s="1462"/>
      <c r="BG91" s="1462"/>
      <c r="BH91" s="651"/>
      <c r="BI91" s="1462"/>
      <c r="BJ91" s="1462"/>
      <c r="BK91" s="1462"/>
      <c r="BL91" s="1462"/>
      <c r="BM91" s="1462"/>
      <c r="BN91" s="1728"/>
      <c r="BO91" s="729"/>
      <c r="BP91" s="729"/>
      <c r="BQ91" s="729"/>
      <c r="BR91" s="729"/>
      <c r="BS91" s="1737">
        <v>11</v>
      </c>
    </row>
    <row s="10851" customFormat="1" customHeight="1" ht="11.549999999999999">
      <c r="A92" s="1087"/>
      <c r="B92" s="1087"/>
      <c r="C92" s="1087"/>
      <c r="D92" s="1087"/>
      <c r="E92" s="1087"/>
      <c r="F92" s="1732"/>
      <c r="G92" s="1732"/>
      <c r="H92" s="458"/>
      <c r="AS92" s="4889"/>
      <c r="AT92" s="4889"/>
      <c r="AU92" s="4889"/>
      <c r="AV92" s="1462"/>
      <c r="AX92" s="1462"/>
      <c r="AY92" s="1732"/>
      <c r="AZ92" s="1732"/>
      <c r="BA92" s="1462"/>
      <c r="BB92" s="1462"/>
      <c r="BC92" s="1462"/>
      <c r="BD92" s="1462"/>
      <c r="BE92" s="1732"/>
      <c r="BF92" s="1462"/>
      <c r="BG92" s="1462"/>
      <c r="BH92" s="651"/>
      <c r="BI92" s="1462"/>
      <c r="BJ92" s="1462"/>
      <c r="BK92" s="1462"/>
      <c r="BL92" s="1462"/>
      <c r="BM92" s="1462"/>
      <c r="BN92" s="1728"/>
      <c r="BO92" s="729"/>
      <c r="BP92" s="729"/>
      <c r="BQ92" s="729"/>
      <c r="BR92" s="729"/>
      <c r="BS92" s="1737">
        <v>11</v>
      </c>
    </row>
    <row s="10851" customFormat="1" customHeight="1" ht="11.549999999999999">
      <c r="A93" s="1087"/>
      <c r="B93" s="1087"/>
      <c r="C93" s="1087"/>
      <c r="D93" s="1087"/>
      <c r="E93" s="1087"/>
      <c r="F93" s="1732"/>
      <c r="G93" s="1732"/>
      <c r="H93" s="458"/>
      <c r="AS93" s="4889"/>
      <c r="AT93" s="4889"/>
      <c r="AU93" s="4889"/>
      <c r="AV93" s="1462"/>
      <c r="AX93" s="1462"/>
      <c r="AY93" s="1732"/>
      <c r="AZ93" s="1732"/>
      <c r="BA93" s="1462"/>
      <c r="BB93" s="1462"/>
      <c r="BC93" s="1462"/>
      <c r="BD93" s="1462"/>
      <c r="BE93" s="1732"/>
      <c r="BF93" s="1462"/>
      <c r="BG93" s="1462"/>
      <c r="BH93" s="651"/>
      <c r="BI93" s="1462"/>
      <c r="BJ93" s="1462"/>
      <c r="BK93" s="1462"/>
      <c r="BL93" s="1462"/>
      <c r="BM93" s="1462"/>
      <c r="BN93" s="1728"/>
      <c r="BO93" s="729"/>
      <c r="BP93" s="729"/>
      <c r="BQ93" s="729"/>
      <c r="BR93" s="729"/>
      <c r="BS93" s="1737">
        <v>11</v>
      </c>
    </row>
    <row s="10851" customFormat="1" customHeight="1" ht="11.549999999999999">
      <c r="A94" s="1087"/>
      <c r="B94" s="1087"/>
      <c r="C94" s="1087"/>
      <c r="D94" s="1087"/>
      <c r="E94" s="1087"/>
      <c r="F94" s="1732"/>
      <c r="G94" s="1732"/>
      <c r="H94" s="458"/>
      <c r="AS94" s="4889"/>
      <c r="AT94" s="4889"/>
      <c r="AU94" s="4889"/>
      <c r="AV94" s="1462"/>
      <c r="AX94" s="1462"/>
      <c r="AY94" s="1732"/>
      <c r="AZ94" s="1732"/>
      <c r="BA94" s="1462"/>
      <c r="BB94" s="1462"/>
      <c r="BC94" s="1462"/>
      <c r="BD94" s="1462"/>
      <c r="BE94" s="1732"/>
      <c r="BF94" s="1462"/>
      <c r="BG94" s="1462"/>
      <c r="BH94" s="651"/>
      <c r="BI94" s="1462"/>
      <c r="BJ94" s="1462"/>
      <c r="BK94" s="1462"/>
      <c r="BL94" s="1462"/>
      <c r="BM94" s="1462"/>
      <c r="BN94" s="1728"/>
      <c r="BO94" s="729"/>
      <c r="BP94" s="729"/>
      <c r="BQ94" s="729"/>
      <c r="BR94" s="729"/>
      <c r="BS94" s="1737">
        <v>11</v>
      </c>
    </row>
    <row s="10851" customFormat="1" customHeight="1" ht="11.549999999999999">
      <c r="A95" s="1087"/>
      <c r="B95" s="1087"/>
      <c r="C95" s="1087"/>
      <c r="D95" s="1087"/>
      <c r="E95" s="1087"/>
      <c r="F95" s="1732"/>
      <c r="G95" s="1732"/>
      <c r="H95" s="458"/>
      <c r="AS95" s="4889"/>
      <c r="AT95" s="4889"/>
      <c r="AU95" s="4889"/>
      <c r="AV95" s="1462"/>
      <c r="AX95" s="1462"/>
      <c r="AY95" s="1732"/>
      <c r="AZ95" s="1732"/>
      <c r="BA95" s="1462"/>
      <c r="BB95" s="1462"/>
      <c r="BC95" s="1462"/>
      <c r="BD95" s="1462"/>
      <c r="BE95" s="1732"/>
      <c r="BF95" s="1462"/>
      <c r="BG95" s="1462"/>
      <c r="BH95" s="651"/>
      <c r="BI95" s="1462"/>
      <c r="BJ95" s="1462"/>
      <c r="BK95" s="1462"/>
      <c r="BL95" s="1462"/>
      <c r="BM95" s="1462"/>
      <c r="BN95" s="1728"/>
      <c r="BO95" s="729"/>
      <c r="BP95" s="729"/>
      <c r="BQ95" s="729"/>
      <c r="BR95" s="729"/>
      <c r="BS95" s="1737">
        <v>11</v>
      </c>
    </row>
    <row s="10851" customFormat="1" customHeight="1" ht="11.549999999999999">
      <c r="A96" s="1087"/>
      <c r="B96" s="1087"/>
      <c r="C96" s="1087"/>
      <c r="D96" s="1087"/>
      <c r="E96" s="1087"/>
      <c r="F96" s="1732"/>
      <c r="G96" s="1732"/>
      <c r="H96" s="458"/>
      <c r="AS96" s="4889"/>
      <c r="AT96" s="4889"/>
      <c r="AU96" s="4889"/>
      <c r="AV96" s="1462"/>
      <c r="AX96" s="1462"/>
      <c r="AY96" s="1732"/>
      <c r="AZ96" s="1732"/>
      <c r="BA96" s="1462"/>
      <c r="BB96" s="1462"/>
      <c r="BC96" s="1462"/>
      <c r="BD96" s="1462"/>
      <c r="BE96" s="1732"/>
      <c r="BF96" s="1462"/>
      <c r="BG96" s="1462"/>
      <c r="BH96" s="651"/>
      <c r="BI96" s="1462"/>
      <c r="BJ96" s="1462"/>
      <c r="BK96" s="1462"/>
      <c r="BL96" s="1462"/>
      <c r="BM96" s="1462"/>
      <c r="BN96" s="1728"/>
      <c r="BO96" s="729"/>
      <c r="BP96" s="729"/>
      <c r="BQ96" s="729"/>
      <c r="BR96" s="729"/>
      <c r="BS96" s="1737">
        <v>11</v>
      </c>
    </row>
    <row s="10851" customFormat="1" customHeight="1" ht="11.549999999999999">
      <c r="A97" s="1087"/>
      <c r="B97" s="1087"/>
      <c r="C97" s="1087"/>
      <c r="D97" s="1087"/>
      <c r="E97" s="1087"/>
      <c r="F97" s="1732"/>
      <c r="G97" s="1732"/>
      <c r="H97" s="458"/>
      <c r="AS97" s="4889"/>
      <c r="AT97" s="4889"/>
      <c r="AU97" s="4889"/>
      <c r="AV97" s="1462"/>
      <c r="AX97" s="1462"/>
      <c r="AY97" s="1732"/>
      <c r="AZ97" s="1732"/>
      <c r="BA97" s="1462"/>
      <c r="BB97" s="1462"/>
      <c r="BC97" s="1462"/>
      <c r="BD97" s="1462"/>
      <c r="BE97" s="1732"/>
      <c r="BF97" s="1462"/>
      <c r="BG97" s="1462"/>
      <c r="BH97" s="651"/>
      <c r="BI97" s="1462"/>
      <c r="BJ97" s="1462"/>
      <c r="BK97" s="1462"/>
      <c r="BL97" s="1462"/>
      <c r="BM97" s="1462"/>
      <c r="BN97" s="1728"/>
      <c r="BO97" s="729"/>
      <c r="BP97" s="729"/>
      <c r="BQ97" s="729"/>
      <c r="BR97" s="729"/>
      <c r="BS97" s="1737">
        <v>11</v>
      </c>
    </row>
    <row s="10851" customFormat="1" customHeight="1" ht="11.549999999999999">
      <c r="A98" s="1087"/>
      <c r="B98" s="1087"/>
      <c r="C98" s="1087"/>
      <c r="D98" s="1087"/>
      <c r="E98" s="1087"/>
      <c r="F98" s="1732"/>
      <c r="G98" s="1732"/>
      <c r="H98" s="458"/>
      <c r="AS98" s="4889"/>
      <c r="AT98" s="4889"/>
      <c r="AU98" s="4889"/>
      <c r="AV98" s="1462"/>
      <c r="AX98" s="1462"/>
      <c r="AY98" s="1732"/>
      <c r="AZ98" s="1732"/>
      <c r="BA98" s="1462"/>
      <c r="BB98" s="1462"/>
      <c r="BC98" s="1462"/>
      <c r="BD98" s="1462"/>
      <c r="BE98" s="1732"/>
      <c r="BF98" s="1462"/>
      <c r="BG98" s="1462"/>
      <c r="BH98" s="651"/>
      <c r="BI98" s="1462"/>
      <c r="BJ98" s="1462"/>
      <c r="BK98" s="1462"/>
      <c r="BL98" s="1462"/>
      <c r="BM98" s="1462"/>
      <c r="BN98" s="1728"/>
      <c r="BO98" s="729"/>
      <c r="BP98" s="729"/>
      <c r="BQ98" s="729"/>
      <c r="BR98" s="729"/>
      <c r="BS98" s="1737">
        <v>11</v>
      </c>
    </row>
    <row s="10851" customFormat="1" customHeight="1" ht="11.549999999999999">
      <c r="A99" s="1087"/>
      <c r="B99" s="1087"/>
      <c r="C99" s="1087"/>
      <c r="D99" s="1087"/>
      <c r="E99" s="1087"/>
      <c r="F99" s="1732"/>
      <c r="G99" s="1732"/>
      <c r="H99" s="458"/>
      <c r="AS99" s="4889"/>
      <c r="AT99" s="4889"/>
      <c r="AU99" s="4889"/>
      <c r="AV99" s="1462"/>
      <c r="AX99" s="1462"/>
      <c r="AY99" s="1732"/>
      <c r="AZ99" s="1732"/>
      <c r="BA99" s="1462"/>
      <c r="BB99" s="1462"/>
      <c r="BC99" s="1462"/>
      <c r="BD99" s="1462"/>
      <c r="BE99" s="1732"/>
      <c r="BF99" s="1462"/>
      <c r="BG99" s="1462"/>
      <c r="BH99" s="651"/>
      <c r="BI99" s="1462"/>
      <c r="BJ99" s="1462"/>
      <c r="BK99" s="1462"/>
      <c r="BL99" s="1462"/>
      <c r="BM99" s="1462"/>
      <c r="BN99" s="1728"/>
      <c r="BO99" s="729"/>
      <c r="BP99" s="729"/>
      <c r="BQ99" s="729"/>
      <c r="BR99" s="729"/>
      <c r="BS99" s="1737">
        <v>11</v>
      </c>
    </row>
    <row s="10851" customFormat="1" customHeight="1" ht="11.549999999999999">
      <c r="A100" s="1087"/>
      <c r="B100" s="1087"/>
      <c r="C100" s="1087"/>
      <c r="D100" s="1087"/>
      <c r="E100" s="1087"/>
      <c r="F100" s="1732"/>
      <c r="G100" s="1732"/>
      <c r="H100" s="458"/>
      <c r="AS100" s="4889"/>
      <c r="AT100" s="4889"/>
      <c r="AU100" s="4889"/>
      <c r="AV100" s="1462"/>
      <c r="AX100" s="1462"/>
      <c r="AY100" s="1732"/>
      <c r="AZ100" s="1732"/>
      <c r="BA100" s="1462"/>
      <c r="BB100" s="1462"/>
      <c r="BC100" s="1462"/>
      <c r="BD100" s="1462"/>
      <c r="BE100" s="1732"/>
      <c r="BF100" s="1462"/>
      <c r="BG100" s="1462"/>
      <c r="BH100" s="651"/>
      <c r="BI100" s="1462"/>
      <c r="BJ100" s="1462"/>
      <c r="BK100" s="1462"/>
      <c r="BL100" s="1462"/>
      <c r="BM100" s="1462"/>
      <c r="BN100" s="1728"/>
      <c r="BO100" s="729"/>
      <c r="BP100" s="729"/>
      <c r="BQ100" s="729"/>
      <c r="BR100" s="729"/>
      <c r="BS100" s="1737">
        <v>11</v>
      </c>
    </row>
    <row s="10851" customFormat="1" customHeight="1" ht="11.549999999999999">
      <c r="A101" s="1087"/>
      <c r="B101" s="1087"/>
      <c r="C101" s="1087"/>
      <c r="D101" s="1087"/>
      <c r="E101" s="1087"/>
      <c r="F101" s="1732"/>
      <c r="G101" s="1732"/>
      <c r="H101" s="458"/>
      <c r="AS101" s="4889"/>
      <c r="AT101" s="4889"/>
      <c r="AU101" s="4889"/>
      <c r="AV101" s="1462"/>
      <c r="AX101" s="1462"/>
      <c r="AY101" s="1732"/>
      <c r="AZ101" s="1732"/>
      <c r="BA101" s="1462"/>
      <c r="BB101" s="1462"/>
      <c r="BC101" s="1462"/>
      <c r="BD101" s="1462"/>
      <c r="BE101" s="1732"/>
      <c r="BF101" s="1462"/>
      <c r="BG101" s="1462"/>
      <c r="BH101" s="651"/>
      <c r="BI101" s="1462"/>
      <c r="BJ101" s="1462"/>
      <c r="BK101" s="1462"/>
      <c r="BL101" s="1462"/>
      <c r="BM101" s="1462"/>
      <c r="BN101" s="1728"/>
      <c r="BO101" s="729"/>
      <c r="BP101" s="729"/>
      <c r="BQ101" s="729"/>
      <c r="BR101" s="729"/>
      <c r="BS101" s="1737">
        <v>11</v>
      </c>
    </row>
    <row s="10851" customFormat="1" customHeight="1" ht="11.549999999999999">
      <c r="A102" s="1087"/>
      <c r="B102" s="1087"/>
      <c r="C102" s="1087"/>
      <c r="D102" s="1087"/>
      <c r="E102" s="1087"/>
      <c r="F102" s="1732"/>
      <c r="G102" s="1732"/>
      <c r="H102" s="458"/>
      <c r="AS102" s="4889"/>
      <c r="AT102" s="4889"/>
      <c r="AU102" s="4889"/>
      <c r="AV102" s="1462"/>
      <c r="AX102" s="1462"/>
      <c r="AY102" s="1732"/>
      <c r="AZ102" s="1732"/>
      <c r="BA102" s="1462"/>
      <c r="BB102" s="1462"/>
      <c r="BC102" s="1462"/>
      <c r="BD102" s="1462"/>
      <c r="BE102" s="1732"/>
      <c r="BF102" s="1462"/>
      <c r="BG102" s="1462"/>
      <c r="BH102" s="651"/>
      <c r="BI102" s="1462"/>
      <c r="BJ102" s="1462"/>
      <c r="BK102" s="1462"/>
      <c r="BL102" s="1462"/>
      <c r="BM102" s="1462"/>
      <c r="BN102" s="1728"/>
      <c r="BO102" s="729"/>
      <c r="BP102" s="729"/>
      <c r="BQ102" s="729"/>
      <c r="BR102" s="729"/>
      <c r="BS102" s="1737">
        <v>11</v>
      </c>
    </row>
    <row s="10851" customFormat="1" customHeight="1" ht="11.549999999999999">
      <c r="A103" s="1087"/>
      <c r="B103" s="1087"/>
      <c r="C103" s="1087"/>
      <c r="D103" s="1087"/>
      <c r="E103" s="1087"/>
      <c r="F103" s="1732"/>
      <c r="G103" s="1732"/>
      <c r="H103" s="458"/>
      <c r="AS103" s="4889"/>
      <c r="AT103" s="4889"/>
      <c r="AU103" s="4889"/>
      <c r="AV103" s="1462"/>
      <c r="AX103" s="1462"/>
      <c r="AY103" s="1732"/>
      <c r="AZ103" s="1732"/>
      <c r="BA103" s="1462"/>
      <c r="BB103" s="1462"/>
      <c r="BC103" s="1462"/>
      <c r="BD103" s="1462"/>
      <c r="BE103" s="1732"/>
      <c r="BF103" s="1462"/>
      <c r="BG103" s="1462"/>
      <c r="BH103" s="651"/>
      <c r="BI103" s="1462"/>
      <c r="BJ103" s="1462"/>
      <c r="BK103" s="1462"/>
      <c r="BL103" s="1462"/>
      <c r="BM103" s="1462"/>
      <c r="BN103" s="1728"/>
      <c r="BO103" s="729"/>
      <c r="BP103" s="729"/>
      <c r="BQ103" s="729"/>
      <c r="BR103" s="729"/>
      <c r="BS103" s="1737">
        <v>11</v>
      </c>
    </row>
    <row s="10851" customFormat="1" customHeight="1" ht="11.549999999999999">
      <c r="A104" s="1087"/>
      <c r="B104" s="1087"/>
      <c r="C104" s="1087"/>
      <c r="D104" s="1087"/>
      <c r="E104" s="1087"/>
      <c r="F104" s="1732"/>
      <c r="G104" s="1732"/>
      <c r="H104" s="458"/>
      <c r="AS104" s="4889"/>
      <c r="AT104" s="4889"/>
      <c r="AU104" s="4889"/>
      <c r="AV104" s="1462"/>
      <c r="AX104" s="1462"/>
      <c r="AY104" s="1732"/>
      <c r="AZ104" s="1732"/>
      <c r="BA104" s="1462"/>
      <c r="BB104" s="1462"/>
      <c r="BC104" s="1462"/>
      <c r="BD104" s="1462"/>
      <c r="BE104" s="1732"/>
      <c r="BF104" s="1462"/>
      <c r="BG104" s="1462"/>
      <c r="BH104" s="651"/>
      <c r="BI104" s="1462"/>
      <c r="BJ104" s="1462"/>
      <c r="BK104" s="1462"/>
      <c r="BL104" s="1462"/>
      <c r="BM104" s="1462"/>
      <c r="BN104" s="1728"/>
      <c r="BO104" s="729"/>
      <c r="BP104" s="729"/>
      <c r="BQ104" s="729"/>
      <c r="BR104" s="729"/>
      <c r="BS104" s="1737">
        <v>11</v>
      </c>
    </row>
    <row s="10851" customFormat="1" customHeight="1" ht="11.549999999999999">
      <c r="A105" s="1087"/>
      <c r="B105" s="1087"/>
      <c r="C105" s="1087"/>
      <c r="D105" s="1087"/>
      <c r="E105" s="1087"/>
      <c r="F105" s="1732"/>
      <c r="G105" s="1732"/>
      <c r="H105" s="458"/>
      <c r="AS105" s="4889"/>
      <c r="AT105" s="4889"/>
      <c r="AU105" s="4889"/>
      <c r="AV105" s="1462"/>
      <c r="AX105" s="1462"/>
      <c r="AY105" s="1732"/>
      <c r="AZ105" s="1732"/>
      <c r="BA105" s="1462"/>
      <c r="BB105" s="1462"/>
      <c r="BC105" s="1462"/>
      <c r="BD105" s="1462"/>
      <c r="BE105" s="1732"/>
      <c r="BF105" s="1462"/>
      <c r="BG105" s="1462"/>
      <c r="BH105" s="651"/>
      <c r="BI105" s="1462"/>
      <c r="BJ105" s="1462"/>
      <c r="BK105" s="1462"/>
      <c r="BL105" s="1462"/>
      <c r="BM105" s="1462"/>
      <c r="BN105" s="1728"/>
      <c r="BO105" s="729"/>
      <c r="BP105" s="729"/>
      <c r="BQ105" s="729"/>
      <c r="BR105" s="729"/>
      <c r="BS105" s="1737">
        <v>11</v>
      </c>
    </row>
    <row s="10851" customFormat="1" customHeight="1" ht="11.549999999999999">
      <c r="A106" s="1087"/>
      <c r="B106" s="1087"/>
      <c r="C106" s="1087"/>
      <c r="D106" s="1087"/>
      <c r="E106" s="1087"/>
      <c r="F106" s="1732"/>
      <c r="G106" s="1732"/>
      <c r="H106" s="458"/>
      <c r="AS106" s="4889"/>
      <c r="AT106" s="4889"/>
      <c r="AU106" s="4889"/>
      <c r="AV106" s="1462"/>
      <c r="AX106" s="1462"/>
      <c r="AY106" s="1732"/>
      <c r="AZ106" s="1732"/>
      <c r="BA106" s="1462"/>
      <c r="BB106" s="1462"/>
      <c r="BC106" s="1462"/>
      <c r="BD106" s="1462"/>
      <c r="BE106" s="1732"/>
      <c r="BF106" s="1462"/>
      <c r="BG106" s="1462"/>
      <c r="BH106" s="651"/>
      <c r="BI106" s="1462"/>
      <c r="BJ106" s="1462"/>
      <c r="BK106" s="1462"/>
      <c r="BL106" s="1462"/>
      <c r="BM106" s="1462"/>
      <c r="BN106" s="1728"/>
      <c r="BO106" s="729"/>
      <c r="BP106" s="729"/>
      <c r="BQ106" s="729"/>
      <c r="BR106" s="729"/>
      <c r="BS106" s="1737">
        <v>11</v>
      </c>
    </row>
    <row s="10851" customFormat="1" customHeight="1" ht="11.549999999999999">
      <c r="A107" s="1087"/>
      <c r="B107" s="1087"/>
      <c r="C107" s="1087"/>
      <c r="D107" s="1087"/>
      <c r="E107" s="1087"/>
      <c r="F107" s="1732"/>
      <c r="G107" s="1732"/>
      <c r="H107" s="458"/>
      <c r="AS107" s="4889"/>
      <c r="AT107" s="4889"/>
      <c r="AU107" s="4889"/>
      <c r="AV107" s="1462"/>
      <c r="AX107" s="1462"/>
      <c r="AY107" s="1732"/>
      <c r="AZ107" s="1732"/>
      <c r="BA107" s="1462"/>
      <c r="BB107" s="1462"/>
      <c r="BC107" s="1462"/>
      <c r="BD107" s="1462"/>
      <c r="BE107" s="1732"/>
      <c r="BF107" s="1462"/>
      <c r="BG107" s="1462"/>
      <c r="BH107" s="651"/>
      <c r="BI107" s="1462"/>
      <c r="BJ107" s="1462"/>
      <c r="BK107" s="1462"/>
      <c r="BL107" s="1462"/>
      <c r="BM107" s="1462"/>
      <c r="BN107" s="1728"/>
      <c r="BO107" s="729"/>
      <c r="BP107" s="729"/>
      <c r="BQ107" s="729"/>
      <c r="BR107" s="729"/>
      <c r="BS107" s="1737">
        <v>11</v>
      </c>
    </row>
    <row s="10851" customFormat="1" customHeight="1" ht="11.549999999999999">
      <c r="A108" s="1087"/>
      <c r="B108" s="1087"/>
      <c r="C108" s="1087"/>
      <c r="D108" s="1087"/>
      <c r="E108" s="1087"/>
      <c r="F108" s="1732"/>
      <c r="G108" s="1732"/>
      <c r="H108" s="458"/>
      <c r="AS108" s="4889"/>
      <c r="AT108" s="4889"/>
      <c r="AU108" s="4889"/>
      <c r="AV108" s="1462"/>
      <c r="AX108" s="1462"/>
      <c r="AY108" s="1732"/>
      <c r="AZ108" s="1732"/>
      <c r="BA108" s="1462"/>
      <c r="BB108" s="1462"/>
      <c r="BC108" s="1462"/>
      <c r="BD108" s="1462"/>
      <c r="BE108" s="1732"/>
      <c r="BF108" s="1462"/>
      <c r="BG108" s="1462"/>
      <c r="BH108" s="651"/>
      <c r="BI108" s="1462"/>
      <c r="BJ108" s="1462"/>
      <c r="BK108" s="1462"/>
      <c r="BL108" s="1462"/>
      <c r="BM108" s="1462"/>
      <c r="BN108" s="1728"/>
      <c r="BO108" s="729"/>
      <c r="BP108" s="729"/>
      <c r="BQ108" s="729"/>
      <c r="BR108" s="729"/>
      <c r="BS108" s="1737">
        <v>11</v>
      </c>
    </row>
    <row s="10851" customFormat="1" customHeight="1" ht="11.549999999999999">
      <c r="A109" s="1087"/>
      <c r="B109" s="1087"/>
      <c r="C109" s="1087"/>
      <c r="D109" s="1087"/>
      <c r="E109" s="1087"/>
      <c r="F109" s="1732"/>
      <c r="G109" s="1732"/>
      <c r="H109" s="458"/>
      <c r="AS109" s="4889"/>
      <c r="AT109" s="4889"/>
      <c r="AU109" s="4889"/>
      <c r="AV109" s="1462"/>
      <c r="AX109" s="1462"/>
      <c r="AY109" s="1732"/>
      <c r="AZ109" s="1732"/>
      <c r="BA109" s="1462"/>
      <c r="BB109" s="1462"/>
      <c r="BC109" s="1462"/>
      <c r="BD109" s="1462"/>
      <c r="BE109" s="1732"/>
      <c r="BF109" s="1462"/>
      <c r="BG109" s="1462"/>
      <c r="BH109" s="651"/>
      <c r="BI109" s="1462"/>
      <c r="BJ109" s="1462"/>
      <c r="BK109" s="1462"/>
      <c r="BL109" s="1462"/>
      <c r="BM109" s="1462"/>
      <c r="BN109" s="1728"/>
      <c r="BO109" s="729"/>
      <c r="BP109" s="729"/>
      <c r="BQ109" s="729"/>
      <c r="BR109" s="729"/>
      <c r="BS109" s="1737">
        <v>11</v>
      </c>
    </row>
    <row s="10851" customFormat="1" customHeight="1" ht="11.549999999999999">
      <c r="A110" s="1087"/>
      <c r="B110" s="1087"/>
      <c r="C110" s="1087"/>
      <c r="D110" s="1087"/>
      <c r="E110" s="1087"/>
      <c r="F110" s="1732"/>
      <c r="G110" s="1732"/>
      <c r="H110" s="458"/>
      <c r="AS110" s="4889"/>
      <c r="AT110" s="4889"/>
      <c r="AU110" s="4889"/>
      <c r="AV110" s="1462"/>
      <c r="AX110" s="1462"/>
      <c r="AY110" s="1732"/>
      <c r="AZ110" s="1732"/>
      <c r="BA110" s="1462"/>
      <c r="BB110" s="1462"/>
      <c r="BC110" s="1462"/>
      <c r="BD110" s="1462"/>
      <c r="BE110" s="1732"/>
      <c r="BF110" s="1462"/>
      <c r="BG110" s="1462"/>
      <c r="BH110" s="651"/>
      <c r="BI110" s="1462"/>
      <c r="BJ110" s="1462"/>
      <c r="BK110" s="1462"/>
      <c r="BL110" s="1462"/>
      <c r="BM110" s="1462"/>
      <c r="BN110" s="1728"/>
      <c r="BO110" s="729"/>
      <c r="BP110" s="729"/>
      <c r="BQ110" s="729"/>
      <c r="BR110" s="729"/>
      <c r="BS110" s="1737">
        <v>11</v>
      </c>
    </row>
    <row s="10851" customFormat="1" customHeight="1" ht="11.549999999999999">
      <c r="A111" s="1087"/>
      <c r="B111" s="1087"/>
      <c r="C111" s="1087"/>
      <c r="D111" s="1087"/>
      <c r="E111" s="1087"/>
      <c r="F111" s="1732"/>
      <c r="G111" s="1732"/>
      <c r="H111" s="458"/>
      <c r="AS111" s="4889"/>
      <c r="AT111" s="4889"/>
      <c r="AU111" s="4889"/>
      <c r="AV111" s="1462"/>
      <c r="AX111" s="1462"/>
      <c r="AY111" s="1732"/>
      <c r="AZ111" s="1732"/>
      <c r="BA111" s="1462"/>
      <c r="BB111" s="1462"/>
      <c r="BC111" s="1462"/>
      <c r="BD111" s="1462"/>
      <c r="BE111" s="1732"/>
      <c r="BF111" s="1462"/>
      <c r="BG111" s="1462"/>
      <c r="BH111" s="651"/>
      <c r="BI111" s="1462"/>
      <c r="BJ111" s="1462"/>
      <c r="BK111" s="1462"/>
      <c r="BL111" s="1462"/>
      <c r="BM111" s="1462"/>
      <c r="BN111" s="1728"/>
      <c r="BO111" s="729"/>
      <c r="BP111" s="729"/>
      <c r="BQ111" s="729"/>
      <c r="BR111" s="729"/>
      <c r="BS111" s="1737">
        <v>11</v>
      </c>
    </row>
    <row s="10851" customFormat="1" customHeight="1" ht="11.549999999999999">
      <c r="A112" s="1087"/>
      <c r="B112" s="1087"/>
      <c r="C112" s="1087"/>
      <c r="D112" s="1087"/>
      <c r="E112" s="1087"/>
      <c r="F112" s="1732"/>
      <c r="G112" s="1732"/>
      <c r="H112" s="458"/>
      <c r="AS112" s="4889"/>
      <c r="AT112" s="4889"/>
      <c r="AU112" s="4889"/>
      <c r="AV112" s="1462"/>
      <c r="AX112" s="1462"/>
      <c r="AY112" s="1732"/>
      <c r="AZ112" s="1732"/>
      <c r="BA112" s="1462"/>
      <c r="BB112" s="1462"/>
      <c r="BC112" s="1462"/>
      <c r="BD112" s="1462"/>
      <c r="BE112" s="1732"/>
      <c r="BF112" s="1462"/>
      <c r="BG112" s="1462"/>
      <c r="BH112" s="651"/>
      <c r="BI112" s="1462"/>
      <c r="BJ112" s="1462"/>
      <c r="BK112" s="1462"/>
      <c r="BL112" s="1462"/>
      <c r="BM112" s="1462"/>
      <c r="BN112" s="1728"/>
      <c r="BO112" s="729"/>
      <c r="BP112" s="729"/>
      <c r="BQ112" s="729"/>
      <c r="BR112" s="729"/>
      <c r="BS112" s="1737">
        <v>11</v>
      </c>
    </row>
    <row s="10851" customFormat="1" customHeight="1" ht="11.549999999999999">
      <c r="A113" s="1087"/>
      <c r="B113" s="1087"/>
      <c r="C113" s="1087"/>
      <c r="D113" s="1087"/>
      <c r="E113" s="1087"/>
      <c r="F113" s="1732"/>
      <c r="G113" s="1732"/>
      <c r="H113" s="458"/>
      <c r="AS113" s="4889"/>
      <c r="AT113" s="4889"/>
      <c r="AU113" s="4889"/>
      <c r="AV113" s="1462"/>
      <c r="AX113" s="1462"/>
      <c r="AY113" s="1732"/>
      <c r="AZ113" s="1732"/>
      <c r="BA113" s="1462"/>
      <c r="BB113" s="1462"/>
      <c r="BC113" s="1462"/>
      <c r="BD113" s="1462"/>
      <c r="BE113" s="1732"/>
      <c r="BF113" s="1462"/>
      <c r="BG113" s="1462"/>
      <c r="BH113" s="651"/>
      <c r="BI113" s="1462"/>
      <c r="BJ113" s="1462"/>
      <c r="BK113" s="1462"/>
      <c r="BL113" s="1462"/>
      <c r="BM113" s="1462"/>
      <c r="BN113" s="1728"/>
      <c r="BO113" s="729"/>
      <c r="BP113" s="729"/>
      <c r="BQ113" s="729"/>
      <c r="BR113" s="729"/>
      <c r="BS113" s="1737">
        <v>11</v>
      </c>
    </row>
    <row s="10851" customFormat="1" customHeight="1" ht="11.549999999999999">
      <c r="A114" s="1087"/>
      <c r="B114" s="1087"/>
      <c r="C114" s="1087"/>
      <c r="D114" s="1087"/>
      <c r="E114" s="1087"/>
      <c r="F114" s="1732"/>
      <c r="G114" s="1732"/>
      <c r="H114" s="458"/>
      <c r="AS114" s="4889"/>
      <c r="AT114" s="4889"/>
      <c r="AU114" s="4889"/>
      <c r="AV114" s="1462"/>
      <c r="AX114" s="1462"/>
      <c r="AY114" s="1732"/>
      <c r="AZ114" s="1732"/>
      <c r="BA114" s="1462"/>
      <c r="BB114" s="1462"/>
      <c r="BC114" s="1462"/>
      <c r="BD114" s="1462"/>
      <c r="BE114" s="1732"/>
      <c r="BF114" s="1462"/>
      <c r="BG114" s="1462"/>
      <c r="BH114" s="651"/>
      <c r="BI114" s="1462"/>
      <c r="BJ114" s="1462"/>
      <c r="BK114" s="1462"/>
      <c r="BL114" s="1462"/>
      <c r="BM114" s="1462"/>
      <c r="BN114" s="1728"/>
      <c r="BO114" s="729"/>
      <c r="BP114" s="729"/>
      <c r="BQ114" s="729"/>
      <c r="BR114" s="729"/>
      <c r="BS114" s="1737">
        <v>11</v>
      </c>
    </row>
    <row s="10851" customFormat="1" customHeight="1" ht="11.549999999999999">
      <c r="A115" s="1087"/>
      <c r="B115" s="1087"/>
      <c r="C115" s="1087"/>
      <c r="D115" s="1087"/>
      <c r="E115" s="1087"/>
      <c r="F115" s="1732"/>
      <c r="G115" s="1732"/>
      <c r="H115" s="458"/>
      <c r="AS115" s="4889"/>
      <c r="AT115" s="4889"/>
      <c r="AU115" s="4889"/>
      <c r="AV115" s="1462"/>
      <c r="AX115" s="1462"/>
      <c r="AY115" s="1732"/>
      <c r="AZ115" s="1732"/>
      <c r="BA115" s="1462"/>
      <c r="BB115" s="1462"/>
      <c r="BC115" s="1462"/>
      <c r="BD115" s="1462"/>
      <c r="BE115" s="1732"/>
      <c r="BF115" s="1462"/>
      <c r="BG115" s="1462"/>
      <c r="BH115" s="651"/>
      <c r="BI115" s="1462"/>
      <c r="BJ115" s="1462"/>
      <c r="BK115" s="1462"/>
      <c r="BL115" s="1462"/>
      <c r="BM115" s="1462"/>
      <c r="BN115" s="1728"/>
      <c r="BO115" s="729"/>
      <c r="BP115" s="729"/>
      <c r="BQ115" s="729"/>
      <c r="BR115" s="729"/>
      <c r="BS115" s="1737">
        <v>11</v>
      </c>
    </row>
    <row s="10851" customFormat="1" customHeight="1" ht="11.549999999999999">
      <c r="A116" s="1087"/>
      <c r="B116" s="1087"/>
      <c r="C116" s="1087"/>
      <c r="D116" s="1087"/>
      <c r="E116" s="1087"/>
      <c r="F116" s="1732"/>
      <c r="G116" s="1732"/>
      <c r="H116" s="458"/>
      <c r="AS116" s="4889"/>
      <c r="AT116" s="4889"/>
      <c r="AU116" s="4889"/>
      <c r="AV116" s="1462"/>
      <c r="AX116" s="1462"/>
      <c r="AY116" s="1732"/>
      <c r="AZ116" s="1732"/>
      <c r="BA116" s="1462"/>
      <c r="BB116" s="1462"/>
      <c r="BC116" s="1462"/>
      <c r="BD116" s="1462"/>
      <c r="BE116" s="1732"/>
      <c r="BF116" s="1462"/>
      <c r="BG116" s="1462"/>
      <c r="BH116" s="651"/>
      <c r="BI116" s="1462"/>
      <c r="BJ116" s="1462"/>
      <c r="BK116" s="1462"/>
      <c r="BL116" s="1462"/>
      <c r="BM116" s="1462"/>
      <c r="BN116" s="1728"/>
      <c r="BO116" s="729"/>
      <c r="BP116" s="729"/>
      <c r="BQ116" s="729"/>
      <c r="BR116" s="729"/>
      <c r="BS116" s="1737">
        <v>11</v>
      </c>
    </row>
    <row s="10851" customFormat="1" customHeight="1" ht="11.549999999999999">
      <c r="A117" s="1087"/>
      <c r="B117" s="1087"/>
      <c r="C117" s="1087"/>
      <c r="D117" s="1087"/>
      <c r="E117" s="1087"/>
      <c r="F117" s="1732"/>
      <c r="G117" s="1732"/>
      <c r="H117" s="458"/>
      <c r="AS117" s="4889"/>
      <c r="AT117" s="4889"/>
      <c r="AU117" s="4889"/>
      <c r="AV117" s="1462"/>
      <c r="AX117" s="1462"/>
      <c r="AY117" s="1732"/>
      <c r="AZ117" s="1732"/>
      <c r="BA117" s="1462"/>
      <c r="BB117" s="1462"/>
      <c r="BC117" s="1462"/>
      <c r="BD117" s="1462"/>
      <c r="BE117" s="1732"/>
      <c r="BF117" s="1462"/>
      <c r="BG117" s="1462"/>
      <c r="BH117" s="651"/>
      <c r="BI117" s="1462"/>
      <c r="BJ117" s="1462"/>
      <c r="BK117" s="1462"/>
      <c r="BL117" s="1462"/>
      <c r="BM117" s="1462"/>
      <c r="BN117" s="1728"/>
      <c r="BO117" s="729"/>
      <c r="BP117" s="729"/>
      <c r="BQ117" s="729"/>
      <c r="BR117" s="729"/>
      <c r="BS117" s="1737">
        <v>11</v>
      </c>
    </row>
    <row s="10851" customFormat="1" customHeight="1" ht="11.549999999999999">
      <c r="A118" s="1087"/>
      <c r="B118" s="1087"/>
      <c r="C118" s="1087"/>
      <c r="D118" s="1087"/>
      <c r="E118" s="1087"/>
      <c r="F118" s="1732"/>
      <c r="G118" s="1732"/>
      <c r="H118" s="458"/>
      <c r="AS118" s="4889"/>
      <c r="AT118" s="4889"/>
      <c r="AU118" s="4889"/>
      <c r="AV118" s="1462"/>
      <c r="AX118" s="1462"/>
      <c r="AY118" s="1732"/>
      <c r="AZ118" s="1732"/>
      <c r="BA118" s="1462"/>
      <c r="BB118" s="1462"/>
      <c r="BC118" s="1462"/>
      <c r="BD118" s="1462"/>
      <c r="BE118" s="1732"/>
      <c r="BF118" s="1462"/>
      <c r="BG118" s="1462"/>
      <c r="BH118" s="651"/>
      <c r="BI118" s="1462"/>
      <c r="BJ118" s="1462"/>
      <c r="BK118" s="1462"/>
      <c r="BL118" s="1462"/>
      <c r="BM118" s="1462"/>
      <c r="BN118" s="1728"/>
      <c r="BO118" s="729"/>
      <c r="BP118" s="729"/>
      <c r="BQ118" s="729"/>
      <c r="BR118" s="729"/>
      <c r="BS118" s="1737">
        <v>11</v>
      </c>
    </row>
    <row s="10851" customFormat="1" customHeight="1" ht="11.549999999999999">
      <c r="A119" s="1087"/>
      <c r="B119" s="1087"/>
      <c r="C119" s="1087"/>
      <c r="D119" s="1087"/>
      <c r="E119" s="1087"/>
      <c r="F119" s="1732"/>
      <c r="G119" s="1732"/>
      <c r="H119" s="458"/>
      <c r="AS119" s="4889"/>
      <c r="AT119" s="4889"/>
      <c r="AU119" s="4889"/>
      <c r="AV119" s="1462"/>
      <c r="AX119" s="1462"/>
      <c r="AY119" s="1732"/>
      <c r="AZ119" s="1732"/>
      <c r="BA119" s="1462"/>
      <c r="BB119" s="1462"/>
      <c r="BC119" s="1462"/>
      <c r="BD119" s="1462"/>
      <c r="BE119" s="1732"/>
      <c r="BF119" s="1462"/>
      <c r="BG119" s="1462"/>
      <c r="BH119" s="651"/>
      <c r="BI119" s="1462"/>
      <c r="BJ119" s="1462"/>
      <c r="BK119" s="1462"/>
      <c r="BL119" s="1462"/>
      <c r="BM119" s="1462"/>
      <c r="BN119" s="1728"/>
      <c r="BO119" s="729"/>
      <c r="BP119" s="729"/>
      <c r="BQ119" s="729"/>
      <c r="BR119" s="729"/>
      <c r="BS119" s="1737">
        <v>11</v>
      </c>
    </row>
    <row s="10851" customFormat="1" customHeight="1" ht="11.549999999999999">
      <c r="A120" s="1087"/>
      <c r="B120" s="1087"/>
      <c r="C120" s="1087"/>
      <c r="D120" s="1087"/>
      <c r="E120" s="1087"/>
      <c r="F120" s="1732"/>
      <c r="G120" s="1732"/>
      <c r="H120" s="458"/>
      <c r="AS120" s="4889"/>
      <c r="AT120" s="4889"/>
      <c r="AU120" s="4889"/>
      <c r="AV120" s="1462"/>
      <c r="AX120" s="1462"/>
      <c r="AY120" s="1732"/>
      <c r="AZ120" s="1732"/>
      <c r="BA120" s="1462"/>
      <c r="BB120" s="1462"/>
      <c r="BC120" s="1462"/>
      <c r="BD120" s="1462"/>
      <c r="BE120" s="1732"/>
      <c r="BF120" s="1462"/>
      <c r="BG120" s="1462"/>
      <c r="BH120" s="651"/>
      <c r="BI120" s="1462"/>
      <c r="BJ120" s="1462"/>
      <c r="BK120" s="1462"/>
      <c r="BL120" s="1462"/>
      <c r="BM120" s="1462"/>
      <c r="BN120" s="1728"/>
      <c r="BO120" s="729"/>
      <c r="BP120" s="729"/>
      <c r="BQ120" s="729"/>
      <c r="BR120" s="729"/>
      <c r="BS120" s="1737">
        <v>11</v>
      </c>
    </row>
    <row s="10851" customFormat="1" customHeight="1" ht="11.549999999999999">
      <c r="A121" s="1087"/>
      <c r="B121" s="1087"/>
      <c r="C121" s="1087"/>
      <c r="D121" s="1087"/>
      <c r="E121" s="1087"/>
      <c r="F121" s="1732"/>
      <c r="G121" s="1732"/>
      <c r="H121" s="458"/>
      <c r="AS121" s="4889"/>
      <c r="AT121" s="4889"/>
      <c r="AU121" s="4889"/>
      <c r="AV121" s="1462"/>
      <c r="AX121" s="1462"/>
      <c r="AY121" s="1732"/>
      <c r="AZ121" s="1732"/>
      <c r="BA121" s="1462"/>
      <c r="BB121" s="1462"/>
      <c r="BC121" s="1462"/>
      <c r="BD121" s="1462"/>
      <c r="BE121" s="1732"/>
      <c r="BF121" s="1462"/>
      <c r="BG121" s="1462"/>
      <c r="BH121" s="651"/>
      <c r="BI121" s="1462"/>
      <c r="BJ121" s="1462"/>
      <c r="BK121" s="1462"/>
      <c r="BL121" s="1462"/>
      <c r="BM121" s="1462"/>
      <c r="BN121" s="1728"/>
      <c r="BO121" s="729"/>
      <c r="BP121" s="729"/>
      <c r="BQ121" s="729"/>
      <c r="BR121" s="729"/>
      <c r="BS121" s="1737">
        <v>11</v>
      </c>
    </row>
    <row s="10851" customFormat="1" customHeight="1" ht="11.549999999999999">
      <c r="A122" s="1087"/>
      <c r="B122" s="1087"/>
      <c r="C122" s="1087"/>
      <c r="D122" s="1087"/>
      <c r="E122" s="1087"/>
      <c r="F122" s="1732"/>
      <c r="G122" s="1732"/>
      <c r="H122" s="458"/>
      <c r="AS122" s="4889"/>
      <c r="AT122" s="4889"/>
      <c r="AU122" s="4889"/>
      <c r="AV122" s="1462"/>
      <c r="AX122" s="1462"/>
      <c r="AY122" s="1732"/>
      <c r="AZ122" s="1732"/>
      <c r="BA122" s="1462"/>
      <c r="BB122" s="1462"/>
      <c r="BC122" s="1462"/>
      <c r="BD122" s="1462"/>
      <c r="BE122" s="1732"/>
      <c r="BF122" s="1462"/>
      <c r="BG122" s="1462"/>
      <c r="BH122" s="651"/>
      <c r="BI122" s="1462"/>
      <c r="BJ122" s="1462"/>
      <c r="BK122" s="1462"/>
      <c r="BL122" s="1462"/>
      <c r="BM122" s="1462"/>
      <c r="BN122" s="1728"/>
      <c r="BO122" s="729"/>
      <c r="BP122" s="729"/>
      <c r="BQ122" s="729"/>
      <c r="BR122" s="729"/>
      <c r="BS122" s="1737">
        <v>11</v>
      </c>
    </row>
    <row s="10851" customFormat="1" customHeight="1" ht="11.549999999999999">
      <c r="A123" s="1087"/>
      <c r="B123" s="1087"/>
      <c r="C123" s="1087"/>
      <c r="D123" s="1087"/>
      <c r="E123" s="1087"/>
      <c r="F123" s="1732"/>
      <c r="G123" s="1732"/>
      <c r="H123" s="458"/>
      <c r="AS123" s="4889"/>
      <c r="AT123" s="4889"/>
      <c r="AU123" s="4889"/>
      <c r="AV123" s="1462"/>
      <c r="AX123" s="1462"/>
      <c r="AY123" s="1732"/>
      <c r="AZ123" s="1732"/>
      <c r="BA123" s="1462"/>
      <c r="BB123" s="1462"/>
      <c r="BC123" s="1462"/>
      <c r="BD123" s="1462"/>
      <c r="BE123" s="1732"/>
      <c r="BF123" s="1462"/>
      <c r="BG123" s="1462"/>
      <c r="BH123" s="651"/>
      <c r="BI123" s="1462"/>
      <c r="BJ123" s="1462"/>
      <c r="BK123" s="1462"/>
      <c r="BL123" s="1462"/>
      <c r="BM123" s="1462"/>
      <c r="BN123" s="1728"/>
      <c r="BO123" s="729"/>
      <c r="BP123" s="729"/>
      <c r="BQ123" s="729"/>
      <c r="BR123" s="729"/>
      <c r="BS123" s="1737">
        <v>11</v>
      </c>
    </row>
    <row s="10851" customFormat="1" customHeight="1" ht="11.549999999999999">
      <c r="A124" s="1087"/>
      <c r="B124" s="1087"/>
      <c r="C124" s="1087"/>
      <c r="D124" s="1087"/>
      <c r="E124" s="1087"/>
      <c r="F124" s="1732"/>
      <c r="G124" s="1732"/>
      <c r="H124" s="458"/>
      <c r="AS124" s="4889"/>
      <c r="AT124" s="4889"/>
      <c r="AU124" s="4889"/>
      <c r="AV124" s="1462"/>
      <c r="AX124" s="1462"/>
      <c r="AY124" s="1732"/>
      <c r="AZ124" s="1732"/>
      <c r="BA124" s="1462"/>
      <c r="BB124" s="1462"/>
      <c r="BC124" s="1462"/>
      <c r="BD124" s="1462"/>
      <c r="BE124" s="1732"/>
      <c r="BF124" s="1462"/>
      <c r="BG124" s="1462"/>
      <c r="BH124" s="651"/>
      <c r="BI124" s="1462"/>
      <c r="BJ124" s="1462"/>
      <c r="BK124" s="1462"/>
      <c r="BL124" s="1462"/>
      <c r="BM124" s="1462"/>
      <c r="BN124" s="1728"/>
      <c r="BO124" s="729"/>
      <c r="BP124" s="729"/>
      <c r="BQ124" s="729"/>
      <c r="BR124" s="729"/>
      <c r="BS124" s="1737">
        <v>11</v>
      </c>
    </row>
    <row s="10851" customFormat="1" customHeight="1" ht="11.549999999999999">
      <c r="A125" s="1087"/>
      <c r="B125" s="1087"/>
      <c r="C125" s="1087"/>
      <c r="D125" s="1087"/>
      <c r="E125" s="1087"/>
      <c r="F125" s="1732"/>
      <c r="G125" s="1732"/>
      <c r="H125" s="458"/>
      <c r="AS125" s="4889"/>
      <c r="AT125" s="4889"/>
      <c r="AU125" s="4889"/>
      <c r="AV125" s="1462"/>
      <c r="AX125" s="1462"/>
      <c r="AY125" s="1732"/>
      <c r="AZ125" s="1732"/>
      <c r="BA125" s="1462"/>
      <c r="BB125" s="1462"/>
      <c r="BC125" s="1462"/>
      <c r="BD125" s="1462"/>
      <c r="BE125" s="1732"/>
      <c r="BF125" s="1462"/>
      <c r="BG125" s="1462"/>
      <c r="BH125" s="651"/>
      <c r="BI125" s="1462"/>
      <c r="BJ125" s="1462"/>
      <c r="BK125" s="1462"/>
      <c r="BL125" s="1462"/>
      <c r="BM125" s="1462"/>
      <c r="BN125" s="1728"/>
      <c r="BO125" s="729"/>
      <c r="BP125" s="729"/>
      <c r="BQ125" s="729"/>
      <c r="BR125" s="729"/>
      <c r="BS125" s="1737">
        <v>11</v>
      </c>
    </row>
    <row s="10851" customFormat="1" customHeight="1" ht="11.549999999999999">
      <c r="A126" s="1087"/>
      <c r="B126" s="1087"/>
      <c r="C126" s="1087"/>
      <c r="D126" s="1087"/>
      <c r="E126" s="1087"/>
      <c r="F126" s="1732"/>
      <c r="G126" s="1732"/>
      <c r="H126" s="458"/>
      <c r="AS126" s="4889"/>
      <c r="AT126" s="4889"/>
      <c r="AU126" s="4889"/>
      <c r="AV126" s="1462"/>
      <c r="AX126" s="1462"/>
      <c r="AY126" s="1732"/>
      <c r="AZ126" s="1732"/>
      <c r="BA126" s="1462"/>
      <c r="BB126" s="1462"/>
      <c r="BC126" s="1462"/>
      <c r="BD126" s="1462"/>
      <c r="BE126" s="1732"/>
      <c r="BF126" s="1462"/>
      <c r="BG126" s="1462"/>
      <c r="BH126" s="651"/>
      <c r="BI126" s="1462"/>
      <c r="BJ126" s="1462"/>
      <c r="BK126" s="1462"/>
      <c r="BL126" s="1462"/>
      <c r="BM126" s="1462"/>
      <c r="BN126" s="1728"/>
      <c r="BO126" s="729"/>
      <c r="BP126" s="729"/>
      <c r="BQ126" s="729"/>
      <c r="BR126" s="729"/>
      <c r="BS126" s="1737">
        <v>11</v>
      </c>
    </row>
    <row s="10851" customFormat="1" customHeight="1" ht="11.549999999999999">
      <c r="A127" s="1087"/>
      <c r="B127" s="1087"/>
      <c r="C127" s="1087"/>
      <c r="D127" s="1087"/>
      <c r="E127" s="1087"/>
      <c r="F127" s="1732"/>
      <c r="G127" s="1732"/>
      <c r="H127" s="458"/>
      <c r="AS127" s="4889"/>
      <c r="AT127" s="4889"/>
      <c r="AU127" s="4889"/>
      <c r="AV127" s="1462"/>
      <c r="AX127" s="1462"/>
      <c r="AY127" s="1732"/>
      <c r="AZ127" s="1732"/>
      <c r="BA127" s="1462"/>
      <c r="BB127" s="1462"/>
      <c r="BC127" s="1462"/>
      <c r="BD127" s="1462"/>
      <c r="BE127" s="1732"/>
      <c r="BF127" s="1462"/>
      <c r="BG127" s="1462"/>
      <c r="BH127" s="651"/>
      <c r="BI127" s="1462"/>
      <c r="BJ127" s="1462"/>
      <c r="BK127" s="1462"/>
      <c r="BL127" s="1462"/>
      <c r="BM127" s="1462"/>
      <c r="BN127" s="1728"/>
      <c r="BO127" s="729"/>
      <c r="BP127" s="729"/>
      <c r="BQ127" s="729"/>
      <c r="BR127" s="729"/>
      <c r="BS127" s="1737">
        <v>11</v>
      </c>
    </row>
    <row s="10851" customFormat="1" customHeight="1" ht="11.549999999999999">
      <c r="A128" s="1087"/>
      <c r="B128" s="1087"/>
      <c r="C128" s="1087"/>
      <c r="D128" s="1087"/>
      <c r="E128" s="1087"/>
      <c r="F128" s="1732"/>
      <c r="G128" s="1732"/>
      <c r="H128" s="458"/>
      <c r="AS128" s="4889"/>
      <c r="AT128" s="4889"/>
      <c r="AU128" s="4889"/>
      <c r="AV128" s="1462"/>
      <c r="AX128" s="1462"/>
      <c r="AY128" s="1732"/>
      <c r="AZ128" s="1732"/>
      <c r="BA128" s="1462"/>
      <c r="BB128" s="1462"/>
      <c r="BC128" s="1462"/>
      <c r="BD128" s="1462"/>
      <c r="BE128" s="1732"/>
      <c r="BF128" s="1462"/>
      <c r="BG128" s="1462"/>
      <c r="BH128" s="651"/>
      <c r="BI128" s="1462"/>
      <c r="BJ128" s="1462"/>
      <c r="BK128" s="1462"/>
      <c r="BL128" s="1462"/>
      <c r="BM128" s="1462"/>
      <c r="BN128" s="1728"/>
      <c r="BO128" s="729"/>
      <c r="BP128" s="729"/>
      <c r="BQ128" s="729"/>
      <c r="BR128" s="729"/>
      <c r="BS128" s="1737">
        <v>11</v>
      </c>
    </row>
    <row s="10851" customFormat="1" customHeight="1" ht="11.549999999999999">
      <c r="A129" s="1087"/>
      <c r="B129" s="1087"/>
      <c r="C129" s="1087"/>
      <c r="D129" s="1087"/>
      <c r="E129" s="1087"/>
      <c r="F129" s="1732"/>
      <c r="G129" s="1732"/>
      <c r="H129" s="458"/>
      <c r="AS129" s="4889"/>
      <c r="AT129" s="4889"/>
      <c r="AU129" s="4889"/>
      <c r="AV129" s="1462"/>
      <c r="AX129" s="1462"/>
      <c r="AY129" s="1732"/>
      <c r="AZ129" s="1732"/>
      <c r="BA129" s="1462"/>
      <c r="BB129" s="1462"/>
      <c r="BC129" s="1462"/>
      <c r="BD129" s="1462"/>
      <c r="BE129" s="1732"/>
      <c r="BF129" s="1462"/>
      <c r="BG129" s="1462"/>
      <c r="BH129" s="651"/>
      <c r="BI129" s="1462"/>
      <c r="BJ129" s="1462"/>
      <c r="BK129" s="1462"/>
      <c r="BL129" s="1462"/>
      <c r="BM129" s="1462"/>
      <c r="BN129" s="1728"/>
      <c r="BO129" s="729"/>
      <c r="BP129" s="729"/>
      <c r="BQ129" s="729"/>
      <c r="BR129" s="729"/>
      <c r="BS129" s="1737">
        <v>11</v>
      </c>
    </row>
    <row s="10851" customFormat="1" customHeight="1" ht="11.549999999999999">
      <c r="A130" s="1087"/>
      <c r="B130" s="1087"/>
      <c r="C130" s="1087"/>
      <c r="D130" s="1087"/>
      <c r="E130" s="1087"/>
      <c r="F130" s="1732"/>
      <c r="G130" s="1732"/>
      <c r="H130" s="458"/>
      <c r="AS130" s="4889"/>
      <c r="AT130" s="4889"/>
      <c r="AU130" s="4889"/>
      <c r="AV130" s="1462"/>
      <c r="AX130" s="1462"/>
      <c r="AY130" s="1732"/>
      <c r="AZ130" s="1732"/>
      <c r="BA130" s="1462"/>
      <c r="BB130" s="1462"/>
      <c r="BC130" s="1462"/>
      <c r="BD130" s="1462"/>
      <c r="BE130" s="1732"/>
      <c r="BF130" s="1462"/>
      <c r="BG130" s="1462"/>
      <c r="BH130" s="651"/>
      <c r="BI130" s="1462"/>
      <c r="BJ130" s="1462"/>
      <c r="BK130" s="1462"/>
      <c r="BL130" s="1462"/>
      <c r="BM130" s="1462"/>
      <c r="BN130" s="1728"/>
      <c r="BO130" s="729"/>
      <c r="BP130" s="729"/>
      <c r="BQ130" s="729"/>
      <c r="BR130" s="729"/>
      <c r="BS130" s="1737">
        <v>11</v>
      </c>
    </row>
    <row s="10851" customFormat="1" customHeight="1" ht="11.549999999999999">
      <c r="A131" s="1087"/>
      <c r="B131" s="1087"/>
      <c r="C131" s="1087"/>
      <c r="D131" s="1087"/>
      <c r="E131" s="1087"/>
      <c r="F131" s="1732"/>
      <c r="G131" s="1732"/>
      <c r="H131" s="458"/>
      <c r="AS131" s="4889"/>
      <c r="AT131" s="4889"/>
      <c r="AU131" s="4889"/>
      <c r="AV131" s="1462"/>
      <c r="AX131" s="1462"/>
      <c r="AY131" s="1732"/>
      <c r="AZ131" s="1732"/>
      <c r="BA131" s="1462"/>
      <c r="BB131" s="1462"/>
      <c r="BC131" s="1462"/>
      <c r="BD131" s="1462"/>
      <c r="BE131" s="1732"/>
      <c r="BF131" s="1462"/>
      <c r="BG131" s="1462"/>
      <c r="BH131" s="651"/>
      <c r="BI131" s="1462"/>
      <c r="BJ131" s="1462"/>
      <c r="BK131" s="1462"/>
      <c r="BL131" s="1462"/>
      <c r="BM131" s="1462"/>
      <c r="BN131" s="1728"/>
      <c r="BO131" s="729"/>
      <c r="BP131" s="729"/>
      <c r="BQ131" s="729"/>
      <c r="BR131" s="729"/>
      <c r="BS131" s="1737">
        <v>11</v>
      </c>
    </row>
    <row s="10851" customFormat="1" customHeight="1" ht="11.549999999999999">
      <c r="A132" s="1087"/>
      <c r="B132" s="1087"/>
      <c r="C132" s="1087"/>
      <c r="D132" s="1087"/>
      <c r="E132" s="1087"/>
      <c r="F132" s="1732"/>
      <c r="G132" s="1732"/>
      <c r="H132" s="458"/>
      <c r="AS132" s="4889"/>
      <c r="AT132" s="4889"/>
      <c r="AU132" s="4889"/>
      <c r="AV132" s="1462"/>
      <c r="AX132" s="1462"/>
      <c r="AY132" s="1732"/>
      <c r="AZ132" s="1732"/>
      <c r="BA132" s="1462"/>
      <c r="BB132" s="1462"/>
      <c r="BC132" s="1462"/>
      <c r="BD132" s="1462"/>
      <c r="BE132" s="1732"/>
      <c r="BF132" s="1462"/>
      <c r="BG132" s="1462"/>
      <c r="BH132" s="651"/>
      <c r="BI132" s="1462"/>
      <c r="BJ132" s="1462"/>
      <c r="BK132" s="1462"/>
      <c r="BL132" s="1462"/>
      <c r="BM132" s="1462"/>
      <c r="BN132" s="1728"/>
      <c r="BO132" s="729"/>
      <c r="BP132" s="729"/>
      <c r="BQ132" s="729"/>
      <c r="BR132" s="729"/>
      <c r="BS132" s="1737">
        <v>11</v>
      </c>
    </row>
    <row s="10851" customFormat="1" customHeight="1" ht="11.549999999999999">
      <c r="A133" s="1087"/>
      <c r="B133" s="1087"/>
      <c r="C133" s="1087"/>
      <c r="D133" s="1087"/>
      <c r="E133" s="1087"/>
      <c r="F133" s="1732"/>
      <c r="G133" s="1732"/>
      <c r="H133" s="458"/>
      <c r="AS133" s="4889"/>
      <c r="AT133" s="4889"/>
      <c r="AU133" s="4889"/>
      <c r="AV133" s="1462"/>
      <c r="AX133" s="1462"/>
      <c r="AY133" s="1732"/>
      <c r="AZ133" s="1732"/>
      <c r="BA133" s="1462"/>
      <c r="BB133" s="1462"/>
      <c r="BC133" s="1462"/>
      <c r="BD133" s="1462"/>
      <c r="BE133" s="1732"/>
      <c r="BF133" s="1462"/>
      <c r="BG133" s="1462"/>
      <c r="BH133" s="651"/>
      <c r="BI133" s="1462"/>
      <c r="BJ133" s="1462"/>
      <c r="BK133" s="1462"/>
      <c r="BL133" s="1462"/>
      <c r="BM133" s="1462"/>
      <c r="BN133" s="1728"/>
      <c r="BO133" s="729"/>
      <c r="BP133" s="729"/>
      <c r="BQ133" s="729"/>
      <c r="BR133" s="729"/>
      <c r="BS133" s="1737">
        <v>11</v>
      </c>
    </row>
    <row s="10851" customFormat="1" customHeight="1" ht="11.549999999999999">
      <c r="A134" s="1087"/>
      <c r="B134" s="1087"/>
      <c r="C134" s="1087"/>
      <c r="D134" s="1087"/>
      <c r="E134" s="1087"/>
      <c r="F134" s="1732"/>
      <c r="G134" s="1732"/>
      <c r="H134" s="458"/>
      <c r="AS134" s="4889"/>
      <c r="AT134" s="4889"/>
      <c r="AU134" s="4889"/>
      <c r="AV134" s="1462"/>
      <c r="AX134" s="1462"/>
      <c r="AY134" s="1732"/>
      <c r="AZ134" s="1732"/>
      <c r="BA134" s="1462"/>
      <c r="BB134" s="1462"/>
      <c r="BC134" s="1462"/>
      <c r="BD134" s="1462"/>
      <c r="BE134" s="1732"/>
      <c r="BF134" s="1462"/>
      <c r="BG134" s="1462"/>
      <c r="BH134" s="651"/>
      <c r="BI134" s="1462"/>
      <c r="BJ134" s="1462"/>
      <c r="BK134" s="1462"/>
      <c r="BL134" s="1462"/>
      <c r="BM134" s="1462"/>
      <c r="BN134" s="1728"/>
      <c r="BO134" s="729"/>
      <c r="BP134" s="729"/>
      <c r="BQ134" s="729"/>
      <c r="BR134" s="729"/>
      <c r="BS134" s="1737">
        <v>11</v>
      </c>
    </row>
    <row s="10851" customFormat="1" customHeight="1" ht="11.549999999999999">
      <c r="A135" s="1087"/>
      <c r="B135" s="1087"/>
      <c r="C135" s="1087"/>
      <c r="D135" s="1087"/>
      <c r="E135" s="1087"/>
      <c r="F135" s="1732"/>
      <c r="G135" s="1732"/>
      <c r="H135" s="458"/>
      <c r="AS135" s="4889"/>
      <c r="AT135" s="4889"/>
      <c r="AU135" s="4889"/>
      <c r="AV135" s="1462"/>
      <c r="AX135" s="1462"/>
      <c r="AY135" s="1732"/>
      <c r="AZ135" s="1732"/>
      <c r="BA135" s="1462"/>
      <c r="BB135" s="1462"/>
      <c r="BC135" s="1462"/>
      <c r="BD135" s="1462"/>
      <c r="BE135" s="1732"/>
      <c r="BF135" s="1462"/>
      <c r="BG135" s="1462"/>
      <c r="BH135" s="651"/>
      <c r="BI135" s="1462"/>
      <c r="BJ135" s="1462"/>
      <c r="BK135" s="1462"/>
      <c r="BL135" s="1462"/>
      <c r="BM135" s="1462"/>
      <c r="BN135" s="1728"/>
      <c r="BO135" s="729"/>
      <c r="BP135" s="729"/>
      <c r="BQ135" s="729"/>
      <c r="BR135" s="729"/>
      <c r="BS135" s="1737">
        <v>11</v>
      </c>
    </row>
    <row s="10851" customFormat="1" customHeight="1" ht="11.549999999999999">
      <c r="A136" s="1087"/>
      <c r="B136" s="1087"/>
      <c r="C136" s="1087"/>
      <c r="D136" s="1087"/>
      <c r="E136" s="1087"/>
      <c r="F136" s="1732"/>
      <c r="G136" s="1732"/>
      <c r="H136" s="458"/>
      <c r="AS136" s="4889"/>
      <c r="AT136" s="4889"/>
      <c r="AU136" s="4889"/>
      <c r="AV136" s="1462"/>
      <c r="AX136" s="1462"/>
      <c r="AY136" s="1732"/>
      <c r="AZ136" s="1732"/>
      <c r="BA136" s="1462"/>
      <c r="BB136" s="1462"/>
      <c r="BC136" s="1462"/>
      <c r="BD136" s="1462"/>
      <c r="BE136" s="1732"/>
      <c r="BF136" s="1462"/>
      <c r="BG136" s="1462"/>
      <c r="BH136" s="651"/>
      <c r="BI136" s="1462"/>
      <c r="BJ136" s="1462"/>
      <c r="BK136" s="1462"/>
      <c r="BL136" s="1462"/>
      <c r="BM136" s="1462"/>
      <c r="BN136" s="1728"/>
      <c r="BO136" s="729"/>
      <c r="BP136" s="729"/>
      <c r="BQ136" s="729"/>
      <c r="BR136" s="729"/>
      <c r="BS136" s="1737">
        <v>11</v>
      </c>
    </row>
    <row s="10851" customFormat="1" customHeight="1" ht="11.549999999999999">
      <c r="A137" s="1087"/>
      <c r="B137" s="1087"/>
      <c r="C137" s="1087"/>
      <c r="D137" s="1087"/>
      <c r="E137" s="1087"/>
      <c r="F137" s="1732"/>
      <c r="G137" s="1732"/>
      <c r="H137" s="458"/>
      <c r="AS137" s="4889"/>
      <c r="AT137" s="4889"/>
      <c r="AU137" s="4889"/>
      <c r="AV137" s="1462"/>
      <c r="AX137" s="1462"/>
      <c r="AY137" s="1732"/>
      <c r="AZ137" s="1732"/>
      <c r="BA137" s="1462"/>
      <c r="BB137" s="1462"/>
      <c r="BC137" s="1462"/>
      <c r="BD137" s="1462"/>
      <c r="BE137" s="1732"/>
      <c r="BF137" s="1462"/>
      <c r="BG137" s="1462"/>
      <c r="BH137" s="651"/>
      <c r="BI137" s="1462"/>
      <c r="BJ137" s="1462"/>
      <c r="BK137" s="1462"/>
      <c r="BL137" s="1462"/>
      <c r="BM137" s="1462"/>
      <c r="BN137" s="1728"/>
      <c r="BO137" s="729"/>
      <c r="BP137" s="729"/>
      <c r="BQ137" s="729"/>
      <c r="BR137" s="729"/>
      <c r="BS137" s="1737">
        <v>11</v>
      </c>
    </row>
    <row s="10851" customFormat="1" customHeight="1" ht="11.549999999999999">
      <c r="A138" s="1087"/>
      <c r="B138" s="1087"/>
      <c r="C138" s="1087"/>
      <c r="D138" s="1087"/>
      <c r="E138" s="1087"/>
      <c r="F138" s="1732"/>
      <c r="G138" s="1732"/>
      <c r="H138" s="458"/>
      <c r="AS138" s="4889"/>
      <c r="AT138" s="4889"/>
      <c r="AU138" s="4889"/>
      <c r="AV138" s="1462"/>
      <c r="AX138" s="1462"/>
      <c r="AY138" s="1732"/>
      <c r="AZ138" s="1732"/>
      <c r="BA138" s="1462"/>
      <c r="BB138" s="1462"/>
      <c r="BC138" s="1462"/>
      <c r="BD138" s="1462"/>
      <c r="BE138" s="1732"/>
      <c r="BF138" s="1462"/>
      <c r="BG138" s="1462"/>
      <c r="BH138" s="651"/>
      <c r="BI138" s="1462"/>
      <c r="BJ138" s="1462"/>
      <c r="BK138" s="1462"/>
      <c r="BL138" s="1462"/>
      <c r="BM138" s="1462"/>
      <c r="BN138" s="1728"/>
      <c r="BO138" s="729"/>
      <c r="BP138" s="729"/>
      <c r="BQ138" s="729"/>
      <c r="BR138" s="729"/>
      <c r="BS138" s="1737">
        <v>11</v>
      </c>
    </row>
    <row s="10851" customFormat="1" customHeight="1" ht="11.549999999999999">
      <c r="A139" s="1087"/>
      <c r="B139" s="1087"/>
      <c r="C139" s="1087"/>
      <c r="D139" s="1087"/>
      <c r="E139" s="1087"/>
      <c r="F139" s="1732"/>
      <c r="G139" s="1732"/>
      <c r="H139" s="458"/>
      <c r="AS139" s="4889"/>
      <c r="AT139" s="4889"/>
      <c r="AU139" s="4889"/>
      <c r="AV139" s="1462"/>
      <c r="AX139" s="1462"/>
      <c r="AY139" s="1732"/>
      <c r="AZ139" s="1732"/>
      <c r="BA139" s="1462"/>
      <c r="BB139" s="1462"/>
      <c r="BC139" s="1462"/>
      <c r="BD139" s="1462"/>
      <c r="BE139" s="1732"/>
      <c r="BF139" s="1462"/>
      <c r="BG139" s="1462"/>
      <c r="BH139" s="651"/>
      <c r="BI139" s="1462"/>
      <c r="BJ139" s="1462"/>
      <c r="BK139" s="1462"/>
      <c r="BL139" s="1462"/>
      <c r="BM139" s="1462"/>
      <c r="BN139" s="1728"/>
      <c r="BO139" s="729"/>
      <c r="BP139" s="729"/>
      <c r="BQ139" s="729"/>
      <c r="BR139" s="729"/>
      <c r="BS139" s="1737">
        <v>11</v>
      </c>
    </row>
    <row s="10851" customFormat="1" customHeight="1" ht="11.549999999999999">
      <c r="A140" s="1087"/>
      <c r="B140" s="1087"/>
      <c r="C140" s="1087"/>
      <c r="D140" s="1087"/>
      <c r="E140" s="1087"/>
      <c r="F140" s="1732"/>
      <c r="G140" s="1732"/>
      <c r="H140" s="458"/>
      <c r="AS140" s="4889"/>
      <c r="AT140" s="4889"/>
      <c r="AU140" s="4889"/>
      <c r="AV140" s="1462"/>
      <c r="AX140" s="1462"/>
      <c r="AY140" s="1732"/>
      <c r="AZ140" s="1732"/>
      <c r="BA140" s="1462"/>
      <c r="BB140" s="1462"/>
      <c r="BC140" s="1462"/>
      <c r="BD140" s="1462"/>
      <c r="BE140" s="1732"/>
      <c r="BF140" s="1462"/>
      <c r="BG140" s="1462"/>
      <c r="BH140" s="651"/>
      <c r="BI140" s="1462"/>
      <c r="BJ140" s="1462"/>
      <c r="BK140" s="1462"/>
      <c r="BL140" s="1462"/>
      <c r="BM140" s="1462"/>
      <c r="BN140" s="1728"/>
      <c r="BO140" s="729"/>
      <c r="BP140" s="729"/>
      <c r="BQ140" s="729"/>
      <c r="BR140" s="729"/>
      <c r="BS140" s="1737">
        <v>11</v>
      </c>
    </row>
    <row s="10851" customFormat="1" customHeight="1" ht="11.549999999999999">
      <c r="A141" s="1087"/>
      <c r="B141" s="1087"/>
      <c r="C141" s="1087"/>
      <c r="D141" s="1087"/>
      <c r="E141" s="1087"/>
      <c r="F141" s="1732"/>
      <c r="G141" s="1732"/>
      <c r="H141" s="458"/>
      <c r="AS141" s="4889"/>
      <c r="AT141" s="4889"/>
      <c r="AU141" s="4889"/>
      <c r="AV141" s="1462"/>
      <c r="AX141" s="1462"/>
      <c r="AY141" s="1732"/>
      <c r="AZ141" s="1732"/>
      <c r="BA141" s="1462"/>
      <c r="BB141" s="1462"/>
      <c r="BC141" s="1462"/>
      <c r="BD141" s="1462"/>
      <c r="BE141" s="1732"/>
      <c r="BF141" s="1462"/>
      <c r="BG141" s="1462"/>
      <c r="BH141" s="651"/>
      <c r="BI141" s="1462"/>
      <c r="BJ141" s="1462"/>
      <c r="BK141" s="1462"/>
      <c r="BL141" s="1462"/>
      <c r="BM141" s="1462"/>
      <c r="BN141" s="1728"/>
      <c r="BO141" s="729"/>
      <c r="BP141" s="729"/>
      <c r="BQ141" s="729"/>
      <c r="BR141" s="729"/>
      <c r="BS141" s="1737">
        <v>11</v>
      </c>
    </row>
    <row s="10851" customFormat="1" customHeight="1" ht="11.549999999999999">
      <c r="A142" s="1087"/>
      <c r="B142" s="1087"/>
      <c r="C142" s="1087"/>
      <c r="D142" s="1087"/>
      <c r="E142" s="1087"/>
      <c r="F142" s="1732"/>
      <c r="G142" s="1732"/>
      <c r="H142" s="458"/>
      <c r="AS142" s="4889"/>
      <c r="AT142" s="4889"/>
      <c r="AU142" s="4889"/>
      <c r="AV142" s="1462"/>
      <c r="AX142" s="1462"/>
      <c r="AY142" s="1732"/>
      <c r="AZ142" s="1732"/>
      <c r="BA142" s="1462"/>
      <c r="BB142" s="1462"/>
      <c r="BC142" s="1462"/>
      <c r="BD142" s="1462"/>
      <c r="BE142" s="1732"/>
      <c r="BF142" s="1462"/>
      <c r="BG142" s="1462"/>
      <c r="BH142" s="651"/>
      <c r="BI142" s="1462"/>
      <c r="BJ142" s="1462"/>
      <c r="BK142" s="1462"/>
      <c r="BL142" s="1462"/>
      <c r="BM142" s="1462"/>
      <c r="BN142" s="1728"/>
      <c r="BO142" s="729"/>
      <c r="BP142" s="729"/>
      <c r="BQ142" s="729"/>
      <c r="BR142" s="729"/>
      <c r="BS142" s="1737">
        <v>11</v>
      </c>
    </row>
    <row s="10851" customFormat="1" customHeight="1" ht="11.549999999999999">
      <c r="A143" s="1087"/>
      <c r="B143" s="1087"/>
      <c r="C143" s="1087"/>
      <c r="D143" s="1087"/>
      <c r="E143" s="1087"/>
      <c r="F143" s="1732"/>
      <c r="G143" s="1732"/>
      <c r="H143" s="458"/>
      <c r="AS143" s="4889"/>
      <c r="AT143" s="4889"/>
      <c r="AU143" s="4889"/>
      <c r="AV143" s="1462"/>
      <c r="AX143" s="1462"/>
      <c r="AY143" s="1732"/>
      <c r="AZ143" s="1732"/>
      <c r="BA143" s="1462"/>
      <c r="BB143" s="1462"/>
      <c r="BC143" s="1462"/>
      <c r="BD143" s="1462"/>
      <c r="BE143" s="1732"/>
      <c r="BF143" s="1462"/>
      <c r="BG143" s="1462"/>
      <c r="BH143" s="651"/>
      <c r="BI143" s="1462"/>
      <c r="BJ143" s="1462"/>
      <c r="BK143" s="1462"/>
      <c r="BL143" s="1462"/>
      <c r="BM143" s="1462"/>
      <c r="BN143" s="1728"/>
      <c r="BO143" s="729"/>
      <c r="BP143" s="729"/>
      <c r="BQ143" s="729"/>
      <c r="BR143" s="729"/>
      <c r="BS143" s="1737">
        <v>11</v>
      </c>
    </row>
    <row s="10851" customFormat="1" customHeight="1" ht="11.549999999999999">
      <c r="A144" s="1087"/>
      <c r="B144" s="1087"/>
      <c r="C144" s="1087"/>
      <c r="D144" s="1087"/>
      <c r="E144" s="1087"/>
      <c r="F144" s="1732"/>
      <c r="G144" s="1732"/>
      <c r="H144" s="458"/>
      <c r="AS144" s="4889"/>
      <c r="AT144" s="4889"/>
      <c r="AU144" s="4889"/>
      <c r="AV144" s="1462"/>
      <c r="AX144" s="1462"/>
      <c r="AY144" s="1732"/>
      <c r="AZ144" s="1732"/>
      <c r="BA144" s="1462"/>
      <c r="BB144" s="1462"/>
      <c r="BC144" s="1462"/>
      <c r="BD144" s="1462"/>
      <c r="BE144" s="1732"/>
      <c r="BF144" s="1462"/>
      <c r="BG144" s="1462"/>
      <c r="BH144" s="651"/>
      <c r="BI144" s="1462"/>
      <c r="BJ144" s="1462"/>
      <c r="BK144" s="1462"/>
      <c r="BL144" s="1462"/>
      <c r="BM144" s="1462"/>
      <c r="BN144" s="1728"/>
      <c r="BO144" s="729"/>
      <c r="BP144" s="729"/>
      <c r="BQ144" s="729"/>
      <c r="BR144" s="729"/>
      <c r="BS144" s="1737">
        <v>11</v>
      </c>
    </row>
    <row s="10851" customFormat="1" customHeight="1" ht="11.549999999999999">
      <c r="A145" s="1087"/>
      <c r="B145" s="1087"/>
      <c r="C145" s="1087"/>
      <c r="D145" s="1087"/>
      <c r="E145" s="1087"/>
      <c r="F145" s="1732"/>
      <c r="G145" s="1732"/>
      <c r="H145" s="458"/>
      <c r="AS145" s="4889"/>
      <c r="AT145" s="4889"/>
      <c r="AU145" s="4889"/>
      <c r="AV145" s="1462"/>
      <c r="AX145" s="1462"/>
      <c r="AY145" s="1732"/>
      <c r="AZ145" s="1732"/>
      <c r="BA145" s="1462"/>
      <c r="BB145" s="1462"/>
      <c r="BC145" s="1462"/>
      <c r="BD145" s="1462"/>
      <c r="BE145" s="1732"/>
      <c r="BF145" s="1462"/>
      <c r="BG145" s="1462"/>
      <c r="BH145" s="651"/>
      <c r="BI145" s="1462"/>
      <c r="BJ145" s="1462"/>
      <c r="BK145" s="1462"/>
      <c r="BL145" s="1462"/>
      <c r="BM145" s="1462"/>
      <c r="BN145" s="1728"/>
      <c r="BO145" s="729"/>
      <c r="BP145" s="729"/>
      <c r="BQ145" s="729"/>
      <c r="BR145" s="729"/>
      <c r="BS145" s="1737">
        <v>11</v>
      </c>
    </row>
    <row s="10851" customFormat="1" customHeight="1" ht="11.549999999999999">
      <c r="A146" s="1087"/>
      <c r="B146" s="1087"/>
      <c r="C146" s="1087"/>
      <c r="D146" s="1087"/>
      <c r="E146" s="1087"/>
      <c r="F146" s="1732"/>
      <c r="G146" s="1732"/>
      <c r="H146" s="458"/>
      <c r="AS146" s="4889"/>
      <c r="AT146" s="4889"/>
      <c r="AU146" s="4889"/>
      <c r="AV146" s="1462"/>
      <c r="AX146" s="1462"/>
      <c r="AY146" s="1732"/>
      <c r="AZ146" s="1732"/>
      <c r="BA146" s="1462"/>
      <c r="BB146" s="1462"/>
      <c r="BC146" s="1462"/>
      <c r="BD146" s="1462"/>
      <c r="BE146" s="1732"/>
      <c r="BF146" s="1462"/>
      <c r="BG146" s="1462"/>
      <c r="BH146" s="651"/>
      <c r="BI146" s="1462"/>
      <c r="BJ146" s="1462"/>
      <c r="BK146" s="1462"/>
      <c r="BL146" s="1462"/>
      <c r="BM146" s="1462"/>
      <c r="BN146" s="1728"/>
      <c r="BO146" s="729"/>
      <c r="BP146" s="729"/>
      <c r="BQ146" s="729"/>
      <c r="BR146" s="729"/>
      <c r="BS146" s="1737">
        <v>11</v>
      </c>
    </row>
    <row s="10851" customFormat="1" customHeight="1" ht="11.549999999999999">
      <c r="A147" s="1087"/>
      <c r="B147" s="1087"/>
      <c r="C147" s="1087"/>
      <c r="D147" s="1087"/>
      <c r="E147" s="1087"/>
      <c r="F147" s="1732"/>
      <c r="G147" s="1732"/>
      <c r="H147" s="458"/>
      <c r="AS147" s="4889"/>
      <c r="AT147" s="4889"/>
      <c r="AU147" s="4889"/>
      <c r="AV147" s="1462"/>
      <c r="AX147" s="1462"/>
      <c r="AY147" s="1732"/>
      <c r="AZ147" s="1732"/>
      <c r="BA147" s="1462"/>
      <c r="BB147" s="1462"/>
      <c r="BC147" s="1462"/>
      <c r="BD147" s="1462"/>
      <c r="BE147" s="1732"/>
      <c r="BF147" s="1462"/>
      <c r="BG147" s="1462"/>
      <c r="BH147" s="651"/>
      <c r="BI147" s="1462"/>
      <c r="BJ147" s="1462"/>
      <c r="BK147" s="1462"/>
      <c r="BL147" s="1462"/>
      <c r="BM147" s="1462"/>
      <c r="BN147" s="1728"/>
      <c r="BO147" s="729"/>
      <c r="BP147" s="729"/>
      <c r="BQ147" s="729"/>
      <c r="BR147" s="729"/>
      <c r="BS147" s="1737">
        <v>11</v>
      </c>
    </row>
    <row s="10851" customFormat="1" customHeight="1" ht="11.549999999999999">
      <c r="A148" s="1087"/>
      <c r="B148" s="1087"/>
      <c r="C148" s="1087"/>
      <c r="D148" s="1087"/>
      <c r="E148" s="1087"/>
      <c r="F148" s="1732"/>
      <c r="G148" s="1732"/>
      <c r="H148" s="458"/>
      <c r="AS148" s="4889"/>
      <c r="AT148" s="4889"/>
      <c r="AU148" s="4889"/>
      <c r="AV148" s="1462"/>
      <c r="AX148" s="1462"/>
      <c r="AY148" s="1732"/>
      <c r="AZ148" s="1732"/>
      <c r="BA148" s="1462"/>
      <c r="BB148" s="1462"/>
      <c r="BC148" s="1462"/>
      <c r="BD148" s="1462"/>
      <c r="BE148" s="1732"/>
      <c r="BF148" s="1462"/>
      <c r="BG148" s="1462"/>
      <c r="BH148" s="651"/>
      <c r="BI148" s="1462"/>
      <c r="BJ148" s="1462"/>
      <c r="BK148" s="1462"/>
      <c r="BL148" s="1462"/>
      <c r="BM148" s="1462"/>
      <c r="BN148" s="1728"/>
      <c r="BO148" s="729"/>
      <c r="BP148" s="729"/>
      <c r="BQ148" s="729"/>
      <c r="BR148" s="729"/>
      <c r="BS148" s="1737">
        <v>11</v>
      </c>
    </row>
    <row s="10851" customFormat="1" customHeight="1" ht="11.549999999999999">
      <c r="A149" s="1087"/>
      <c r="B149" s="1087"/>
      <c r="C149" s="1087"/>
      <c r="D149" s="1087"/>
      <c r="E149" s="1087"/>
      <c r="F149" s="1732"/>
      <c r="G149" s="1732"/>
      <c r="H149" s="458"/>
      <c r="AS149" s="4889"/>
      <c r="AT149" s="4889"/>
      <c r="AU149" s="4889"/>
      <c r="AV149" s="1462"/>
      <c r="AX149" s="1462"/>
      <c r="AY149" s="1732"/>
      <c r="AZ149" s="1732"/>
      <c r="BA149" s="1462"/>
      <c r="BB149" s="1462"/>
      <c r="BC149" s="1462"/>
      <c r="BD149" s="1462"/>
      <c r="BE149" s="1732"/>
      <c r="BF149" s="1462"/>
      <c r="BG149" s="1462"/>
      <c r="BH149" s="651"/>
      <c r="BI149" s="1462"/>
      <c r="BJ149" s="1462"/>
      <c r="BK149" s="1462"/>
      <c r="BL149" s="1462"/>
      <c r="BM149" s="1462"/>
      <c r="BN149" s="1728"/>
      <c r="BO149" s="729"/>
      <c r="BP149" s="729"/>
      <c r="BQ149" s="729"/>
      <c r="BR149" s="729"/>
      <c r="BS149" s="1737">
        <v>11</v>
      </c>
    </row>
    <row s="10851" customFormat="1" customHeight="1" ht="11.549999999999999">
      <c r="A150" s="1087"/>
      <c r="B150" s="1087"/>
      <c r="C150" s="1087"/>
      <c r="D150" s="1087"/>
      <c r="E150" s="1087"/>
      <c r="F150" s="1732"/>
      <c r="G150" s="1732"/>
      <c r="H150" s="458"/>
      <c r="AS150" s="4889"/>
      <c r="AT150" s="4889"/>
      <c r="AU150" s="4889"/>
      <c r="AV150" s="1462"/>
      <c r="AX150" s="1462"/>
      <c r="AY150" s="1732"/>
      <c r="AZ150" s="1732"/>
      <c r="BA150" s="1462"/>
      <c r="BB150" s="1462"/>
      <c r="BC150" s="1462"/>
      <c r="BD150" s="1462"/>
      <c r="BE150" s="1732"/>
      <c r="BF150" s="1462"/>
      <c r="BG150" s="1462"/>
      <c r="BH150" s="651"/>
      <c r="BI150" s="1462"/>
      <c r="BJ150" s="1462"/>
      <c r="BK150" s="1462"/>
      <c r="BL150" s="1462"/>
      <c r="BM150" s="1462"/>
      <c r="BN150" s="1728"/>
      <c r="BO150" s="729"/>
      <c r="BP150" s="729"/>
      <c r="BQ150" s="729"/>
      <c r="BR150" s="729"/>
      <c r="BS150" s="1737">
        <v>11</v>
      </c>
    </row>
    <row s="10851" customFormat="1" customHeight="1" ht="11.549999999999999">
      <c r="A151" s="1087"/>
      <c r="B151" s="1087"/>
      <c r="C151" s="1087"/>
      <c r="D151" s="1087"/>
      <c r="E151" s="1087"/>
      <c r="F151" s="1732"/>
      <c r="G151" s="1732"/>
      <c r="H151" s="458"/>
      <c r="AS151" s="4889"/>
      <c r="AT151" s="4889"/>
      <c r="AU151" s="4889"/>
      <c r="AV151" s="1462"/>
      <c r="AX151" s="1462"/>
      <c r="AY151" s="1732"/>
      <c r="AZ151" s="1732"/>
      <c r="BA151" s="1462"/>
      <c r="BB151" s="1462"/>
      <c r="BC151" s="1462"/>
      <c r="BD151" s="1462"/>
      <c r="BE151" s="1732"/>
      <c r="BF151" s="1462"/>
      <c r="BG151" s="1462"/>
      <c r="BH151" s="651"/>
      <c r="BI151" s="1462"/>
      <c r="BJ151" s="1462"/>
      <c r="BK151" s="1462"/>
      <c r="BL151" s="1462"/>
      <c r="BM151" s="1462"/>
      <c r="BN151" s="1728"/>
      <c r="BO151" s="729"/>
      <c r="BP151" s="729"/>
      <c r="BQ151" s="729"/>
      <c r="BR151" s="729"/>
      <c r="BS151" s="1737">
        <v>11</v>
      </c>
    </row>
    <row s="10851" customFormat="1" customHeight="1" ht="11.549999999999999">
      <c r="A152" s="1087"/>
      <c r="B152" s="1087"/>
      <c r="C152" s="1087"/>
      <c r="D152" s="1087"/>
      <c r="E152" s="1087"/>
      <c r="F152" s="1732"/>
      <c r="G152" s="1732"/>
      <c r="H152" s="458"/>
      <c r="AS152" s="4889"/>
      <c r="AT152" s="4889"/>
      <c r="AU152" s="4889"/>
      <c r="AV152" s="1462"/>
      <c r="AX152" s="1462"/>
      <c r="AY152" s="1732"/>
      <c r="AZ152" s="1732"/>
      <c r="BA152" s="1462"/>
      <c r="BB152" s="1462"/>
      <c r="BC152" s="1462"/>
      <c r="BD152" s="1462"/>
      <c r="BE152" s="1732"/>
      <c r="BF152" s="1462"/>
      <c r="BG152" s="1462"/>
      <c r="BH152" s="651"/>
      <c r="BI152" s="1462"/>
      <c r="BJ152" s="1462"/>
      <c r="BK152" s="1462"/>
      <c r="BL152" s="1462"/>
      <c r="BM152" s="1462"/>
      <c r="BN152" s="1728"/>
      <c r="BO152" s="729"/>
      <c r="BP152" s="729"/>
      <c r="BQ152" s="729"/>
      <c r="BR152" s="729"/>
      <c r="BS152" s="1737">
        <v>11</v>
      </c>
    </row>
    <row s="10851" customFormat="1" customHeight="1" ht="11.549999999999999">
      <c r="A153" s="1087"/>
      <c r="B153" s="1087"/>
      <c r="C153" s="1087"/>
      <c r="D153" s="1087"/>
      <c r="E153" s="1087"/>
      <c r="F153" s="1732"/>
      <c r="G153" s="1732"/>
      <c r="H153" s="458"/>
      <c r="AS153" s="4889"/>
      <c r="AT153" s="4889"/>
      <c r="AU153" s="4889"/>
      <c r="AV153" s="1462"/>
      <c r="AX153" s="1462"/>
      <c r="AY153" s="1732"/>
      <c r="AZ153" s="1732"/>
      <c r="BA153" s="1462"/>
      <c r="BB153" s="1462"/>
      <c r="BC153" s="1462"/>
      <c r="BD153" s="1462"/>
      <c r="BE153" s="1732"/>
      <c r="BF153" s="1462"/>
      <c r="BG153" s="1462"/>
      <c r="BH153" s="651"/>
      <c r="BI153" s="1462"/>
      <c r="BJ153" s="1462"/>
      <c r="BK153" s="1462"/>
      <c r="BL153" s="1462"/>
      <c r="BM153" s="1462"/>
      <c r="BN153" s="1728"/>
      <c r="BO153" s="729"/>
      <c r="BP153" s="729"/>
      <c r="BQ153" s="729"/>
      <c r="BR153" s="729"/>
      <c r="BS153" s="1737">
        <v>11</v>
      </c>
    </row>
    <row s="10851" customFormat="1" customHeight="1" ht="11.549999999999999">
      <c r="A154" s="1087"/>
      <c r="B154" s="1087"/>
      <c r="C154" s="1087"/>
      <c r="D154" s="1087"/>
      <c r="E154" s="1087"/>
      <c r="F154" s="1732"/>
      <c r="G154" s="1732"/>
      <c r="H154" s="458"/>
      <c r="AS154" s="4889"/>
      <c r="AT154" s="4889"/>
      <c r="AU154" s="4889"/>
      <c r="AV154" s="1462"/>
      <c r="AX154" s="1462"/>
      <c r="AY154" s="1732"/>
      <c r="AZ154" s="1732"/>
      <c r="BA154" s="1462"/>
      <c r="BB154" s="1462"/>
      <c r="BC154" s="1462"/>
      <c r="BD154" s="1462"/>
      <c r="BE154" s="1732"/>
      <c r="BF154" s="1462"/>
      <c r="BG154" s="1462"/>
      <c r="BH154" s="651"/>
      <c r="BI154" s="1462"/>
      <c r="BJ154" s="1462"/>
      <c r="BK154" s="1462"/>
      <c r="BL154" s="1462"/>
      <c r="BM154" s="1462"/>
      <c r="BN154" s="1728"/>
      <c r="BO154" s="729"/>
      <c r="BP154" s="729"/>
      <c r="BQ154" s="729"/>
      <c r="BR154" s="729"/>
      <c r="BS154" s="1737">
        <v>11</v>
      </c>
    </row>
    <row s="10851" customFormat="1" customHeight="1" ht="11.549999999999999">
      <c r="A155" s="1087"/>
      <c r="B155" s="1087"/>
      <c r="C155" s="1087"/>
      <c r="D155" s="1087"/>
      <c r="E155" s="1087"/>
      <c r="F155" s="1732"/>
      <c r="G155" s="1732"/>
      <c r="H155" s="458"/>
      <c r="AS155" s="4889"/>
      <c r="AT155" s="4889"/>
      <c r="AU155" s="4889"/>
      <c r="AV155" s="1462"/>
      <c r="AX155" s="1462"/>
      <c r="AY155" s="1732"/>
      <c r="AZ155" s="1732"/>
      <c r="BA155" s="1462"/>
      <c r="BB155" s="1462"/>
      <c r="BC155" s="1462"/>
      <c r="BD155" s="1462"/>
      <c r="BE155" s="1732"/>
      <c r="BF155" s="1462"/>
      <c r="BG155" s="1462"/>
      <c r="BH155" s="651"/>
      <c r="BI155" s="1462"/>
      <c r="BJ155" s="1462"/>
      <c r="BK155" s="1462"/>
      <c r="BL155" s="1462"/>
      <c r="BM155" s="1462"/>
      <c r="BN155" s="1728"/>
      <c r="BO155" s="729"/>
      <c r="BP155" s="729"/>
      <c r="BQ155" s="729"/>
      <c r="BR155" s="729"/>
      <c r="BS155" s="1737">
        <v>11</v>
      </c>
    </row>
    <row s="10851" customFormat="1" customHeight="1" ht="11.549999999999999">
      <c r="A156" s="1087"/>
      <c r="B156" s="1087"/>
      <c r="C156" s="1087"/>
      <c r="D156" s="1087"/>
      <c r="E156" s="1087"/>
      <c r="F156" s="1732"/>
      <c r="G156" s="1732"/>
      <c r="H156" s="458"/>
      <c r="AS156" s="4889"/>
      <c r="AT156" s="4889"/>
      <c r="AU156" s="4889"/>
      <c r="AV156" s="1462"/>
      <c r="AX156" s="1462"/>
      <c r="AY156" s="1732"/>
      <c r="AZ156" s="1732"/>
      <c r="BA156" s="1462"/>
      <c r="BB156" s="1462"/>
      <c r="BC156" s="1462"/>
      <c r="BD156" s="1462"/>
      <c r="BE156" s="1732"/>
      <c r="BF156" s="1462"/>
      <c r="BG156" s="1462"/>
      <c r="BH156" s="651"/>
      <c r="BI156" s="1462"/>
      <c r="BJ156" s="1462"/>
      <c r="BK156" s="1462"/>
      <c r="BL156" s="1462"/>
      <c r="BM156" s="1462"/>
      <c r="BN156" s="1728"/>
      <c r="BO156" s="729"/>
      <c r="BP156" s="729"/>
      <c r="BQ156" s="729"/>
      <c r="BR156" s="729"/>
      <c r="BS156" s="1737">
        <v>11</v>
      </c>
    </row>
    <row s="10851" customFormat="1" customHeight="1" ht="11.549999999999999">
      <c r="A157" s="1087"/>
      <c r="B157" s="1087"/>
      <c r="C157" s="1087"/>
      <c r="D157" s="1087"/>
      <c r="E157" s="1087"/>
      <c r="F157" s="1732"/>
      <c r="G157" s="1732"/>
      <c r="H157" s="458"/>
      <c r="AS157" s="4889"/>
      <c r="AT157" s="4889"/>
      <c r="AU157" s="4889"/>
      <c r="AV157" s="1462"/>
      <c r="AX157" s="1462"/>
      <c r="AY157" s="1732"/>
      <c r="AZ157" s="1732"/>
      <c r="BA157" s="1462"/>
      <c r="BB157" s="1462"/>
      <c r="BC157" s="1462"/>
      <c r="BD157" s="1462"/>
      <c r="BE157" s="1732"/>
      <c r="BF157" s="1462"/>
      <c r="BG157" s="1462"/>
      <c r="BH157" s="651"/>
      <c r="BI157" s="1462"/>
      <c r="BJ157" s="1462"/>
      <c r="BK157" s="1462"/>
      <c r="BL157" s="1462"/>
      <c r="BM157" s="1462"/>
      <c r="BN157" s="1728"/>
      <c r="BO157" s="729"/>
      <c r="BP157" s="729"/>
      <c r="BQ157" s="729"/>
      <c r="BR157" s="729"/>
      <c r="BS157" s="1737">
        <v>11</v>
      </c>
    </row>
    <row s="10851" customFormat="1" customHeight="1" ht="11.549999999999999">
      <c r="A158" s="1087"/>
      <c r="B158" s="1087"/>
      <c r="C158" s="1087"/>
      <c r="D158" s="1087"/>
      <c r="E158" s="1087"/>
      <c r="F158" s="1732"/>
      <c r="G158" s="1732"/>
      <c r="H158" s="458"/>
      <c r="AS158" s="4889"/>
      <c r="AT158" s="4889"/>
      <c r="AU158" s="4889"/>
      <c r="AV158" s="1462"/>
      <c r="AX158" s="1462"/>
      <c r="AY158" s="1732"/>
      <c r="AZ158" s="1732"/>
      <c r="BA158" s="1462"/>
      <c r="BB158" s="1462"/>
      <c r="BC158" s="1462"/>
      <c r="BD158" s="1462"/>
      <c r="BE158" s="1732"/>
      <c r="BF158" s="1462"/>
      <c r="BG158" s="1462"/>
      <c r="BH158" s="651"/>
      <c r="BI158" s="1462"/>
      <c r="BJ158" s="1462"/>
      <c r="BK158" s="1462"/>
      <c r="BL158" s="1462"/>
      <c r="BM158" s="1462"/>
      <c r="BN158" s="1728"/>
      <c r="BO158" s="729"/>
      <c r="BP158" s="729"/>
      <c r="BQ158" s="729"/>
      <c r="BR158" s="729"/>
      <c r="BS158" s="1737">
        <v>11</v>
      </c>
    </row>
    <row s="10851" customFormat="1" customHeight="1" ht="11.549999999999999">
      <c r="A159" s="1087"/>
      <c r="B159" s="1087"/>
      <c r="C159" s="1087"/>
      <c r="D159" s="1087"/>
      <c r="E159" s="1087"/>
      <c r="F159" s="1732"/>
      <c r="G159" s="1732"/>
      <c r="H159" s="458"/>
      <c r="AS159" s="4889"/>
      <c r="AT159" s="4889"/>
      <c r="AU159" s="4889"/>
      <c r="AV159" s="1462"/>
      <c r="AX159" s="1462"/>
      <c r="AY159" s="1732"/>
      <c r="AZ159" s="1732"/>
      <c r="BA159" s="1462"/>
      <c r="BB159" s="1462"/>
      <c r="BC159" s="1462"/>
      <c r="BD159" s="1462"/>
      <c r="BE159" s="1732"/>
      <c r="BF159" s="1462"/>
      <c r="BG159" s="1462"/>
      <c r="BH159" s="651"/>
      <c r="BI159" s="1462"/>
      <c r="BJ159" s="1462"/>
      <c r="BK159" s="1462"/>
      <c r="BL159" s="1462"/>
      <c r="BM159" s="1462"/>
      <c r="BN159" s="1728"/>
      <c r="BO159" s="729"/>
      <c r="BP159" s="729"/>
      <c r="BQ159" s="729"/>
      <c r="BR159" s="729"/>
      <c r="BS159" s="1737">
        <v>11</v>
      </c>
    </row>
    <row s="10851" customFormat="1" customHeight="1" ht="11.549999999999999">
      <c r="A160" s="1087"/>
      <c r="B160" s="1087"/>
      <c r="C160" s="1087"/>
      <c r="D160" s="1087"/>
      <c r="E160" s="1087"/>
      <c r="F160" s="1732"/>
      <c r="G160" s="1732"/>
      <c r="H160" s="458"/>
      <c r="AS160" s="4889"/>
      <c r="AT160" s="4889"/>
      <c r="AU160" s="4889"/>
      <c r="AV160" s="1462"/>
      <c r="AX160" s="1462"/>
      <c r="AY160" s="1732"/>
      <c r="AZ160" s="1732"/>
      <c r="BA160" s="1462"/>
      <c r="BB160" s="1462"/>
      <c r="BC160" s="1462"/>
      <c r="BD160" s="1462"/>
      <c r="BE160" s="1732"/>
      <c r="BF160" s="1462"/>
      <c r="BG160" s="1462"/>
      <c r="BH160" s="651"/>
      <c r="BI160" s="1462"/>
      <c r="BJ160" s="1462"/>
      <c r="BK160" s="1462"/>
      <c r="BL160" s="1462"/>
      <c r="BM160" s="1462"/>
      <c r="BN160" s="1728"/>
      <c r="BO160" s="729"/>
      <c r="BP160" s="729"/>
      <c r="BQ160" s="729"/>
      <c r="BR160" s="729"/>
      <c r="BS160" s="1737">
        <v>11</v>
      </c>
    </row>
    <row s="10851" customFormat="1" customHeight="1" ht="11.549999999999999">
      <c r="A161" s="1087"/>
      <c r="B161" s="1087"/>
      <c r="C161" s="1087"/>
      <c r="D161" s="1087"/>
      <c r="E161" s="1087"/>
      <c r="F161" s="1732"/>
      <c r="G161" s="1732"/>
      <c r="H161" s="458"/>
      <c r="AS161" s="4889"/>
      <c r="AT161" s="4889"/>
      <c r="AU161" s="4889"/>
      <c r="AV161" s="1462"/>
      <c r="AX161" s="1462"/>
      <c r="AY161" s="1732"/>
      <c r="AZ161" s="1732"/>
      <c r="BA161" s="1462"/>
      <c r="BB161" s="1462"/>
      <c r="BC161" s="1462"/>
      <c r="BD161" s="1462"/>
      <c r="BE161" s="1732"/>
      <c r="BF161" s="1462"/>
      <c r="BG161" s="1462"/>
      <c r="BH161" s="651"/>
      <c r="BI161" s="1462"/>
      <c r="BJ161" s="1462"/>
      <c r="BK161" s="1462"/>
      <c r="BL161" s="1462"/>
      <c r="BM161" s="1462"/>
      <c r="BN161" s="1728"/>
      <c r="BO161" s="729"/>
      <c r="BP161" s="729"/>
      <c r="BQ161" s="729"/>
      <c r="BR161" s="729"/>
      <c r="BS161" s="1737">
        <v>11</v>
      </c>
    </row>
    <row s="10851" customFormat="1" customHeight="1" ht="11.549999999999999">
      <c r="A162" s="1087"/>
      <c r="B162" s="1087"/>
      <c r="C162" s="1087"/>
      <c r="D162" s="1087"/>
      <c r="E162" s="1087"/>
      <c r="F162" s="1732"/>
      <c r="G162" s="1732"/>
      <c r="H162" s="458"/>
      <c r="AS162" s="4889"/>
      <c r="AT162" s="4889"/>
      <c r="AU162" s="4889"/>
      <c r="AV162" s="1462"/>
      <c r="AX162" s="1462"/>
      <c r="AY162" s="1732"/>
      <c r="AZ162" s="1732"/>
      <c r="BA162" s="1462"/>
      <c r="BB162" s="1462"/>
      <c r="BC162" s="1462"/>
      <c r="BD162" s="1462"/>
      <c r="BE162" s="1732"/>
      <c r="BF162" s="1462"/>
      <c r="BG162" s="1462"/>
      <c r="BH162" s="651"/>
      <c r="BI162" s="1462"/>
      <c r="BJ162" s="1462"/>
      <c r="BK162" s="1462"/>
      <c r="BL162" s="1462"/>
      <c r="BM162" s="1462"/>
      <c r="BN162" s="1728"/>
      <c r="BO162" s="729"/>
      <c r="BP162" s="729"/>
      <c r="BQ162" s="729"/>
      <c r="BR162" s="729"/>
      <c r="BS162" s="1737">
        <v>11</v>
      </c>
    </row>
    <row s="10851" customFormat="1" customHeight="1" ht="11.549999999999999">
      <c r="A163" s="1087"/>
      <c r="B163" s="1087"/>
      <c r="C163" s="1087"/>
      <c r="D163" s="1087"/>
      <c r="E163" s="1087"/>
      <c r="F163" s="1732"/>
      <c r="G163" s="1732"/>
      <c r="H163" s="458"/>
      <c r="AS163" s="4889"/>
      <c r="AT163" s="4889"/>
      <c r="AU163" s="4889"/>
      <c r="AV163" s="1462"/>
      <c r="AX163" s="1462"/>
      <c r="AY163" s="1732"/>
      <c r="AZ163" s="1732"/>
      <c r="BA163" s="1462"/>
      <c r="BB163" s="1462"/>
      <c r="BC163" s="1462"/>
      <c r="BD163" s="1462"/>
      <c r="BE163" s="1732"/>
      <c r="BF163" s="1462"/>
      <c r="BG163" s="1462"/>
      <c r="BH163" s="651"/>
      <c r="BI163" s="1462"/>
      <c r="BJ163" s="1462"/>
      <c r="BK163" s="1462"/>
      <c r="BL163" s="1462"/>
      <c r="BM163" s="1462"/>
      <c r="BN163" s="1728"/>
      <c r="BO163" s="729"/>
      <c r="BP163" s="729"/>
      <c r="BQ163" s="729"/>
      <c r="BR163" s="729"/>
      <c r="BS163" s="1737">
        <v>11</v>
      </c>
    </row>
    <row s="10851" customFormat="1" customHeight="1" ht="11.549999999999999">
      <c r="A164" s="1087"/>
      <c r="B164" s="1087"/>
      <c r="C164" s="1087"/>
      <c r="D164" s="1087"/>
      <c r="E164" s="1087"/>
      <c r="F164" s="1732"/>
      <c r="G164" s="1732"/>
      <c r="H164" s="458"/>
      <c r="AS164" s="4889"/>
      <c r="AT164" s="4889"/>
      <c r="AU164" s="4889"/>
      <c r="AV164" s="1462"/>
      <c r="AX164" s="1462"/>
      <c r="AY164" s="1732"/>
      <c r="AZ164" s="1732"/>
      <c r="BA164" s="1462"/>
      <c r="BB164" s="1462"/>
      <c r="BC164" s="1462"/>
      <c r="BD164" s="1462"/>
      <c r="BE164" s="1732"/>
      <c r="BF164" s="1462"/>
      <c r="BG164" s="1462"/>
      <c r="BH164" s="651"/>
      <c r="BI164" s="1462"/>
      <c r="BJ164" s="1462"/>
      <c r="BK164" s="1462"/>
      <c r="BL164" s="1462"/>
      <c r="BM164" s="1462"/>
      <c r="BN164" s="1728"/>
      <c r="BO164" s="729"/>
      <c r="BP164" s="729"/>
      <c r="BQ164" s="729"/>
      <c r="BR164" s="729"/>
      <c r="BS164" s="1737">
        <v>11</v>
      </c>
    </row>
    <row s="10851" customFormat="1" customHeight="1" ht="11.549999999999999">
      <c r="A165" s="1087"/>
      <c r="B165" s="1087"/>
      <c r="C165" s="1087"/>
      <c r="D165" s="1087"/>
      <c r="E165" s="1087"/>
      <c r="F165" s="1732"/>
      <c r="G165" s="1732"/>
      <c r="H165" s="458"/>
      <c r="AS165" s="4889"/>
      <c r="AT165" s="4889"/>
      <c r="AU165" s="4889"/>
      <c r="AV165" s="1462"/>
      <c r="AX165" s="1462"/>
      <c r="AY165" s="1732"/>
      <c r="AZ165" s="1732"/>
      <c r="BA165" s="1462"/>
      <c r="BB165" s="1462"/>
      <c r="BC165" s="1462"/>
      <c r="BD165" s="1462"/>
      <c r="BE165" s="1732"/>
      <c r="BF165" s="1462"/>
      <c r="BG165" s="1462"/>
      <c r="BH165" s="651"/>
      <c r="BI165" s="1462"/>
      <c r="BJ165" s="1462"/>
      <c r="BK165" s="1462"/>
      <c r="BL165" s="1462"/>
      <c r="BM165" s="1462"/>
      <c r="BN165" s="1728"/>
      <c r="BO165" s="729"/>
      <c r="BP165" s="729"/>
      <c r="BQ165" s="729"/>
      <c r="BR165" s="729"/>
      <c r="BS165" s="1737">
        <v>11</v>
      </c>
    </row>
    <row s="10851" customFormat="1" customHeight="1" ht="11.549999999999999">
      <c r="A166" s="1087"/>
      <c r="B166" s="1087"/>
      <c r="C166" s="1087"/>
      <c r="D166" s="1087"/>
      <c r="E166" s="1087"/>
      <c r="F166" s="1732"/>
      <c r="G166" s="1732"/>
      <c r="H166" s="458"/>
      <c r="AS166" s="4889"/>
      <c r="AT166" s="4889"/>
      <c r="AU166" s="4889"/>
      <c r="AV166" s="1462"/>
      <c r="AX166" s="1462"/>
      <c r="AY166" s="1732"/>
      <c r="AZ166" s="1732"/>
      <c r="BA166" s="1462"/>
      <c r="BB166" s="1462"/>
      <c r="BC166" s="1462"/>
      <c r="BD166" s="1462"/>
      <c r="BE166" s="1732"/>
      <c r="BF166" s="1462"/>
      <c r="BG166" s="1462"/>
      <c r="BH166" s="651"/>
      <c r="BI166" s="1462"/>
      <c r="BJ166" s="1462"/>
      <c r="BK166" s="1462"/>
      <c r="BL166" s="1462"/>
      <c r="BM166" s="1462"/>
      <c r="BN166" s="1728"/>
      <c r="BO166" s="729"/>
      <c r="BP166" s="729"/>
      <c r="BQ166" s="729"/>
      <c r="BR166" s="729"/>
      <c r="BS166" s="1737">
        <v>11</v>
      </c>
    </row>
    <row s="10851" customFormat="1" customHeight="1" ht="11.549999999999999">
      <c r="A167" s="1087"/>
      <c r="B167" s="1087"/>
      <c r="C167" s="1087"/>
      <c r="D167" s="1087"/>
      <c r="E167" s="1087"/>
      <c r="F167" s="1732"/>
      <c r="G167" s="1732"/>
      <c r="H167" s="458"/>
      <c r="AS167" s="4889"/>
      <c r="AT167" s="4889"/>
      <c r="AU167" s="4889"/>
      <c r="AV167" s="1462"/>
      <c r="AX167" s="1462"/>
      <c r="AY167" s="1732"/>
      <c r="AZ167" s="1732"/>
      <c r="BA167" s="1462"/>
      <c r="BB167" s="1462"/>
      <c r="BC167" s="1462"/>
      <c r="BD167" s="1462"/>
      <c r="BE167" s="1732"/>
      <c r="BF167" s="1462"/>
      <c r="BG167" s="1462"/>
      <c r="BH167" s="651"/>
      <c r="BI167" s="1462"/>
      <c r="BJ167" s="1462"/>
      <c r="BK167" s="1462"/>
      <c r="BL167" s="1462"/>
      <c r="BM167" s="1462"/>
      <c r="BN167" s="1728"/>
      <c r="BO167" s="729"/>
      <c r="BP167" s="729"/>
      <c r="BQ167" s="729"/>
      <c r="BR167" s="729"/>
      <c r="BS167" s="1737">
        <v>11</v>
      </c>
    </row>
    <row s="10851" customFormat="1" customHeight="1" ht="11.549999999999999">
      <c r="A168" s="1087"/>
      <c r="B168" s="1087"/>
      <c r="C168" s="1087"/>
      <c r="D168" s="1087"/>
      <c r="E168" s="1087"/>
      <c r="F168" s="1732"/>
      <c r="G168" s="1732"/>
      <c r="H168" s="458"/>
      <c r="AS168" s="4889"/>
      <c r="AT168" s="4889"/>
      <c r="AU168" s="4889"/>
      <c r="AV168" s="1462"/>
      <c r="AX168" s="1462"/>
      <c r="AY168" s="1732"/>
      <c r="AZ168" s="1732"/>
      <c r="BA168" s="1462"/>
      <c r="BB168" s="1462"/>
      <c r="BC168" s="1462"/>
      <c r="BD168" s="1462"/>
      <c r="BE168" s="1732"/>
      <c r="BF168" s="1462"/>
      <c r="BG168" s="1462"/>
      <c r="BH168" s="651"/>
      <c r="BI168" s="1462"/>
      <c r="BJ168" s="1462"/>
      <c r="BK168" s="1462"/>
      <c r="BL168" s="1462"/>
      <c r="BM168" s="1462"/>
      <c r="BN168" s="1728"/>
      <c r="BO168" s="729"/>
      <c r="BP168" s="729"/>
      <c r="BQ168" s="729"/>
      <c r="BR168" s="729"/>
      <c r="BS168" s="1737">
        <v>11</v>
      </c>
    </row>
    <row s="10851" customFormat="1" customHeight="1" ht="11.549999999999999">
      <c r="A169" s="1087"/>
      <c r="B169" s="1087"/>
      <c r="C169" s="1087"/>
      <c r="D169" s="1087"/>
      <c r="E169" s="1087"/>
      <c r="F169" s="1732"/>
      <c r="G169" s="1732"/>
      <c r="H169" s="458"/>
      <c r="AS169" s="4889"/>
      <c r="AT169" s="4889"/>
      <c r="AU169" s="4889"/>
      <c r="AV169" s="1462"/>
      <c r="AX169" s="1462"/>
      <c r="AY169" s="1732"/>
      <c r="AZ169" s="1732"/>
      <c r="BA169" s="1462"/>
      <c r="BB169" s="1462"/>
      <c r="BC169" s="1462"/>
      <c r="BD169" s="1462"/>
      <c r="BE169" s="1732"/>
      <c r="BF169" s="1462"/>
      <c r="BG169" s="1462"/>
      <c r="BH169" s="651"/>
      <c r="BI169" s="1462"/>
      <c r="BJ169" s="1462"/>
      <c r="BK169" s="1462"/>
      <c r="BL169" s="1462"/>
      <c r="BM169" s="1462"/>
      <c r="BN169" s="1728"/>
      <c r="BO169" s="729"/>
      <c r="BP169" s="729"/>
      <c r="BQ169" s="729"/>
      <c r="BR169" s="729"/>
      <c r="BS169" s="1737">
        <v>11</v>
      </c>
    </row>
    <row s="10851" customFormat="1" customHeight="1" ht="11.549999999999999">
      <c r="A170" s="1087"/>
      <c r="B170" s="1087"/>
      <c r="C170" s="1087"/>
      <c r="D170" s="1087"/>
      <c r="E170" s="1087"/>
      <c r="F170" s="1732"/>
      <c r="G170" s="1732"/>
      <c r="H170" s="458"/>
      <c r="AS170" s="4889"/>
      <c r="AT170" s="4889"/>
      <c r="AU170" s="4889"/>
      <c r="AV170" s="1462"/>
      <c r="AX170" s="1462"/>
      <c r="AY170" s="1732"/>
      <c r="AZ170" s="1732"/>
      <c r="BA170" s="1462"/>
      <c r="BB170" s="1462"/>
      <c r="BC170" s="1462"/>
      <c r="BD170" s="1462"/>
      <c r="BE170" s="1732"/>
      <c r="BF170" s="1462"/>
      <c r="BG170" s="1462"/>
      <c r="BH170" s="651"/>
      <c r="BI170" s="1462"/>
      <c r="BJ170" s="1462"/>
      <c r="BK170" s="1462"/>
      <c r="BL170" s="1462"/>
      <c r="BM170" s="1462"/>
      <c r="BN170" s="1728"/>
      <c r="BO170" s="729"/>
      <c r="BP170" s="729"/>
      <c r="BQ170" s="729"/>
      <c r="BR170" s="729"/>
      <c r="BS170" s="1737">
        <v>11</v>
      </c>
    </row>
    <row s="10851" customFormat="1" customHeight="1" ht="11.549999999999999">
      <c r="A171" s="1087"/>
      <c r="B171" s="1087"/>
      <c r="C171" s="1087"/>
      <c r="D171" s="1087"/>
      <c r="E171" s="1087"/>
      <c r="F171" s="1732"/>
      <c r="G171" s="1732"/>
      <c r="H171" s="458"/>
      <c r="AS171" s="4889"/>
      <c r="AT171" s="4889"/>
      <c r="AU171" s="4889"/>
      <c r="AV171" s="1462"/>
      <c r="AX171" s="1462"/>
      <c r="AY171" s="1732"/>
      <c r="AZ171" s="1732"/>
      <c r="BA171" s="1462"/>
      <c r="BB171" s="1462"/>
      <c r="BC171" s="1462"/>
      <c r="BD171" s="1462"/>
      <c r="BE171" s="1732"/>
      <c r="BF171" s="1462"/>
      <c r="BG171" s="1462"/>
      <c r="BH171" s="651"/>
      <c r="BI171" s="1462"/>
      <c r="BJ171" s="1462"/>
      <c r="BK171" s="1462"/>
      <c r="BL171" s="1462"/>
      <c r="BM171" s="1462"/>
      <c r="BN171" s="1728"/>
      <c r="BO171" s="729"/>
      <c r="BP171" s="729"/>
      <c r="BQ171" s="729"/>
      <c r="BR171" s="729"/>
      <c r="BS171" s="1737">
        <v>11</v>
      </c>
    </row>
    <row s="10851" customFormat="1" customHeight="1" ht="11.549999999999999">
      <c r="A172" s="1087"/>
      <c r="B172" s="1087"/>
      <c r="C172" s="1087"/>
      <c r="D172" s="1087"/>
      <c r="E172" s="1087"/>
      <c r="F172" s="1732"/>
      <c r="G172" s="1732"/>
      <c r="H172" s="458"/>
      <c r="AS172" s="4889"/>
      <c r="AT172" s="4889"/>
      <c r="AU172" s="4889"/>
      <c r="AV172" s="1462"/>
      <c r="AX172" s="1462"/>
      <c r="AY172" s="1732"/>
      <c r="AZ172" s="1732"/>
      <c r="BA172" s="1462"/>
      <c r="BB172" s="1462"/>
      <c r="BC172" s="1462"/>
      <c r="BD172" s="1462"/>
      <c r="BE172" s="1732"/>
      <c r="BF172" s="1462"/>
      <c r="BG172" s="1462"/>
      <c r="BH172" s="651"/>
      <c r="BI172" s="1462"/>
      <c r="BJ172" s="1462"/>
      <c r="BK172" s="1462"/>
      <c r="BL172" s="1462"/>
      <c r="BM172" s="1462"/>
      <c r="BN172" s="1728"/>
      <c r="BO172" s="729"/>
      <c r="BP172" s="729"/>
      <c r="BQ172" s="729"/>
      <c r="BR172" s="729"/>
      <c r="BS172" s="1737">
        <v>11</v>
      </c>
    </row>
    <row s="10851" customFormat="1" customHeight="1" ht="11.549999999999999">
      <c r="A173" s="1087"/>
      <c r="B173" s="1087"/>
      <c r="C173" s="1087"/>
      <c r="D173" s="1087"/>
      <c r="E173" s="1087"/>
      <c r="F173" s="1732"/>
      <c r="G173" s="1732"/>
      <c r="H173" s="458"/>
      <c r="AS173" s="4889"/>
      <c r="AT173" s="4889"/>
      <c r="AU173" s="4889"/>
      <c r="AV173" s="1462"/>
      <c r="AX173" s="1462"/>
      <c r="AY173" s="1732"/>
      <c r="AZ173" s="1732"/>
      <c r="BA173" s="1462"/>
      <c r="BB173" s="1462"/>
      <c r="BC173" s="1462"/>
      <c r="BD173" s="1462"/>
      <c r="BE173" s="1732"/>
      <c r="BF173" s="1462"/>
      <c r="BG173" s="1462"/>
      <c r="BH173" s="651"/>
      <c r="BI173" s="1462"/>
      <c r="BJ173" s="1462"/>
      <c r="BK173" s="1462"/>
      <c r="BL173" s="1462"/>
      <c r="BM173" s="1462"/>
      <c r="BN173" s="1728"/>
      <c r="BO173" s="729"/>
      <c r="BP173" s="729"/>
      <c r="BQ173" s="729"/>
      <c r="BR173" s="729"/>
      <c r="BS173" s="1737">
        <v>11</v>
      </c>
    </row>
    <row s="10851" customFormat="1" customHeight="1" ht="11.549999999999999">
      <c r="A174" s="1087"/>
      <c r="B174" s="1087"/>
      <c r="C174" s="1087"/>
      <c r="D174" s="1087"/>
      <c r="E174" s="1087"/>
      <c r="F174" s="1732"/>
      <c r="G174" s="1732"/>
      <c r="H174" s="458"/>
      <c r="AS174" s="4889"/>
      <c r="AT174" s="4889"/>
      <c r="AU174" s="4889"/>
      <c r="AV174" s="1462"/>
      <c r="AX174" s="1462"/>
      <c r="AY174" s="1732"/>
      <c r="AZ174" s="1732"/>
      <c r="BA174" s="1462"/>
      <c r="BB174" s="1462"/>
      <c r="BC174" s="1462"/>
      <c r="BD174" s="1462"/>
      <c r="BE174" s="1732"/>
      <c r="BF174" s="1462"/>
      <c r="BG174" s="1462"/>
      <c r="BH174" s="651"/>
      <c r="BI174" s="1462"/>
      <c r="BJ174" s="1462"/>
      <c r="BK174" s="1462"/>
      <c r="BL174" s="1462"/>
      <c r="BM174" s="1462"/>
      <c r="BN174" s="1728"/>
      <c r="BO174" s="729"/>
      <c r="BP174" s="729"/>
      <c r="BQ174" s="729"/>
      <c r="BR174" s="729"/>
      <c r="BS174" s="1737">
        <v>11</v>
      </c>
    </row>
    <row s="10851" customFormat="1" customHeight="1" ht="11.549999999999999">
      <c r="A175" s="1087"/>
      <c r="B175" s="1087"/>
      <c r="C175" s="1087"/>
      <c r="D175" s="1087"/>
      <c r="E175" s="1087"/>
      <c r="F175" s="1732"/>
      <c r="G175" s="1732"/>
      <c r="H175" s="458"/>
      <c r="AS175" s="4889"/>
      <c r="AT175" s="4889"/>
      <c r="AU175" s="4889"/>
      <c r="AV175" s="1462"/>
      <c r="AX175" s="1462"/>
      <c r="AY175" s="1732"/>
      <c r="AZ175" s="1732"/>
      <c r="BA175" s="1462"/>
      <c r="BB175" s="1462"/>
      <c r="BC175" s="1462"/>
      <c r="BD175" s="1462"/>
      <c r="BE175" s="1732"/>
      <c r="BF175" s="1462"/>
      <c r="BG175" s="1462"/>
      <c r="BH175" s="651"/>
      <c r="BI175" s="1462"/>
      <c r="BJ175" s="1462"/>
      <c r="BK175" s="1462"/>
      <c r="BL175" s="1462"/>
      <c r="BM175" s="1462"/>
      <c r="BN175" s="1728"/>
      <c r="BO175" s="729"/>
      <c r="BP175" s="729"/>
      <c r="BQ175" s="729"/>
      <c r="BR175" s="729"/>
      <c r="BS175" s="1737">
        <v>11</v>
      </c>
    </row>
    <row s="10851" customFormat="1" customHeight="1" ht="11.549999999999999">
      <c r="A176" s="1087"/>
      <c r="B176" s="1087"/>
      <c r="C176" s="1087"/>
      <c r="D176" s="1087"/>
      <c r="E176" s="1087"/>
      <c r="F176" s="1732"/>
      <c r="G176" s="1732"/>
      <c r="H176" s="458"/>
      <c r="AS176" s="4889"/>
      <c r="AT176" s="4889"/>
      <c r="AU176" s="4889"/>
      <c r="AV176" s="1462"/>
      <c r="AX176" s="1462"/>
      <c r="AY176" s="1732"/>
      <c r="AZ176" s="1732"/>
      <c r="BA176" s="1462"/>
      <c r="BB176" s="1462"/>
      <c r="BC176" s="1462"/>
      <c r="BD176" s="1462"/>
      <c r="BE176" s="1732"/>
      <c r="BF176" s="1462"/>
      <c r="BG176" s="1462"/>
      <c r="BH176" s="651"/>
      <c r="BI176" s="1462"/>
      <c r="BJ176" s="1462"/>
      <c r="BK176" s="1462"/>
      <c r="BL176" s="1462"/>
      <c r="BM176" s="1462"/>
      <c r="BN176" s="1728"/>
      <c r="BO176" s="729"/>
      <c r="BP176" s="729"/>
      <c r="BQ176" s="729"/>
      <c r="BR176" s="729"/>
      <c r="BS176" s="1737">
        <v>11</v>
      </c>
    </row>
    <row s="10851" customFormat="1" customHeight="1" ht="11.549999999999999">
      <c r="A177" s="1087"/>
      <c r="B177" s="1087"/>
      <c r="C177" s="1087"/>
      <c r="D177" s="1087"/>
      <c r="E177" s="1087"/>
      <c r="F177" s="1732"/>
      <c r="G177" s="1732"/>
      <c r="H177" s="458"/>
      <c r="AS177" s="4889"/>
      <c r="AT177" s="4889"/>
      <c r="AU177" s="4889"/>
      <c r="AV177" s="1462"/>
      <c r="AX177" s="1462"/>
      <c r="AY177" s="1732"/>
      <c r="AZ177" s="1732"/>
      <c r="BA177" s="1462"/>
      <c r="BB177" s="1462"/>
      <c r="BC177" s="1462"/>
      <c r="BD177" s="1462"/>
      <c r="BE177" s="1732"/>
      <c r="BF177" s="1462"/>
      <c r="BG177" s="1462"/>
      <c r="BH177" s="651"/>
      <c r="BI177" s="1462"/>
      <c r="BJ177" s="1462"/>
      <c r="BK177" s="1462"/>
      <c r="BL177" s="1462"/>
      <c r="BM177" s="1462"/>
      <c r="BN177" s="1728"/>
      <c r="BO177" s="729"/>
      <c r="BP177" s="729"/>
      <c r="BQ177" s="729"/>
      <c r="BR177" s="729"/>
      <c r="BS177" s="1737">
        <v>11</v>
      </c>
    </row>
    <row s="10851" customFormat="1" customHeight="1" ht="11.549999999999999">
      <c r="A178" s="1087"/>
      <c r="B178" s="1087"/>
      <c r="C178" s="1087"/>
      <c r="D178" s="1087"/>
      <c r="E178" s="1087"/>
      <c r="F178" s="1732"/>
      <c r="G178" s="1732"/>
      <c r="H178" s="458"/>
      <c r="AS178" s="4889"/>
      <c r="AT178" s="4889"/>
      <c r="AU178" s="4889"/>
      <c r="AV178" s="1462"/>
      <c r="AX178" s="1462"/>
      <c r="AY178" s="1732"/>
      <c r="AZ178" s="1732"/>
      <c r="BA178" s="1462"/>
      <c r="BB178" s="1462"/>
      <c r="BC178" s="1462"/>
      <c r="BD178" s="1462"/>
      <c r="BE178" s="1732"/>
      <c r="BF178" s="1462"/>
      <c r="BG178" s="1462"/>
      <c r="BH178" s="651"/>
      <c r="BI178" s="1462"/>
      <c r="BJ178" s="1462"/>
      <c r="BK178" s="1462"/>
      <c r="BL178" s="1462"/>
      <c r="BM178" s="1462"/>
      <c r="BN178" s="1728"/>
      <c r="BO178" s="729"/>
      <c r="BP178" s="729"/>
      <c r="BQ178" s="729"/>
      <c r="BR178" s="729"/>
      <c r="BS178" s="1737">
        <v>11</v>
      </c>
    </row>
    <row s="10851" customFormat="1" customHeight="1" ht="11.549999999999999">
      <c r="A179" s="1087"/>
      <c r="B179" s="1087"/>
      <c r="C179" s="1087"/>
      <c r="D179" s="1087"/>
      <c r="E179" s="1087"/>
      <c r="F179" s="1732"/>
      <c r="G179" s="1732"/>
      <c r="H179" s="458"/>
      <c r="AS179" s="4889"/>
      <c r="AT179" s="4889"/>
      <c r="AU179" s="4889"/>
      <c r="AV179" s="1462"/>
      <c r="AX179" s="1462"/>
      <c r="AY179" s="1732"/>
      <c r="AZ179" s="1732"/>
      <c r="BA179" s="1462"/>
      <c r="BB179" s="1462"/>
      <c r="BC179" s="1462"/>
      <c r="BD179" s="1462"/>
      <c r="BE179" s="1732"/>
      <c r="BF179" s="1462"/>
      <c r="BG179" s="1462"/>
      <c r="BH179" s="651"/>
      <c r="BI179" s="1462"/>
      <c r="BJ179" s="1462"/>
      <c r="BK179" s="1462"/>
      <c r="BL179" s="1462"/>
      <c r="BM179" s="1462"/>
      <c r="BN179" s="1728"/>
      <c r="BO179" s="729"/>
      <c r="BP179" s="729"/>
      <c r="BQ179" s="729"/>
      <c r="BR179" s="729"/>
      <c r="BS179" s="1737">
        <v>11</v>
      </c>
    </row>
    <row s="10851" customFormat="1" customHeight="1" ht="11.549999999999999">
      <c r="A180" s="1087"/>
      <c r="B180" s="1087"/>
      <c r="C180" s="1087"/>
      <c r="D180" s="1087"/>
      <c r="E180" s="1087"/>
      <c r="F180" s="1732"/>
      <c r="G180" s="1732"/>
      <c r="H180" s="458"/>
      <c r="AS180" s="4889"/>
      <c r="AT180" s="4889"/>
      <c r="AU180" s="4889"/>
      <c r="AV180" s="1462"/>
      <c r="AX180" s="1462"/>
      <c r="AY180" s="1732"/>
      <c r="AZ180" s="1732"/>
      <c r="BA180" s="1462"/>
      <c r="BB180" s="1462"/>
      <c r="BC180" s="1462"/>
      <c r="BD180" s="1462"/>
      <c r="BE180" s="1732"/>
      <c r="BF180" s="1462"/>
      <c r="BG180" s="1462"/>
      <c r="BH180" s="651"/>
      <c r="BI180" s="1462"/>
      <c r="BJ180" s="1462"/>
      <c r="BK180" s="1462"/>
      <c r="BL180" s="1462"/>
      <c r="BM180" s="1462"/>
      <c r="BN180" s="1728"/>
      <c r="BO180" s="729"/>
      <c r="BP180" s="729"/>
      <c r="BQ180" s="729"/>
      <c r="BR180" s="729"/>
      <c r="BS180" s="1737">
        <v>11</v>
      </c>
    </row>
    <row s="10851" customFormat="1" customHeight="1" ht="11.549999999999999">
      <c r="A181" s="1087"/>
      <c r="B181" s="1087"/>
      <c r="C181" s="1087"/>
      <c r="D181" s="1087"/>
      <c r="E181" s="1087"/>
      <c r="F181" s="1732"/>
      <c r="G181" s="1732"/>
      <c r="H181" s="458"/>
      <c r="AS181" s="4889"/>
      <c r="AT181" s="4889"/>
      <c r="AU181" s="4889"/>
      <c r="AV181" s="1462"/>
      <c r="AX181" s="1462"/>
      <c r="AY181" s="1732"/>
      <c r="AZ181" s="1732"/>
      <c r="BA181" s="1462"/>
      <c r="BB181" s="1462"/>
      <c r="BC181" s="1462"/>
      <c r="BD181" s="1462"/>
      <c r="BE181" s="1732"/>
      <c r="BF181" s="1462"/>
      <c r="BG181" s="1462"/>
      <c r="BH181" s="651"/>
      <c r="BI181" s="1462"/>
      <c r="BJ181" s="1462"/>
      <c r="BK181" s="1462"/>
      <c r="BL181" s="1462"/>
      <c r="BM181" s="1462"/>
      <c r="BN181" s="1728"/>
      <c r="BO181" s="729"/>
      <c r="BP181" s="729"/>
      <c r="BQ181" s="729"/>
      <c r="BR181" s="729"/>
      <c r="BS181" s="1737">
        <v>11</v>
      </c>
    </row>
    <row s="10851" customFormat="1" customHeight="1" ht="11.549999999999999">
      <c r="A182" s="1087"/>
      <c r="B182" s="1087"/>
      <c r="C182" s="1087"/>
      <c r="D182" s="1087"/>
      <c r="E182" s="1087"/>
      <c r="F182" s="1732"/>
      <c r="G182" s="1732"/>
      <c r="H182" s="458"/>
      <c r="AS182" s="4889"/>
      <c r="AT182" s="4889"/>
      <c r="AU182" s="4889"/>
      <c r="AV182" s="1462"/>
      <c r="AX182" s="1462"/>
      <c r="AY182" s="1732"/>
      <c r="AZ182" s="1732"/>
      <c r="BA182" s="1462"/>
      <c r="BB182" s="1462"/>
      <c r="BC182" s="1462"/>
      <c r="BD182" s="1462"/>
      <c r="BE182" s="1732"/>
      <c r="BF182" s="1462"/>
      <c r="BG182" s="1462"/>
      <c r="BH182" s="651"/>
      <c r="BI182" s="1462"/>
      <c r="BJ182" s="1462"/>
      <c r="BK182" s="1462"/>
      <c r="BL182" s="1462"/>
      <c r="BM182" s="1462"/>
      <c r="BN182" s="1728"/>
      <c r="BO182" s="729"/>
      <c r="BP182" s="729"/>
      <c r="BQ182" s="729"/>
      <c r="BR182" s="729"/>
      <c r="BS182" s="1737">
        <v>11</v>
      </c>
    </row>
    <row s="10851" customFormat="1" customHeight="1" ht="11.549999999999999">
      <c r="A183" s="1087"/>
      <c r="B183" s="1087"/>
      <c r="C183" s="1087"/>
      <c r="D183" s="1087"/>
      <c r="E183" s="1087"/>
      <c r="F183" s="1732"/>
      <c r="G183" s="1732"/>
      <c r="H183" s="458"/>
      <c r="AS183" s="4889"/>
      <c r="AT183" s="4889"/>
      <c r="AU183" s="4889"/>
      <c r="AV183" s="1462"/>
      <c r="AX183" s="1462"/>
      <c r="AY183" s="1732"/>
      <c r="AZ183" s="1732"/>
      <c r="BA183" s="1462"/>
      <c r="BB183" s="1462"/>
      <c r="BC183" s="1462"/>
      <c r="BD183" s="1462"/>
      <c r="BE183" s="1732"/>
      <c r="BF183" s="1462"/>
      <c r="BG183" s="1462"/>
      <c r="BH183" s="651"/>
      <c r="BI183" s="1462"/>
      <c r="BJ183" s="1462"/>
      <c r="BK183" s="1462"/>
      <c r="BL183" s="1462"/>
      <c r="BM183" s="1462"/>
      <c r="BN183" s="1728"/>
      <c r="BO183" s="729"/>
      <c r="BP183" s="729"/>
      <c r="BQ183" s="729"/>
      <c r="BR183" s="729"/>
      <c r="BS183" s="1737">
        <v>11</v>
      </c>
    </row>
    <row s="10851" customFormat="1" customHeight="1" ht="11.549999999999999">
      <c r="A184" s="1087"/>
      <c r="B184" s="1087"/>
      <c r="C184" s="1087"/>
      <c r="D184" s="1087"/>
      <c r="E184" s="1087"/>
      <c r="F184" s="1732"/>
      <c r="G184" s="1732"/>
      <c r="H184" s="458"/>
      <c r="AS184" s="4889"/>
      <c r="AT184" s="4889"/>
      <c r="AU184" s="4889"/>
      <c r="AV184" s="1462"/>
      <c r="AX184" s="1462"/>
      <c r="AY184" s="1732"/>
      <c r="AZ184" s="1732"/>
      <c r="BA184" s="1462"/>
      <c r="BB184" s="1462"/>
      <c r="BC184" s="1462"/>
      <c r="BD184" s="1462"/>
      <c r="BE184" s="1732"/>
      <c r="BF184" s="1462"/>
      <c r="BG184" s="1462"/>
      <c r="BH184" s="651"/>
      <c r="BI184" s="1462"/>
      <c r="BJ184" s="1462"/>
      <c r="BK184" s="1462"/>
      <c r="BL184" s="1462"/>
      <c r="BM184" s="1462"/>
      <c r="BN184" s="1728"/>
      <c r="BO184" s="729"/>
      <c r="BP184" s="729"/>
      <c r="BQ184" s="729"/>
      <c r="BR184" s="729"/>
      <c r="BS184" s="1737">
        <v>11</v>
      </c>
    </row>
    <row s="10851" customFormat="1" customHeight="1" ht="11.549999999999999">
      <c r="A185" s="1087"/>
      <c r="B185" s="1087"/>
      <c r="C185" s="1087"/>
      <c r="D185" s="1087"/>
      <c r="E185" s="1087"/>
      <c r="F185" s="1732"/>
      <c r="G185" s="1732"/>
      <c r="H185" s="458"/>
      <c r="AS185" s="4889"/>
      <c r="AT185" s="4889"/>
      <c r="AU185" s="4889"/>
      <c r="AV185" s="1462"/>
      <c r="AX185" s="1462"/>
      <c r="AY185" s="1732"/>
      <c r="AZ185" s="1732"/>
      <c r="BA185" s="1462"/>
      <c r="BB185" s="1462"/>
      <c r="BC185" s="1462"/>
      <c r="BD185" s="1462"/>
      <c r="BE185" s="1732"/>
      <c r="BF185" s="1462"/>
      <c r="BG185" s="1462"/>
      <c r="BH185" s="651"/>
      <c r="BI185" s="1462"/>
      <c r="BJ185" s="1462"/>
      <c r="BK185" s="1462"/>
      <c r="BL185" s="1462"/>
      <c r="BM185" s="1462"/>
      <c r="BN185" s="1728"/>
      <c r="BO185" s="729"/>
      <c r="BP185" s="729"/>
      <c r="BQ185" s="729"/>
      <c r="BR185" s="729"/>
      <c r="BS185" s="1737">
        <v>11</v>
      </c>
    </row>
    <row s="10851" customFormat="1" customHeight="1" ht="11.549999999999999">
      <c r="A186" s="1087"/>
      <c r="B186" s="1087"/>
      <c r="C186" s="1087"/>
      <c r="D186" s="1087"/>
      <c r="E186" s="1087"/>
      <c r="F186" s="1732"/>
      <c r="G186" s="1732"/>
      <c r="H186" s="458"/>
      <c r="AS186" s="4889"/>
      <c r="AT186" s="4889"/>
      <c r="AU186" s="4889"/>
      <c r="AV186" s="1462"/>
      <c r="AX186" s="1462"/>
      <c r="AY186" s="1732"/>
      <c r="AZ186" s="1732"/>
      <c r="BA186" s="1462"/>
      <c r="BB186" s="1462"/>
      <c r="BC186" s="1462"/>
      <c r="BD186" s="1462"/>
      <c r="BE186" s="1732"/>
      <c r="BF186" s="1462"/>
      <c r="BG186" s="1462"/>
      <c r="BH186" s="651"/>
      <c r="BI186" s="1462"/>
      <c r="BJ186" s="1462"/>
      <c r="BK186" s="1462"/>
      <c r="BL186" s="1462"/>
      <c r="BM186" s="1462"/>
      <c r="BN186" s="1728"/>
      <c r="BO186" s="729"/>
      <c r="BP186" s="729"/>
      <c r="BQ186" s="729"/>
      <c r="BR186" s="729"/>
      <c r="BS186" s="1737">
        <v>11</v>
      </c>
    </row>
    <row s="10851" customFormat="1" customHeight="1" ht="11.549999999999999">
      <c r="A187" s="1087"/>
      <c r="B187" s="1087"/>
      <c r="C187" s="1087"/>
      <c r="D187" s="1087"/>
      <c r="E187" s="1087"/>
      <c r="F187" s="1732"/>
      <c r="G187" s="1732"/>
      <c r="H187" s="458"/>
      <c r="AS187" s="4889"/>
      <c r="AT187" s="4889"/>
      <c r="AU187" s="4889"/>
      <c r="AV187" s="1462"/>
      <c r="AX187" s="1462"/>
      <c r="AY187" s="1732"/>
      <c r="AZ187" s="1732"/>
      <c r="BA187" s="1462"/>
      <c r="BB187" s="1462"/>
      <c r="BC187" s="1462"/>
      <c r="BD187" s="1462"/>
      <c r="BE187" s="1732"/>
      <c r="BF187" s="1462"/>
      <c r="BG187" s="1462"/>
      <c r="BH187" s="651"/>
      <c r="BI187" s="1462"/>
      <c r="BJ187" s="1462"/>
      <c r="BK187" s="1462"/>
      <c r="BL187" s="1462"/>
      <c r="BM187" s="1462"/>
      <c r="BN187" s="1728"/>
      <c r="BO187" s="729"/>
      <c r="BP187" s="729"/>
      <c r="BQ187" s="729"/>
      <c r="BR187" s="729"/>
      <c r="BS187" s="1737">
        <v>11</v>
      </c>
    </row>
    <row s="10851" customFormat="1" customHeight="1" ht="11.549999999999999">
      <c r="A188" s="1087"/>
      <c r="B188" s="1087"/>
      <c r="C188" s="1087"/>
      <c r="D188" s="1087"/>
      <c r="E188" s="1087"/>
      <c r="F188" s="1732"/>
      <c r="G188" s="1732"/>
      <c r="H188" s="458"/>
      <c r="AS188" s="4889"/>
      <c r="AT188" s="4889"/>
      <c r="AU188" s="4889"/>
      <c r="AV188" s="1462"/>
      <c r="AX188" s="1462"/>
      <c r="AY188" s="1732"/>
      <c r="AZ188" s="1732"/>
      <c r="BA188" s="1462"/>
      <c r="BB188" s="1462"/>
      <c r="BC188" s="1462"/>
      <c r="BD188" s="1462"/>
      <c r="BE188" s="1732"/>
      <c r="BF188" s="1462"/>
      <c r="BG188" s="1462"/>
      <c r="BH188" s="651"/>
      <c r="BI188" s="1462"/>
      <c r="BJ188" s="1462"/>
      <c r="BK188" s="1462"/>
      <c r="BL188" s="1462"/>
      <c r="BM188" s="1462"/>
      <c r="BN188" s="1728"/>
      <c r="BO188" s="729"/>
      <c r="BP188" s="729"/>
      <c r="BQ188" s="729"/>
      <c r="BR188" s="729"/>
      <c r="BS188" s="1737">
        <v>11</v>
      </c>
    </row>
    <row s="10851" customFormat="1" customHeight="1" ht="11.549999999999999">
      <c r="A189" s="1087"/>
      <c r="B189" s="1087"/>
      <c r="C189" s="1087"/>
      <c r="D189" s="1087"/>
      <c r="E189" s="1087"/>
      <c r="F189" s="1732"/>
      <c r="G189" s="1732"/>
      <c r="H189" s="458"/>
      <c r="AS189" s="4889"/>
      <c r="AT189" s="4889"/>
      <c r="AU189" s="4889"/>
      <c r="AV189" s="1462"/>
      <c r="AX189" s="1462"/>
      <c r="AY189" s="1732"/>
      <c r="AZ189" s="1732"/>
      <c r="BA189" s="1462"/>
      <c r="BB189" s="1462"/>
      <c r="BC189" s="1462"/>
      <c r="BD189" s="1462"/>
      <c r="BE189" s="1732"/>
      <c r="BF189" s="1462"/>
      <c r="BG189" s="1462"/>
      <c r="BH189" s="651"/>
      <c r="BI189" s="1462"/>
      <c r="BJ189" s="1462"/>
      <c r="BK189" s="1462"/>
      <c r="BL189" s="1462"/>
      <c r="BM189" s="1462"/>
      <c r="BN189" s="1728"/>
      <c r="BO189" s="729"/>
      <c r="BP189" s="729"/>
      <c r="BQ189" s="729"/>
      <c r="BR189" s="729"/>
      <c r="BS189" s="1737">
        <v>11</v>
      </c>
    </row>
    <row customHeight="1" ht="11.549999999999999">
      <c r="AS190" s="4586"/>
      <c r="AT190" s="4586"/>
      <c r="AU190" s="4586"/>
      <c r="BS190" s="1727">
        <v>11</v>
      </c>
    </row>
    <row customHeight="1" ht="11.549999999999999">
      <c r="AS191" s="4586"/>
      <c r="AT191" s="4586"/>
      <c r="AU191" s="4586"/>
      <c r="BS191" s="1727">
        <v>11</v>
      </c>
    </row>
    <row customHeight="1" ht="11.549999999999999">
      <c r="AS192" s="4586"/>
      <c r="AT192" s="4586"/>
      <c r="AU192" s="4586"/>
      <c r="BS192" s="1727">
        <v>11</v>
      </c>
    </row>
    <row customHeight="1" ht="11.549999999999999">
      <c r="A193" s="1090"/>
      <c r="B193" s="1090"/>
      <c r="C193" s="1090"/>
      <c r="D193" s="1090"/>
      <c r="E193" s="1090"/>
      <c r="F193" s="1727"/>
      <c r="H193" s="1727"/>
      <c r="AS193" s="4586"/>
      <c r="AT193" s="4586"/>
      <c r="AU193" s="4586"/>
      <c r="AV193" s="1727"/>
      <c r="AX193" s="1727"/>
      <c r="BA193" s="1727"/>
      <c r="BB193" s="1727"/>
      <c r="BC193" s="1727"/>
      <c r="BD193" s="1727"/>
      <c r="BF193" s="1727"/>
      <c r="BG193" s="1727"/>
      <c r="BH193" s="1727"/>
      <c r="BI193" s="1727"/>
      <c r="BJ193" s="1727"/>
      <c r="BK193" s="1727"/>
      <c r="BL193" s="1727"/>
      <c r="BM193" s="1727"/>
      <c r="BN193" s="1727"/>
      <c r="BO193" s="1727"/>
      <c r="BP193" s="1727"/>
      <c r="BQ193" s="1727"/>
      <c r="BR193" s="1727"/>
      <c r="BS193" s="1727">
        <v>11</v>
      </c>
    </row>
    <row customHeight="1" ht="11.549999999999999">
      <c r="A194" s="1090"/>
      <c r="B194" s="1090"/>
      <c r="C194" s="1090"/>
      <c r="D194" s="1090"/>
      <c r="E194" s="1090"/>
      <c r="F194" s="1727"/>
      <c r="H194" s="1727"/>
      <c r="AS194" s="4586"/>
      <c r="AT194" s="4586"/>
      <c r="AU194" s="4586"/>
      <c r="AV194" s="1727"/>
      <c r="AX194" s="1727"/>
      <c r="BA194" s="1727"/>
      <c r="BB194" s="1727"/>
      <c r="BC194" s="1727"/>
      <c r="BD194" s="1727"/>
      <c r="BF194" s="1727"/>
      <c r="BG194" s="1727"/>
      <c r="BH194" s="1727"/>
      <c r="BI194" s="1727"/>
      <c r="BJ194" s="1727"/>
      <c r="BK194" s="1727"/>
      <c r="BL194" s="1727"/>
      <c r="BM194" s="1727"/>
      <c r="BN194" s="1727"/>
      <c r="BO194" s="1727"/>
      <c r="BP194" s="1727"/>
      <c r="BQ194" s="1727"/>
      <c r="BR194" s="1727"/>
      <c r="BS194" s="1727">
        <v>11</v>
      </c>
    </row>
    <row customHeight="1" ht="11.549999999999999">
      <c r="A195" s="1090"/>
      <c r="B195" s="1090"/>
      <c r="C195" s="1090"/>
      <c r="D195" s="1090"/>
      <c r="E195" s="1090"/>
      <c r="F195" s="1727"/>
      <c r="H195" s="1727"/>
      <c r="AS195" s="4586"/>
      <c r="AT195" s="4586"/>
      <c r="AU195" s="4586"/>
      <c r="AV195" s="1727"/>
      <c r="AX195" s="1727"/>
      <c r="BA195" s="1727"/>
      <c r="BB195" s="1727"/>
      <c r="BC195" s="1727"/>
      <c r="BD195" s="1727"/>
      <c r="BF195" s="1727"/>
      <c r="BG195" s="1727"/>
      <c r="BH195" s="1727"/>
      <c r="BI195" s="1727"/>
      <c r="BJ195" s="1727"/>
      <c r="BK195" s="1727"/>
      <c r="BL195" s="1727"/>
      <c r="BM195" s="1727"/>
      <c r="BN195" s="1727"/>
      <c r="BO195" s="1727"/>
      <c r="BP195" s="1727"/>
      <c r="BQ195" s="1727"/>
      <c r="BR195" s="1727"/>
      <c r="BS195" s="1727">
        <v>11</v>
      </c>
    </row>
    <row customHeight="1" ht="11.549999999999999">
      <c r="A196" s="1090"/>
      <c r="B196" s="1090"/>
      <c r="C196" s="1090"/>
      <c r="D196" s="1090"/>
      <c r="E196" s="1090"/>
      <c r="F196" s="1727"/>
      <c r="H196" s="1727"/>
      <c r="AS196" s="4586"/>
      <c r="AT196" s="4586"/>
      <c r="AU196" s="4586"/>
      <c r="AV196" s="1727"/>
      <c r="AX196" s="1727"/>
      <c r="BA196" s="1727"/>
      <c r="BB196" s="1727"/>
      <c r="BC196" s="1727"/>
      <c r="BD196" s="1727"/>
      <c r="BF196" s="1727"/>
      <c r="BG196" s="1727"/>
      <c r="BH196" s="1727"/>
      <c r="BI196" s="1727"/>
      <c r="BJ196" s="1727"/>
      <c r="BK196" s="1727"/>
      <c r="BL196" s="1727"/>
      <c r="BM196" s="1727"/>
      <c r="BN196" s="1727"/>
      <c r="BO196" s="1727"/>
      <c r="BP196" s="1727"/>
      <c r="BQ196" s="1727"/>
      <c r="BR196" s="1727"/>
      <c r="BS196" s="1727">
        <v>11</v>
      </c>
    </row>
    <row customHeight="1" ht="11.549999999999999">
      <c r="A197" s="1090"/>
      <c r="B197" s="1090"/>
      <c r="C197" s="1090"/>
      <c r="D197" s="1090"/>
      <c r="E197" s="1090"/>
      <c r="F197" s="1727"/>
      <c r="H197" s="1727"/>
      <c r="AS197" s="4586"/>
      <c r="AT197" s="4586"/>
      <c r="AU197" s="4586"/>
      <c r="AV197" s="1727"/>
      <c r="AX197" s="1727"/>
      <c r="BA197" s="1727"/>
      <c r="BB197" s="1727"/>
      <c r="BC197" s="1727"/>
      <c r="BD197" s="1727"/>
      <c r="BF197" s="1727"/>
      <c r="BG197" s="1727"/>
      <c r="BH197" s="1727"/>
      <c r="BI197" s="1727"/>
      <c r="BJ197" s="1727"/>
      <c r="BK197" s="1727"/>
      <c r="BL197" s="1727"/>
      <c r="BM197" s="1727"/>
      <c r="BN197" s="1727"/>
      <c r="BO197" s="1727"/>
      <c r="BP197" s="1727"/>
      <c r="BQ197" s="1727"/>
      <c r="BR197" s="1727"/>
      <c r="BS197" s="1727">
        <v>11</v>
      </c>
    </row>
    <row customHeight="1" ht="11.549999999999999">
      <c r="A198" s="1090"/>
      <c r="B198" s="1090"/>
      <c r="C198" s="1090"/>
      <c r="D198" s="1090"/>
      <c r="E198" s="1090"/>
      <c r="F198" s="1727"/>
      <c r="H198" s="1727"/>
      <c r="AS198" s="4586"/>
      <c r="AT198" s="4586"/>
      <c r="AU198" s="4586"/>
      <c r="AV198" s="1727"/>
      <c r="AX198" s="1727"/>
      <c r="BA198" s="1727"/>
      <c r="BB198" s="1727"/>
      <c r="BC198" s="1727"/>
      <c r="BD198" s="1727"/>
      <c r="BF198" s="1727"/>
      <c r="BG198" s="1727"/>
      <c r="BH198" s="1727"/>
      <c r="BI198" s="1727"/>
      <c r="BJ198" s="1727"/>
      <c r="BK198" s="1727"/>
      <c r="BL198" s="1727"/>
      <c r="BM198" s="1727"/>
      <c r="BN198" s="1727"/>
      <c r="BO198" s="1727"/>
      <c r="BP198" s="1727"/>
      <c r="BQ198" s="1727"/>
      <c r="BR198" s="1727"/>
      <c r="BS198" s="1727">
        <v>11</v>
      </c>
    </row>
    <row customHeight="1" ht="11.549999999999999">
      <c r="A199" s="1090"/>
      <c r="B199" s="1090"/>
      <c r="C199" s="1090"/>
      <c r="D199" s="1090"/>
      <c r="E199" s="1090"/>
      <c r="F199" s="1727"/>
      <c r="H199" s="1727"/>
      <c r="AS199" s="4586"/>
      <c r="AT199" s="4586"/>
      <c r="AU199" s="4586"/>
      <c r="AV199" s="1727"/>
      <c r="AX199" s="1727"/>
      <c r="BA199" s="1727"/>
      <c r="BB199" s="1727"/>
      <c r="BC199" s="1727"/>
      <c r="BD199" s="1727"/>
      <c r="BF199" s="1727"/>
      <c r="BG199" s="1727"/>
      <c r="BH199" s="1727"/>
      <c r="BI199" s="1727"/>
      <c r="BJ199" s="1727"/>
      <c r="BK199" s="1727"/>
      <c r="BL199" s="1727"/>
      <c r="BM199" s="1727"/>
      <c r="BN199" s="1727"/>
      <c r="BO199" s="1727"/>
      <c r="BP199" s="1727"/>
      <c r="BQ199" s="1727"/>
      <c r="BR199" s="1727"/>
      <c r="BS199" s="1727">
        <v>11</v>
      </c>
    </row>
    <row customHeight="1" ht="11.549999999999999">
      <c r="A200" s="1090"/>
      <c r="B200" s="1090"/>
      <c r="C200" s="1090"/>
      <c r="D200" s="1090"/>
      <c r="E200" s="1090"/>
      <c r="F200" s="1727"/>
      <c r="H200" s="1727"/>
      <c r="AS200" s="4586"/>
      <c r="AT200" s="4586"/>
      <c r="AU200" s="4586"/>
      <c r="AV200" s="1727"/>
      <c r="AX200" s="1727"/>
      <c r="BA200" s="1727"/>
      <c r="BB200" s="1727"/>
      <c r="BC200" s="1727"/>
      <c r="BD200" s="1727"/>
      <c r="BF200" s="1727"/>
      <c r="BG200" s="1727"/>
      <c r="BH200" s="1727"/>
      <c r="BI200" s="1727"/>
      <c r="BJ200" s="1727"/>
      <c r="BK200" s="1727"/>
      <c r="BL200" s="1727"/>
      <c r="BM200" s="1727"/>
      <c r="BN200" s="1727"/>
      <c r="BO200" s="1727"/>
      <c r="BP200" s="1727"/>
      <c r="BQ200" s="1727"/>
      <c r="BR200" s="1727"/>
      <c r="BS200" s="1727">
        <v>11</v>
      </c>
    </row>
    <row customHeight="1" ht="11.549999999999999">
      <c r="A201" s="1090"/>
      <c r="B201" s="1090"/>
      <c r="C201" s="1090"/>
      <c r="D201" s="1090"/>
      <c r="E201" s="1090"/>
      <c r="F201" s="1727"/>
      <c r="H201" s="1727"/>
      <c r="AS201" s="4586"/>
      <c r="AT201" s="4586"/>
      <c r="AU201" s="4586"/>
      <c r="AV201" s="1727"/>
      <c r="AX201" s="1727"/>
      <c r="BA201" s="1727"/>
      <c r="BB201" s="1727"/>
      <c r="BC201" s="1727"/>
      <c r="BD201" s="1727"/>
      <c r="BF201" s="1727"/>
      <c r="BG201" s="1727"/>
      <c r="BH201" s="1727"/>
      <c r="BI201" s="1727"/>
      <c r="BJ201" s="1727"/>
      <c r="BK201" s="1727"/>
      <c r="BL201" s="1727"/>
      <c r="BM201" s="1727"/>
      <c r="BN201" s="1727"/>
      <c r="BO201" s="1727"/>
      <c r="BP201" s="1727"/>
      <c r="BQ201" s="1727"/>
      <c r="BR201" s="1727"/>
      <c r="BS201" s="1727">
        <v>11</v>
      </c>
    </row>
    <row customHeight="1" ht="11.549999999999999">
      <c r="A202" s="1090"/>
      <c r="B202" s="1090"/>
      <c r="C202" s="1090"/>
      <c r="D202" s="1090"/>
      <c r="E202" s="1090"/>
      <c r="F202" s="1727"/>
      <c r="H202" s="1727"/>
      <c r="AS202" s="4586"/>
      <c r="AT202" s="4586"/>
      <c r="AU202" s="4586"/>
      <c r="AV202" s="1727"/>
      <c r="AX202" s="1727"/>
      <c r="BA202" s="1727"/>
      <c r="BB202" s="1727"/>
      <c r="BC202" s="1727"/>
      <c r="BD202" s="1727"/>
      <c r="BF202" s="1727"/>
      <c r="BG202" s="1727"/>
      <c r="BH202" s="1727"/>
      <c r="BI202" s="1727"/>
      <c r="BJ202" s="1727"/>
      <c r="BK202" s="1727"/>
      <c r="BL202" s="1727"/>
      <c r="BM202" s="1727"/>
      <c r="BN202" s="1727"/>
      <c r="BO202" s="1727"/>
      <c r="BP202" s="1727"/>
      <c r="BQ202" s="1727"/>
      <c r="BR202" s="1727"/>
      <c r="BS202" s="1727">
        <v>11</v>
      </c>
    </row>
    <row customHeight="1" ht="11.549999999999999">
      <c r="A203" s="1090"/>
      <c r="B203" s="1090"/>
      <c r="C203" s="1090"/>
      <c r="D203" s="1090"/>
      <c r="E203" s="1090"/>
      <c r="F203" s="1727"/>
      <c r="H203" s="1727"/>
      <c r="AS203" s="4586"/>
      <c r="AT203" s="4586"/>
      <c r="AU203" s="4586"/>
      <c r="AV203" s="1727"/>
      <c r="AX203" s="1727"/>
      <c r="BA203" s="1727"/>
      <c r="BB203" s="1727"/>
      <c r="BC203" s="1727"/>
      <c r="BD203" s="1727"/>
      <c r="BF203" s="1727"/>
      <c r="BG203" s="1727"/>
      <c r="BH203" s="1727"/>
      <c r="BI203" s="1727"/>
      <c r="BJ203" s="1727"/>
      <c r="BK203" s="1727"/>
      <c r="BL203" s="1727"/>
      <c r="BM203" s="1727"/>
      <c r="BN203" s="1727"/>
      <c r="BO203" s="1727"/>
      <c r="BP203" s="1727"/>
      <c r="BQ203" s="1727"/>
      <c r="BR203" s="1727"/>
      <c r="BS203" s="1727">
        <v>11</v>
      </c>
    </row>
    <row customHeight="1" ht="12.75" hidden="1">
      <c r="A204" s="1087" t="s">
        <v>82</v>
      </c>
      <c r="B204" s="1087" t="s">
        <v>236</v>
      </c>
      <c r="C204" s="1087" t="s">
        <v>236</v>
      </c>
      <c r="D204" s="1087" t="s">
        <v>236</v>
      </c>
      <c r="E204" s="1087" t="s">
        <v>236</v>
      </c>
      <c r="F204" s="1731">
        <v>16</v>
      </c>
      <c r="G204" s="1732">
        <v>0</v>
      </c>
      <c r="H204" s="1731">
        <v>3</v>
      </c>
      <c r="I204" s="1727">
        <v>7</v>
      </c>
      <c r="J204" s="1727">
        <v>56</v>
      </c>
      <c r="K204" s="1727">
        <v>10</v>
      </c>
      <c r="L204" s="1727">
        <v>40</v>
      </c>
      <c r="M204" s="1727">
        <v>40</v>
      </c>
      <c r="N204" s="1731">
        <v>40</v>
      </c>
      <c r="O204" s="1731">
        <v>40</v>
      </c>
      <c r="P204" s="1731">
        <v>40</v>
      </c>
      <c r="Q204" s="1731">
        <v>40</v>
      </c>
      <c r="R204" s="1731">
        <v>40</v>
      </c>
      <c r="S204" s="1731">
        <v>40</v>
      </c>
      <c r="T204" s="1731">
        <v>40</v>
      </c>
      <c r="U204" s="1731">
        <v>40</v>
      </c>
      <c r="V204" s="1731">
        <v>40</v>
      </c>
      <c r="W204" s="1731">
        <v>40</v>
      </c>
      <c r="X204" s="1731">
        <v>40</v>
      </c>
      <c r="Y204" s="1731">
        <v>40</v>
      </c>
      <c r="Z204" s="1731">
        <v>40</v>
      </c>
      <c r="AA204" s="1731">
        <v>40</v>
      </c>
      <c r="AB204" s="1731">
        <v>40</v>
      </c>
      <c r="AC204" s="1731">
        <v>40</v>
      </c>
      <c r="AD204" s="1731">
        <v>40</v>
      </c>
      <c r="AE204" s="1731">
        <v>40</v>
      </c>
      <c r="AF204" s="1731">
        <v>40</v>
      </c>
      <c r="AG204" s="1731">
        <v>40</v>
      </c>
      <c r="AH204" s="1731">
        <v>40</v>
      </c>
      <c r="AI204" s="1731">
        <v>40</v>
      </c>
      <c r="AJ204" s="1731">
        <v>40</v>
      </c>
      <c r="AK204" s="1731">
        <v>40</v>
      </c>
      <c r="AL204" s="1731">
        <v>40</v>
      </c>
      <c r="AM204" s="1731">
        <v>40</v>
      </c>
      <c r="AN204" s="1731">
        <v>40</v>
      </c>
      <c r="AO204" s="1731">
        <v>40</v>
      </c>
      <c r="AP204" s="1731">
        <v>40</v>
      </c>
      <c r="AQ204" s="1731">
        <v>40</v>
      </c>
      <c r="AR204" s="1731">
        <v>40</v>
      </c>
      <c r="AS204" s="4586">
        <v>40</v>
      </c>
      <c r="AT204" s="4586">
        <v>40</v>
      </c>
      <c r="AU204" s="4586">
        <v>40</v>
      </c>
      <c r="AV204" s="1462">
        <v>9</v>
      </c>
      <c r="AW204" s="1727">
        <v>102</v>
      </c>
      <c r="AX204" s="1462">
        <v>9</v>
      </c>
      <c r="AY204" s="1732">
        <v>5</v>
      </c>
      <c r="AZ204" s="1732">
        <v>3</v>
      </c>
      <c r="BA204" s="1462">
        <v>3</v>
      </c>
      <c r="BB204" s="1462">
        <v>3</v>
      </c>
      <c r="BC204" s="1462">
        <v>3</v>
      </c>
      <c r="BD204" s="1462">
        <v>3</v>
      </c>
      <c r="BE204" s="1732">
        <v>10</v>
      </c>
      <c r="BF204" s="1462">
        <v>34</v>
      </c>
      <c r="BG204" s="1462">
        <v>9</v>
      </c>
      <c r="BH204" s="651">
        <v>8</v>
      </c>
      <c r="BI204" s="1462">
        <v>8</v>
      </c>
      <c r="BJ204" s="1462">
        <v>8</v>
      </c>
      <c r="BK204" s="1462">
        <v>8</v>
      </c>
      <c r="BL204" s="1462">
        <v>8</v>
      </c>
      <c r="BM204" s="1462">
        <v>8</v>
      </c>
      <c r="BN204" s="1728">
        <v>8</v>
      </c>
      <c r="BO204" s="1728">
        <v>8</v>
      </c>
      <c r="BP204" s="1728">
        <v>8</v>
      </c>
      <c r="BQ204" s="1728">
        <v>8</v>
      </c>
      <c r="BR204" s="1728">
        <v>8</v>
      </c>
      <c r="BS204" s="1727">
        <v>11</v>
      </c>
    </row>
  </sheetData>
  <sheetProtection autoFilter="0" sort="0" insertRows="0" insertColumns="1" deleteRows="0" deleteColumns="0"/>
  <mergeCells count="7">
    <mergeCell ref="I6:M6"/>
    <mergeCell ref="I7:M7"/>
    <mergeCell ref="J10:K10"/>
    <mergeCell ref="AW10:AW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U15 L34:AU34">
      <formula1>900</formula1>
    </dataValidation>
    <dataValidation type="whole" allowBlank="1" showErrorMessage="1" errorTitle="Ошибка" error="Допускается ввод только неотрицательных целых чисел!" sqref="L30:A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U17">
      <formula1>900</formula1>
    </dataValidation>
    <dataValidation type="decimal" allowBlank="1" showErrorMessage="1" errorTitle="Ошибка" error="Допускается ввод только неотрицательных чисел!" sqref="L32:AU33 L19:AU29 L16:AU16 L2:AU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448DF-3D28-BECB-ACC1-BA2E7133D1B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232" width="10.57421875" hidden="1"/>
    <col min="5" max="5" style="11081" width="9.140625" hidden="1" customWidth="1"/>
    <col min="6" max="7" style="10306" width="9.140625" hidden="1" customWidth="1"/>
    <col min="8" max="8" style="11082" width="3.00390625" customWidth="1"/>
    <col min="9" max="9" style="10232" width="6.00390625" customWidth="1"/>
    <col min="10" max="10" style="10232" width="63.00390625" customWidth="1"/>
    <col min="11" max="11" style="10232" width="9.00390625" customWidth="1"/>
    <col min="12" max="12" style="10232" width="39.00390625" customWidth="1"/>
    <col min="13" max="13" style="10232" width="89.00390625" customWidth="1"/>
    <col min="14" max="14" style="10232" width="10.00390625" customWidth="1"/>
    <col min="15" max="16" style="10410" width="10.00390625" customWidth="1"/>
    <col min="17" max="22" style="10232" width="10.00390625" customWidth="1"/>
    <col min="23" max="23" style="10232" width="10.57421875" hidden="1"/>
  </cols>
  <sheetData>
    <row customHeight="1" ht="22.5" hidden="1">
      <c r="S1" s="363"/>
      <c r="T1" s="363"/>
      <c r="V1" s="363"/>
      <c r="W1" s="1727" t="s">
        <v>14</v>
      </c>
    </row>
    <row customHeight="1" ht="22.5" hidden="1">
      <c r="B2" s="2144" t="s">
        <v>827</v>
      </c>
      <c r="C2" s="2144" t="s">
        <v>828</v>
      </c>
      <c r="D2" s="2143" t="s">
        <v>767</v>
      </c>
      <c r="E2" s="2149">
        <f>I2-3</f>
        <v>-3</v>
      </c>
      <c r="F2" s="2149">
        <f>J2</f>
        <v>0</v>
      </c>
      <c r="H2" s="1826" t="s">
        <v>103</v>
      </c>
      <c r="I2" s="2115"/>
      <c r="J2" s="1778"/>
      <c r="K2" s="2109" t="s">
        <v>391</v>
      </c>
      <c r="L2" s="1260"/>
      <c r="M2" s="405"/>
      <c r="N2" s="1720"/>
      <c r="P2" s="1727"/>
      <c r="W2" s="1727">
        <v>0</v>
      </c>
    </row>
    <row customHeight="1" ht="14.25" hidden="1">
      <c r="W3" s="1727">
        <v>0</v>
      </c>
    </row>
    <row customHeight="1" ht="6.3">
      <c r="H4" s="483"/>
      <c r="I4" s="564"/>
      <c r="J4" s="564"/>
      <c r="K4" s="564"/>
      <c r="L4" s="196"/>
      <c r="M4" s="196"/>
      <c r="W4" s="1727">
        <v>6</v>
      </c>
    </row>
    <row customHeight="1" ht="50.25">
      <c r="H5" s="483"/>
      <c r="I5" s="3096" t="s">
        <v>829</v>
      </c>
      <c r="J5" s="3096"/>
      <c r="K5" s="3096"/>
      <c r="L5" s="3096"/>
      <c r="M5" s="374"/>
      <c r="W5" s="1727">
        <v>48</v>
      </c>
    </row>
    <row customHeight="1" ht="18">
      <c r="H6" s="483"/>
      <c r="I6" s="3069" t="str">
        <f>IF(org=0,"Не определено",org)</f>
        <v>АО "ДГК"</v>
      </c>
      <c r="J6" s="3069"/>
      <c r="K6" s="3069"/>
      <c r="L6" s="3069"/>
      <c r="M6" s="374"/>
      <c r="W6" s="1727">
        <v>17</v>
      </c>
    </row>
    <row customHeight="1" ht="14.699999999999998">
      <c r="H7" s="483"/>
      <c r="I7" s="564"/>
      <c r="J7" s="570"/>
      <c r="K7" s="570"/>
      <c r="L7" s="859"/>
      <c r="M7" s="301"/>
      <c r="W7" s="1727">
        <v>14</v>
      </c>
    </row>
    <row customHeight="1" ht="14.699999999999998">
      <c r="H8" s="483"/>
      <c r="I8" s="3221" t="s">
        <v>385</v>
      </c>
      <c r="J8" s="3222"/>
      <c r="K8" s="3222"/>
      <c r="L8" s="3223"/>
      <c r="M8" s="3224" t="s">
        <v>386</v>
      </c>
      <c r="W8" s="1727">
        <v>14</v>
      </c>
    </row>
    <row customHeight="1" ht="35.699999999999996">
      <c r="E9" s="2142" t="s">
        <v>758</v>
      </c>
      <c r="F9" s="2142" t="s">
        <v>764</v>
      </c>
      <c r="H9" s="483"/>
      <c r="I9" s="2116" t="s">
        <v>88</v>
      </c>
      <c r="J9" s="2117" t="s">
        <v>387</v>
      </c>
      <c r="K9" s="2155" t="s">
        <v>651</v>
      </c>
      <c r="L9" s="2156" t="s">
        <v>388</v>
      </c>
      <c r="M9" s="3224"/>
      <c r="W9" s="1727">
        <v>34</v>
      </c>
    </row>
    <row customHeight="1" ht="35.699999999999996">
      <c r="B10" s="2144" t="s">
        <v>830</v>
      </c>
      <c r="C10" s="2144" t="s">
        <v>831</v>
      </c>
      <c r="D10" s="2143" t="s">
        <v>767</v>
      </c>
      <c r="E10" s="2147" t="s">
        <v>768</v>
      </c>
      <c r="F10" s="2147" t="s">
        <v>768</v>
      </c>
      <c r="H10" s="483"/>
      <c r="I10" s="2115" t="s">
        <v>144</v>
      </c>
      <c r="J10" s="1980" t="s">
        <v>832</v>
      </c>
      <c r="K10" s="2109" t="s">
        <v>391</v>
      </c>
      <c r="L10" s="919"/>
      <c r="M10" s="405" t="s">
        <v>833</v>
      </c>
      <c r="W10" s="1727">
        <v>34</v>
      </c>
    </row>
    <row customHeight="1" ht="50.25">
      <c r="B11" s="2144" t="s">
        <v>834</v>
      </c>
      <c r="C11" s="2144" t="s">
        <v>835</v>
      </c>
      <c r="D11" s="2143" t="s">
        <v>767</v>
      </c>
      <c r="E11" s="2147" t="s">
        <v>768</v>
      </c>
      <c r="F11" s="2147" t="s">
        <v>768</v>
      </c>
      <c r="H11" s="483"/>
      <c r="I11" s="2115" t="s">
        <v>102</v>
      </c>
      <c r="J11" s="1980" t="s">
        <v>836</v>
      </c>
      <c r="K11" s="2109" t="s">
        <v>391</v>
      </c>
      <c r="L11" s="919"/>
      <c r="M11" s="405" t="s">
        <v>833</v>
      </c>
      <c r="W11" s="1727">
        <v>48</v>
      </c>
    </row>
    <row customHeight="1" ht="48.29999999999999">
      <c r="B12" s="2144" t="s">
        <v>837</v>
      </c>
      <c r="C12" s="2144" t="s">
        <v>838</v>
      </c>
      <c r="D12" s="2143" t="s">
        <v>767</v>
      </c>
      <c r="E12" s="2147" t="s">
        <v>768</v>
      </c>
      <c r="F12" s="2147" t="s">
        <v>768</v>
      </c>
      <c r="H12" s="1784"/>
      <c r="I12" s="2115" t="s">
        <v>90</v>
      </c>
      <c r="J12" s="2122" t="s">
        <v>839</v>
      </c>
      <c r="K12" s="2109" t="s">
        <v>391</v>
      </c>
      <c r="L12" s="919"/>
      <c r="M12" s="405" t="s">
        <v>840</v>
      </c>
      <c r="N12" s="1720"/>
      <c r="P12" s="1727"/>
      <c r="W12" s="1727">
        <v>46</v>
      </c>
    </row>
    <row customHeight="1" ht="14.699999999999998">
      <c r="E13" s="451"/>
      <c r="H13" s="483"/>
      <c r="I13" s="455"/>
      <c r="J13" s="758" t="s">
        <v>841</v>
      </c>
      <c r="K13" s="678"/>
      <c r="L13" s="322"/>
      <c r="M13" s="405"/>
      <c r="W13" s="1727">
        <v>14</v>
      </c>
    </row>
    <row customHeight="1" ht="14.699999999999998">
      <c r="E14" s="451"/>
      <c r="H14" s="483"/>
      <c r="I14" s="1157"/>
      <c r="J14" s="1773"/>
      <c r="K14" s="1774"/>
      <c r="L14" s="1775"/>
      <c r="M14" s="2119"/>
      <c r="W14" s="1727">
        <v>14</v>
      </c>
    </row>
    <row customHeight="1" ht="14.699999999999998">
      <c r="I15" s="1777"/>
      <c r="J15" s="3114"/>
      <c r="K15" s="3114"/>
      <c r="L15" s="3114"/>
      <c r="M15" s="3114"/>
      <c r="W15" s="1727">
        <v>14</v>
      </c>
    </row>
    <row customHeight="1" ht="21" hidden="1">
      <c r="A16" s="2121" t="s">
        <v>82</v>
      </c>
      <c r="B16" s="1727">
        <v>9</v>
      </c>
      <c r="C16" s="1727">
        <v>9</v>
      </c>
      <c r="D16" s="1727">
        <v>9</v>
      </c>
      <c r="E16" s="2121" t="s">
        <v>235</v>
      </c>
      <c r="F16" s="2146" t="s">
        <v>235</v>
      </c>
      <c r="G16" s="2148"/>
      <c r="H16" s="452">
        <v>3</v>
      </c>
      <c r="I16" s="1727">
        <v>6</v>
      </c>
      <c r="J16" s="1727">
        <v>63</v>
      </c>
      <c r="K16" s="1727">
        <v>9</v>
      </c>
      <c r="L16" s="1727">
        <v>39</v>
      </c>
      <c r="M16" s="1727">
        <v>89</v>
      </c>
      <c r="N16" s="1727">
        <v>10</v>
      </c>
      <c r="O16" s="1720">
        <v>10</v>
      </c>
      <c r="P16" s="1720">
        <v>10</v>
      </c>
      <c r="Q16" s="1727">
        <v>10</v>
      </c>
      <c r="R16" s="1727">
        <v>10</v>
      </c>
      <c r="S16" s="1727">
        <v>10</v>
      </c>
      <c r="T16" s="1727">
        <v>10</v>
      </c>
      <c r="U16" s="1727">
        <v>10</v>
      </c>
      <c r="V16" s="1727">
        <v>10</v>
      </c>
      <c r="W16" s="1727">
        <v>23</v>
      </c>
    </row>
  </sheetData>
  <sheetProtection formatColumns="0" formatRows="0" autoFilter="0" sort="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A9391-13BA-BF76-B194-98184AE4E91A}" mc:Ignorable="x14ac xr xr2 xr3">
  <sheetPr>
    <tabColor theme="9" tint="-0.25"/>
  </sheetPr>
  <dimension ref="A1:BN219"/>
  <sheetViews>
    <sheetView topLeftCell="A1" showGridLines="0" zoomScale="90" workbookViewId="0">
      <selection activeCell="AQ9" sqref="AQ9"/>
    </sheetView>
  </sheetViews>
  <sheetFormatPr defaultColWidth="9.140625" customHeight="1" defaultRowHeight="11.25"/>
  <cols>
    <col min="1" max="1" style="11666" width="10.7109375" hidden="1" customWidth="1"/>
    <col min="2" max="2" style="10306" width="16.8515625" hidden="1" customWidth="1"/>
    <col min="3" max="3" style="10307" width="5.57421875" hidden="1" customWidth="1"/>
    <col min="4" max="4" style="10232" width="3.00390625" customWidth="1"/>
    <col min="5" max="5" style="10232" width="7.00390625" customWidth="1"/>
    <col min="6" max="6" style="10232" width="56.00390625" customWidth="1"/>
    <col min="7" max="7" style="10232" width="10.00390625" customWidth="1"/>
    <col min="8" max="8" style="10232" width="40.7109375" hidden="1" customWidth="1"/>
    <col min="9" max="9" style="10232" width="40.00390625" customWidth="1"/>
    <col min="10" max="40" style="10232" width="40.7109375" customWidth="1"/>
    <col min="41" max="43" style="11667" width="40.7109375" customWidth="1"/>
    <col min="44" max="44" style="10232" width="102.00390625" customWidth="1"/>
    <col min="45" max="45" style="10306" width="9.00390625" customWidth="1"/>
    <col min="46" max="46" style="10307" width="5.00390625" customWidth="1"/>
    <col min="47" max="47" style="10307" width="3.00390625" customWidth="1"/>
    <col min="48" max="51" style="10306" width="3.00390625" customWidth="1"/>
    <col min="52" max="52" style="10307" width="10.00390625" customWidth="1"/>
    <col min="53" max="53" style="10306" width="34.00390625" customWidth="1"/>
    <col min="54" max="54" style="10306" width="9.00390625" customWidth="1"/>
    <col min="55" max="55" style="11668" width="8.00390625" customWidth="1"/>
    <col min="56" max="60" style="10306" width="8.00390625" customWidth="1"/>
    <col min="61" max="65" style="10196" width="8.00390625" customWidth="1"/>
    <col min="66" max="66" style="10232" width="10.421875" hidden="1" customWidth="1"/>
  </cols>
  <sheetData>
    <row s="10306" customFormat="1" customHeight="1" ht="22.5" hidden="1">
      <c r="A1" s="1087"/>
      <c r="C1" s="1732"/>
      <c r="D1" s="644"/>
      <c r="H1" s="1256">
        <v>4</v>
      </c>
      <c r="I1" s="1256">
        <v>4</v>
      </c>
      <c r="J1" s="1462" t="s">
        <v>461</v>
      </c>
      <c r="K1" s="1462">
        <v>4</v>
      </c>
      <c r="L1" s="1462">
        <v>4</v>
      </c>
      <c r="M1" s="1462">
        <v>4</v>
      </c>
      <c r="N1" s="1462">
        <v>4</v>
      </c>
      <c r="O1" s="1462">
        <v>4</v>
      </c>
      <c r="P1" s="1462">
        <v>4</v>
      </c>
      <c r="Q1" s="1462">
        <v>4</v>
      </c>
      <c r="R1" s="1462">
        <v>4</v>
      </c>
      <c r="S1" s="1462">
        <v>4</v>
      </c>
      <c r="T1" s="1462">
        <v>4</v>
      </c>
      <c r="U1" s="1462">
        <v>4</v>
      </c>
      <c r="V1" s="1462">
        <v>4</v>
      </c>
      <c r="W1" s="1462">
        <v>4</v>
      </c>
      <c r="X1" s="1462">
        <v>4</v>
      </c>
      <c r="Y1" s="1462">
        <v>4</v>
      </c>
      <c r="Z1" s="1462">
        <v>4</v>
      </c>
      <c r="AA1" s="1462">
        <v>4</v>
      </c>
      <c r="AB1" s="1462">
        <v>4</v>
      </c>
      <c r="AC1" s="1462">
        <v>4</v>
      </c>
      <c r="AD1" s="1462">
        <v>4</v>
      </c>
      <c r="AE1" s="1462">
        <v>4</v>
      </c>
      <c r="AF1" s="1462">
        <v>4</v>
      </c>
      <c r="AG1" s="1462">
        <v>4</v>
      </c>
      <c r="AH1" s="1462">
        <v>4</v>
      </c>
      <c r="AI1" s="1462">
        <v>4</v>
      </c>
      <c r="AJ1" s="1462">
        <v>4</v>
      </c>
      <c r="AK1" s="1462">
        <v>4</v>
      </c>
      <c r="AL1" s="1462">
        <v>4</v>
      </c>
      <c r="AM1" s="1462">
        <v>4</v>
      </c>
      <c r="AN1" s="1462">
        <v>4</v>
      </c>
      <c r="AO1" s="4608">
        <v>4</v>
      </c>
      <c r="AP1" s="4608">
        <v>4</v>
      </c>
      <c r="AQ1" s="4608">
        <v>4</v>
      </c>
      <c r="AT1" s="1732"/>
      <c r="AU1" s="1732"/>
      <c r="AZ1" s="1732"/>
      <c r="BN1" s="1256" t="s">
        <v>14</v>
      </c>
    </row>
    <row s="10306" customFormat="1" customHeight="1" ht="22.5" hidden="1">
      <c r="A2" s="1087"/>
      <c r="C2" s="1732"/>
      <c r="D2" s="645"/>
      <c r="E2" s="1733"/>
      <c r="F2" s="647"/>
      <c r="G2" s="1735" t="s">
        <v>637</v>
      </c>
      <c r="H2" s="648"/>
      <c r="I2" s="64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4604"/>
      <c r="AP2" s="4604"/>
      <c r="AQ2" s="4604"/>
      <c r="AR2" s="649" t="s">
        <v>842</v>
      </c>
      <c r="AS2" s="650"/>
      <c r="AT2" s="1732"/>
      <c r="AU2" s="1732"/>
      <c r="AZ2" s="1732"/>
      <c r="BC2" s="651"/>
      <c r="BI2" s="1728"/>
      <c r="BJ2" s="1728"/>
      <c r="BK2" s="1728"/>
      <c r="BL2" s="1728"/>
      <c r="BM2" s="1728"/>
      <c r="BN2" s="1256">
        <v>0</v>
      </c>
    </row>
    <row customHeight="1" ht="11.25" hidden="1">
      <c r="AO3" s="4586"/>
      <c r="AP3" s="4586"/>
      <c r="AQ3" s="4586"/>
      <c r="BN3" s="1727">
        <v>0</v>
      </c>
    </row>
    <row s="10196" customFormat="1" customHeight="1" ht="11.25" hidden="1">
      <c r="A4" s="1087"/>
      <c r="B4" s="1256"/>
      <c r="C4" s="1732"/>
      <c r="D4" s="469"/>
      <c r="AO4" s="4618"/>
      <c r="AP4" s="4618"/>
      <c r="AQ4" s="4618"/>
      <c r="AR4" s="1728">
        <v>4</v>
      </c>
      <c r="AS4" s="1256"/>
      <c r="AT4" s="1732"/>
      <c r="AU4" s="1732"/>
      <c r="AV4" s="1256"/>
      <c r="AW4" s="1256"/>
      <c r="AX4" s="1256"/>
      <c r="AY4" s="1256"/>
      <c r="AZ4" s="1732"/>
      <c r="BA4" s="1256"/>
      <c r="BB4" s="1256"/>
      <c r="BC4" s="651"/>
      <c r="BD4" s="1256"/>
      <c r="BE4" s="1256"/>
      <c r="BF4" s="1256"/>
      <c r="BG4" s="1256"/>
      <c r="BH4" s="1256"/>
      <c r="BN4" s="1728">
        <v>0</v>
      </c>
    </row>
    <row customHeight="1" ht="11.549999999999999">
      <c r="AO5" s="4586"/>
      <c r="AP5" s="4586"/>
      <c r="AQ5" s="4586"/>
      <c r="BN5" s="1727">
        <v>11</v>
      </c>
    </row>
    <row customHeight="1" ht="31.5">
      <c r="E6" s="3046" t="s">
        <v>843</v>
      </c>
      <c r="F6" s="3046"/>
      <c r="G6" s="3046"/>
      <c r="H6" s="3046"/>
      <c r="I6" s="3046"/>
      <c r="J6" s="2178"/>
      <c r="K6" s="2178"/>
      <c r="L6" s="2178"/>
      <c r="M6" s="2178"/>
      <c r="N6" s="2178"/>
      <c r="O6" s="2178"/>
      <c r="P6" s="2178"/>
      <c r="Q6" s="2178"/>
      <c r="R6" s="2178"/>
      <c r="S6" s="2178"/>
      <c r="T6" s="2178"/>
      <c r="U6" s="2178"/>
      <c r="V6" s="2178"/>
      <c r="W6" s="2178"/>
      <c r="X6" s="2178"/>
      <c r="Y6" s="2178"/>
      <c r="Z6" s="2178"/>
      <c r="AA6" s="2178"/>
      <c r="AB6" s="2178"/>
      <c r="AC6" s="2178"/>
      <c r="AD6" s="2178"/>
      <c r="AE6" s="2178"/>
      <c r="AF6" s="2178"/>
      <c r="AG6" s="2178"/>
      <c r="AH6" s="2178"/>
      <c r="AI6" s="2178"/>
      <c r="AJ6" s="2178"/>
      <c r="AK6" s="2178"/>
      <c r="AL6" s="2178"/>
      <c r="AM6" s="2178"/>
      <c r="AN6" s="2178"/>
      <c r="AO6" s="4984"/>
      <c r="AP6" s="4984"/>
      <c r="AQ6" s="4984"/>
      <c r="AR6" s="663"/>
      <c r="BN6" s="1727">
        <v>30</v>
      </c>
    </row>
    <row customHeight="1" ht="11.549999999999999">
      <c r="E7" s="3069" t="str">
        <f>IF(org=0,"Не определено",org)</f>
        <v>АО "ДГК"</v>
      </c>
      <c r="F7" s="3069"/>
      <c r="G7" s="3069"/>
      <c r="H7" s="3069"/>
      <c r="I7" s="3069"/>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4623"/>
      <c r="AP7" s="4623"/>
      <c r="AQ7" s="4623"/>
      <c r="BN7" s="1727">
        <v>11</v>
      </c>
    </row>
    <row customHeight="1" ht="11.549999999999999">
      <c r="E8" s="1232"/>
      <c r="F8" s="1232"/>
      <c r="G8" s="1232"/>
      <c r="H8" s="1232"/>
      <c r="I8" s="1232"/>
      <c r="J8" s="1233" t="s">
        <v>22</v>
      </c>
      <c r="K8" s="1233" t="s">
        <v>22</v>
      </c>
      <c r="L8" s="1233" t="s">
        <v>22</v>
      </c>
      <c r="M8" s="1233" t="s">
        <v>22</v>
      </c>
      <c r="N8" s="1233" t="s">
        <v>22</v>
      </c>
      <c r="O8" s="1233" t="s">
        <v>22</v>
      </c>
      <c r="P8" s="1233" t="s">
        <v>22</v>
      </c>
      <c r="Q8" s="1233" t="s">
        <v>22</v>
      </c>
      <c r="R8" s="1233" t="s">
        <v>22</v>
      </c>
      <c r="S8" s="1233" t="s">
        <v>22</v>
      </c>
      <c r="T8" s="1233" t="s">
        <v>22</v>
      </c>
      <c r="U8" s="1233" t="s">
        <v>22</v>
      </c>
      <c r="V8" s="1233" t="s">
        <v>22</v>
      </c>
      <c r="W8" s="1233" t="s">
        <v>22</v>
      </c>
      <c r="X8" s="1233" t="s">
        <v>22</v>
      </c>
      <c r="Y8" s="1233" t="s">
        <v>22</v>
      </c>
      <c r="Z8" s="1233" t="s">
        <v>22</v>
      </c>
      <c r="AA8" s="1233" t="s">
        <v>22</v>
      </c>
      <c r="AB8" s="1233" t="s">
        <v>22</v>
      </c>
      <c r="AC8" s="1233" t="s">
        <v>22</v>
      </c>
      <c r="AD8" s="1233" t="s">
        <v>22</v>
      </c>
      <c r="AE8" s="1233" t="s">
        <v>22</v>
      </c>
      <c r="AF8" s="1233" t="s">
        <v>22</v>
      </c>
      <c r="AG8" s="1233" t="s">
        <v>22</v>
      </c>
      <c r="AH8" s="1233" t="s">
        <v>22</v>
      </c>
      <c r="AI8" s="1233" t="s">
        <v>22</v>
      </c>
      <c r="AJ8" s="1233" t="s">
        <v>22</v>
      </c>
      <c r="AK8" s="1233" t="s">
        <v>22</v>
      </c>
      <c r="AL8" s="1233" t="s">
        <v>22</v>
      </c>
      <c r="AM8" s="1233" t="s">
        <v>22</v>
      </c>
      <c r="AN8" s="1233" t="s">
        <v>22</v>
      </c>
      <c r="AO8" s="4626" t="s">
        <v>22</v>
      </c>
      <c r="AP8" s="4626" t="s">
        <v>22</v>
      </c>
      <c r="AQ8" s="4626" t="s">
        <v>22</v>
      </c>
      <c r="BN8" s="1727">
        <v>11</v>
      </c>
    </row>
    <row s="10307" customFormat="1" customHeight="1" ht="4.2">
      <c r="A9" s="1263"/>
      <c r="H9" s="989"/>
      <c r="I9" s="989" t="s">
        <v>150</v>
      </c>
      <c r="J9" s="989" t="s">
        <v>154</v>
      </c>
      <c r="K9" s="989" t="s">
        <v>157</v>
      </c>
      <c r="L9" s="989" t="s">
        <v>159</v>
      </c>
      <c r="M9" s="989" t="s">
        <v>161</v>
      </c>
      <c r="N9" s="989" t="s">
        <v>163</v>
      </c>
      <c r="O9" s="989" t="s">
        <v>165</v>
      </c>
      <c r="P9" s="989" t="s">
        <v>168</v>
      </c>
      <c r="Q9" s="989" t="s">
        <v>171</v>
      </c>
      <c r="R9" s="989" t="s">
        <v>173</v>
      </c>
      <c r="S9" s="989" t="s">
        <v>175</v>
      </c>
      <c r="T9" s="989" t="s">
        <v>177</v>
      </c>
      <c r="U9" s="989" t="s">
        <v>179</v>
      </c>
      <c r="V9" s="989" t="s">
        <v>181</v>
      </c>
      <c r="W9" s="989" t="s">
        <v>183</v>
      </c>
      <c r="X9" s="989" t="s">
        <v>725</v>
      </c>
      <c r="Y9" s="989" t="s">
        <v>727</v>
      </c>
      <c r="Z9" s="989" t="s">
        <v>729</v>
      </c>
      <c r="AA9" s="989" t="s">
        <v>731</v>
      </c>
      <c r="AB9" s="989" t="s">
        <v>733</v>
      </c>
      <c r="AC9" s="989" t="s">
        <v>735</v>
      </c>
      <c r="AD9" s="989" t="s">
        <v>737</v>
      </c>
      <c r="AE9" s="989" t="s">
        <v>739</v>
      </c>
      <c r="AF9" s="989" t="s">
        <v>741</v>
      </c>
      <c r="AG9" s="989" t="s">
        <v>743</v>
      </c>
      <c r="AH9" s="989" t="s">
        <v>186</v>
      </c>
      <c r="AI9" s="989" t="s">
        <v>188</v>
      </c>
      <c r="AJ9" s="989" t="s">
        <v>190</v>
      </c>
      <c r="AK9" s="989" t="s">
        <v>192</v>
      </c>
      <c r="AL9" s="989" t="s">
        <v>194</v>
      </c>
      <c r="AM9" s="989" t="s">
        <v>197</v>
      </c>
      <c r="AN9" s="989" t="s">
        <v>199</v>
      </c>
      <c r="AO9" s="4628" t="s">
        <v>202</v>
      </c>
      <c r="AP9" s="4628" t="s">
        <v>205</v>
      </c>
      <c r="AQ9" s="4628" t="s">
        <v>206</v>
      </c>
      <c r="BN9" s="1732">
        <v>4</v>
      </c>
    </row>
    <row customHeight="1" ht="11.549999999999999">
      <c r="E10" s="818"/>
      <c r="F10" s="3204" t="s">
        <v>140</v>
      </c>
      <c r="G10" s="3205"/>
      <c r="H10" s="1648" t="str">
        <f>IF(H9="","",INDEX(DIFFERENTIATION_UNMERGE_VD,MATCH(H9,DIFFERENTIATION_ID_DIFF,0)))</f>
        <v/>
      </c>
      <c r="I10" s="164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84"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v>
      </c>
      <c r="K10" s="2184" t="str">
        <f>IF(K9="","",INDEX(DIFFERENTIATION_UNMERGE_VD,MATCH(K9,DIFFERENTIATION_ID_DIFF,0)))</f>
        <v>Производство тепловой энергии. Комбинированная выработка с уст. мощностью производства электрической энергии 25 МВт и более</v>
      </c>
      <c r="L10" s="2184" t="str">
        <f>IF(L9="","",INDEX(DIFFERENTIATION_UNMERGE_VD,MATCH(L9,DIFFERENTIATION_ID_DIFF,0)))</f>
        <v>Производство тепловой энергии. Комбинированная выработка с уст. мощностью производства электрической энергии 25 МВт и более</v>
      </c>
      <c r="M10" s="2184"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184"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v>
      </c>
      <c r="O10" s="2184" t="str">
        <f>IF(O9="","",INDEX(DIFFERENTIATION_UNMERGE_VD,MATCH(O9,DIFFERENTIATION_ID_DIFF,0)))</f>
        <v>Производство тепловой энергии. Комбинированная выработка с уст. мощностью производства электрической энергии 25 МВт и более</v>
      </c>
      <c r="P10" s="2184" t="str">
        <f>IF(P9="","",INDEX(DIFFERENTIATION_UNMERGE_VD,MATCH(P9,DIFFERENTIATION_ID_DIFF,0)))</f>
        <v>Производство. Теплоноситель</v>
      </c>
      <c r="Q10" s="2184" t="str">
        <f>IF(Q9="","",INDEX(DIFFERENTIATION_UNMERGE_VD,MATCH(Q9,DIFFERENTIATION_ID_DIFF,0)))</f>
        <v>Производство. Теплоноситель</v>
      </c>
      <c r="R10" s="2184" t="str">
        <f>IF(R9="","",INDEX(DIFFERENTIATION_UNMERGE_VD,MATCH(R9,DIFFERENTIATION_ID_DIFF,0)))</f>
        <v>Производство. Теплоноситель</v>
      </c>
      <c r="S10" s="2184" t="str">
        <f>IF(S9="","",INDEX(DIFFERENTIATION_UNMERGE_VD,MATCH(S9,DIFFERENTIATION_ID_DIFF,0)))</f>
        <v>Производство. Теплоноситель</v>
      </c>
      <c r="T10" s="2184" t="str">
        <f>IF(T9="","",INDEX(DIFFERENTIATION_UNMERGE_VD,MATCH(T9,DIFFERENTIATION_ID_DIFF,0)))</f>
        <v>Производство. Теплоноситель</v>
      </c>
      <c r="U10" s="2184" t="str">
        <f>IF(U9="","",INDEX(DIFFERENTIATION_UNMERGE_VD,MATCH(U9,DIFFERENTIATION_ID_DIFF,0)))</f>
        <v>Производство. Теплоноситель</v>
      </c>
      <c r="V10" s="2184" t="str">
        <f>IF(V9="","",INDEX(DIFFERENTIATION_UNMERGE_VD,MATCH(V9,DIFFERENTIATION_ID_DIFF,0)))</f>
        <v>Производство. Теплоноситель</v>
      </c>
      <c r="W10" s="2184" t="str">
        <f>IF(W9="","",INDEX(DIFFERENTIATION_UNMERGE_VD,MATCH(W9,DIFFERENTIATION_ID_DIFF,0)))</f>
        <v>Производство тепловой энергии. Некомбинированная выработка</v>
      </c>
      <c r="X10" s="2184">
        <f>IF(X9="","",INDEX(DIFFERENTIATION_UNMERGE_VD,MATCH(X9,DIFFERENTIATION_ID_DIFF,0)))</f>
      </c>
      <c r="Y10" s="2184">
        <f>IF(Y9="","",INDEX(DIFFERENTIATION_UNMERGE_VD,MATCH(Y9,DIFFERENTIATION_ID_DIFF,0)))</f>
      </c>
      <c r="Z10" s="2184">
        <f>IF(Z9="","",INDEX(DIFFERENTIATION_UNMERGE_VD,MATCH(Z9,DIFFERENTIATION_ID_DIFF,0)))</f>
      </c>
      <c r="AA10" s="2184">
        <f>IF(AA9="","",INDEX(DIFFERENTIATION_UNMERGE_VD,MATCH(AA9,DIFFERENTIATION_ID_DIFF,0)))</f>
      </c>
      <c r="AB10" s="2184">
        <f>IF(AB9="","",INDEX(DIFFERENTIATION_UNMERGE_VD,MATCH(AB9,DIFFERENTIATION_ID_DIFF,0)))</f>
      </c>
      <c r="AC10" s="2184">
        <f>IF(AC9="","",INDEX(DIFFERENTIATION_UNMERGE_VD,MATCH(AC9,DIFFERENTIATION_ID_DIFF,0)))</f>
      </c>
      <c r="AD10" s="2184">
        <f>IF(AD9="","",INDEX(DIFFERENTIATION_UNMERGE_VD,MATCH(AD9,DIFFERENTIATION_ID_DIFF,0)))</f>
      </c>
      <c r="AE10" s="2184">
        <f>IF(AE9="","",INDEX(DIFFERENTIATION_UNMERGE_VD,MATCH(AE9,DIFFERENTIATION_ID_DIFF,0)))</f>
      </c>
      <c r="AF10" s="2184">
        <f>IF(AF9="","",INDEX(DIFFERENTIATION_UNMERGE_VD,MATCH(AF9,DIFFERENTIATION_ID_DIFF,0)))</f>
      </c>
      <c r="AG10" s="2184">
        <f>IF(AG9="","",INDEX(DIFFERENTIATION_UNMERGE_VD,MATCH(AG9,DIFFERENTIATION_ID_DIFF,0)))</f>
      </c>
      <c r="AH10" s="2184" t="str">
        <f>IF(AH9="","",INDEX(DIFFERENTIATION_UNMERGE_VD,MATCH(AH9,DIFFERENTIATION_ID_DIFF,0)))</f>
        <v>Производство тепловой энергии. Некомбинированная выработка</v>
      </c>
      <c r="AI10" s="2184" t="str">
        <f>IF(AI9="","",INDEX(DIFFERENTIATION_UNMERGE_VD,MATCH(AI9,DIFFERENTIATION_ID_DIFF,0)))</f>
        <v>Производство тепловой энергии. Некомбинированная выработка</v>
      </c>
      <c r="AJ10" s="2184" t="str">
        <f>IF(AJ9="","",INDEX(DIFFERENTIATION_UNMERGE_VD,MATCH(AJ9,DIFFERENTIATION_ID_DIFF,0)))</f>
        <v>Производство тепловой энергии. Некомбинированная выработка</v>
      </c>
      <c r="AK10" s="2184" t="str">
        <f>IF(AK9="","",INDEX(DIFFERENTIATION_UNMERGE_VD,MATCH(AK9,DIFFERENTIATION_ID_DIFF,0)))</f>
        <v>Производство тепловой энергии. Некомбинированная выработка</v>
      </c>
      <c r="AL10" s="2184" t="str">
        <f>IF(AL9="","",INDEX(DIFFERENTIATION_UNMERGE_VD,MATCH(AL9,DIFFERENTIATION_ID_DIFF,0)))</f>
        <v>Передача. Тепловая энергия; Передача. Теплоноситель; Сбыт. Тепловая энергия; Сбыт. Теплоноситель</v>
      </c>
      <c r="AM10" s="2184" t="str">
        <f>IF(AM9="","",INDEX(DIFFERENTIATION_UNMERGE_VD,MATCH(AM9,DIFFERENTIATION_ID_DIFF,0)))</f>
        <v>Передача. Тепловая энергия; Передача. Теплоноситель; Сбыт. Тепловая энергия; Сбыт. Теплоноситель</v>
      </c>
      <c r="AN10" s="2184" t="str">
        <f>IF(AN9="","",INDEX(DIFFERENTIATION_UNMERGE_VD,MATCH(AN9,DIFFERENTIATION_ID_DIFF,0)))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Передача. Теплоноситель; Сбыт. Тепловая энергия; Сбыт. Теплоноситель</v>
      </c>
      <c r="AO10" s="4634" t="str">
        <f>IF(AO9="","",INDEX(DIFFERENTIATION_UNMERGE_VD,MATCH(AO9,DIFFERENTIATION_ID_DIFF,0)))</f>
        <v>Производство тепловой энергии. Некомбинированная выработка; Передача. Тепловая энергия; Сбыт. Тепловая энергия</v>
      </c>
      <c r="AP10" s="4634" t="str">
        <f>IF(AP9="","",INDEX(DIFFERENTIATION_UNMERGE_VD,MATCH(AP9,DIFFERENTIATION_ID_DIFF,0)))</f>
        <v>Производство тепловой энергии. Некомбинированная выработка; Передача. Тепловая энергия; Сбыт. Тепловая энергия</v>
      </c>
      <c r="AQ10" s="4634" t="str">
        <f>IF(AQ9="","",INDEX(DIFFERENTIATION_UNMERGE_VD,MATCH(AQ9,DIFFERENTIATION_ID_DIFF,0)))</f>
        <v>Подключение (технологическое присоединение) к системе теплоснабжения</v>
      </c>
      <c r="AR10" s="2978" t="s">
        <v>386</v>
      </c>
      <c r="BN10" s="1727">
        <v>11</v>
      </c>
    </row>
    <row customHeight="1" ht="11.549999999999999">
      <c r="E11" s="818"/>
      <c r="F11" s="3204" t="s">
        <v>649</v>
      </c>
      <c r="G11" s="3205"/>
      <c r="H11" s="1648" t="str">
        <f>IF(H9="","",INDEX(DIFFERENTIATION_UNMERGE_AREA,MATCH(H9,DIFFERENTIATION_ID_DIFF,0)))</f>
        <v/>
      </c>
      <c r="I11" s="1648" t="str">
        <f>IF(I9="","",INDEX(DIFFERENTIATION_UNMERGE_AREA,MATCH(I9,DIFFERENTIATION_ID_DIFF,0)))</f>
        <v>Территория 1</v>
      </c>
      <c r="J11" s="2184" t="str">
        <f>IF(J9="","",INDEX(DIFFERENTIATION_UNMERGE_AREA,MATCH(J9,DIFFERENTIATION_ID_DIFF,0)))</f>
        <v>Территория 1</v>
      </c>
      <c r="K11" s="2184" t="str">
        <f>IF(K9="","",INDEX(DIFFERENTIATION_UNMERGE_AREA,MATCH(K9,DIFFERENTIATION_ID_DIFF,0)))</f>
        <v>Территория 2</v>
      </c>
      <c r="L11" s="2184" t="str">
        <f>IF(L9="","",INDEX(DIFFERENTIATION_UNMERGE_AREA,MATCH(L9,DIFFERENTIATION_ID_DIFF,0)))</f>
        <v>Территория 2</v>
      </c>
      <c r="M11" s="2184" t="str">
        <f>IF(M9="","",INDEX(DIFFERENTIATION_UNMERGE_AREA,MATCH(M9,DIFFERENTIATION_ID_DIFF,0)))</f>
        <v>Территория 3</v>
      </c>
      <c r="N11" s="2184" t="str">
        <f>IF(N9="","",INDEX(DIFFERENTIATION_UNMERGE_AREA,MATCH(N9,DIFFERENTIATION_ID_DIFF,0)))</f>
        <v>Территория 4</v>
      </c>
      <c r="O11" s="2184" t="str">
        <f>IF(O9="","",INDEX(DIFFERENTIATION_UNMERGE_AREA,MATCH(O9,DIFFERENTIATION_ID_DIFF,0)))</f>
        <v>Территория 5</v>
      </c>
      <c r="P11" s="2184" t="str">
        <f>IF(P9="","",INDEX(DIFFERENTIATION_UNMERGE_AREA,MATCH(P9,DIFFERENTIATION_ID_DIFF,0)))</f>
        <v>Территория 1</v>
      </c>
      <c r="Q11" s="2184" t="str">
        <f>IF(Q9="","",INDEX(DIFFERENTIATION_UNMERGE_AREA,MATCH(Q9,DIFFERENTIATION_ID_DIFF,0)))</f>
        <v>Территория 2</v>
      </c>
      <c r="R11" s="2184" t="str">
        <f>IF(R9="","",INDEX(DIFFERENTIATION_UNMERGE_AREA,MATCH(R9,DIFFERENTIATION_ID_DIFF,0)))</f>
        <v>Территория 3</v>
      </c>
      <c r="S11" s="2184" t="str">
        <f>IF(S9="","",INDEX(DIFFERENTIATION_UNMERGE_AREA,MATCH(S9,DIFFERENTIATION_ID_DIFF,0)))</f>
        <v>Территория 4</v>
      </c>
      <c r="T11" s="2184" t="str">
        <f>IF(T9="","",INDEX(DIFFERENTIATION_UNMERGE_AREA,MATCH(T9,DIFFERENTIATION_ID_DIFF,0)))</f>
        <v>Территория 5</v>
      </c>
      <c r="U11" s="2184" t="str">
        <f>IF(U9="","",INDEX(DIFFERENTIATION_UNMERGE_AREA,MATCH(U9,DIFFERENTIATION_ID_DIFF,0)))</f>
        <v>Территория 6</v>
      </c>
      <c r="V11" s="2184" t="str">
        <f>IF(V9="","",INDEX(DIFFERENTIATION_UNMERGE_AREA,MATCH(V9,DIFFERENTIATION_ID_DIFF,0)))</f>
        <v>Территория 7</v>
      </c>
      <c r="W11" s="2184" t="str">
        <f>IF(W9="","",INDEX(DIFFERENTIATION_UNMERGE_AREA,MATCH(W9,DIFFERENTIATION_ID_DIFF,0)))</f>
        <v>без дифференциации</v>
      </c>
      <c r="X11" s="2184">
        <f>IF(X9="","",INDEX(DIFFERENTIATION_UNMERGE_AREA,MATCH(X9,DIFFERENTIATION_ID_DIFF,0)))</f>
      </c>
      <c r="Y11" s="2184">
        <f>IF(Y9="","",INDEX(DIFFERENTIATION_UNMERGE_AREA,MATCH(Y9,DIFFERENTIATION_ID_DIFF,0)))</f>
      </c>
      <c r="Z11" s="2184">
        <f>IF(Z9="","",INDEX(DIFFERENTIATION_UNMERGE_AREA,MATCH(Z9,DIFFERENTIATION_ID_DIFF,0)))</f>
      </c>
      <c r="AA11" s="2184">
        <f>IF(AA9="","",INDEX(DIFFERENTIATION_UNMERGE_AREA,MATCH(AA9,DIFFERENTIATION_ID_DIFF,0)))</f>
      </c>
      <c r="AB11" s="2184">
        <f>IF(AB9="","",INDEX(DIFFERENTIATION_UNMERGE_AREA,MATCH(AB9,DIFFERENTIATION_ID_DIFF,0)))</f>
      </c>
      <c r="AC11" s="2184">
        <f>IF(AC9="","",INDEX(DIFFERENTIATION_UNMERGE_AREA,MATCH(AC9,DIFFERENTIATION_ID_DIFF,0)))</f>
      </c>
      <c r="AD11" s="2184">
        <f>IF(AD9="","",INDEX(DIFFERENTIATION_UNMERGE_AREA,MATCH(AD9,DIFFERENTIATION_ID_DIFF,0)))</f>
      </c>
      <c r="AE11" s="2184">
        <f>IF(AE9="","",INDEX(DIFFERENTIATION_UNMERGE_AREA,MATCH(AE9,DIFFERENTIATION_ID_DIFF,0)))</f>
      </c>
      <c r="AF11" s="2184">
        <f>IF(AF9="","",INDEX(DIFFERENTIATION_UNMERGE_AREA,MATCH(AF9,DIFFERENTIATION_ID_DIFF,0)))</f>
      </c>
      <c r="AG11" s="2184">
        <f>IF(AG9="","",INDEX(DIFFERENTIATION_UNMERGE_AREA,MATCH(AG9,DIFFERENTIATION_ID_DIFF,0)))</f>
      </c>
      <c r="AH11" s="2184" t="str">
        <f>IF(AH9="","",INDEX(DIFFERENTIATION_UNMERGE_AREA,MATCH(AH9,DIFFERENTIATION_ID_DIFF,0)))</f>
        <v>без дифференциации</v>
      </c>
      <c r="AI11" s="2184" t="str">
        <f>IF(AI9="","",INDEX(DIFFERENTIATION_UNMERGE_AREA,MATCH(AI9,DIFFERENTIATION_ID_DIFF,0)))</f>
        <v>без дифференциации</v>
      </c>
      <c r="AJ11" s="2184" t="str">
        <f>IF(AJ9="","",INDEX(DIFFERENTIATION_UNMERGE_AREA,MATCH(AJ9,DIFFERENTIATION_ID_DIFF,0)))</f>
        <v>без дифференциации</v>
      </c>
      <c r="AK11" s="2184" t="str">
        <f>IF(AK9="","",INDEX(DIFFERENTIATION_UNMERGE_AREA,MATCH(AK9,DIFFERENTIATION_ID_DIFF,0)))</f>
        <v>без дифференциации</v>
      </c>
      <c r="AL11" s="2184" t="str">
        <f>IF(AL9="","",INDEX(DIFFERENTIATION_UNMERGE_AREA,MATCH(AL9,DIFFERENTIATION_ID_DIFF,0)))</f>
        <v>без дифференциации</v>
      </c>
      <c r="AM11" s="2184" t="str">
        <f>IF(AM9="","",INDEX(DIFFERENTIATION_UNMERGE_AREA,MATCH(AM9,DIFFERENTIATION_ID_DIFF,0)))</f>
        <v>без дифференциации</v>
      </c>
      <c r="AN11" s="2184" t="str">
        <f>IF(AN9="","",INDEX(DIFFERENTIATION_UNMERGE_AREA,MATCH(AN9,DIFFERENTIATION_ID_DIFF,0)))</f>
        <v>Территория 7</v>
      </c>
      <c r="AO11" s="4634" t="str">
        <f>IF(AO9="","",INDEX(DIFFERENTIATION_UNMERGE_AREA,MATCH(AO9,DIFFERENTIATION_ID_DIFF,0)))</f>
        <v>Территория 5</v>
      </c>
      <c r="AP11" s="4634" t="str">
        <f>IF(AP9="","",INDEX(DIFFERENTIATION_UNMERGE_AREA,MATCH(AP9,DIFFERENTIATION_ID_DIFF,0)))</f>
        <v>Территория 8</v>
      </c>
      <c r="AQ11" s="4634" t="str">
        <f>IF(AQ9="","",INDEX(DIFFERENTIATION_UNMERGE_AREA,MATCH(AQ9,DIFFERENTIATION_ID_DIFF,0)))</f>
        <v>без дифференциации</v>
      </c>
      <c r="AR11" s="2978"/>
      <c r="BN11" s="1727">
        <v>11</v>
      </c>
    </row>
    <row customHeight="1" ht="1.05">
      <c r="E12" s="1758"/>
      <c r="F12" s="3225" t="s">
        <v>650</v>
      </c>
      <c r="G12" s="3226"/>
      <c r="H12" s="1759" t="str">
        <f>IF(H9="","",INDEX(DIFFERENTIATION_UNMERGE_SYSTEM,MATCH(H9,DIFFERENTIATION_ID_DIFF,0)))</f>
        <v/>
      </c>
      <c r="I12" s="1759" t="str">
        <f>IF(I9="","",INDEX(DIFFERENTIATION_UNMERGE_SYSTEM,MATCH(I9,DIFFERENTIATION_ID_DIFF,0)))</f>
        <v>Хабаровская ТЭЦ - 1</v>
      </c>
      <c r="J12" s="1759" t="str">
        <f>IF(J9="","",INDEX(DIFFERENTIATION_UNMERGE_SYSTEM,MATCH(J9,DIFFERENTIATION_ID_DIFF,0)))</f>
        <v>Хабаровская ТЭЦ - 3</v>
      </c>
      <c r="K12" s="1759" t="str">
        <f>IF(K9="","",INDEX(DIFFERENTIATION_UNMERGE_SYSTEM,MATCH(K9,DIFFERENTIATION_ID_DIFF,0)))</f>
        <v>Комсомольская ТЭЦ - 2</v>
      </c>
      <c r="L12" s="1759" t="str">
        <f>IF(L9="","",INDEX(DIFFERENTIATION_UNMERGE_SYSTEM,MATCH(L9,DIFFERENTIATION_ID_DIFF,0)))</f>
        <v>Комсомольская ТЭЦ - 3</v>
      </c>
      <c r="M12" s="1759" t="str">
        <f>IF(M9="","",INDEX(DIFFERENTIATION_UNMERGE_SYSTEM,MATCH(M9,DIFFERENTIATION_ID_DIFF,0)))</f>
        <v>Амурская ТЭЦ - 1</v>
      </c>
      <c r="N12" s="1759" t="str">
        <f>IF(N9="","",INDEX(DIFFERENTIATION_UNMERGE_SYSTEM,MATCH(N9,DIFFERENTIATION_ID_DIFF,0)))</f>
        <v>Майская ГРЭС</v>
      </c>
      <c r="O12" s="1759" t="str">
        <f>IF(O9="","",INDEX(DIFFERENTIATION_UNMERGE_SYSTEM,MATCH(O9,DIFFERENTIATION_ID_DIFF,0)))</f>
        <v>Николаевская ТЭЦ</v>
      </c>
      <c r="P12" s="1759" t="str">
        <f>IF(P9="","",INDEX(DIFFERENTIATION_UNMERGE_SYSTEM,MATCH(P9,DIFFERENTIATION_ID_DIFF,0)))</f>
        <v>г. Хабаровск, Хабаровский муниципальный район</v>
      </c>
      <c r="Q12" s="1759" t="str">
        <f>IF(Q9="","",INDEX(DIFFERENTIATION_UNMERGE_SYSTEM,MATCH(Q9,DIFFERENTIATION_ID_DIFF,0)))</f>
        <v>г. Комсомольск-на-Амуре</v>
      </c>
      <c r="R12" s="1759" t="str">
        <f>IF(R9="","",INDEX(DIFFERENTIATION_UNMERGE_SYSTEM,MATCH(R9,DIFFERENTIATION_ID_DIFF,0)))</f>
        <v>г. Амурск</v>
      </c>
      <c r="S12" s="1759" t="str">
        <f>IF(S9="","",INDEX(DIFFERENTIATION_UNMERGE_SYSTEM,MATCH(S9,DIFFERENTIATION_ID_DIFF,0)))</f>
        <v>п. Майский</v>
      </c>
      <c r="T12" s="1759" t="str">
        <f>IF(T9="","",INDEX(DIFFERENTIATION_UNMERGE_SYSTEM,MATCH(T9,DIFFERENTIATION_ID_DIFF,0)))</f>
        <v>г. Николаевск-на-Амуре</v>
      </c>
      <c r="U12" s="1759" t="str">
        <f>IF(U9="","",INDEX(DIFFERENTIATION_UNMERGE_SYSTEM,MATCH(U9,DIFFERENTIATION_ID_DIFF,0)))</f>
        <v>п. Чегдомын</v>
      </c>
      <c r="V12" s="1759" t="str">
        <f>IF(V9="","",INDEX(DIFFERENTIATION_UNMERGE_SYSTEM,MATCH(V9,DIFFERENTIATION_ID_DIFF,0)))</f>
        <v>г. Советская Гавань</v>
      </c>
      <c r="W12" s="1759" t="str">
        <f>IF(W9="","",INDEX(DIFFERENTIATION_UNMERGE_SYSTEM,MATCH(W9,DIFFERENTIATION_ID_DIFF,0)))</f>
        <v>Хабаровская ТЭЦ-2</v>
      </c>
      <c r="X12" s="1759">
        <f>IF(X9="","",INDEX(DIFFERENTIATION_UNMERGE_SYSTEM,MATCH(X9,DIFFERENTIATION_ID_DIFF,0)))</f>
      </c>
      <c r="Y12" s="1759">
        <f>IF(Y9="","",INDEX(DIFFERENTIATION_UNMERGE_SYSTEM,MATCH(Y9,DIFFERENTIATION_ID_DIFF,0)))</f>
      </c>
      <c r="Z12" s="1759">
        <f>IF(Z9="","",INDEX(DIFFERENTIATION_UNMERGE_SYSTEM,MATCH(Z9,DIFFERENTIATION_ID_DIFF,0)))</f>
      </c>
      <c r="AA12" s="1759">
        <f>IF(AA9="","",INDEX(DIFFERENTIATION_UNMERGE_SYSTEM,MATCH(AA9,DIFFERENTIATION_ID_DIFF,0)))</f>
      </c>
      <c r="AB12" s="1759">
        <f>IF(AB9="","",INDEX(DIFFERENTIATION_UNMERGE_SYSTEM,MATCH(AB9,DIFFERENTIATION_ID_DIFF,0)))</f>
      </c>
      <c r="AC12" s="1759">
        <f>IF(AC9="","",INDEX(DIFFERENTIATION_UNMERGE_SYSTEM,MATCH(AC9,DIFFERENTIATION_ID_DIFF,0)))</f>
      </c>
      <c r="AD12" s="1759">
        <f>IF(AD9="","",INDEX(DIFFERENTIATION_UNMERGE_SYSTEM,MATCH(AD9,DIFFERENTIATION_ID_DIFF,0)))</f>
      </c>
      <c r="AE12" s="1759">
        <f>IF(AE9="","",INDEX(DIFFERENTIATION_UNMERGE_SYSTEM,MATCH(AE9,DIFFERENTIATION_ID_DIFF,0)))</f>
      </c>
      <c r="AF12" s="1759">
        <f>IF(AF9="","",INDEX(DIFFERENTIATION_UNMERGE_SYSTEM,MATCH(AF9,DIFFERENTIATION_ID_DIFF,0)))</f>
      </c>
      <c r="AG12" s="1759">
        <f>IF(AG9="","",INDEX(DIFFERENTIATION_UNMERGE_SYSTEM,MATCH(AG9,DIFFERENTIATION_ID_DIFF,0)))</f>
      </c>
      <c r="AH12" s="1759" t="str">
        <f>IF(AH9="","",INDEX(DIFFERENTIATION_UNMERGE_SYSTEM,MATCH(AH9,DIFFERENTIATION_ID_DIFF,0)))</f>
        <v>Некрасовская котельная</v>
      </c>
      <c r="AI12" s="1759" t="str">
        <f>IF(AI9="","",INDEX(DIFFERENTIATION_UNMERGE_SYSTEM,MATCH(AI9,DIFFERENTIATION_ID_DIFF,0)))</f>
        <v>котельная "Дземги"</v>
      </c>
      <c r="AJ12" s="1759" t="str">
        <f>IF(AJ9="","",INDEX(DIFFERENTIATION_UNMERGE_SYSTEM,MATCH(AJ9,DIFFERENTIATION_ID_DIFF,0)))</f>
        <v>Майская котельная</v>
      </c>
      <c r="AK12" s="1759" t="str">
        <f>IF(AK9="","",INDEX(DIFFERENTIATION_UNMERGE_SYSTEM,MATCH(AK9,DIFFERENTIATION_ID_DIFF,0)))</f>
        <v>Ургальская котельная</v>
      </c>
      <c r="AL12" s="1759" t="str">
        <f>IF(AL9="","",INDEX(DIFFERENTIATION_UNMERGE_SYSTEM,MATCH(AL9,DIFFERENTIATION_ID_DIFF,0)))</f>
        <v>Комсомольские тепловые сети</v>
      </c>
      <c r="AM12" s="1759" t="str">
        <f>IF(AM9="","",INDEX(DIFFERENTIATION_UNMERGE_SYSTEM,MATCH(AM9,DIFFERENTIATION_ID_DIFF,0)))</f>
        <v>Хабаровские тепловые сети</v>
      </c>
      <c r="AN12" s="1759" t="str">
        <f>IF(AN9="","",INDEX(DIFFERENTIATION_UNMERGE_SYSTEM,MATCH(AN9,DIFFERENTIATION_ID_DIFF,0)))</f>
        <v>ТЭЦ в г. Советская Гавань</v>
      </c>
      <c r="AO12" s="5090" t="str">
        <f>IF(AO9="","",INDEX(DIFFERENTIATION_UNMERGE_SYSTEM,MATCH(AO9,DIFFERENTIATION_ID_DIFF,0)))</f>
        <v>котельная "Аэропорт"</v>
      </c>
      <c r="AP12" s="5090" t="str">
        <f>IF(AP9="","",INDEX(DIFFERENTIATION_UNMERGE_SYSTEM,MATCH(AP9,DIFFERENTIATION_ID_DIFF,0)))</f>
        <v>котельная в Волочаевском городке</v>
      </c>
      <c r="AQ12" s="5090" t="str">
        <f>IF(AQ9="","",INDEX(DIFFERENTIATION_UNMERGE_SYSTEM,MATCH(AQ9,DIFFERENTIATION_ID_DIFF,0)))</f>
        <v>без дифференциации</v>
      </c>
      <c r="AR12" s="2978"/>
      <c r="BN12" s="1727">
        <v>1</v>
      </c>
    </row>
    <row customHeight="1" ht="11.549999999999999">
      <c r="E13" s="3206" t="s">
        <v>385</v>
      </c>
      <c r="F13" s="3207"/>
      <c r="G13" s="3207"/>
      <c r="H13" s="1647"/>
      <c r="I13" s="1647"/>
      <c r="J13" s="2181"/>
      <c r="K13" s="2181"/>
      <c r="L13" s="2181"/>
      <c r="M13" s="2181"/>
      <c r="N13" s="2181"/>
      <c r="O13" s="2181"/>
      <c r="P13" s="2181"/>
      <c r="Q13" s="2181"/>
      <c r="R13" s="2181"/>
      <c r="S13" s="2181"/>
      <c r="T13" s="2181"/>
      <c r="U13" s="2181"/>
      <c r="V13" s="2181"/>
      <c r="W13" s="2181"/>
      <c r="X13" s="2181"/>
      <c r="Y13" s="2181"/>
      <c r="Z13" s="2181"/>
      <c r="AA13" s="2181"/>
      <c r="AB13" s="2181"/>
      <c r="AC13" s="2181"/>
      <c r="AD13" s="2181"/>
      <c r="AE13" s="2181"/>
      <c r="AF13" s="2181"/>
      <c r="AG13" s="2181"/>
      <c r="AH13" s="2181"/>
      <c r="AI13" s="2181"/>
      <c r="AJ13" s="2181"/>
      <c r="AK13" s="2181"/>
      <c r="AL13" s="2181"/>
      <c r="AM13" s="2181"/>
      <c r="AN13" s="2181"/>
      <c r="AO13" s="4639"/>
      <c r="AP13" s="4639"/>
      <c r="AQ13" s="4639"/>
      <c r="AR13" s="2978"/>
      <c r="BN13" s="1727">
        <v>11</v>
      </c>
    </row>
    <row customHeight="1" ht="24">
      <c r="E14" s="1735" t="s">
        <v>88</v>
      </c>
      <c r="F14" s="1730" t="s">
        <v>387</v>
      </c>
      <c r="G14" s="1730" t="s">
        <v>651</v>
      </c>
      <c r="H14" s="1730" t="s">
        <v>388</v>
      </c>
      <c r="I14" s="1730" t="s">
        <v>388</v>
      </c>
      <c r="J14" s="2179" t="s">
        <v>388</v>
      </c>
      <c r="K14" s="2179" t="s">
        <v>388</v>
      </c>
      <c r="L14" s="2179" t="s">
        <v>388</v>
      </c>
      <c r="M14" s="2179" t="s">
        <v>388</v>
      </c>
      <c r="N14" s="2179" t="s">
        <v>388</v>
      </c>
      <c r="O14" s="2179" t="s">
        <v>388</v>
      </c>
      <c r="P14" s="2179" t="s">
        <v>388</v>
      </c>
      <c r="Q14" s="2179" t="s">
        <v>388</v>
      </c>
      <c r="R14" s="2179" t="s">
        <v>388</v>
      </c>
      <c r="S14" s="2179" t="s">
        <v>388</v>
      </c>
      <c r="T14" s="2179" t="s">
        <v>388</v>
      </c>
      <c r="U14" s="2179" t="s">
        <v>388</v>
      </c>
      <c r="V14" s="2179" t="s">
        <v>388</v>
      </c>
      <c r="W14" s="2179" t="s">
        <v>388</v>
      </c>
      <c r="X14" s="2179" t="s">
        <v>388</v>
      </c>
      <c r="Y14" s="2179" t="s">
        <v>388</v>
      </c>
      <c r="Z14" s="2179" t="s">
        <v>388</v>
      </c>
      <c r="AA14" s="2179" t="s">
        <v>388</v>
      </c>
      <c r="AB14" s="2179" t="s">
        <v>388</v>
      </c>
      <c r="AC14" s="2179" t="s">
        <v>388</v>
      </c>
      <c r="AD14" s="2179" t="s">
        <v>388</v>
      </c>
      <c r="AE14" s="2179" t="s">
        <v>388</v>
      </c>
      <c r="AF14" s="2179" t="s">
        <v>388</v>
      </c>
      <c r="AG14" s="2179" t="s">
        <v>388</v>
      </c>
      <c r="AH14" s="2179" t="s">
        <v>388</v>
      </c>
      <c r="AI14" s="2179" t="s">
        <v>388</v>
      </c>
      <c r="AJ14" s="2179" t="s">
        <v>388</v>
      </c>
      <c r="AK14" s="2179" t="s">
        <v>388</v>
      </c>
      <c r="AL14" s="2179" t="s">
        <v>388</v>
      </c>
      <c r="AM14" s="2179" t="s">
        <v>388</v>
      </c>
      <c r="AN14" s="2179" t="s">
        <v>388</v>
      </c>
      <c r="AO14" s="4593" t="s">
        <v>388</v>
      </c>
      <c r="AP14" s="4593" t="s">
        <v>388</v>
      </c>
      <c r="AQ14" s="4593" t="s">
        <v>388</v>
      </c>
      <c r="AR14" s="2978"/>
      <c r="BN14" s="1727">
        <v>23</v>
      </c>
    </row>
    <row customHeight="1" ht="19.95">
      <c r="D15" s="1734"/>
      <c r="E15" s="1726" t="s">
        <v>144</v>
      </c>
      <c r="F15" s="814" t="s">
        <v>844</v>
      </c>
      <c r="G15" s="1742" t="s">
        <v>637</v>
      </c>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4643"/>
      <c r="AP15" s="4643"/>
      <c r="AQ15" s="4643"/>
      <c r="AR15" s="397" t="s">
        <v>845</v>
      </c>
      <c r="AS15" s="650" t="s">
        <v>770</v>
      </c>
      <c r="BN15" s="1727">
        <v>19</v>
      </c>
    </row>
    <row customHeight="1" ht="35.699999999999996">
      <c r="D16" s="1734"/>
      <c r="E16" s="1726" t="s">
        <v>102</v>
      </c>
      <c r="F16" s="814" t="s">
        <v>846</v>
      </c>
      <c r="G16" s="1742" t="s">
        <v>637</v>
      </c>
      <c r="H16" s="665">
        <f>SUM(H17,H20,H23,H26,H29:H32,H35)</f>
        <v>0</v>
      </c>
      <c r="I16" s="665">
        <f>SUM(I17,I20,I23,I26,I29:I32,I35)</f>
        <v>0</v>
      </c>
      <c r="J16" s="665">
        <f>SUM(J17,J20,J23,J26,J29:J32,J35)</f>
        <v>0</v>
      </c>
      <c r="K16" s="665">
        <f>SUM(K17,K20,K23,K26,K29:K32,K35)</f>
        <v>0</v>
      </c>
      <c r="L16" s="665">
        <f>SUM(L17,L20,L23,L26,L29:L32,L35)</f>
        <v>0</v>
      </c>
      <c r="M16" s="665">
        <f>SUM(M17,M20,M23,M26,M29:M32,M35)</f>
        <v>0</v>
      </c>
      <c r="N16" s="665">
        <f>SUM(N17,N20,N23,N26,N29:N32,N35)</f>
        <v>0</v>
      </c>
      <c r="O16" s="665">
        <f>SUM(O17,O20,O23,O26,O29:O32,O35)</f>
        <v>0</v>
      </c>
      <c r="P16" s="665">
        <f>SUM(P17,P20,P23,P26,P29:P32,P35)</f>
        <v>0</v>
      </c>
      <c r="Q16" s="665">
        <f>SUM(Q17,Q20,Q23,Q26,Q29:Q32,Q35)</f>
        <v>0</v>
      </c>
      <c r="R16" s="665">
        <f>SUM(R17,R20,R23,R26,R29:R32,R35)</f>
        <v>0</v>
      </c>
      <c r="S16" s="665">
        <f>SUM(S17,S20,S23,S26,S29:S32,S35)</f>
        <v>0</v>
      </c>
      <c r="T16" s="665">
        <f>SUM(T17,T20,T23,T26,T29:T32,T35)</f>
        <v>0</v>
      </c>
      <c r="U16" s="665">
        <f>SUM(U17,U20,U23,U26,U29:U32,U35)</f>
        <v>0</v>
      </c>
      <c r="V16" s="665">
        <f>SUM(V17,V20,V23,V26,V29:V32,V35)</f>
        <v>0</v>
      </c>
      <c r="W16" s="665">
        <f>SUM(W17,W20,W23,W26,W29:W32,W35)</f>
        <v>0</v>
      </c>
      <c r="X16" s="665">
        <f>SUM(X17,X20,X23,X26,X29:X32,X35)</f>
        <v>0</v>
      </c>
      <c r="Y16" s="665">
        <f>SUM(Y17,Y20,Y23,Y26,Y29:Y32,Y35)</f>
        <v>0</v>
      </c>
      <c r="Z16" s="665">
        <f>SUM(Z17,Z20,Z23,Z26,Z29:Z32,Z35)</f>
        <v>0</v>
      </c>
      <c r="AA16" s="665">
        <f>SUM(AA17,AA20,AA23,AA26,AA29:AA32,AA35)</f>
        <v>0</v>
      </c>
      <c r="AB16" s="665">
        <f>SUM(AB17,AB20,AB23,AB26,AB29:AB32,AB35)</f>
        <v>0</v>
      </c>
      <c r="AC16" s="665">
        <f>SUM(AC17,AC20,AC23,AC26,AC29:AC32,AC35)</f>
        <v>0</v>
      </c>
      <c r="AD16" s="665">
        <f>SUM(AD17,AD20,AD23,AD26,AD29:AD32,AD35)</f>
        <v>0</v>
      </c>
      <c r="AE16" s="665">
        <f>SUM(AE17,AE20,AE23,AE26,AE29:AE32,AE35)</f>
        <v>0</v>
      </c>
      <c r="AF16" s="665">
        <f>SUM(AF17,AF20,AF23,AF26,AF29:AF32,AF35)</f>
        <v>0</v>
      </c>
      <c r="AG16" s="665">
        <f>SUM(AG17,AG20,AG23,AG26,AG29:AG32,AG35)</f>
        <v>0</v>
      </c>
      <c r="AH16" s="665">
        <f>SUM(AH17,AH20,AH23,AH26,AH29:AH32,AH35)</f>
        <v>0</v>
      </c>
      <c r="AI16" s="665">
        <f>SUM(AI17,AI20,AI23,AI26,AI29:AI32,AI35)</f>
        <v>0</v>
      </c>
      <c r="AJ16" s="665">
        <f>SUM(AJ17,AJ20,AJ23,AJ26,AJ29:AJ32,AJ35)</f>
        <v>0</v>
      </c>
      <c r="AK16" s="665">
        <f>SUM(AK17,AK20,AK23,AK26,AK29:AK32,AK35)</f>
        <v>0</v>
      </c>
      <c r="AL16" s="665">
        <f>SUM(AL17,AL20,AL23,AL26,AL29:AL32,AL35)</f>
        <v>0</v>
      </c>
      <c r="AM16" s="665">
        <f>SUM(AM17,AM20,AM23,AM26,AM29:AM32,AM35)</f>
        <v>0</v>
      </c>
      <c r="AN16" s="665">
        <f>SUM(AN17,AN20,AN23,AN26,AN29:AN32,AN35)</f>
        <v>0</v>
      </c>
      <c r="AO16" s="4645">
        <f>SUM(AO17,AO20,AO23,AO26,AO29:AO32,AO35)</f>
        <v>0</v>
      </c>
      <c r="AP16" s="4645">
        <f>SUM(AP17,AP20,AP23,AP26,AP29:AP32,AP35)</f>
        <v>0</v>
      </c>
      <c r="AQ16" s="4645">
        <f>SUM(AQ17,AQ20,AQ23,AQ26,AQ29:AQ32,AQ35)</f>
        <v>0</v>
      </c>
      <c r="AR16" s="397" t="s">
        <v>847</v>
      </c>
      <c r="AS16" s="650" t="s">
        <v>770</v>
      </c>
      <c r="BN16" s="1727">
        <v>34</v>
      </c>
    </row>
    <row customHeight="1" ht="19.95">
      <c r="D17" s="1734"/>
      <c r="E17" s="1760" t="s">
        <v>848</v>
      </c>
      <c r="F17" s="1054" t="s">
        <v>849</v>
      </c>
      <c r="G17" s="1739" t="s">
        <v>637</v>
      </c>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4643"/>
      <c r="AP17" s="4643"/>
      <c r="AQ17" s="4643"/>
      <c r="AR17" s="397" t="s">
        <v>850</v>
      </c>
      <c r="AS17" s="650"/>
      <c r="BN17" s="1727">
        <v>19</v>
      </c>
    </row>
    <row customHeight="1" ht="24">
      <c r="D18" s="1734"/>
      <c r="E18" s="1760" t="s">
        <v>851</v>
      </c>
      <c r="F18" s="1746" t="s">
        <v>852</v>
      </c>
      <c r="G18" s="1739" t="s">
        <v>637</v>
      </c>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4643"/>
      <c r="AP18" s="4643"/>
      <c r="AQ18" s="4643"/>
      <c r="AR18" s="397" t="s">
        <v>853</v>
      </c>
      <c r="AS18" s="650"/>
      <c r="BN18" s="1727">
        <v>23</v>
      </c>
    </row>
    <row customHeight="1" ht="35.699999999999996">
      <c r="D19" s="1734"/>
      <c r="E19" s="1760" t="s">
        <v>854</v>
      </c>
      <c r="F19" s="1746" t="s">
        <v>855</v>
      </c>
      <c r="G19" s="1739" t="s">
        <v>637</v>
      </c>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4643"/>
      <c r="AP19" s="4643"/>
      <c r="AQ19" s="4643"/>
      <c r="AR19" s="397"/>
      <c r="AS19" s="650"/>
      <c r="BN19" s="1727">
        <v>34</v>
      </c>
    </row>
    <row customHeight="1" ht="19.95">
      <c r="D20" s="1734"/>
      <c r="E20" s="1760" t="s">
        <v>392</v>
      </c>
      <c r="F20" s="1054" t="s">
        <v>856</v>
      </c>
      <c r="G20" s="1739" t="s">
        <v>637</v>
      </c>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4643"/>
      <c r="AP20" s="4643"/>
      <c r="AQ20" s="4643"/>
      <c r="AR20" s="397" t="s">
        <v>857</v>
      </c>
      <c r="AS20" s="650"/>
      <c r="BN20" s="1727">
        <v>19</v>
      </c>
    </row>
    <row customHeight="1" ht="19.95">
      <c r="D21" s="1734"/>
      <c r="E21" s="1760" t="s">
        <v>858</v>
      </c>
      <c r="F21" s="1746" t="s">
        <v>859</v>
      </c>
      <c r="G21" s="1739" t="s">
        <v>637</v>
      </c>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4643"/>
      <c r="AP21" s="4643"/>
      <c r="AQ21" s="4643"/>
      <c r="AR21" s="397"/>
      <c r="AS21" s="650"/>
      <c r="BN21" s="1727">
        <v>19</v>
      </c>
    </row>
    <row customHeight="1" ht="19.95">
      <c r="D22" s="1734"/>
      <c r="E22" s="1760" t="s">
        <v>860</v>
      </c>
      <c r="F22" s="1746" t="s">
        <v>861</v>
      </c>
      <c r="G22" s="1739" t="s">
        <v>637</v>
      </c>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4643"/>
      <c r="AP22" s="4643"/>
      <c r="AQ22" s="4643"/>
      <c r="AR22" s="397"/>
      <c r="AS22" s="650"/>
      <c r="BN22" s="1727">
        <v>19</v>
      </c>
    </row>
    <row customHeight="1" ht="24">
      <c r="D23" s="1734"/>
      <c r="E23" s="1760" t="s">
        <v>395</v>
      </c>
      <c r="F23" s="1054" t="s">
        <v>862</v>
      </c>
      <c r="G23" s="1739" t="s">
        <v>637</v>
      </c>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4643"/>
      <c r="AP23" s="4643"/>
      <c r="AQ23" s="4643"/>
      <c r="AR23" s="397" t="s">
        <v>863</v>
      </c>
      <c r="AS23" s="650"/>
      <c r="BN23" s="1727">
        <v>23</v>
      </c>
    </row>
    <row customHeight="1" ht="19.95">
      <c r="D24" s="1734"/>
      <c r="E24" s="1760" t="s">
        <v>864</v>
      </c>
      <c r="F24" s="1746" t="s">
        <v>865</v>
      </c>
      <c r="G24" s="1739" t="s">
        <v>637</v>
      </c>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4"/>
      <c r="AO24" s="4643"/>
      <c r="AP24" s="4643"/>
      <c r="AQ24" s="4643"/>
      <c r="AR24" s="397"/>
      <c r="AS24" s="650"/>
      <c r="BN24" s="1727">
        <v>19</v>
      </c>
    </row>
    <row customHeight="1" ht="35.699999999999996">
      <c r="D25" s="1734"/>
      <c r="E25" s="1760" t="s">
        <v>866</v>
      </c>
      <c r="F25" s="1746" t="s">
        <v>867</v>
      </c>
      <c r="G25" s="1739" t="s">
        <v>637</v>
      </c>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4643"/>
      <c r="AP25" s="4643"/>
      <c r="AQ25" s="4643"/>
      <c r="AR25" s="397"/>
      <c r="AS25" s="650"/>
      <c r="BN25" s="1727">
        <v>34</v>
      </c>
    </row>
    <row customHeight="1" ht="24">
      <c r="D26" s="1734"/>
      <c r="E26" s="1760" t="s">
        <v>868</v>
      </c>
      <c r="F26" s="1054" t="s">
        <v>869</v>
      </c>
      <c r="G26" s="1739" t="s">
        <v>637</v>
      </c>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4"/>
      <c r="AM26" s="664"/>
      <c r="AN26" s="664"/>
      <c r="AO26" s="4643"/>
      <c r="AP26" s="4643"/>
      <c r="AQ26" s="4643"/>
      <c r="AR26" s="397" t="s">
        <v>870</v>
      </c>
      <c r="AS26" s="650"/>
      <c r="BN26" s="1727">
        <v>23</v>
      </c>
    </row>
    <row customHeight="1" ht="19.95">
      <c r="D27" s="1734"/>
      <c r="E27" s="1771" t="s">
        <v>871</v>
      </c>
      <c r="F27" s="1746" t="s">
        <v>872</v>
      </c>
      <c r="G27" s="1750" t="s">
        <v>637</v>
      </c>
      <c r="H27" s="1772"/>
      <c r="I27" s="1772"/>
      <c r="J27" s="1772"/>
      <c r="K27" s="1772"/>
      <c r="L27" s="1772"/>
      <c r="M27" s="1772"/>
      <c r="N27" s="1772"/>
      <c r="O27" s="1772"/>
      <c r="P27" s="1772"/>
      <c r="Q27" s="1772"/>
      <c r="R27" s="1772"/>
      <c r="S27" s="1772"/>
      <c r="T27" s="1772"/>
      <c r="U27" s="1772"/>
      <c r="V27" s="1772"/>
      <c r="W27" s="1772"/>
      <c r="X27" s="1772"/>
      <c r="Y27" s="1772"/>
      <c r="Z27" s="1772"/>
      <c r="AA27" s="1772"/>
      <c r="AB27" s="1772"/>
      <c r="AC27" s="1772"/>
      <c r="AD27" s="1772"/>
      <c r="AE27" s="1772"/>
      <c r="AF27" s="1772"/>
      <c r="AG27" s="1772"/>
      <c r="AH27" s="1772"/>
      <c r="AI27" s="1772"/>
      <c r="AJ27" s="1772"/>
      <c r="AK27" s="1772"/>
      <c r="AL27" s="1772"/>
      <c r="AM27" s="1772"/>
      <c r="AN27" s="1772"/>
      <c r="AO27" s="5097"/>
      <c r="AP27" s="5097"/>
      <c r="AQ27" s="5097"/>
      <c r="AR27" s="397"/>
      <c r="AS27" s="650"/>
      <c r="BN27" s="1727">
        <v>19</v>
      </c>
    </row>
    <row customHeight="1" ht="19.95">
      <c r="D28" s="1734"/>
      <c r="E28" s="1771" t="s">
        <v>873</v>
      </c>
      <c r="F28" s="1746" t="s">
        <v>874</v>
      </c>
      <c r="G28" s="1750" t="s">
        <v>637</v>
      </c>
      <c r="H28" s="1772"/>
      <c r="I28" s="1772"/>
      <c r="J28" s="1772"/>
      <c r="K28" s="1772"/>
      <c r="L28" s="1772"/>
      <c r="M28" s="1772"/>
      <c r="N28" s="1772"/>
      <c r="O28" s="1772"/>
      <c r="P28" s="1772"/>
      <c r="Q28" s="1772"/>
      <c r="R28" s="1772"/>
      <c r="S28" s="1772"/>
      <c r="T28" s="1772"/>
      <c r="U28" s="1772"/>
      <c r="V28" s="1772"/>
      <c r="W28" s="1772"/>
      <c r="X28" s="1772"/>
      <c r="Y28" s="1772"/>
      <c r="Z28" s="1772"/>
      <c r="AA28" s="1772"/>
      <c r="AB28" s="1772"/>
      <c r="AC28" s="1772"/>
      <c r="AD28" s="1772"/>
      <c r="AE28" s="1772"/>
      <c r="AF28" s="1772"/>
      <c r="AG28" s="1772"/>
      <c r="AH28" s="1772"/>
      <c r="AI28" s="1772"/>
      <c r="AJ28" s="1772"/>
      <c r="AK28" s="1772"/>
      <c r="AL28" s="1772"/>
      <c r="AM28" s="1772"/>
      <c r="AN28" s="1772"/>
      <c r="AO28" s="5097"/>
      <c r="AP28" s="5097"/>
      <c r="AQ28" s="5097"/>
      <c r="AR28" s="397"/>
      <c r="AS28" s="650"/>
      <c r="BN28" s="1727">
        <v>19</v>
      </c>
    </row>
    <row customHeight="1" ht="19.95">
      <c r="D29" s="1734"/>
      <c r="E29" s="1771" t="s">
        <v>875</v>
      </c>
      <c r="F29" s="1054" t="s">
        <v>876</v>
      </c>
      <c r="G29" s="1750" t="s">
        <v>637</v>
      </c>
      <c r="H29" s="1772"/>
      <c r="I29" s="1772"/>
      <c r="J29" s="1772"/>
      <c r="K29" s="1772"/>
      <c r="L29" s="1772"/>
      <c r="M29" s="1772"/>
      <c r="N29" s="1772"/>
      <c r="O29" s="1772"/>
      <c r="P29" s="1772"/>
      <c r="Q29" s="1772"/>
      <c r="R29" s="1772"/>
      <c r="S29" s="1772"/>
      <c r="T29" s="1772"/>
      <c r="U29" s="1772"/>
      <c r="V29" s="1772"/>
      <c r="W29" s="1772"/>
      <c r="X29" s="1772"/>
      <c r="Y29" s="1772"/>
      <c r="Z29" s="1772"/>
      <c r="AA29" s="1772"/>
      <c r="AB29" s="1772"/>
      <c r="AC29" s="1772"/>
      <c r="AD29" s="1772"/>
      <c r="AE29" s="1772"/>
      <c r="AF29" s="1772"/>
      <c r="AG29" s="1772"/>
      <c r="AH29" s="1772"/>
      <c r="AI29" s="1772"/>
      <c r="AJ29" s="1772"/>
      <c r="AK29" s="1772"/>
      <c r="AL29" s="1772"/>
      <c r="AM29" s="1772"/>
      <c r="AN29" s="1772"/>
      <c r="AO29" s="5097"/>
      <c r="AP29" s="5097"/>
      <c r="AQ29" s="5097"/>
      <c r="AR29" s="397"/>
      <c r="AS29" s="650"/>
      <c r="BN29" s="1727">
        <v>19</v>
      </c>
    </row>
    <row customHeight="1" ht="19.95">
      <c r="D30" s="1734"/>
      <c r="E30" s="1771" t="s">
        <v>877</v>
      </c>
      <c r="F30" s="1054" t="s">
        <v>878</v>
      </c>
      <c r="G30" s="1750" t="s">
        <v>637</v>
      </c>
      <c r="H30" s="1772"/>
      <c r="I30" s="1772"/>
      <c r="J30" s="1772"/>
      <c r="K30" s="1772"/>
      <c r="L30" s="1772"/>
      <c r="M30" s="1772"/>
      <c r="N30" s="1772"/>
      <c r="O30" s="1772"/>
      <c r="P30" s="1772"/>
      <c r="Q30" s="1772"/>
      <c r="R30" s="1772"/>
      <c r="S30" s="1772"/>
      <c r="T30" s="1772"/>
      <c r="U30" s="1772"/>
      <c r="V30" s="1772"/>
      <c r="W30" s="1772"/>
      <c r="X30" s="1772"/>
      <c r="Y30" s="1772"/>
      <c r="Z30" s="1772"/>
      <c r="AA30" s="1772"/>
      <c r="AB30" s="1772"/>
      <c r="AC30" s="1772"/>
      <c r="AD30" s="1772"/>
      <c r="AE30" s="1772"/>
      <c r="AF30" s="1772"/>
      <c r="AG30" s="1772"/>
      <c r="AH30" s="1772"/>
      <c r="AI30" s="1772"/>
      <c r="AJ30" s="1772"/>
      <c r="AK30" s="1772"/>
      <c r="AL30" s="1772"/>
      <c r="AM30" s="1772"/>
      <c r="AN30" s="1772"/>
      <c r="AO30" s="5097"/>
      <c r="AP30" s="5097"/>
      <c r="AQ30" s="5097"/>
      <c r="AR30" s="397"/>
      <c r="AS30" s="650"/>
      <c r="BN30" s="1727">
        <v>19</v>
      </c>
    </row>
    <row customHeight="1" ht="19.95">
      <c r="D31" s="1734"/>
      <c r="E31" s="1771" t="s">
        <v>879</v>
      </c>
      <c r="F31" s="1054" t="s">
        <v>880</v>
      </c>
      <c r="G31" s="1750" t="s">
        <v>637</v>
      </c>
      <c r="H31" s="1772"/>
      <c r="I31" s="1772"/>
      <c r="J31" s="1772"/>
      <c r="K31" s="1772"/>
      <c r="L31" s="1772"/>
      <c r="M31" s="1772"/>
      <c r="N31" s="1772"/>
      <c r="O31" s="1772"/>
      <c r="P31" s="1772"/>
      <c r="Q31" s="1772"/>
      <c r="R31" s="1772"/>
      <c r="S31" s="1772"/>
      <c r="T31" s="1772"/>
      <c r="U31" s="1772"/>
      <c r="V31" s="1772"/>
      <c r="W31" s="1772"/>
      <c r="X31" s="1772"/>
      <c r="Y31" s="1772"/>
      <c r="Z31" s="1772"/>
      <c r="AA31" s="1772"/>
      <c r="AB31" s="1772"/>
      <c r="AC31" s="1772"/>
      <c r="AD31" s="1772"/>
      <c r="AE31" s="1772"/>
      <c r="AF31" s="1772"/>
      <c r="AG31" s="1772"/>
      <c r="AH31" s="1772"/>
      <c r="AI31" s="1772"/>
      <c r="AJ31" s="1772"/>
      <c r="AK31" s="1772"/>
      <c r="AL31" s="1772"/>
      <c r="AM31" s="1772"/>
      <c r="AN31" s="1772"/>
      <c r="AO31" s="5097"/>
      <c r="AP31" s="5097"/>
      <c r="AQ31" s="5097"/>
      <c r="AR31" s="397"/>
      <c r="AS31" s="650"/>
      <c r="BN31" s="1727">
        <v>19</v>
      </c>
    </row>
    <row s="10306" customFormat="1" customHeight="1" ht="35.699999999999996">
      <c r="A32" s="1087"/>
      <c r="C32" s="1732"/>
      <c r="D32" s="1734"/>
      <c r="E32" s="1771" t="s">
        <v>881</v>
      </c>
      <c r="F32" s="1054" t="s">
        <v>882</v>
      </c>
      <c r="G32" s="1740" t="s">
        <v>637</v>
      </c>
      <c r="H32" s="686">
        <f>SUM(H33:H34)</f>
        <v>0</v>
      </c>
      <c r="I32" s="686">
        <f>SUM(I33:I34)</f>
        <v>0</v>
      </c>
      <c r="J32" s="686">
        <f>SUM(J33:J34)</f>
        <v>0</v>
      </c>
      <c r="K32" s="686">
        <f>SUM(K33:K34)</f>
        <v>0</v>
      </c>
      <c r="L32" s="686">
        <f>SUM(L33:L34)</f>
        <v>0</v>
      </c>
      <c r="M32" s="686">
        <f>SUM(M33:M34)</f>
        <v>0</v>
      </c>
      <c r="N32" s="686">
        <f>SUM(N33:N34)</f>
        <v>0</v>
      </c>
      <c r="O32" s="686">
        <f>SUM(O33:O34)</f>
        <v>0</v>
      </c>
      <c r="P32" s="686">
        <f>SUM(P33:P34)</f>
        <v>0</v>
      </c>
      <c r="Q32" s="686">
        <f>SUM(Q33:Q34)</f>
        <v>0</v>
      </c>
      <c r="R32" s="686">
        <f>SUM(R33:R34)</f>
        <v>0</v>
      </c>
      <c r="S32" s="686">
        <f>SUM(S33:S34)</f>
        <v>0</v>
      </c>
      <c r="T32" s="686">
        <f>SUM(T33:T34)</f>
        <v>0</v>
      </c>
      <c r="U32" s="686">
        <f>SUM(U33:U34)</f>
        <v>0</v>
      </c>
      <c r="V32" s="686">
        <f>SUM(V33:V34)</f>
        <v>0</v>
      </c>
      <c r="W32" s="686">
        <f>SUM(W33:W34)</f>
        <v>0</v>
      </c>
      <c r="X32" s="686">
        <f>SUM(X33:X34)</f>
        <v>0</v>
      </c>
      <c r="Y32" s="686">
        <f>SUM(Y33:Y34)</f>
        <v>0</v>
      </c>
      <c r="Z32" s="686">
        <f>SUM(Z33:Z34)</f>
        <v>0</v>
      </c>
      <c r="AA32" s="686">
        <f>SUM(AA33:AA34)</f>
        <v>0</v>
      </c>
      <c r="AB32" s="686">
        <f>SUM(AB33:AB34)</f>
        <v>0</v>
      </c>
      <c r="AC32" s="686">
        <f>SUM(AC33:AC34)</f>
        <v>0</v>
      </c>
      <c r="AD32" s="686">
        <f>SUM(AD33:AD34)</f>
        <v>0</v>
      </c>
      <c r="AE32" s="686">
        <f>SUM(AE33:AE34)</f>
        <v>0</v>
      </c>
      <c r="AF32" s="686">
        <f>SUM(AF33:AF34)</f>
        <v>0</v>
      </c>
      <c r="AG32" s="686">
        <f>SUM(AG33:AG34)</f>
        <v>0</v>
      </c>
      <c r="AH32" s="686">
        <f>SUM(AH33:AH34)</f>
        <v>0</v>
      </c>
      <c r="AI32" s="686">
        <f>SUM(AI33:AI34)</f>
        <v>0</v>
      </c>
      <c r="AJ32" s="686">
        <f>SUM(AJ33:AJ34)</f>
        <v>0</v>
      </c>
      <c r="AK32" s="686">
        <f>SUM(AK33:AK34)</f>
        <v>0</v>
      </c>
      <c r="AL32" s="686">
        <f>SUM(AL33:AL34)</f>
        <v>0</v>
      </c>
      <c r="AM32" s="686">
        <f>SUM(AM33:AM34)</f>
        <v>0</v>
      </c>
      <c r="AN32" s="686">
        <f>SUM(AN33:AN34)</f>
        <v>0</v>
      </c>
      <c r="AO32" s="4710">
        <f>SUM(AO33:AO34)</f>
        <v>0</v>
      </c>
      <c r="AP32" s="4710">
        <f>SUM(AP33:AP34)</f>
        <v>0</v>
      </c>
      <c r="AQ32" s="4710">
        <f>SUM(AQ33:AQ34)</f>
        <v>0</v>
      </c>
      <c r="AR32" s="397" t="s">
        <v>883</v>
      </c>
      <c r="AS32" s="650"/>
      <c r="AT32" s="1732"/>
      <c r="AU32" s="1732"/>
      <c r="AZ32" s="1732"/>
      <c r="BC32" s="651"/>
      <c r="BI32" s="1728"/>
      <c r="BJ32" s="1728"/>
      <c r="BK32" s="1728"/>
      <c r="BL32" s="1728"/>
      <c r="BM32" s="1728"/>
      <c r="BN32" s="1256">
        <v>34</v>
      </c>
    </row>
    <row s="10307" customFormat="1" customHeight="1" ht="1.05">
      <c r="A33" s="1263"/>
      <c r="D33" s="655"/>
      <c r="E33" s="903" t="str">
        <f>E32&amp;".0"</f>
        <v>2.8.0</v>
      </c>
      <c r="F33" s="1091"/>
      <c r="G33" s="658"/>
      <c r="H33" s="1092"/>
      <c r="I33" s="1092"/>
      <c r="J33" s="1092"/>
      <c r="K33" s="1092"/>
      <c r="L33" s="1092"/>
      <c r="M33" s="1092"/>
      <c r="N33" s="1092"/>
      <c r="O33" s="1092"/>
      <c r="P33" s="1092"/>
      <c r="Q33" s="1092"/>
      <c r="R33" s="1092"/>
      <c r="S33" s="1092"/>
      <c r="T33" s="1092"/>
      <c r="U33" s="1092"/>
      <c r="V33" s="1092"/>
      <c r="W33" s="1092"/>
      <c r="X33" s="1092"/>
      <c r="Y33" s="1092"/>
      <c r="Z33" s="1092"/>
      <c r="AA33" s="1092"/>
      <c r="AB33" s="1092"/>
      <c r="AC33" s="1092"/>
      <c r="AD33" s="1092"/>
      <c r="AE33" s="1092"/>
      <c r="AF33" s="1092"/>
      <c r="AG33" s="1092"/>
      <c r="AH33" s="1092"/>
      <c r="AI33" s="1092"/>
      <c r="AJ33" s="1092"/>
      <c r="AK33" s="1092"/>
      <c r="AL33" s="1092"/>
      <c r="AM33" s="1092"/>
      <c r="AN33" s="1092"/>
      <c r="AO33" s="4713"/>
      <c r="AP33" s="4713"/>
      <c r="AQ33" s="4713"/>
      <c r="AR33" s="1093"/>
      <c r="BN33" s="1732">
        <v>1</v>
      </c>
    </row>
    <row s="10306" customFormat="1" customHeight="1" ht="19.95">
      <c r="A34" s="1087"/>
      <c r="C34" s="1732"/>
      <c r="D34" s="1729"/>
      <c r="E34" s="677"/>
      <c r="F34" s="1762" t="s">
        <v>671</v>
      </c>
      <c r="G34" s="679"/>
      <c r="H34" s="680"/>
      <c r="I34" s="680"/>
      <c r="J34" s="2393"/>
      <c r="K34" s="2394"/>
      <c r="L34" s="2395"/>
      <c r="M34" s="2396"/>
      <c r="N34" s="2397"/>
      <c r="O34" s="2398"/>
      <c r="P34" s="2399"/>
      <c r="Q34" s="2400"/>
      <c r="R34" s="2401"/>
      <c r="S34" s="2402"/>
      <c r="T34" s="2403"/>
      <c r="U34" s="2404"/>
      <c r="V34" s="2405"/>
      <c r="W34" s="2406"/>
      <c r="X34" s="2407"/>
      <c r="Y34" s="2408"/>
      <c r="Z34" s="2409"/>
      <c r="AA34" s="2410"/>
      <c r="AB34" s="2411"/>
      <c r="AC34" s="2412"/>
      <c r="AD34" s="2413"/>
      <c r="AE34" s="2414"/>
      <c r="AF34" s="2415"/>
      <c r="AG34" s="2416"/>
      <c r="AH34" s="2417"/>
      <c r="AI34" s="2418"/>
      <c r="AJ34" s="2419"/>
      <c r="AK34" s="2420"/>
      <c r="AL34" s="2421"/>
      <c r="AM34" s="2422"/>
      <c r="AN34" s="2423"/>
      <c r="AO34" s="5131"/>
      <c r="AP34" s="5132"/>
      <c r="AQ34" s="5133"/>
      <c r="AR34" s="409" t="s">
        <v>884</v>
      </c>
      <c r="AS34" s="650"/>
      <c r="AT34" s="1732"/>
      <c r="AU34" s="1732"/>
      <c r="AZ34" s="1732"/>
      <c r="BC34" s="651"/>
      <c r="BI34" s="1728"/>
      <c r="BJ34" s="1728"/>
      <c r="BK34" s="1728"/>
      <c r="BL34" s="1728"/>
      <c r="BM34" s="1728"/>
      <c r="BN34" s="1256">
        <v>19</v>
      </c>
    </row>
    <row customHeight="1" ht="60">
      <c r="D35" s="1734"/>
      <c r="E35" s="1771" t="s">
        <v>885</v>
      </c>
      <c r="F35" s="1054" t="s">
        <v>886</v>
      </c>
      <c r="G35" s="1750" t="s">
        <v>637</v>
      </c>
      <c r="H35" s="8485" t="s">
        <v>22</v>
      </c>
      <c r="I35" s="8485" t="s">
        <v>22</v>
      </c>
      <c r="J35" s="8485" t="s">
        <v>22</v>
      </c>
      <c r="K35" s="8485" t="s">
        <v>22</v>
      </c>
      <c r="L35" s="8485" t="s">
        <v>22</v>
      </c>
      <c r="M35" s="8485" t="s">
        <v>22</v>
      </c>
      <c r="N35" s="8485" t="s">
        <v>22</v>
      </c>
      <c r="O35" s="8485" t="s">
        <v>22</v>
      </c>
      <c r="P35" s="8485" t="s">
        <v>22</v>
      </c>
      <c r="Q35" s="8485" t="s">
        <v>22</v>
      </c>
      <c r="R35" s="8485" t="s">
        <v>22</v>
      </c>
      <c r="S35" s="8485" t="s">
        <v>22</v>
      </c>
      <c r="T35" s="8485" t="s">
        <v>22</v>
      </c>
      <c r="U35" s="8485" t="s">
        <v>22</v>
      </c>
      <c r="V35" s="8485" t="s">
        <v>22</v>
      </c>
      <c r="W35" s="8485" t="s">
        <v>22</v>
      </c>
      <c r="X35" s="8485" t="s">
        <v>22</v>
      </c>
      <c r="Y35" s="8485" t="s">
        <v>22</v>
      </c>
      <c r="Z35" s="8485" t="s">
        <v>22</v>
      </c>
      <c r="AA35" s="8485" t="s">
        <v>22</v>
      </c>
      <c r="AB35" s="8485" t="s">
        <v>22</v>
      </c>
      <c r="AC35" s="8485" t="s">
        <v>22</v>
      </c>
      <c r="AD35" s="8485" t="s">
        <v>22</v>
      </c>
      <c r="AE35" s="8485" t="s">
        <v>22</v>
      </c>
      <c r="AF35" s="8485" t="s">
        <v>22</v>
      </c>
      <c r="AG35" s="8485" t="s">
        <v>22</v>
      </c>
      <c r="AH35" s="8485" t="s">
        <v>22</v>
      </c>
      <c r="AI35" s="8485" t="s">
        <v>22</v>
      </c>
      <c r="AJ35" s="8485" t="s">
        <v>22</v>
      </c>
      <c r="AK35" s="8485" t="s">
        <v>22</v>
      </c>
      <c r="AL35" s="8485" t="s">
        <v>22</v>
      </c>
      <c r="AM35" s="8485" t="s">
        <v>22</v>
      </c>
      <c r="AN35" s="8485" t="s">
        <v>22</v>
      </c>
      <c r="AO35" s="8486" t="s">
        <v>22</v>
      </c>
      <c r="AP35" s="8486" t="s">
        <v>22</v>
      </c>
      <c r="AQ35" s="8486" t="s">
        <v>22</v>
      </c>
      <c r="AR35" s="397" t="s">
        <v>887</v>
      </c>
      <c r="AS35" s="650"/>
      <c r="BN35" s="1727">
        <v>57</v>
      </c>
    </row>
    <row s="11914" customFormat="1" customHeight="1" ht="19.95">
      <c r="A36" s="8488"/>
      <c r="B36" s="8489"/>
      <c r="C36" s="8490"/>
      <c r="D36" s="8491"/>
      <c r="E36" s="8492" t="s">
        <v>888</v>
      </c>
      <c r="F36" s="8493" t="s">
        <v>889</v>
      </c>
      <c r="G36" s="8494" t="s">
        <v>637</v>
      </c>
      <c r="H36" s="8495" t="s">
        <v>22</v>
      </c>
      <c r="I36" s="8495" t="s">
        <v>22</v>
      </c>
      <c r="J36" s="8495" t="s">
        <v>22</v>
      </c>
      <c r="K36" s="8495" t="s">
        <v>22</v>
      </c>
      <c r="L36" s="8495" t="s">
        <v>22</v>
      </c>
      <c r="M36" s="8495" t="s">
        <v>22</v>
      </c>
      <c r="N36" s="8495" t="s">
        <v>22</v>
      </c>
      <c r="O36" s="8495" t="s">
        <v>22</v>
      </c>
      <c r="P36" s="8495" t="s">
        <v>22</v>
      </c>
      <c r="Q36" s="8495" t="s">
        <v>22</v>
      </c>
      <c r="R36" s="8495" t="s">
        <v>22</v>
      </c>
      <c r="S36" s="8495" t="s">
        <v>22</v>
      </c>
      <c r="T36" s="8495" t="s">
        <v>22</v>
      </c>
      <c r="U36" s="8495" t="s">
        <v>22</v>
      </c>
      <c r="V36" s="8495" t="s">
        <v>22</v>
      </c>
      <c r="W36" s="8495" t="s">
        <v>22</v>
      </c>
      <c r="X36" s="8495" t="s">
        <v>22</v>
      </c>
      <c r="Y36" s="8495" t="s">
        <v>22</v>
      </c>
      <c r="Z36" s="8495" t="s">
        <v>22</v>
      </c>
      <c r="AA36" s="8495" t="s">
        <v>22</v>
      </c>
      <c r="AB36" s="8495" t="s">
        <v>22</v>
      </c>
      <c r="AC36" s="8495" t="s">
        <v>22</v>
      </c>
      <c r="AD36" s="8495" t="s">
        <v>22</v>
      </c>
      <c r="AE36" s="8495" t="s">
        <v>22</v>
      </c>
      <c r="AF36" s="8495" t="s">
        <v>22</v>
      </c>
      <c r="AG36" s="8495" t="s">
        <v>22</v>
      </c>
      <c r="AH36" s="8495" t="s">
        <v>22</v>
      </c>
      <c r="AI36" s="8495" t="s">
        <v>22</v>
      </c>
      <c r="AJ36" s="8495" t="s">
        <v>22</v>
      </c>
      <c r="AK36" s="8495" t="s">
        <v>22</v>
      </c>
      <c r="AL36" s="8495" t="s">
        <v>22</v>
      </c>
      <c r="AM36" s="8495" t="s">
        <v>22</v>
      </c>
      <c r="AN36" s="8495" t="s">
        <v>22</v>
      </c>
      <c r="AO36" s="8495" t="s">
        <v>22</v>
      </c>
      <c r="AP36" s="8495" t="s">
        <v>22</v>
      </c>
      <c r="AQ36" s="8495" t="s">
        <v>22</v>
      </c>
      <c r="AR36" s="8496" t="s">
        <v>890</v>
      </c>
      <c r="AS36" s="8497"/>
      <c r="AT36" s="8490"/>
      <c r="AU36" s="8490"/>
      <c r="AV36" s="8489"/>
      <c r="AW36" s="8489"/>
      <c r="AX36" s="8489"/>
      <c r="AY36" s="8489"/>
      <c r="AZ36" s="8490"/>
      <c r="BA36" s="8489"/>
      <c r="BB36" s="8489"/>
      <c r="BC36" s="8498"/>
      <c r="BD36" s="8489"/>
      <c r="BE36" s="8489"/>
      <c r="BF36" s="8489"/>
      <c r="BG36" s="8489"/>
      <c r="BH36" s="8489"/>
      <c r="BI36" s="8499"/>
      <c r="BJ36" s="8499"/>
      <c r="BK36" s="8499"/>
      <c r="BL36" s="8499"/>
      <c r="BM36" s="8499"/>
      <c r="BN36" s="8500">
        <v>19</v>
      </c>
    </row>
    <row s="11928" customFormat="1" customHeight="1" ht="19.95">
      <c r="A37" s="8488"/>
      <c r="B37" s="8489"/>
      <c r="C37" s="8490"/>
      <c r="D37" s="8491"/>
      <c r="E37" s="8492" t="s">
        <v>891</v>
      </c>
      <c r="F37" s="8493" t="s">
        <v>892</v>
      </c>
      <c r="G37" s="8494" t="s">
        <v>637</v>
      </c>
      <c r="H37" s="8495" t="s">
        <v>22</v>
      </c>
      <c r="I37" s="8495" t="s">
        <v>22</v>
      </c>
      <c r="J37" s="8495" t="s">
        <v>22</v>
      </c>
      <c r="K37" s="8495" t="s">
        <v>22</v>
      </c>
      <c r="L37" s="8495" t="s">
        <v>22</v>
      </c>
      <c r="M37" s="8495" t="s">
        <v>22</v>
      </c>
      <c r="N37" s="8495" t="s">
        <v>22</v>
      </c>
      <c r="O37" s="8495" t="s">
        <v>22</v>
      </c>
      <c r="P37" s="8495" t="s">
        <v>22</v>
      </c>
      <c r="Q37" s="8495" t="s">
        <v>22</v>
      </c>
      <c r="R37" s="8495" t="s">
        <v>22</v>
      </c>
      <c r="S37" s="8495" t="s">
        <v>22</v>
      </c>
      <c r="T37" s="8495" t="s">
        <v>22</v>
      </c>
      <c r="U37" s="8495" t="s">
        <v>22</v>
      </c>
      <c r="V37" s="8495" t="s">
        <v>22</v>
      </c>
      <c r="W37" s="8495" t="s">
        <v>22</v>
      </c>
      <c r="X37" s="8495" t="s">
        <v>22</v>
      </c>
      <c r="Y37" s="8495" t="s">
        <v>22</v>
      </c>
      <c r="Z37" s="8495" t="s">
        <v>22</v>
      </c>
      <c r="AA37" s="8495" t="s">
        <v>22</v>
      </c>
      <c r="AB37" s="8495" t="s">
        <v>22</v>
      </c>
      <c r="AC37" s="8495" t="s">
        <v>22</v>
      </c>
      <c r="AD37" s="8495" t="s">
        <v>22</v>
      </c>
      <c r="AE37" s="8495" t="s">
        <v>22</v>
      </c>
      <c r="AF37" s="8495" t="s">
        <v>22</v>
      </c>
      <c r="AG37" s="8495" t="s">
        <v>22</v>
      </c>
      <c r="AH37" s="8495" t="s">
        <v>22</v>
      </c>
      <c r="AI37" s="8495" t="s">
        <v>22</v>
      </c>
      <c r="AJ37" s="8495" t="s">
        <v>22</v>
      </c>
      <c r="AK37" s="8495" t="s">
        <v>22</v>
      </c>
      <c r="AL37" s="8495" t="s">
        <v>22</v>
      </c>
      <c r="AM37" s="8495" t="s">
        <v>22</v>
      </c>
      <c r="AN37" s="8495" t="s">
        <v>22</v>
      </c>
      <c r="AO37" s="8495" t="s">
        <v>22</v>
      </c>
      <c r="AP37" s="8495" t="s">
        <v>22</v>
      </c>
      <c r="AQ37" s="8495" t="s">
        <v>22</v>
      </c>
      <c r="AR37" s="8496" t="s">
        <v>893</v>
      </c>
      <c r="AS37" s="8497"/>
      <c r="AT37" s="8490"/>
      <c r="AU37" s="8490"/>
      <c r="AV37" s="8489"/>
      <c r="AW37" s="8489"/>
      <c r="AX37" s="8489"/>
      <c r="AY37" s="8489"/>
      <c r="AZ37" s="8490"/>
      <c r="BA37" s="8489"/>
      <c r="BB37" s="8489"/>
      <c r="BC37" s="8498"/>
      <c r="BD37" s="8489"/>
      <c r="BE37" s="8489"/>
      <c r="BF37" s="8489"/>
      <c r="BG37" s="8489"/>
      <c r="BH37" s="8489"/>
      <c r="BI37" s="8499"/>
      <c r="BJ37" s="8499"/>
      <c r="BK37" s="8499"/>
      <c r="BL37" s="8499"/>
      <c r="BM37" s="8499"/>
      <c r="BN37" s="8500">
        <v>19</v>
      </c>
    </row>
    <row s="10306" customFormat="1" customHeight="1" ht="24">
      <c r="A38" s="1089" t="s">
        <v>672</v>
      </c>
      <c r="C38" s="1732"/>
      <c r="D38" s="1734"/>
      <c r="E38" s="1760" t="s">
        <v>90</v>
      </c>
      <c r="F38" s="814" t="s">
        <v>894</v>
      </c>
      <c r="G38" s="1739" t="s">
        <v>637</v>
      </c>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4643"/>
      <c r="AP38" s="4643"/>
      <c r="AQ38" s="4643"/>
      <c r="AR38" s="397" t="s">
        <v>895</v>
      </c>
      <c r="AS38" s="650"/>
      <c r="AT38" s="1732"/>
      <c r="AU38" s="1732"/>
      <c r="AZ38" s="1732"/>
      <c r="BC38" s="651"/>
      <c r="BI38" s="1728"/>
      <c r="BJ38" s="1728"/>
      <c r="BK38" s="1728"/>
      <c r="BL38" s="1728"/>
      <c r="BM38" s="1728"/>
      <c r="BN38" s="1256">
        <v>23</v>
      </c>
    </row>
    <row s="10306" customFormat="1" customHeight="1" ht="35.699999999999996">
      <c r="A39" s="1089"/>
      <c r="C39" s="1732"/>
      <c r="D39" s="1734"/>
      <c r="E39" s="1760" t="s">
        <v>409</v>
      </c>
      <c r="F39" s="1054" t="s">
        <v>896</v>
      </c>
      <c r="G39" s="1750"/>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664"/>
      <c r="AO39" s="4643"/>
      <c r="AP39" s="4643"/>
      <c r="AQ39" s="4643"/>
      <c r="AR39" s="397"/>
      <c r="AS39" s="650"/>
      <c r="AT39" s="1732"/>
      <c r="AU39" s="1732"/>
      <c r="AZ39" s="1732"/>
      <c r="BC39" s="651"/>
      <c r="BI39" s="1728"/>
      <c r="BJ39" s="1728"/>
      <c r="BK39" s="1728"/>
      <c r="BL39" s="1728"/>
      <c r="BM39" s="1728"/>
      <c r="BN39" s="1256">
        <v>34</v>
      </c>
    </row>
    <row s="10306" customFormat="1" customHeight="1" ht="19.95">
      <c r="A40" s="1087"/>
      <c r="C40" s="1732"/>
      <c r="D40" s="682"/>
      <c r="E40" s="1760" t="s">
        <v>91</v>
      </c>
      <c r="F40" s="814" t="s">
        <v>897</v>
      </c>
      <c r="G40" s="1739" t="s">
        <v>637</v>
      </c>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64"/>
      <c r="AL40" s="664"/>
      <c r="AM40" s="664"/>
      <c r="AN40" s="664"/>
      <c r="AO40" s="4643"/>
      <c r="AP40" s="4643"/>
      <c r="AQ40" s="4643"/>
      <c r="AR40" s="397" t="s">
        <v>898</v>
      </c>
      <c r="AS40" s="650"/>
      <c r="AT40" s="1732"/>
      <c r="AU40" s="1732"/>
      <c r="AZ40" s="1732"/>
      <c r="BC40" s="651"/>
      <c r="BI40" s="1728"/>
      <c r="BJ40" s="1728"/>
      <c r="BK40" s="1728"/>
      <c r="BL40" s="1728"/>
      <c r="BM40" s="1728"/>
      <c r="BN40" s="1256">
        <v>19</v>
      </c>
    </row>
    <row s="10306" customFormat="1" customHeight="1" ht="24">
      <c r="A41" s="1087"/>
      <c r="C41" s="1732"/>
      <c r="D41" s="682"/>
      <c r="E41" s="1760" t="s">
        <v>899</v>
      </c>
      <c r="F41" s="1054" t="s">
        <v>900</v>
      </c>
      <c r="G41" s="1750" t="s">
        <v>637</v>
      </c>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4"/>
      <c r="AM41" s="664"/>
      <c r="AN41" s="664"/>
      <c r="AO41" s="4643"/>
      <c r="AP41" s="4643"/>
      <c r="AQ41" s="4643"/>
      <c r="AR41" s="397" t="s">
        <v>901</v>
      </c>
      <c r="AS41" s="650"/>
      <c r="AT41" s="1732"/>
      <c r="AU41" s="1732"/>
      <c r="AZ41" s="1732"/>
      <c r="BC41" s="651"/>
      <c r="BI41" s="1728"/>
      <c r="BJ41" s="1728"/>
      <c r="BK41" s="1728"/>
      <c r="BL41" s="1728"/>
      <c r="BM41" s="1728"/>
      <c r="BN41" s="1256">
        <v>23</v>
      </c>
    </row>
    <row s="10306" customFormat="1" customHeight="1" ht="24">
      <c r="A42" s="1087"/>
      <c r="C42" s="1732"/>
      <c r="D42" s="1734"/>
      <c r="E42" s="1760" t="s">
        <v>902</v>
      </c>
      <c r="F42" s="1746" t="s">
        <v>903</v>
      </c>
      <c r="G42" s="1739" t="s">
        <v>637</v>
      </c>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4643"/>
      <c r="AP42" s="4643"/>
      <c r="AQ42" s="4643"/>
      <c r="AR42" s="397" t="s">
        <v>904</v>
      </c>
      <c r="AS42" s="650"/>
      <c r="AT42" s="1732"/>
      <c r="AU42" s="1732"/>
      <c r="AZ42" s="1732"/>
      <c r="BC42" s="651"/>
      <c r="BI42" s="1728"/>
      <c r="BJ42" s="1728"/>
      <c r="BK42" s="1728"/>
      <c r="BL42" s="1728"/>
      <c r="BM42" s="1728"/>
      <c r="BN42" s="1256">
        <v>23</v>
      </c>
    </row>
    <row s="10306" customFormat="1" customHeight="1" ht="24">
      <c r="A43" s="1087"/>
      <c r="C43" s="1732"/>
      <c r="D43" s="1734"/>
      <c r="E43" s="1760" t="s">
        <v>905</v>
      </c>
      <c r="F43" s="1746" t="s">
        <v>906</v>
      </c>
      <c r="G43" s="1739" t="s">
        <v>637</v>
      </c>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4643"/>
      <c r="AP43" s="4643"/>
      <c r="AQ43" s="4643"/>
      <c r="AR43" s="397" t="s">
        <v>907</v>
      </c>
      <c r="AS43" s="650"/>
      <c r="AT43" s="1732"/>
      <c r="AU43" s="1732"/>
      <c r="AZ43" s="1732"/>
      <c r="BC43" s="651"/>
      <c r="BI43" s="1728"/>
      <c r="BJ43" s="1728"/>
      <c r="BK43" s="1728"/>
      <c r="BL43" s="1728"/>
      <c r="BM43" s="1728"/>
      <c r="BN43" s="1256">
        <v>23</v>
      </c>
    </row>
    <row s="10306" customFormat="1" customHeight="1" ht="24">
      <c r="A44" s="1087"/>
      <c r="C44" s="1732"/>
      <c r="D44" s="1734"/>
      <c r="E44" s="1760" t="s">
        <v>908</v>
      </c>
      <c r="F44" s="1746" t="s">
        <v>909</v>
      </c>
      <c r="G44" s="1739" t="s">
        <v>637</v>
      </c>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4643"/>
      <c r="AP44" s="4643"/>
      <c r="AQ44" s="4643"/>
      <c r="AR44" s="397" t="s">
        <v>910</v>
      </c>
      <c r="AS44" s="650"/>
      <c r="AT44" s="1732"/>
      <c r="AU44" s="1732"/>
      <c r="AZ44" s="1732"/>
      <c r="BC44" s="651"/>
      <c r="BI44" s="1728"/>
      <c r="BJ44" s="1728"/>
      <c r="BK44" s="1728"/>
      <c r="BL44" s="1728"/>
      <c r="BM44" s="1728"/>
      <c r="BN44" s="1256">
        <v>23</v>
      </c>
    </row>
    <row s="10306" customFormat="1" customHeight="1" ht="35.699999999999996">
      <c r="A45" s="1087"/>
      <c r="C45" s="1732" t="s">
        <v>674</v>
      </c>
      <c r="D45" s="1734"/>
      <c r="E45" s="1760" t="s">
        <v>121</v>
      </c>
      <c r="F45" s="814" t="s">
        <v>769</v>
      </c>
      <c r="G45" s="1742" t="s">
        <v>911</v>
      </c>
      <c r="H45" s="508"/>
      <c r="I45" s="508"/>
      <c r="J45" s="919"/>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919"/>
      <c r="AM45" s="919"/>
      <c r="AN45" s="919"/>
      <c r="AO45" s="4884"/>
      <c r="AP45" s="4884"/>
      <c r="AQ45" s="4884"/>
      <c r="AR45" s="397" t="s">
        <v>912</v>
      </c>
      <c r="AS45" s="650"/>
      <c r="AT45" s="1732"/>
      <c r="AU45" s="1732"/>
      <c r="AZ45" s="1732"/>
      <c r="BC45" s="651"/>
      <c r="BI45" s="1728"/>
      <c r="BJ45" s="1728"/>
      <c r="BK45" s="1728"/>
      <c r="BL45" s="1728"/>
      <c r="BM45" s="1728"/>
      <c r="BN45" s="1256">
        <v>34</v>
      </c>
    </row>
    <row s="10306" customFormat="1" customHeight="1" ht="35.699999999999996">
      <c r="A46" s="1087"/>
      <c r="C46" s="1732"/>
      <c r="D46" s="1734"/>
      <c r="E46" s="1760" t="s">
        <v>92</v>
      </c>
      <c r="F46" s="814" t="s">
        <v>913</v>
      </c>
      <c r="G46" s="1739" t="s">
        <v>914</v>
      </c>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4615"/>
      <c r="AP46" s="4615"/>
      <c r="AQ46" s="4615"/>
      <c r="AR46" s="397" t="s">
        <v>915</v>
      </c>
      <c r="AS46" s="650"/>
      <c r="AT46" s="1732"/>
      <c r="AU46" s="1732"/>
      <c r="AZ46" s="1732"/>
      <c r="BC46" s="651"/>
      <c r="BI46" s="1728"/>
      <c r="BJ46" s="1728"/>
      <c r="BK46" s="1728"/>
      <c r="BL46" s="1728"/>
      <c r="BM46" s="1728"/>
      <c r="BN46" s="1256">
        <v>34</v>
      </c>
    </row>
    <row s="10306" customFormat="1" customHeight="1" ht="24">
      <c r="A47" s="1087"/>
      <c r="C47" s="1732"/>
      <c r="D47" s="1734"/>
      <c r="E47" s="1760" t="s">
        <v>93</v>
      </c>
      <c r="F47" s="814" t="s">
        <v>916</v>
      </c>
      <c r="G47" s="1750" t="s">
        <v>917</v>
      </c>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4615"/>
      <c r="AP47" s="4615"/>
      <c r="AQ47" s="4615"/>
      <c r="AR47" s="397" t="s">
        <v>918</v>
      </c>
      <c r="AS47" s="650"/>
      <c r="AT47" s="1732"/>
      <c r="AU47" s="1732"/>
      <c r="AZ47" s="1732"/>
      <c r="BC47" s="651"/>
      <c r="BI47" s="1728"/>
      <c r="BJ47" s="1728"/>
      <c r="BK47" s="1728"/>
      <c r="BL47" s="1728"/>
      <c r="BM47" s="1728"/>
      <c r="BN47" s="1256">
        <v>23</v>
      </c>
    </row>
    <row s="10306" customFormat="1" customHeight="1" ht="19.95">
      <c r="A48" s="1087"/>
      <c r="C48" s="1732"/>
      <c r="D48" s="1734"/>
      <c r="E48" s="1760" t="s">
        <v>136</v>
      </c>
      <c r="F48" s="814" t="s">
        <v>919</v>
      </c>
      <c r="G48" s="1739" t="s">
        <v>685</v>
      </c>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4700"/>
      <c r="AP48" s="4700"/>
      <c r="AQ48" s="4700"/>
      <c r="AR48" s="397"/>
      <c r="AS48" s="650"/>
      <c r="AT48" s="1732"/>
      <c r="AU48" s="1732"/>
      <c r="AZ48" s="1732"/>
      <c r="BC48" s="651"/>
      <c r="BI48" s="1728"/>
      <c r="BJ48" s="1728"/>
      <c r="BK48" s="1728"/>
      <c r="BL48" s="1728"/>
      <c r="BM48" s="1728"/>
      <c r="BN48" s="1256">
        <v>19</v>
      </c>
    </row>
    <row customHeight="1" ht="11.549999999999999">
      <c r="D49" s="1734"/>
      <c r="AO49" s="4586"/>
      <c r="AP49" s="4586"/>
      <c r="AQ49" s="4586"/>
      <c r="BN49" s="1727">
        <v>11</v>
      </c>
    </row>
    <row s="10851" customFormat="1" customHeight="1" ht="11.549999999999999">
      <c r="A50" s="1087"/>
      <c r="B50" s="1732"/>
      <c r="C50" s="1732"/>
      <c r="D50" s="458"/>
      <c r="AO50" s="4889"/>
      <c r="AP50" s="4889"/>
      <c r="AQ50" s="4889"/>
      <c r="AS50" s="1256"/>
      <c r="AT50" s="1732"/>
      <c r="AU50" s="1732"/>
      <c r="AV50" s="1256"/>
      <c r="AW50" s="1256"/>
      <c r="AX50" s="1256"/>
      <c r="AY50" s="1256"/>
      <c r="AZ50" s="1732"/>
      <c r="BA50" s="1256"/>
      <c r="BB50" s="1256"/>
      <c r="BC50" s="651"/>
      <c r="BD50" s="1256"/>
      <c r="BE50" s="1256"/>
      <c r="BF50" s="1256"/>
      <c r="BG50" s="1256"/>
      <c r="BH50" s="1256"/>
      <c r="BI50" s="1728"/>
      <c r="BJ50" s="673"/>
      <c r="BK50" s="673"/>
      <c r="BL50" s="673"/>
      <c r="BM50" s="673"/>
      <c r="BN50" s="1737">
        <v>11</v>
      </c>
    </row>
    <row s="10851" customFormat="1" customHeight="1" ht="11.549999999999999">
      <c r="A51" s="1087"/>
      <c r="B51" s="1732"/>
      <c r="C51" s="1732"/>
      <c r="D51" s="458"/>
      <c r="AO51" s="4889"/>
      <c r="AP51" s="4889"/>
      <c r="AQ51" s="4889"/>
      <c r="AS51" s="1256"/>
      <c r="AT51" s="1732"/>
      <c r="AU51" s="1732"/>
      <c r="AV51" s="1256"/>
      <c r="AW51" s="1256"/>
      <c r="AX51" s="1256"/>
      <c r="AY51" s="1256"/>
      <c r="AZ51" s="1732"/>
      <c r="BA51" s="1256"/>
      <c r="BB51" s="1256"/>
      <c r="BC51" s="651"/>
      <c r="BD51" s="1256"/>
      <c r="BE51" s="1256"/>
      <c r="BF51" s="1256"/>
      <c r="BG51" s="1256"/>
      <c r="BH51" s="1256"/>
      <c r="BI51" s="1728"/>
      <c r="BJ51" s="673"/>
      <c r="BK51" s="673"/>
      <c r="BL51" s="673"/>
      <c r="BM51" s="673"/>
      <c r="BN51" s="1737">
        <v>11</v>
      </c>
    </row>
    <row s="10851" customFormat="1" customHeight="1" ht="11.549999999999999">
      <c r="A52" s="1087"/>
      <c r="B52" s="1732"/>
      <c r="C52" s="1732"/>
      <c r="D52" s="458"/>
      <c r="H52" s="673"/>
      <c r="I52" s="673"/>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4890"/>
      <c r="AP52" s="4890"/>
      <c r="AQ52" s="4890"/>
      <c r="AS52" s="1256"/>
      <c r="AT52" s="1732"/>
      <c r="AU52" s="1732"/>
      <c r="AV52" s="1256"/>
      <c r="AW52" s="1256"/>
      <c r="AX52" s="1256"/>
      <c r="AY52" s="1256"/>
      <c r="AZ52" s="1732"/>
      <c r="BA52" s="1256"/>
      <c r="BB52" s="1256"/>
      <c r="BC52" s="651"/>
      <c r="BD52" s="1256"/>
      <c r="BE52" s="1256"/>
      <c r="BF52" s="1256"/>
      <c r="BG52" s="1256"/>
      <c r="BH52" s="1256"/>
      <c r="BI52" s="1728"/>
      <c r="BJ52" s="673"/>
      <c r="BK52" s="673"/>
      <c r="BL52" s="673"/>
      <c r="BM52" s="673"/>
      <c r="BN52" s="1737">
        <v>11</v>
      </c>
    </row>
    <row s="10851" customFormat="1" customHeight="1" ht="11.549999999999999">
      <c r="A53" s="1087"/>
      <c r="B53" s="1732"/>
      <c r="C53" s="1732"/>
      <c r="D53" s="458"/>
      <c r="AO53" s="4889"/>
      <c r="AP53" s="4889"/>
      <c r="AQ53" s="4889"/>
      <c r="AS53" s="1256"/>
      <c r="AT53" s="1732"/>
      <c r="AU53" s="1732"/>
      <c r="AV53" s="1256"/>
      <c r="AW53" s="1256"/>
      <c r="AX53" s="1256"/>
      <c r="AY53" s="1256"/>
      <c r="AZ53" s="1732"/>
      <c r="BA53" s="1256"/>
      <c r="BB53" s="1256"/>
      <c r="BC53" s="651"/>
      <c r="BD53" s="1256"/>
      <c r="BE53" s="1256"/>
      <c r="BF53" s="1256"/>
      <c r="BG53" s="1256"/>
      <c r="BH53" s="1256"/>
      <c r="BI53" s="1728"/>
      <c r="BJ53" s="673"/>
      <c r="BK53" s="673"/>
      <c r="BL53" s="673"/>
      <c r="BM53" s="673"/>
      <c r="BN53" s="1737">
        <v>11</v>
      </c>
    </row>
    <row s="10851" customFormat="1" customHeight="1" ht="11.549999999999999">
      <c r="A54" s="1087"/>
      <c r="B54" s="1732"/>
      <c r="C54" s="1732"/>
      <c r="D54" s="458"/>
      <c r="AO54" s="4889"/>
      <c r="AP54" s="4889"/>
      <c r="AQ54" s="4889"/>
      <c r="AS54" s="1256"/>
      <c r="AT54" s="1732"/>
      <c r="AU54" s="1732"/>
      <c r="AV54" s="1256"/>
      <c r="AW54" s="1256"/>
      <c r="AX54" s="1256"/>
      <c r="AY54" s="1256"/>
      <c r="AZ54" s="1732"/>
      <c r="BA54" s="1256"/>
      <c r="BB54" s="1256"/>
      <c r="BC54" s="651"/>
      <c r="BD54" s="1256"/>
      <c r="BE54" s="1256"/>
      <c r="BF54" s="1256"/>
      <c r="BG54" s="1256"/>
      <c r="BH54" s="1256"/>
      <c r="BI54" s="1728"/>
      <c r="BJ54" s="673"/>
      <c r="BK54" s="673"/>
      <c r="BL54" s="673"/>
      <c r="BM54" s="673"/>
      <c r="BN54" s="1737">
        <v>11</v>
      </c>
    </row>
    <row s="10851" customFormat="1" customHeight="1" ht="11.549999999999999">
      <c r="A55" s="1087"/>
      <c r="B55" s="1732"/>
      <c r="C55" s="1732"/>
      <c r="D55" s="458"/>
      <c r="AO55" s="4889"/>
      <c r="AP55" s="4889"/>
      <c r="AQ55" s="4889"/>
      <c r="AS55" s="1256"/>
      <c r="AT55" s="1732"/>
      <c r="AU55" s="1732"/>
      <c r="AV55" s="1256"/>
      <c r="AW55" s="1256"/>
      <c r="AX55" s="1256"/>
      <c r="AY55" s="1256"/>
      <c r="AZ55" s="1732"/>
      <c r="BA55" s="1256"/>
      <c r="BB55" s="1256"/>
      <c r="BC55" s="651"/>
      <c r="BD55" s="1256"/>
      <c r="BE55" s="1256"/>
      <c r="BF55" s="1256"/>
      <c r="BG55" s="1256"/>
      <c r="BH55" s="1256"/>
      <c r="BI55" s="1728"/>
      <c r="BJ55" s="673"/>
      <c r="BK55" s="673"/>
      <c r="BL55" s="673"/>
      <c r="BM55" s="673"/>
      <c r="BN55" s="1737">
        <v>11</v>
      </c>
    </row>
    <row s="10851" customFormat="1" customHeight="1" ht="11.549999999999999">
      <c r="A56" s="1087"/>
      <c r="B56" s="1732"/>
      <c r="C56" s="1732"/>
      <c r="D56" s="458"/>
      <c r="AO56" s="4889"/>
      <c r="AP56" s="4889"/>
      <c r="AQ56" s="4889"/>
      <c r="AS56" s="1256"/>
      <c r="AT56" s="1732"/>
      <c r="AU56" s="1732"/>
      <c r="AV56" s="1256"/>
      <c r="AW56" s="1256"/>
      <c r="AX56" s="1256"/>
      <c r="AY56" s="1256"/>
      <c r="AZ56" s="1732"/>
      <c r="BA56" s="1256"/>
      <c r="BB56" s="1256"/>
      <c r="BC56" s="651"/>
      <c r="BD56" s="1256"/>
      <c r="BE56" s="1256"/>
      <c r="BF56" s="1256"/>
      <c r="BG56" s="1256"/>
      <c r="BH56" s="1256"/>
      <c r="BI56" s="1728"/>
      <c r="BJ56" s="673"/>
      <c r="BK56" s="673"/>
      <c r="BL56" s="673"/>
      <c r="BM56" s="673"/>
      <c r="BN56" s="1737">
        <v>11</v>
      </c>
    </row>
    <row s="10851" customFormat="1" customHeight="1" ht="11.549999999999999">
      <c r="A57" s="1087"/>
      <c r="B57" s="1732"/>
      <c r="C57" s="1732"/>
      <c r="D57" s="458"/>
      <c r="AO57" s="4889"/>
      <c r="AP57" s="4889"/>
      <c r="AQ57" s="4889"/>
      <c r="AS57" s="1256"/>
      <c r="AT57" s="1732"/>
      <c r="AU57" s="1732"/>
      <c r="AV57" s="1256"/>
      <c r="AW57" s="1256"/>
      <c r="AX57" s="1256"/>
      <c r="AY57" s="1256"/>
      <c r="AZ57" s="1732"/>
      <c r="BA57" s="1256"/>
      <c r="BB57" s="1256"/>
      <c r="BC57" s="651"/>
      <c r="BD57" s="1256"/>
      <c r="BE57" s="1256"/>
      <c r="BF57" s="1256"/>
      <c r="BG57" s="1256"/>
      <c r="BH57" s="1256"/>
      <c r="BI57" s="1728"/>
      <c r="BJ57" s="673"/>
      <c r="BK57" s="673"/>
      <c r="BL57" s="673"/>
      <c r="BM57" s="673"/>
      <c r="BN57" s="1737">
        <v>11</v>
      </c>
    </row>
    <row s="10851" customFormat="1" customHeight="1" ht="11.549999999999999">
      <c r="A58" s="1087"/>
      <c r="B58" s="1732"/>
      <c r="C58" s="1732"/>
      <c r="D58" s="458"/>
      <c r="AO58" s="4889"/>
      <c r="AP58" s="4889"/>
      <c r="AQ58" s="4889"/>
      <c r="AS58" s="1256"/>
      <c r="AT58" s="1732"/>
      <c r="AU58" s="1732"/>
      <c r="AV58" s="1256"/>
      <c r="AW58" s="1256"/>
      <c r="AX58" s="1256"/>
      <c r="AY58" s="1256"/>
      <c r="AZ58" s="1732"/>
      <c r="BA58" s="1256"/>
      <c r="BB58" s="1256"/>
      <c r="BC58" s="651"/>
      <c r="BD58" s="1256"/>
      <c r="BE58" s="1256"/>
      <c r="BF58" s="1256"/>
      <c r="BG58" s="1256"/>
      <c r="BH58" s="1256"/>
      <c r="BI58" s="1728"/>
      <c r="BJ58" s="673"/>
      <c r="BK58" s="673"/>
      <c r="BL58" s="673"/>
      <c r="BM58" s="673"/>
      <c r="BN58" s="1737">
        <v>11</v>
      </c>
    </row>
    <row s="10851" customFormat="1" customHeight="1" ht="11.549999999999999">
      <c r="A59" s="1087"/>
      <c r="B59" s="1732"/>
      <c r="C59" s="1732"/>
      <c r="D59" s="458"/>
      <c r="AO59" s="4889"/>
      <c r="AP59" s="4889"/>
      <c r="AQ59" s="4889"/>
      <c r="AS59" s="1256"/>
      <c r="AT59" s="1732"/>
      <c r="AU59" s="1732"/>
      <c r="AV59" s="1256"/>
      <c r="AW59" s="1256"/>
      <c r="AX59" s="1256"/>
      <c r="AY59" s="1256"/>
      <c r="AZ59" s="1732"/>
      <c r="BA59" s="1256"/>
      <c r="BB59" s="1256"/>
      <c r="BC59" s="651"/>
      <c r="BD59" s="1256"/>
      <c r="BE59" s="1256"/>
      <c r="BF59" s="1256"/>
      <c r="BG59" s="1256"/>
      <c r="BH59" s="1256"/>
      <c r="BI59" s="1728"/>
      <c r="BJ59" s="673"/>
      <c r="BK59" s="673"/>
      <c r="BL59" s="673"/>
      <c r="BM59" s="673"/>
      <c r="BN59" s="1737">
        <v>11</v>
      </c>
    </row>
    <row s="10851" customFormat="1" customHeight="1" ht="11.549999999999999">
      <c r="A60" s="1087"/>
      <c r="B60" s="1732"/>
      <c r="C60" s="1732"/>
      <c r="D60" s="458"/>
      <c r="AO60" s="4889"/>
      <c r="AP60" s="4889"/>
      <c r="AQ60" s="4889"/>
      <c r="AS60" s="1256"/>
      <c r="AT60" s="1732"/>
      <c r="AU60" s="1732"/>
      <c r="AV60" s="1256"/>
      <c r="AW60" s="1256"/>
      <c r="AX60" s="1256"/>
      <c r="AY60" s="1256"/>
      <c r="AZ60" s="1732"/>
      <c r="BA60" s="1256"/>
      <c r="BB60" s="1256"/>
      <c r="BC60" s="651"/>
      <c r="BD60" s="1256"/>
      <c r="BE60" s="1256"/>
      <c r="BF60" s="1256"/>
      <c r="BG60" s="1256"/>
      <c r="BH60" s="1256"/>
      <c r="BI60" s="1728"/>
      <c r="BJ60" s="673"/>
      <c r="BK60" s="673"/>
      <c r="BL60" s="673"/>
      <c r="BM60" s="673"/>
      <c r="BN60" s="1737">
        <v>11</v>
      </c>
    </row>
    <row s="10851" customFormat="1" customHeight="1" ht="11.549999999999999">
      <c r="A61" s="1087"/>
      <c r="B61" s="1732"/>
      <c r="C61" s="1732"/>
      <c r="D61" s="458"/>
      <c r="AO61" s="4889"/>
      <c r="AP61" s="4889"/>
      <c r="AQ61" s="4889"/>
      <c r="AS61" s="1256"/>
      <c r="AT61" s="1732"/>
      <c r="AU61" s="1732"/>
      <c r="AV61" s="1256"/>
      <c r="AW61" s="1256"/>
      <c r="AX61" s="1256"/>
      <c r="AY61" s="1256"/>
      <c r="AZ61" s="1732"/>
      <c r="BA61" s="1256"/>
      <c r="BB61" s="1256"/>
      <c r="BC61" s="651"/>
      <c r="BD61" s="1256"/>
      <c r="BE61" s="1256"/>
      <c r="BF61" s="1256"/>
      <c r="BG61" s="1256"/>
      <c r="BH61" s="1256"/>
      <c r="BI61" s="1728"/>
      <c r="BJ61" s="673"/>
      <c r="BK61" s="673"/>
      <c r="BL61" s="673"/>
      <c r="BM61" s="673"/>
      <c r="BN61" s="1737">
        <v>11</v>
      </c>
    </row>
    <row s="10851" customFormat="1" customHeight="1" ht="11.549999999999999">
      <c r="A62" s="1087"/>
      <c r="B62" s="1732"/>
      <c r="C62" s="1732"/>
      <c r="D62" s="458"/>
      <c r="AO62" s="4889"/>
      <c r="AP62" s="4889"/>
      <c r="AQ62" s="4889"/>
      <c r="AS62" s="1256"/>
      <c r="AT62" s="1732"/>
      <c r="AU62" s="1732"/>
      <c r="AV62" s="1256"/>
      <c r="AW62" s="1256"/>
      <c r="AX62" s="1256"/>
      <c r="AY62" s="1256"/>
      <c r="AZ62" s="1732"/>
      <c r="BA62" s="1256"/>
      <c r="BB62" s="1256"/>
      <c r="BC62" s="651"/>
      <c r="BD62" s="1256"/>
      <c r="BE62" s="1256"/>
      <c r="BF62" s="1256"/>
      <c r="BG62" s="1256"/>
      <c r="BH62" s="1256"/>
      <c r="BI62" s="1728"/>
      <c r="BJ62" s="673"/>
      <c r="BK62" s="673"/>
      <c r="BL62" s="673"/>
      <c r="BM62" s="673"/>
      <c r="BN62" s="1737">
        <v>11</v>
      </c>
    </row>
    <row s="10851" customFormat="1" customHeight="1" ht="11.549999999999999">
      <c r="A63" s="1087"/>
      <c r="B63" s="1732"/>
      <c r="C63" s="1732"/>
      <c r="D63" s="458"/>
      <c r="AO63" s="4889"/>
      <c r="AP63" s="4889"/>
      <c r="AQ63" s="4889"/>
      <c r="AS63" s="1256"/>
      <c r="AT63" s="1732"/>
      <c r="AU63" s="1732"/>
      <c r="AV63" s="1256"/>
      <c r="AW63" s="1256"/>
      <c r="AX63" s="1256"/>
      <c r="AY63" s="1256"/>
      <c r="AZ63" s="1732"/>
      <c r="BA63" s="1256"/>
      <c r="BB63" s="1256"/>
      <c r="BC63" s="651"/>
      <c r="BD63" s="1256"/>
      <c r="BE63" s="1256"/>
      <c r="BF63" s="1256"/>
      <c r="BG63" s="1256"/>
      <c r="BH63" s="1256"/>
      <c r="BI63" s="1728"/>
      <c r="BJ63" s="673"/>
      <c r="BK63" s="673"/>
      <c r="BL63" s="673"/>
      <c r="BM63" s="673"/>
      <c r="BN63" s="1737">
        <v>11</v>
      </c>
    </row>
    <row s="10851" customFormat="1" customHeight="1" ht="11.549999999999999">
      <c r="A64" s="1087"/>
      <c r="B64" s="1732"/>
      <c r="C64" s="1732"/>
      <c r="D64" s="458"/>
      <c r="AO64" s="4889"/>
      <c r="AP64" s="4889"/>
      <c r="AQ64" s="4889"/>
      <c r="AS64" s="1256"/>
      <c r="AT64" s="1732"/>
      <c r="AU64" s="1732"/>
      <c r="AV64" s="1256"/>
      <c r="AW64" s="1256"/>
      <c r="AX64" s="1256"/>
      <c r="AY64" s="1256"/>
      <c r="AZ64" s="1732"/>
      <c r="BA64" s="1256"/>
      <c r="BB64" s="1256"/>
      <c r="BC64" s="651"/>
      <c r="BD64" s="1256"/>
      <c r="BE64" s="1256"/>
      <c r="BF64" s="1256"/>
      <c r="BG64" s="1256"/>
      <c r="BH64" s="1256"/>
      <c r="BI64" s="1728"/>
      <c r="BJ64" s="673"/>
      <c r="BK64" s="673"/>
      <c r="BL64" s="673"/>
      <c r="BM64" s="673"/>
      <c r="BN64" s="1737">
        <v>11</v>
      </c>
    </row>
    <row s="10851" customFormat="1" customHeight="1" ht="11.549999999999999">
      <c r="A65" s="1087"/>
      <c r="B65" s="1732"/>
      <c r="C65" s="1732"/>
      <c r="D65" s="458"/>
      <c r="AO65" s="4889"/>
      <c r="AP65" s="4889"/>
      <c r="AQ65" s="4889"/>
      <c r="AS65" s="1256"/>
      <c r="AT65" s="1732"/>
      <c r="AU65" s="1732"/>
      <c r="AV65" s="1256"/>
      <c r="AW65" s="1256"/>
      <c r="AX65" s="1256"/>
      <c r="AY65" s="1256"/>
      <c r="AZ65" s="1732"/>
      <c r="BA65" s="1256"/>
      <c r="BB65" s="1256"/>
      <c r="BC65" s="651"/>
      <c r="BD65" s="1256"/>
      <c r="BE65" s="1256"/>
      <c r="BF65" s="1256"/>
      <c r="BG65" s="1256"/>
      <c r="BH65" s="1256"/>
      <c r="BI65" s="1728"/>
      <c r="BJ65" s="673"/>
      <c r="BK65" s="673"/>
      <c r="BL65" s="673"/>
      <c r="BM65" s="673"/>
      <c r="BN65" s="1737">
        <v>11</v>
      </c>
    </row>
    <row s="10851" customFormat="1" customHeight="1" ht="11.549999999999999">
      <c r="A66" s="1087"/>
      <c r="B66" s="1732"/>
      <c r="C66" s="1732"/>
      <c r="D66" s="458"/>
      <c r="AO66" s="4889"/>
      <c r="AP66" s="4889"/>
      <c r="AQ66" s="4889"/>
      <c r="AS66" s="1256"/>
      <c r="AT66" s="1732"/>
      <c r="AU66" s="1732"/>
      <c r="AV66" s="1256"/>
      <c r="AW66" s="1256"/>
      <c r="AX66" s="1256"/>
      <c r="AY66" s="1256"/>
      <c r="AZ66" s="1732"/>
      <c r="BA66" s="1256"/>
      <c r="BB66" s="1256"/>
      <c r="BC66" s="651"/>
      <c r="BD66" s="1256"/>
      <c r="BE66" s="1256"/>
      <c r="BF66" s="1256"/>
      <c r="BG66" s="1256"/>
      <c r="BH66" s="1256"/>
      <c r="BI66" s="1728"/>
      <c r="BJ66" s="673"/>
      <c r="BK66" s="673"/>
      <c r="BL66" s="673"/>
      <c r="BM66" s="673"/>
      <c r="BN66" s="1737">
        <v>11</v>
      </c>
    </row>
    <row s="10851" customFormat="1" customHeight="1" ht="11.549999999999999">
      <c r="A67" s="1087"/>
      <c r="B67" s="1732"/>
      <c r="C67" s="1732"/>
      <c r="D67" s="458"/>
      <c r="AO67" s="4889"/>
      <c r="AP67" s="4889"/>
      <c r="AQ67" s="4889"/>
      <c r="AS67" s="1256"/>
      <c r="AT67" s="1732"/>
      <c r="AU67" s="1732"/>
      <c r="AV67" s="1256"/>
      <c r="AW67" s="1256"/>
      <c r="AX67" s="1256"/>
      <c r="AY67" s="1256"/>
      <c r="AZ67" s="1732"/>
      <c r="BA67" s="1256"/>
      <c r="BB67" s="1256"/>
      <c r="BC67" s="651"/>
      <c r="BD67" s="1256"/>
      <c r="BE67" s="1256"/>
      <c r="BF67" s="1256"/>
      <c r="BG67" s="1256"/>
      <c r="BH67" s="1256"/>
      <c r="BI67" s="1728"/>
      <c r="BJ67" s="673"/>
      <c r="BK67" s="673"/>
      <c r="BL67" s="673"/>
      <c r="BM67" s="673"/>
      <c r="BN67" s="1737">
        <v>11</v>
      </c>
    </row>
    <row s="10851" customFormat="1" customHeight="1" ht="11.549999999999999">
      <c r="A68" s="1087"/>
      <c r="B68" s="1732"/>
      <c r="C68" s="1732"/>
      <c r="D68" s="458"/>
      <c r="AO68" s="4889"/>
      <c r="AP68" s="4889"/>
      <c r="AQ68" s="4889"/>
      <c r="AS68" s="1256"/>
      <c r="AT68" s="1732"/>
      <c r="AU68" s="1732"/>
      <c r="AV68" s="1256"/>
      <c r="AW68" s="1256"/>
      <c r="AX68" s="1256"/>
      <c r="AY68" s="1256"/>
      <c r="AZ68" s="1732"/>
      <c r="BA68" s="1256"/>
      <c r="BB68" s="1256"/>
      <c r="BC68" s="651"/>
      <c r="BD68" s="1256"/>
      <c r="BE68" s="1256"/>
      <c r="BF68" s="1256"/>
      <c r="BG68" s="1256"/>
      <c r="BH68" s="1256"/>
      <c r="BI68" s="1728"/>
      <c r="BJ68" s="673"/>
      <c r="BK68" s="673"/>
      <c r="BL68" s="673"/>
      <c r="BM68" s="673"/>
      <c r="BN68" s="1737">
        <v>11</v>
      </c>
    </row>
    <row s="10851" customFormat="1" customHeight="1" ht="11.549999999999999">
      <c r="A69" s="1087"/>
      <c r="B69" s="1732"/>
      <c r="C69" s="1732"/>
      <c r="D69" s="458"/>
      <c r="AO69" s="4889"/>
      <c r="AP69" s="4889"/>
      <c r="AQ69" s="4889"/>
      <c r="AS69" s="1256"/>
      <c r="AT69" s="1732"/>
      <c r="AU69" s="1732"/>
      <c r="AV69" s="1256"/>
      <c r="AW69" s="1256"/>
      <c r="AX69" s="1256"/>
      <c r="AY69" s="1256"/>
      <c r="AZ69" s="1732"/>
      <c r="BA69" s="1256"/>
      <c r="BB69" s="1256"/>
      <c r="BC69" s="651"/>
      <c r="BD69" s="1256"/>
      <c r="BE69" s="1256"/>
      <c r="BF69" s="1256"/>
      <c r="BG69" s="1256"/>
      <c r="BH69" s="1256"/>
      <c r="BI69" s="1728"/>
      <c r="BJ69" s="673"/>
      <c r="BK69" s="673"/>
      <c r="BL69" s="673"/>
      <c r="BM69" s="673"/>
      <c r="BN69" s="1737">
        <v>11</v>
      </c>
    </row>
    <row s="10851" customFormat="1" customHeight="1" ht="11.549999999999999">
      <c r="A70" s="1087"/>
      <c r="B70" s="1732"/>
      <c r="C70" s="1732"/>
      <c r="D70" s="458"/>
      <c r="AO70" s="4889"/>
      <c r="AP70" s="4889"/>
      <c r="AQ70" s="4889"/>
      <c r="AS70" s="1256"/>
      <c r="AT70" s="1732"/>
      <c r="AU70" s="1732"/>
      <c r="AV70" s="1256"/>
      <c r="AW70" s="1256"/>
      <c r="AX70" s="1256"/>
      <c r="AY70" s="1256"/>
      <c r="AZ70" s="1732"/>
      <c r="BA70" s="1256"/>
      <c r="BB70" s="1256"/>
      <c r="BC70" s="651"/>
      <c r="BD70" s="1256"/>
      <c r="BE70" s="1256"/>
      <c r="BF70" s="1256"/>
      <c r="BG70" s="1256"/>
      <c r="BH70" s="1256"/>
      <c r="BI70" s="1728"/>
      <c r="BJ70" s="673"/>
      <c r="BK70" s="673"/>
      <c r="BL70" s="673"/>
      <c r="BM70" s="673"/>
      <c r="BN70" s="1737">
        <v>11</v>
      </c>
    </row>
    <row s="10851" customFormat="1" customHeight="1" ht="11.549999999999999">
      <c r="A71" s="1087"/>
      <c r="B71" s="1732"/>
      <c r="C71" s="1732"/>
      <c r="D71" s="458"/>
      <c r="AO71" s="4889"/>
      <c r="AP71" s="4889"/>
      <c r="AQ71" s="4889"/>
      <c r="AS71" s="1256"/>
      <c r="AT71" s="1732"/>
      <c r="AU71" s="1732"/>
      <c r="AV71" s="1256"/>
      <c r="AW71" s="1256"/>
      <c r="AX71" s="1256"/>
      <c r="AY71" s="1256"/>
      <c r="AZ71" s="1732"/>
      <c r="BA71" s="1256"/>
      <c r="BB71" s="1256"/>
      <c r="BC71" s="651"/>
      <c r="BD71" s="1256"/>
      <c r="BE71" s="1256"/>
      <c r="BF71" s="1256"/>
      <c r="BG71" s="1256"/>
      <c r="BH71" s="1256"/>
      <c r="BI71" s="1728"/>
      <c r="BJ71" s="673"/>
      <c r="BK71" s="673"/>
      <c r="BL71" s="673"/>
      <c r="BM71" s="673"/>
      <c r="BN71" s="1737">
        <v>11</v>
      </c>
    </row>
    <row s="10851" customFormat="1" customHeight="1" ht="11.549999999999999">
      <c r="A72" s="1087"/>
      <c r="B72" s="1732"/>
      <c r="C72" s="1732"/>
      <c r="D72" s="458"/>
      <c r="AO72" s="4889"/>
      <c r="AP72" s="4889"/>
      <c r="AQ72" s="4889"/>
      <c r="AS72" s="1256"/>
      <c r="AT72" s="1732"/>
      <c r="AU72" s="1732"/>
      <c r="AV72" s="1256"/>
      <c r="AW72" s="1256"/>
      <c r="AX72" s="1256"/>
      <c r="AY72" s="1256"/>
      <c r="AZ72" s="1732"/>
      <c r="BA72" s="1256"/>
      <c r="BB72" s="1256"/>
      <c r="BC72" s="651"/>
      <c r="BD72" s="1256"/>
      <c r="BE72" s="1256"/>
      <c r="BF72" s="1256"/>
      <c r="BG72" s="1256"/>
      <c r="BH72" s="1256"/>
      <c r="BI72" s="1728"/>
      <c r="BJ72" s="673"/>
      <c r="BK72" s="673"/>
      <c r="BL72" s="673"/>
      <c r="BM72" s="673"/>
      <c r="BN72" s="1737">
        <v>11</v>
      </c>
    </row>
    <row s="10851" customFormat="1" customHeight="1" ht="11.549999999999999">
      <c r="A73" s="1087"/>
      <c r="B73" s="1732"/>
      <c r="C73" s="1732"/>
      <c r="D73" s="458"/>
      <c r="AO73" s="4889"/>
      <c r="AP73" s="4889"/>
      <c r="AQ73" s="4889"/>
      <c r="AS73" s="1256"/>
      <c r="AT73" s="1732"/>
      <c r="AU73" s="1732"/>
      <c r="AV73" s="1256"/>
      <c r="AW73" s="1256"/>
      <c r="AX73" s="1256"/>
      <c r="AY73" s="1256"/>
      <c r="AZ73" s="1732"/>
      <c r="BA73" s="1256"/>
      <c r="BB73" s="1256"/>
      <c r="BC73" s="651"/>
      <c r="BD73" s="1256"/>
      <c r="BE73" s="1256"/>
      <c r="BF73" s="1256"/>
      <c r="BG73" s="1256"/>
      <c r="BH73" s="1256"/>
      <c r="BI73" s="1728"/>
      <c r="BJ73" s="673"/>
      <c r="BK73" s="673"/>
      <c r="BL73" s="673"/>
      <c r="BM73" s="673"/>
      <c r="BN73" s="1737">
        <v>11</v>
      </c>
    </row>
    <row s="10851" customFormat="1" customHeight="1" ht="11.549999999999999">
      <c r="A74" s="1087"/>
      <c r="B74" s="1732"/>
      <c r="C74" s="1732"/>
      <c r="D74" s="458"/>
      <c r="AO74" s="4889"/>
      <c r="AP74" s="4889"/>
      <c r="AQ74" s="4889"/>
      <c r="AS74" s="1256"/>
      <c r="AT74" s="1732"/>
      <c r="AU74" s="1732"/>
      <c r="AV74" s="1256"/>
      <c r="AW74" s="1256"/>
      <c r="AX74" s="1256"/>
      <c r="AY74" s="1256"/>
      <c r="AZ74" s="1732"/>
      <c r="BA74" s="1256"/>
      <c r="BB74" s="1256"/>
      <c r="BC74" s="651"/>
      <c r="BD74" s="1256"/>
      <c r="BE74" s="1256"/>
      <c r="BF74" s="1256"/>
      <c r="BG74" s="1256"/>
      <c r="BH74" s="1256"/>
      <c r="BI74" s="1728"/>
      <c r="BJ74" s="673"/>
      <c r="BK74" s="673"/>
      <c r="BL74" s="673"/>
      <c r="BM74" s="673"/>
      <c r="BN74" s="1737">
        <v>11</v>
      </c>
    </row>
    <row s="10851" customFormat="1" customHeight="1" ht="11.549999999999999">
      <c r="A75" s="1087"/>
      <c r="B75" s="1732"/>
      <c r="C75" s="1732"/>
      <c r="D75" s="458"/>
      <c r="AO75" s="4889"/>
      <c r="AP75" s="4889"/>
      <c r="AQ75" s="4889"/>
      <c r="AS75" s="1256"/>
      <c r="AT75" s="1732"/>
      <c r="AU75" s="1732"/>
      <c r="AV75" s="1256"/>
      <c r="AW75" s="1256"/>
      <c r="AX75" s="1256"/>
      <c r="AY75" s="1256"/>
      <c r="AZ75" s="1732"/>
      <c r="BA75" s="1256"/>
      <c r="BB75" s="1256"/>
      <c r="BC75" s="651"/>
      <c r="BD75" s="1256"/>
      <c r="BE75" s="1256"/>
      <c r="BF75" s="1256"/>
      <c r="BG75" s="1256"/>
      <c r="BH75" s="1256"/>
      <c r="BI75" s="1728"/>
      <c r="BJ75" s="673"/>
      <c r="BK75" s="673"/>
      <c r="BL75" s="673"/>
      <c r="BM75" s="673"/>
      <c r="BN75" s="1737">
        <v>11</v>
      </c>
    </row>
    <row s="10851" customFormat="1" customHeight="1" ht="11.549999999999999">
      <c r="A76" s="1087"/>
      <c r="B76" s="1732"/>
      <c r="C76" s="1732"/>
      <c r="D76" s="458"/>
      <c r="AO76" s="4889"/>
      <c r="AP76" s="4889"/>
      <c r="AQ76" s="4889"/>
      <c r="AS76" s="1256"/>
      <c r="AT76" s="1732"/>
      <c r="AU76" s="1732"/>
      <c r="AV76" s="1256"/>
      <c r="AW76" s="1256"/>
      <c r="AX76" s="1256"/>
      <c r="AY76" s="1256"/>
      <c r="AZ76" s="1732"/>
      <c r="BA76" s="1256"/>
      <c r="BB76" s="1256"/>
      <c r="BC76" s="651"/>
      <c r="BD76" s="1256"/>
      <c r="BE76" s="1256"/>
      <c r="BF76" s="1256"/>
      <c r="BG76" s="1256"/>
      <c r="BH76" s="1256"/>
      <c r="BI76" s="1728"/>
      <c r="BJ76" s="673"/>
      <c r="BK76" s="673"/>
      <c r="BL76" s="673"/>
      <c r="BM76" s="673"/>
      <c r="BN76" s="1737">
        <v>11</v>
      </c>
    </row>
    <row s="10851" customFormat="1" customHeight="1" ht="11.549999999999999">
      <c r="A77" s="1087"/>
      <c r="B77" s="1732"/>
      <c r="C77" s="1732"/>
      <c r="D77" s="458"/>
      <c r="AO77" s="4889"/>
      <c r="AP77" s="4889"/>
      <c r="AQ77" s="4889"/>
      <c r="AS77" s="1256"/>
      <c r="AT77" s="1732"/>
      <c r="AU77" s="1732"/>
      <c r="AV77" s="1256"/>
      <c r="AW77" s="1256"/>
      <c r="AX77" s="1256"/>
      <c r="AY77" s="1256"/>
      <c r="AZ77" s="1732"/>
      <c r="BA77" s="1256"/>
      <c r="BB77" s="1256"/>
      <c r="BC77" s="651"/>
      <c r="BD77" s="1256"/>
      <c r="BE77" s="1256"/>
      <c r="BF77" s="1256"/>
      <c r="BG77" s="1256"/>
      <c r="BH77" s="1256"/>
      <c r="BI77" s="1728"/>
      <c r="BJ77" s="673"/>
      <c r="BK77" s="673"/>
      <c r="BL77" s="673"/>
      <c r="BM77" s="673"/>
      <c r="BN77" s="1737">
        <v>11</v>
      </c>
    </row>
    <row s="10851" customFormat="1" customHeight="1" ht="11.549999999999999">
      <c r="A78" s="1087"/>
      <c r="B78" s="1732"/>
      <c r="C78" s="1732"/>
      <c r="D78" s="458"/>
      <c r="AO78" s="4889"/>
      <c r="AP78" s="4889"/>
      <c r="AQ78" s="4889"/>
      <c r="AS78" s="1256"/>
      <c r="AT78" s="1732"/>
      <c r="AU78" s="1732"/>
      <c r="AV78" s="1256"/>
      <c r="AW78" s="1256"/>
      <c r="AX78" s="1256"/>
      <c r="AY78" s="1256"/>
      <c r="AZ78" s="1732"/>
      <c r="BA78" s="1256"/>
      <c r="BB78" s="1256"/>
      <c r="BC78" s="651"/>
      <c r="BD78" s="1256"/>
      <c r="BE78" s="1256"/>
      <c r="BF78" s="1256"/>
      <c r="BG78" s="1256"/>
      <c r="BH78" s="1256"/>
      <c r="BI78" s="1728"/>
      <c r="BJ78" s="673"/>
      <c r="BK78" s="673"/>
      <c r="BL78" s="673"/>
      <c r="BM78" s="673"/>
      <c r="BN78" s="1737">
        <v>11</v>
      </c>
    </row>
    <row s="10851" customFormat="1" customHeight="1" ht="11.549999999999999">
      <c r="A79" s="1087"/>
      <c r="B79" s="1732"/>
      <c r="C79" s="1732"/>
      <c r="D79" s="458"/>
      <c r="AO79" s="4889"/>
      <c r="AP79" s="4889"/>
      <c r="AQ79" s="4889"/>
      <c r="AS79" s="1256"/>
      <c r="AT79" s="1732"/>
      <c r="AU79" s="1732"/>
      <c r="AV79" s="1256"/>
      <c r="AW79" s="1256"/>
      <c r="AX79" s="1256"/>
      <c r="AY79" s="1256"/>
      <c r="AZ79" s="1732"/>
      <c r="BA79" s="1256"/>
      <c r="BB79" s="1256"/>
      <c r="BC79" s="651"/>
      <c r="BD79" s="1256"/>
      <c r="BE79" s="1256"/>
      <c r="BF79" s="1256"/>
      <c r="BG79" s="1256"/>
      <c r="BH79" s="1256"/>
      <c r="BI79" s="1728"/>
      <c r="BJ79" s="673"/>
      <c r="BK79" s="673"/>
      <c r="BL79" s="673"/>
      <c r="BM79" s="673"/>
      <c r="BN79" s="1737">
        <v>11</v>
      </c>
    </row>
    <row s="10851" customFormat="1" customHeight="1" ht="11.549999999999999">
      <c r="A80" s="1087"/>
      <c r="B80" s="1732"/>
      <c r="C80" s="1732"/>
      <c r="D80" s="458"/>
      <c r="AO80" s="4889"/>
      <c r="AP80" s="4889"/>
      <c r="AQ80" s="4889"/>
      <c r="AS80" s="1256"/>
      <c r="AT80" s="1732"/>
      <c r="AU80" s="1732"/>
      <c r="AV80" s="1256"/>
      <c r="AW80" s="1256"/>
      <c r="AX80" s="1256"/>
      <c r="AY80" s="1256"/>
      <c r="AZ80" s="1732"/>
      <c r="BA80" s="1256"/>
      <c r="BB80" s="1256"/>
      <c r="BC80" s="651"/>
      <c r="BD80" s="1256"/>
      <c r="BE80" s="1256"/>
      <c r="BF80" s="1256"/>
      <c r="BG80" s="1256"/>
      <c r="BH80" s="1256"/>
      <c r="BI80" s="1728"/>
      <c r="BJ80" s="673"/>
      <c r="BK80" s="673"/>
      <c r="BL80" s="673"/>
      <c r="BM80" s="673"/>
      <c r="BN80" s="1737">
        <v>11</v>
      </c>
    </row>
    <row s="10851" customFormat="1" customHeight="1" ht="11.549999999999999">
      <c r="A81" s="1087"/>
      <c r="B81" s="1732"/>
      <c r="C81" s="1732"/>
      <c r="D81" s="458"/>
      <c r="AO81" s="4889"/>
      <c r="AP81" s="4889"/>
      <c r="AQ81" s="4889"/>
      <c r="AS81" s="1256"/>
      <c r="AT81" s="1732"/>
      <c r="AU81" s="1732"/>
      <c r="AV81" s="1256"/>
      <c r="AW81" s="1256"/>
      <c r="AX81" s="1256"/>
      <c r="AY81" s="1256"/>
      <c r="AZ81" s="1732"/>
      <c r="BA81" s="1256"/>
      <c r="BB81" s="1256"/>
      <c r="BC81" s="651"/>
      <c r="BD81" s="1256"/>
      <c r="BE81" s="1256"/>
      <c r="BF81" s="1256"/>
      <c r="BG81" s="1256"/>
      <c r="BH81" s="1256"/>
      <c r="BI81" s="1728"/>
      <c r="BJ81" s="673"/>
      <c r="BK81" s="673"/>
      <c r="BL81" s="673"/>
      <c r="BM81" s="673"/>
      <c r="BN81" s="1737">
        <v>11</v>
      </c>
    </row>
    <row s="10851" customFormat="1" customHeight="1" ht="11.549999999999999">
      <c r="A82" s="1087"/>
      <c r="B82" s="1732"/>
      <c r="C82" s="1732"/>
      <c r="D82" s="458"/>
      <c r="AO82" s="4889"/>
      <c r="AP82" s="4889"/>
      <c r="AQ82" s="4889"/>
      <c r="AS82" s="1256"/>
      <c r="AT82" s="1732"/>
      <c r="AU82" s="1732"/>
      <c r="AV82" s="1256"/>
      <c r="AW82" s="1256"/>
      <c r="AX82" s="1256"/>
      <c r="AY82" s="1256"/>
      <c r="AZ82" s="1732"/>
      <c r="BA82" s="1256"/>
      <c r="BB82" s="1256"/>
      <c r="BC82" s="651"/>
      <c r="BD82" s="1256"/>
      <c r="BE82" s="1256"/>
      <c r="BF82" s="1256"/>
      <c r="BG82" s="1256"/>
      <c r="BH82" s="1256"/>
      <c r="BI82" s="1728"/>
      <c r="BJ82" s="673"/>
      <c r="BK82" s="673"/>
      <c r="BL82" s="673"/>
      <c r="BM82" s="673"/>
      <c r="BN82" s="1737">
        <v>11</v>
      </c>
    </row>
    <row s="10851" customFormat="1" customHeight="1" ht="11.549999999999999">
      <c r="A83" s="1087"/>
      <c r="B83" s="1732"/>
      <c r="C83" s="1732"/>
      <c r="D83" s="458"/>
      <c r="AO83" s="4889"/>
      <c r="AP83" s="4889"/>
      <c r="AQ83" s="4889"/>
      <c r="AS83" s="1256"/>
      <c r="AT83" s="1732"/>
      <c r="AU83" s="1732"/>
      <c r="AV83" s="1256"/>
      <c r="AW83" s="1256"/>
      <c r="AX83" s="1256"/>
      <c r="AY83" s="1256"/>
      <c r="AZ83" s="1732"/>
      <c r="BA83" s="1256"/>
      <c r="BB83" s="1256"/>
      <c r="BC83" s="651"/>
      <c r="BD83" s="1256"/>
      <c r="BE83" s="1256"/>
      <c r="BF83" s="1256"/>
      <c r="BG83" s="1256"/>
      <c r="BH83" s="1256"/>
      <c r="BI83" s="1728"/>
      <c r="BJ83" s="673"/>
      <c r="BK83" s="673"/>
      <c r="BL83" s="673"/>
      <c r="BM83" s="673"/>
      <c r="BN83" s="1737">
        <v>11</v>
      </c>
    </row>
    <row s="10851" customFormat="1" customHeight="1" ht="11.549999999999999">
      <c r="A84" s="1087"/>
      <c r="B84" s="1732"/>
      <c r="C84" s="1732"/>
      <c r="D84" s="458"/>
      <c r="AO84" s="4889"/>
      <c r="AP84" s="4889"/>
      <c r="AQ84" s="4889"/>
      <c r="AS84" s="1256"/>
      <c r="AT84" s="1732"/>
      <c r="AU84" s="1732"/>
      <c r="AV84" s="1256"/>
      <c r="AW84" s="1256"/>
      <c r="AX84" s="1256"/>
      <c r="AY84" s="1256"/>
      <c r="AZ84" s="1732"/>
      <c r="BA84" s="1256"/>
      <c r="BB84" s="1256"/>
      <c r="BC84" s="651"/>
      <c r="BD84" s="1256"/>
      <c r="BE84" s="1256"/>
      <c r="BF84" s="1256"/>
      <c r="BG84" s="1256"/>
      <c r="BH84" s="1256"/>
      <c r="BI84" s="1728"/>
      <c r="BJ84" s="673"/>
      <c r="BK84" s="673"/>
      <c r="BL84" s="673"/>
      <c r="BM84" s="673"/>
      <c r="BN84" s="1737">
        <v>11</v>
      </c>
    </row>
    <row s="10851" customFormat="1" customHeight="1" ht="11.549999999999999">
      <c r="A85" s="1087"/>
      <c r="B85" s="1732"/>
      <c r="C85" s="1732"/>
      <c r="D85" s="458"/>
      <c r="AO85" s="4889"/>
      <c r="AP85" s="4889"/>
      <c r="AQ85" s="4889"/>
      <c r="AS85" s="1256"/>
      <c r="AT85" s="1732"/>
      <c r="AU85" s="1732"/>
      <c r="AV85" s="1256"/>
      <c r="AW85" s="1256"/>
      <c r="AX85" s="1256"/>
      <c r="AY85" s="1256"/>
      <c r="AZ85" s="1732"/>
      <c r="BA85" s="1256"/>
      <c r="BB85" s="1256"/>
      <c r="BC85" s="651"/>
      <c r="BD85" s="1256"/>
      <c r="BE85" s="1256"/>
      <c r="BF85" s="1256"/>
      <c r="BG85" s="1256"/>
      <c r="BH85" s="1256"/>
      <c r="BI85" s="1728"/>
      <c r="BJ85" s="673"/>
      <c r="BK85" s="673"/>
      <c r="BL85" s="673"/>
      <c r="BM85" s="673"/>
      <c r="BN85" s="1737">
        <v>11</v>
      </c>
    </row>
    <row s="10851" customFormat="1" customHeight="1" ht="11.549999999999999">
      <c r="A86" s="1087"/>
      <c r="B86" s="1732"/>
      <c r="C86" s="1732"/>
      <c r="D86" s="458"/>
      <c r="AO86" s="4889"/>
      <c r="AP86" s="4889"/>
      <c r="AQ86" s="4889"/>
      <c r="AS86" s="1256"/>
      <c r="AT86" s="1732"/>
      <c r="AU86" s="1732"/>
      <c r="AV86" s="1256"/>
      <c r="AW86" s="1256"/>
      <c r="AX86" s="1256"/>
      <c r="AY86" s="1256"/>
      <c r="AZ86" s="1732"/>
      <c r="BA86" s="1256"/>
      <c r="BB86" s="1256"/>
      <c r="BC86" s="651"/>
      <c r="BD86" s="1256"/>
      <c r="BE86" s="1256"/>
      <c r="BF86" s="1256"/>
      <c r="BG86" s="1256"/>
      <c r="BH86" s="1256"/>
      <c r="BI86" s="1728"/>
      <c r="BJ86" s="673"/>
      <c r="BK86" s="673"/>
      <c r="BL86" s="673"/>
      <c r="BM86" s="673"/>
      <c r="BN86" s="1737">
        <v>11</v>
      </c>
    </row>
    <row s="10851" customFormat="1" customHeight="1" ht="11.549999999999999">
      <c r="A87" s="1087"/>
      <c r="B87" s="1732"/>
      <c r="C87" s="1732"/>
      <c r="D87" s="458"/>
      <c r="AO87" s="4889"/>
      <c r="AP87" s="4889"/>
      <c r="AQ87" s="4889"/>
      <c r="AS87" s="1256"/>
      <c r="AT87" s="1732"/>
      <c r="AU87" s="1732"/>
      <c r="AV87" s="1256"/>
      <c r="AW87" s="1256"/>
      <c r="AX87" s="1256"/>
      <c r="AY87" s="1256"/>
      <c r="AZ87" s="1732"/>
      <c r="BA87" s="1256"/>
      <c r="BB87" s="1256"/>
      <c r="BC87" s="651"/>
      <c r="BD87" s="1256"/>
      <c r="BE87" s="1256"/>
      <c r="BF87" s="1256"/>
      <c r="BG87" s="1256"/>
      <c r="BH87" s="1256"/>
      <c r="BI87" s="1728"/>
      <c r="BJ87" s="673"/>
      <c r="BK87" s="673"/>
      <c r="BL87" s="673"/>
      <c r="BM87" s="673"/>
      <c r="BN87" s="1737">
        <v>11</v>
      </c>
    </row>
    <row s="10851" customFormat="1" customHeight="1" ht="11.549999999999999">
      <c r="A88" s="1087"/>
      <c r="B88" s="1732"/>
      <c r="C88" s="1732"/>
      <c r="D88" s="458"/>
      <c r="AO88" s="4889"/>
      <c r="AP88" s="4889"/>
      <c r="AQ88" s="4889"/>
      <c r="AS88" s="1256"/>
      <c r="AT88" s="1732"/>
      <c r="AU88" s="1732"/>
      <c r="AV88" s="1256"/>
      <c r="AW88" s="1256"/>
      <c r="AX88" s="1256"/>
      <c r="AY88" s="1256"/>
      <c r="AZ88" s="1732"/>
      <c r="BA88" s="1256"/>
      <c r="BB88" s="1256"/>
      <c r="BC88" s="651"/>
      <c r="BD88" s="1256"/>
      <c r="BE88" s="1256"/>
      <c r="BF88" s="1256"/>
      <c r="BG88" s="1256"/>
      <c r="BH88" s="1256"/>
      <c r="BI88" s="1728"/>
      <c r="BJ88" s="673"/>
      <c r="BK88" s="673"/>
      <c r="BL88" s="673"/>
      <c r="BM88" s="673"/>
      <c r="BN88" s="1737">
        <v>11</v>
      </c>
    </row>
    <row s="10851" customFormat="1" customHeight="1" ht="11.549999999999999">
      <c r="A89" s="1087"/>
      <c r="B89" s="1732"/>
      <c r="C89" s="1732"/>
      <c r="D89" s="458"/>
      <c r="AO89" s="4889"/>
      <c r="AP89" s="4889"/>
      <c r="AQ89" s="4889"/>
      <c r="AS89" s="1256"/>
      <c r="AT89" s="1732"/>
      <c r="AU89" s="1732"/>
      <c r="AV89" s="1256"/>
      <c r="AW89" s="1256"/>
      <c r="AX89" s="1256"/>
      <c r="AY89" s="1256"/>
      <c r="AZ89" s="1732"/>
      <c r="BA89" s="1256"/>
      <c r="BB89" s="1256"/>
      <c r="BC89" s="651"/>
      <c r="BD89" s="1256"/>
      <c r="BE89" s="1256"/>
      <c r="BF89" s="1256"/>
      <c r="BG89" s="1256"/>
      <c r="BH89" s="1256"/>
      <c r="BI89" s="1728"/>
      <c r="BJ89" s="673"/>
      <c r="BK89" s="673"/>
      <c r="BL89" s="673"/>
      <c r="BM89" s="673"/>
      <c r="BN89" s="1737">
        <v>11</v>
      </c>
    </row>
    <row s="10851" customFormat="1" customHeight="1" ht="11.549999999999999">
      <c r="A90" s="1087"/>
      <c r="B90" s="1732"/>
      <c r="C90" s="1732"/>
      <c r="D90" s="458"/>
      <c r="AO90" s="4889"/>
      <c r="AP90" s="4889"/>
      <c r="AQ90" s="4889"/>
      <c r="AS90" s="1256"/>
      <c r="AT90" s="1732"/>
      <c r="AU90" s="1732"/>
      <c r="AV90" s="1256"/>
      <c r="AW90" s="1256"/>
      <c r="AX90" s="1256"/>
      <c r="AY90" s="1256"/>
      <c r="AZ90" s="1732"/>
      <c r="BA90" s="1256"/>
      <c r="BB90" s="1256"/>
      <c r="BC90" s="651"/>
      <c r="BD90" s="1256"/>
      <c r="BE90" s="1256"/>
      <c r="BF90" s="1256"/>
      <c r="BG90" s="1256"/>
      <c r="BH90" s="1256"/>
      <c r="BI90" s="1728"/>
      <c r="BJ90" s="673"/>
      <c r="BK90" s="673"/>
      <c r="BL90" s="673"/>
      <c r="BM90" s="673"/>
      <c r="BN90" s="1737">
        <v>11</v>
      </c>
    </row>
    <row s="10851" customFormat="1" customHeight="1" ht="11.549999999999999">
      <c r="A91" s="1087"/>
      <c r="B91" s="1732"/>
      <c r="C91" s="1732"/>
      <c r="D91" s="458"/>
      <c r="AO91" s="4889"/>
      <c r="AP91" s="4889"/>
      <c r="AQ91" s="4889"/>
      <c r="AS91" s="1256"/>
      <c r="AT91" s="1732"/>
      <c r="AU91" s="1732"/>
      <c r="AV91" s="1256"/>
      <c r="AW91" s="1256"/>
      <c r="AX91" s="1256"/>
      <c r="AY91" s="1256"/>
      <c r="AZ91" s="1732"/>
      <c r="BA91" s="1256"/>
      <c r="BB91" s="1256"/>
      <c r="BC91" s="651"/>
      <c r="BD91" s="1256"/>
      <c r="BE91" s="1256"/>
      <c r="BF91" s="1256"/>
      <c r="BG91" s="1256"/>
      <c r="BH91" s="1256"/>
      <c r="BI91" s="1728"/>
      <c r="BJ91" s="673"/>
      <c r="BK91" s="673"/>
      <c r="BL91" s="673"/>
      <c r="BM91" s="673"/>
      <c r="BN91" s="1737">
        <v>11</v>
      </c>
    </row>
    <row s="10851" customFormat="1" customHeight="1" ht="11.549999999999999">
      <c r="A92" s="1087"/>
      <c r="B92" s="1732"/>
      <c r="C92" s="1732"/>
      <c r="D92" s="458"/>
      <c r="AO92" s="4889"/>
      <c r="AP92" s="4889"/>
      <c r="AQ92" s="4889"/>
      <c r="AS92" s="1256"/>
      <c r="AT92" s="1732"/>
      <c r="AU92" s="1732"/>
      <c r="AV92" s="1256"/>
      <c r="AW92" s="1256"/>
      <c r="AX92" s="1256"/>
      <c r="AY92" s="1256"/>
      <c r="AZ92" s="1732"/>
      <c r="BA92" s="1256"/>
      <c r="BB92" s="1256"/>
      <c r="BC92" s="651"/>
      <c r="BD92" s="1256"/>
      <c r="BE92" s="1256"/>
      <c r="BF92" s="1256"/>
      <c r="BG92" s="1256"/>
      <c r="BH92" s="1256"/>
      <c r="BI92" s="1728"/>
      <c r="BJ92" s="673"/>
      <c r="BK92" s="673"/>
      <c r="BL92" s="673"/>
      <c r="BM92" s="673"/>
      <c r="BN92" s="1737">
        <v>11</v>
      </c>
    </row>
    <row s="10851" customFormat="1" customHeight="1" ht="11.549999999999999">
      <c r="A93" s="1087"/>
      <c r="B93" s="1732"/>
      <c r="C93" s="1732"/>
      <c r="D93" s="458"/>
      <c r="AO93" s="4889"/>
      <c r="AP93" s="4889"/>
      <c r="AQ93" s="4889"/>
      <c r="AS93" s="1256"/>
      <c r="AT93" s="1732"/>
      <c r="AU93" s="1732"/>
      <c r="AV93" s="1256"/>
      <c r="AW93" s="1256"/>
      <c r="AX93" s="1256"/>
      <c r="AY93" s="1256"/>
      <c r="AZ93" s="1732"/>
      <c r="BA93" s="1256"/>
      <c r="BB93" s="1256"/>
      <c r="BC93" s="651"/>
      <c r="BD93" s="1256"/>
      <c r="BE93" s="1256"/>
      <c r="BF93" s="1256"/>
      <c r="BG93" s="1256"/>
      <c r="BH93" s="1256"/>
      <c r="BI93" s="1728"/>
      <c r="BJ93" s="673"/>
      <c r="BK93" s="673"/>
      <c r="BL93" s="673"/>
      <c r="BM93" s="673"/>
      <c r="BN93" s="1737">
        <v>11</v>
      </c>
    </row>
    <row s="10851" customFormat="1" customHeight="1" ht="11.549999999999999">
      <c r="A94" s="1087"/>
      <c r="B94" s="1732"/>
      <c r="C94" s="1732"/>
      <c r="D94" s="458"/>
      <c r="AO94" s="4889"/>
      <c r="AP94" s="4889"/>
      <c r="AQ94" s="4889"/>
      <c r="AS94" s="1256"/>
      <c r="AT94" s="1732"/>
      <c r="AU94" s="1732"/>
      <c r="AV94" s="1256"/>
      <c r="AW94" s="1256"/>
      <c r="AX94" s="1256"/>
      <c r="AY94" s="1256"/>
      <c r="AZ94" s="1732"/>
      <c r="BA94" s="1256"/>
      <c r="BB94" s="1256"/>
      <c r="BC94" s="651"/>
      <c r="BD94" s="1256"/>
      <c r="BE94" s="1256"/>
      <c r="BF94" s="1256"/>
      <c r="BG94" s="1256"/>
      <c r="BH94" s="1256"/>
      <c r="BI94" s="1728"/>
      <c r="BJ94" s="673"/>
      <c r="BK94" s="673"/>
      <c r="BL94" s="673"/>
      <c r="BM94" s="673"/>
      <c r="BN94" s="1737">
        <v>11</v>
      </c>
    </row>
    <row s="10851" customFormat="1" customHeight="1" ht="11.549999999999999">
      <c r="A95" s="1087"/>
      <c r="B95" s="1732"/>
      <c r="C95" s="1732"/>
      <c r="D95" s="458"/>
      <c r="AO95" s="4889"/>
      <c r="AP95" s="4889"/>
      <c r="AQ95" s="4889"/>
      <c r="AS95" s="1256"/>
      <c r="AT95" s="1732"/>
      <c r="AU95" s="1732"/>
      <c r="AV95" s="1256"/>
      <c r="AW95" s="1256"/>
      <c r="AX95" s="1256"/>
      <c r="AY95" s="1256"/>
      <c r="AZ95" s="1732"/>
      <c r="BA95" s="1256"/>
      <c r="BB95" s="1256"/>
      <c r="BC95" s="651"/>
      <c r="BD95" s="1256"/>
      <c r="BE95" s="1256"/>
      <c r="BF95" s="1256"/>
      <c r="BG95" s="1256"/>
      <c r="BH95" s="1256"/>
      <c r="BI95" s="1728"/>
      <c r="BJ95" s="673"/>
      <c r="BK95" s="673"/>
      <c r="BL95" s="673"/>
      <c r="BM95" s="673"/>
      <c r="BN95" s="1737">
        <v>11</v>
      </c>
    </row>
    <row s="10851" customFormat="1" customHeight="1" ht="11.549999999999999">
      <c r="A96" s="1087"/>
      <c r="B96" s="1732"/>
      <c r="C96" s="1732"/>
      <c r="D96" s="458"/>
      <c r="AO96" s="4889"/>
      <c r="AP96" s="4889"/>
      <c r="AQ96" s="4889"/>
      <c r="AS96" s="1256"/>
      <c r="AT96" s="1732"/>
      <c r="AU96" s="1732"/>
      <c r="AV96" s="1256"/>
      <c r="AW96" s="1256"/>
      <c r="AX96" s="1256"/>
      <c r="AY96" s="1256"/>
      <c r="AZ96" s="1732"/>
      <c r="BA96" s="1256"/>
      <c r="BB96" s="1256"/>
      <c r="BC96" s="651"/>
      <c r="BD96" s="1256"/>
      <c r="BE96" s="1256"/>
      <c r="BF96" s="1256"/>
      <c r="BG96" s="1256"/>
      <c r="BH96" s="1256"/>
      <c r="BI96" s="1728"/>
      <c r="BJ96" s="673"/>
      <c r="BK96" s="673"/>
      <c r="BL96" s="673"/>
      <c r="BM96" s="673"/>
      <c r="BN96" s="1737">
        <v>11</v>
      </c>
    </row>
    <row s="10851" customFormat="1" customHeight="1" ht="11.549999999999999">
      <c r="A97" s="1087"/>
      <c r="B97" s="1732"/>
      <c r="C97" s="1732"/>
      <c r="D97" s="458"/>
      <c r="AO97" s="4889"/>
      <c r="AP97" s="4889"/>
      <c r="AQ97" s="4889"/>
      <c r="AS97" s="1256"/>
      <c r="AT97" s="1732"/>
      <c r="AU97" s="1732"/>
      <c r="AV97" s="1256"/>
      <c r="AW97" s="1256"/>
      <c r="AX97" s="1256"/>
      <c r="AY97" s="1256"/>
      <c r="AZ97" s="1732"/>
      <c r="BA97" s="1256"/>
      <c r="BB97" s="1256"/>
      <c r="BC97" s="651"/>
      <c r="BD97" s="1256"/>
      <c r="BE97" s="1256"/>
      <c r="BF97" s="1256"/>
      <c r="BG97" s="1256"/>
      <c r="BH97" s="1256"/>
      <c r="BI97" s="1728"/>
      <c r="BJ97" s="673"/>
      <c r="BK97" s="673"/>
      <c r="BL97" s="673"/>
      <c r="BM97" s="673"/>
      <c r="BN97" s="1737">
        <v>11</v>
      </c>
    </row>
    <row s="10851" customFormat="1" customHeight="1" ht="11.549999999999999">
      <c r="A98" s="1087"/>
      <c r="B98" s="1732"/>
      <c r="C98" s="1732"/>
      <c r="D98" s="458"/>
      <c r="AO98" s="4889"/>
      <c r="AP98" s="4889"/>
      <c r="AQ98" s="4889"/>
      <c r="AS98" s="1256"/>
      <c r="AT98" s="1732"/>
      <c r="AU98" s="1732"/>
      <c r="AV98" s="1256"/>
      <c r="AW98" s="1256"/>
      <c r="AX98" s="1256"/>
      <c r="AY98" s="1256"/>
      <c r="AZ98" s="1732"/>
      <c r="BA98" s="1256"/>
      <c r="BB98" s="1256"/>
      <c r="BC98" s="651"/>
      <c r="BD98" s="1256"/>
      <c r="BE98" s="1256"/>
      <c r="BF98" s="1256"/>
      <c r="BG98" s="1256"/>
      <c r="BH98" s="1256"/>
      <c r="BI98" s="1728"/>
      <c r="BJ98" s="673"/>
      <c r="BK98" s="673"/>
      <c r="BL98" s="673"/>
      <c r="BM98" s="673"/>
      <c r="BN98" s="1737">
        <v>11</v>
      </c>
    </row>
    <row s="10851" customFormat="1" customHeight="1" ht="11.549999999999999">
      <c r="A99" s="1087"/>
      <c r="B99" s="1732"/>
      <c r="C99" s="1732"/>
      <c r="D99" s="458"/>
      <c r="AO99" s="4889"/>
      <c r="AP99" s="4889"/>
      <c r="AQ99" s="4889"/>
      <c r="AS99" s="1256"/>
      <c r="AT99" s="1732"/>
      <c r="AU99" s="1732"/>
      <c r="AV99" s="1256"/>
      <c r="AW99" s="1256"/>
      <c r="AX99" s="1256"/>
      <c r="AY99" s="1256"/>
      <c r="AZ99" s="1732"/>
      <c r="BA99" s="1256"/>
      <c r="BB99" s="1256"/>
      <c r="BC99" s="651"/>
      <c r="BD99" s="1256"/>
      <c r="BE99" s="1256"/>
      <c r="BF99" s="1256"/>
      <c r="BG99" s="1256"/>
      <c r="BH99" s="1256"/>
      <c r="BI99" s="1728"/>
      <c r="BJ99" s="673"/>
      <c r="BK99" s="673"/>
      <c r="BL99" s="673"/>
      <c r="BM99" s="673"/>
      <c r="BN99" s="1737">
        <v>11</v>
      </c>
    </row>
    <row s="10851" customFormat="1" customHeight="1" ht="11.549999999999999">
      <c r="A100" s="1087"/>
      <c r="B100" s="1732"/>
      <c r="C100" s="1732"/>
      <c r="D100" s="458"/>
      <c r="AO100" s="4889"/>
      <c r="AP100" s="4889"/>
      <c r="AQ100" s="4889"/>
      <c r="AS100" s="1256"/>
      <c r="AT100" s="1732"/>
      <c r="AU100" s="1732"/>
      <c r="AV100" s="1256"/>
      <c r="AW100" s="1256"/>
      <c r="AX100" s="1256"/>
      <c r="AY100" s="1256"/>
      <c r="AZ100" s="1732"/>
      <c r="BA100" s="1256"/>
      <c r="BB100" s="1256"/>
      <c r="BC100" s="651"/>
      <c r="BD100" s="1256"/>
      <c r="BE100" s="1256"/>
      <c r="BF100" s="1256"/>
      <c r="BG100" s="1256"/>
      <c r="BH100" s="1256"/>
      <c r="BI100" s="1728"/>
      <c r="BJ100" s="673"/>
      <c r="BK100" s="673"/>
      <c r="BL100" s="673"/>
      <c r="BM100" s="673"/>
      <c r="BN100" s="1737">
        <v>11</v>
      </c>
    </row>
    <row s="10851" customFormat="1" customHeight="1" ht="11.549999999999999">
      <c r="A101" s="1087"/>
      <c r="B101" s="1732"/>
      <c r="C101" s="1732"/>
      <c r="D101" s="458"/>
      <c r="AO101" s="4889"/>
      <c r="AP101" s="4889"/>
      <c r="AQ101" s="4889"/>
      <c r="AS101" s="1256"/>
      <c r="AT101" s="1732"/>
      <c r="AU101" s="1732"/>
      <c r="AV101" s="1256"/>
      <c r="AW101" s="1256"/>
      <c r="AX101" s="1256"/>
      <c r="AY101" s="1256"/>
      <c r="AZ101" s="1732"/>
      <c r="BA101" s="1256"/>
      <c r="BB101" s="1256"/>
      <c r="BC101" s="651"/>
      <c r="BD101" s="1256"/>
      <c r="BE101" s="1256"/>
      <c r="BF101" s="1256"/>
      <c r="BG101" s="1256"/>
      <c r="BH101" s="1256"/>
      <c r="BI101" s="1728"/>
      <c r="BJ101" s="673"/>
      <c r="BK101" s="673"/>
      <c r="BL101" s="673"/>
      <c r="BM101" s="673"/>
      <c r="BN101" s="1737">
        <v>11</v>
      </c>
    </row>
    <row s="10851" customFormat="1" customHeight="1" ht="11.549999999999999">
      <c r="A102" s="1087"/>
      <c r="B102" s="1732"/>
      <c r="C102" s="1732"/>
      <c r="D102" s="458"/>
      <c r="AO102" s="4889"/>
      <c r="AP102" s="4889"/>
      <c r="AQ102" s="4889"/>
      <c r="AS102" s="1256"/>
      <c r="AT102" s="1732"/>
      <c r="AU102" s="1732"/>
      <c r="AV102" s="1256"/>
      <c r="AW102" s="1256"/>
      <c r="AX102" s="1256"/>
      <c r="AY102" s="1256"/>
      <c r="AZ102" s="1732"/>
      <c r="BA102" s="1256"/>
      <c r="BB102" s="1256"/>
      <c r="BC102" s="651"/>
      <c r="BD102" s="1256"/>
      <c r="BE102" s="1256"/>
      <c r="BF102" s="1256"/>
      <c r="BG102" s="1256"/>
      <c r="BH102" s="1256"/>
      <c r="BI102" s="1728"/>
      <c r="BJ102" s="673"/>
      <c r="BK102" s="673"/>
      <c r="BL102" s="673"/>
      <c r="BM102" s="673"/>
      <c r="BN102" s="1737">
        <v>11</v>
      </c>
    </row>
    <row s="10851" customFormat="1" customHeight="1" ht="11.549999999999999">
      <c r="A103" s="1087"/>
      <c r="B103" s="1732"/>
      <c r="C103" s="1732"/>
      <c r="D103" s="458"/>
      <c r="AO103" s="4889"/>
      <c r="AP103" s="4889"/>
      <c r="AQ103" s="4889"/>
      <c r="AS103" s="1256"/>
      <c r="AT103" s="1732"/>
      <c r="AU103" s="1732"/>
      <c r="AV103" s="1256"/>
      <c r="AW103" s="1256"/>
      <c r="AX103" s="1256"/>
      <c r="AY103" s="1256"/>
      <c r="AZ103" s="1732"/>
      <c r="BA103" s="1256"/>
      <c r="BB103" s="1256"/>
      <c r="BC103" s="651"/>
      <c r="BD103" s="1256"/>
      <c r="BE103" s="1256"/>
      <c r="BF103" s="1256"/>
      <c r="BG103" s="1256"/>
      <c r="BH103" s="1256"/>
      <c r="BI103" s="1728"/>
      <c r="BJ103" s="673"/>
      <c r="BK103" s="673"/>
      <c r="BL103" s="673"/>
      <c r="BM103" s="673"/>
      <c r="BN103" s="1737">
        <v>11</v>
      </c>
    </row>
    <row s="10851" customFormat="1" customHeight="1" ht="11.549999999999999">
      <c r="A104" s="1087"/>
      <c r="B104" s="1732"/>
      <c r="C104" s="1732"/>
      <c r="D104" s="458"/>
      <c r="AO104" s="4889"/>
      <c r="AP104" s="4889"/>
      <c r="AQ104" s="4889"/>
      <c r="AS104" s="1256"/>
      <c r="AT104" s="1732"/>
      <c r="AU104" s="1732"/>
      <c r="AV104" s="1256"/>
      <c r="AW104" s="1256"/>
      <c r="AX104" s="1256"/>
      <c r="AY104" s="1256"/>
      <c r="AZ104" s="1732"/>
      <c r="BA104" s="1256"/>
      <c r="BB104" s="1256"/>
      <c r="BC104" s="651"/>
      <c r="BD104" s="1256"/>
      <c r="BE104" s="1256"/>
      <c r="BF104" s="1256"/>
      <c r="BG104" s="1256"/>
      <c r="BH104" s="1256"/>
      <c r="BI104" s="1728"/>
      <c r="BJ104" s="673"/>
      <c r="BK104" s="673"/>
      <c r="BL104" s="673"/>
      <c r="BM104" s="673"/>
      <c r="BN104" s="1737">
        <v>11</v>
      </c>
    </row>
    <row s="10851" customFormat="1" customHeight="1" ht="11.549999999999999">
      <c r="A105" s="1087"/>
      <c r="B105" s="1732"/>
      <c r="C105" s="1732"/>
      <c r="D105" s="458"/>
      <c r="AO105" s="4889"/>
      <c r="AP105" s="4889"/>
      <c r="AQ105" s="4889"/>
      <c r="AS105" s="1256"/>
      <c r="AT105" s="1732"/>
      <c r="AU105" s="1732"/>
      <c r="AV105" s="1256"/>
      <c r="AW105" s="1256"/>
      <c r="AX105" s="1256"/>
      <c r="AY105" s="1256"/>
      <c r="AZ105" s="1732"/>
      <c r="BA105" s="1256"/>
      <c r="BB105" s="1256"/>
      <c r="BC105" s="651"/>
      <c r="BD105" s="1256"/>
      <c r="BE105" s="1256"/>
      <c r="BF105" s="1256"/>
      <c r="BG105" s="1256"/>
      <c r="BH105" s="1256"/>
      <c r="BI105" s="1728"/>
      <c r="BJ105" s="673"/>
      <c r="BK105" s="673"/>
      <c r="BL105" s="673"/>
      <c r="BM105" s="673"/>
      <c r="BN105" s="1737">
        <v>11</v>
      </c>
    </row>
    <row s="10851" customFormat="1" customHeight="1" ht="11.549999999999999">
      <c r="A106" s="1087"/>
      <c r="B106" s="1732"/>
      <c r="C106" s="1732"/>
      <c r="D106" s="458"/>
      <c r="AO106" s="4889"/>
      <c r="AP106" s="4889"/>
      <c r="AQ106" s="4889"/>
      <c r="AS106" s="1256"/>
      <c r="AT106" s="1732"/>
      <c r="AU106" s="1732"/>
      <c r="AV106" s="1256"/>
      <c r="AW106" s="1256"/>
      <c r="AX106" s="1256"/>
      <c r="AY106" s="1256"/>
      <c r="AZ106" s="1732"/>
      <c r="BA106" s="1256"/>
      <c r="BB106" s="1256"/>
      <c r="BC106" s="651"/>
      <c r="BD106" s="1256"/>
      <c r="BE106" s="1256"/>
      <c r="BF106" s="1256"/>
      <c r="BG106" s="1256"/>
      <c r="BH106" s="1256"/>
      <c r="BI106" s="1728"/>
      <c r="BJ106" s="673"/>
      <c r="BK106" s="673"/>
      <c r="BL106" s="673"/>
      <c r="BM106" s="673"/>
      <c r="BN106" s="1737">
        <v>11</v>
      </c>
    </row>
    <row s="10851" customFormat="1" customHeight="1" ht="11.549999999999999">
      <c r="A107" s="1087"/>
      <c r="B107" s="1732"/>
      <c r="C107" s="1732"/>
      <c r="D107" s="458"/>
      <c r="AO107" s="4889"/>
      <c r="AP107" s="4889"/>
      <c r="AQ107" s="4889"/>
      <c r="AS107" s="1256"/>
      <c r="AT107" s="1732"/>
      <c r="AU107" s="1732"/>
      <c r="AV107" s="1256"/>
      <c r="AW107" s="1256"/>
      <c r="AX107" s="1256"/>
      <c r="AY107" s="1256"/>
      <c r="AZ107" s="1732"/>
      <c r="BA107" s="1256"/>
      <c r="BB107" s="1256"/>
      <c r="BC107" s="651"/>
      <c r="BD107" s="1256"/>
      <c r="BE107" s="1256"/>
      <c r="BF107" s="1256"/>
      <c r="BG107" s="1256"/>
      <c r="BH107" s="1256"/>
      <c r="BI107" s="1728"/>
      <c r="BJ107" s="673"/>
      <c r="BK107" s="673"/>
      <c r="BL107" s="673"/>
      <c r="BM107" s="673"/>
      <c r="BN107" s="1737">
        <v>11</v>
      </c>
    </row>
    <row s="10851" customFormat="1" customHeight="1" ht="11.549999999999999">
      <c r="A108" s="1087"/>
      <c r="B108" s="1732"/>
      <c r="C108" s="1732"/>
      <c r="D108" s="458"/>
      <c r="AO108" s="4889"/>
      <c r="AP108" s="4889"/>
      <c r="AQ108" s="4889"/>
      <c r="AS108" s="1256"/>
      <c r="AT108" s="1732"/>
      <c r="AU108" s="1732"/>
      <c r="AV108" s="1256"/>
      <c r="AW108" s="1256"/>
      <c r="AX108" s="1256"/>
      <c r="AY108" s="1256"/>
      <c r="AZ108" s="1732"/>
      <c r="BA108" s="1256"/>
      <c r="BB108" s="1256"/>
      <c r="BC108" s="651"/>
      <c r="BD108" s="1256"/>
      <c r="BE108" s="1256"/>
      <c r="BF108" s="1256"/>
      <c r="BG108" s="1256"/>
      <c r="BH108" s="1256"/>
      <c r="BI108" s="1728"/>
      <c r="BJ108" s="673"/>
      <c r="BK108" s="673"/>
      <c r="BL108" s="673"/>
      <c r="BM108" s="673"/>
      <c r="BN108" s="1737">
        <v>11</v>
      </c>
    </row>
    <row s="10851" customFormat="1" customHeight="1" ht="11.549999999999999">
      <c r="A109" s="1087"/>
      <c r="B109" s="1732"/>
      <c r="C109" s="1732"/>
      <c r="D109" s="458"/>
      <c r="AO109" s="4889"/>
      <c r="AP109" s="4889"/>
      <c r="AQ109" s="4889"/>
      <c r="AS109" s="1256"/>
      <c r="AT109" s="1732"/>
      <c r="AU109" s="1732"/>
      <c r="AV109" s="1256"/>
      <c r="AW109" s="1256"/>
      <c r="AX109" s="1256"/>
      <c r="AY109" s="1256"/>
      <c r="AZ109" s="1732"/>
      <c r="BA109" s="1256"/>
      <c r="BB109" s="1256"/>
      <c r="BC109" s="651"/>
      <c r="BD109" s="1256"/>
      <c r="BE109" s="1256"/>
      <c r="BF109" s="1256"/>
      <c r="BG109" s="1256"/>
      <c r="BH109" s="1256"/>
      <c r="BI109" s="1728"/>
      <c r="BJ109" s="673"/>
      <c r="BK109" s="673"/>
      <c r="BL109" s="673"/>
      <c r="BM109" s="673"/>
      <c r="BN109" s="1737">
        <v>11</v>
      </c>
    </row>
    <row s="10851" customFormat="1" customHeight="1" ht="11.549999999999999">
      <c r="A110" s="1087"/>
      <c r="B110" s="1732"/>
      <c r="C110" s="1732"/>
      <c r="D110" s="458"/>
      <c r="AO110" s="4889"/>
      <c r="AP110" s="4889"/>
      <c r="AQ110" s="4889"/>
      <c r="AS110" s="1256"/>
      <c r="AT110" s="1732"/>
      <c r="AU110" s="1732"/>
      <c r="AV110" s="1256"/>
      <c r="AW110" s="1256"/>
      <c r="AX110" s="1256"/>
      <c r="AY110" s="1256"/>
      <c r="AZ110" s="1732"/>
      <c r="BA110" s="1256"/>
      <c r="BB110" s="1256"/>
      <c r="BC110" s="651"/>
      <c r="BD110" s="1256"/>
      <c r="BE110" s="1256"/>
      <c r="BF110" s="1256"/>
      <c r="BG110" s="1256"/>
      <c r="BH110" s="1256"/>
      <c r="BI110" s="1728"/>
      <c r="BJ110" s="673"/>
      <c r="BK110" s="673"/>
      <c r="BL110" s="673"/>
      <c r="BM110" s="673"/>
      <c r="BN110" s="1737">
        <v>11</v>
      </c>
    </row>
    <row s="10851" customFormat="1" customHeight="1" ht="11.549999999999999">
      <c r="A111" s="1087"/>
      <c r="B111" s="1732"/>
      <c r="C111" s="1732"/>
      <c r="D111" s="458"/>
      <c r="AO111" s="4889"/>
      <c r="AP111" s="4889"/>
      <c r="AQ111" s="4889"/>
      <c r="AS111" s="1256"/>
      <c r="AT111" s="1732"/>
      <c r="AU111" s="1732"/>
      <c r="AV111" s="1256"/>
      <c r="AW111" s="1256"/>
      <c r="AX111" s="1256"/>
      <c r="AY111" s="1256"/>
      <c r="AZ111" s="1732"/>
      <c r="BA111" s="1256"/>
      <c r="BB111" s="1256"/>
      <c r="BC111" s="651"/>
      <c r="BD111" s="1256"/>
      <c r="BE111" s="1256"/>
      <c r="BF111" s="1256"/>
      <c r="BG111" s="1256"/>
      <c r="BH111" s="1256"/>
      <c r="BI111" s="1728"/>
      <c r="BJ111" s="673"/>
      <c r="BK111" s="673"/>
      <c r="BL111" s="673"/>
      <c r="BM111" s="673"/>
      <c r="BN111" s="1737">
        <v>11</v>
      </c>
    </row>
    <row s="10851" customFormat="1" customHeight="1" ht="11.549999999999999">
      <c r="A112" s="1087"/>
      <c r="B112" s="1732"/>
      <c r="C112" s="1732"/>
      <c r="D112" s="458"/>
      <c r="AO112" s="4889"/>
      <c r="AP112" s="4889"/>
      <c r="AQ112" s="4889"/>
      <c r="AS112" s="1256"/>
      <c r="AT112" s="1732"/>
      <c r="AU112" s="1732"/>
      <c r="AV112" s="1256"/>
      <c r="AW112" s="1256"/>
      <c r="AX112" s="1256"/>
      <c r="AY112" s="1256"/>
      <c r="AZ112" s="1732"/>
      <c r="BA112" s="1256"/>
      <c r="BB112" s="1256"/>
      <c r="BC112" s="651"/>
      <c r="BD112" s="1256"/>
      <c r="BE112" s="1256"/>
      <c r="BF112" s="1256"/>
      <c r="BG112" s="1256"/>
      <c r="BH112" s="1256"/>
      <c r="BI112" s="1728"/>
      <c r="BJ112" s="673"/>
      <c r="BK112" s="673"/>
      <c r="BL112" s="673"/>
      <c r="BM112" s="673"/>
      <c r="BN112" s="1737">
        <v>11</v>
      </c>
    </row>
    <row s="10851" customFormat="1" customHeight="1" ht="11.549999999999999">
      <c r="A113" s="1087"/>
      <c r="B113" s="1732"/>
      <c r="C113" s="1732"/>
      <c r="D113" s="458"/>
      <c r="AO113" s="4889"/>
      <c r="AP113" s="4889"/>
      <c r="AQ113" s="4889"/>
      <c r="AS113" s="1256"/>
      <c r="AT113" s="1732"/>
      <c r="AU113" s="1732"/>
      <c r="AV113" s="1256"/>
      <c r="AW113" s="1256"/>
      <c r="AX113" s="1256"/>
      <c r="AY113" s="1256"/>
      <c r="AZ113" s="1732"/>
      <c r="BA113" s="1256"/>
      <c r="BB113" s="1256"/>
      <c r="BC113" s="651"/>
      <c r="BD113" s="1256"/>
      <c r="BE113" s="1256"/>
      <c r="BF113" s="1256"/>
      <c r="BG113" s="1256"/>
      <c r="BH113" s="1256"/>
      <c r="BI113" s="1728"/>
      <c r="BJ113" s="673"/>
      <c r="BK113" s="673"/>
      <c r="BL113" s="673"/>
      <c r="BM113" s="673"/>
      <c r="BN113" s="1737">
        <v>11</v>
      </c>
    </row>
    <row s="10851" customFormat="1" customHeight="1" ht="11.549999999999999">
      <c r="A114" s="1087"/>
      <c r="B114" s="1732"/>
      <c r="C114" s="1732"/>
      <c r="D114" s="458"/>
      <c r="AO114" s="4889"/>
      <c r="AP114" s="4889"/>
      <c r="AQ114" s="4889"/>
      <c r="AS114" s="1256"/>
      <c r="AT114" s="1732"/>
      <c r="AU114" s="1732"/>
      <c r="AV114" s="1256"/>
      <c r="AW114" s="1256"/>
      <c r="AX114" s="1256"/>
      <c r="AY114" s="1256"/>
      <c r="AZ114" s="1732"/>
      <c r="BA114" s="1256"/>
      <c r="BB114" s="1256"/>
      <c r="BC114" s="651"/>
      <c r="BD114" s="1256"/>
      <c r="BE114" s="1256"/>
      <c r="BF114" s="1256"/>
      <c r="BG114" s="1256"/>
      <c r="BH114" s="1256"/>
      <c r="BI114" s="1728"/>
      <c r="BJ114" s="673"/>
      <c r="BK114" s="673"/>
      <c r="BL114" s="673"/>
      <c r="BM114" s="673"/>
      <c r="BN114" s="1737">
        <v>11</v>
      </c>
    </row>
    <row s="10851" customFormat="1" customHeight="1" ht="11.549999999999999">
      <c r="A115" s="1087"/>
      <c r="B115" s="1732"/>
      <c r="C115" s="1732"/>
      <c r="D115" s="458"/>
      <c r="AO115" s="4889"/>
      <c r="AP115" s="4889"/>
      <c r="AQ115" s="4889"/>
      <c r="AS115" s="1256"/>
      <c r="AT115" s="1732"/>
      <c r="AU115" s="1732"/>
      <c r="AV115" s="1256"/>
      <c r="AW115" s="1256"/>
      <c r="AX115" s="1256"/>
      <c r="AY115" s="1256"/>
      <c r="AZ115" s="1732"/>
      <c r="BA115" s="1256"/>
      <c r="BB115" s="1256"/>
      <c r="BC115" s="651"/>
      <c r="BD115" s="1256"/>
      <c r="BE115" s="1256"/>
      <c r="BF115" s="1256"/>
      <c r="BG115" s="1256"/>
      <c r="BH115" s="1256"/>
      <c r="BI115" s="1728"/>
      <c r="BJ115" s="673"/>
      <c r="BK115" s="673"/>
      <c r="BL115" s="673"/>
      <c r="BM115" s="673"/>
      <c r="BN115" s="1737">
        <v>11</v>
      </c>
    </row>
    <row s="10851" customFormat="1" customHeight="1" ht="11.549999999999999">
      <c r="A116" s="1087"/>
      <c r="B116" s="1732"/>
      <c r="C116" s="1732"/>
      <c r="D116" s="458"/>
      <c r="AO116" s="4889"/>
      <c r="AP116" s="4889"/>
      <c r="AQ116" s="4889"/>
      <c r="AS116" s="1256"/>
      <c r="AT116" s="1732"/>
      <c r="AU116" s="1732"/>
      <c r="AV116" s="1256"/>
      <c r="AW116" s="1256"/>
      <c r="AX116" s="1256"/>
      <c r="AY116" s="1256"/>
      <c r="AZ116" s="1732"/>
      <c r="BA116" s="1256"/>
      <c r="BB116" s="1256"/>
      <c r="BC116" s="651"/>
      <c r="BD116" s="1256"/>
      <c r="BE116" s="1256"/>
      <c r="BF116" s="1256"/>
      <c r="BG116" s="1256"/>
      <c r="BH116" s="1256"/>
      <c r="BI116" s="1728"/>
      <c r="BJ116" s="673"/>
      <c r="BK116" s="673"/>
      <c r="BL116" s="673"/>
      <c r="BM116" s="673"/>
      <c r="BN116" s="1737">
        <v>11</v>
      </c>
    </row>
    <row s="10851" customFormat="1" customHeight="1" ht="11.549999999999999">
      <c r="A117" s="1087"/>
      <c r="B117" s="1732"/>
      <c r="C117" s="1732"/>
      <c r="D117" s="458"/>
      <c r="AO117" s="4889"/>
      <c r="AP117" s="4889"/>
      <c r="AQ117" s="4889"/>
      <c r="AS117" s="1256"/>
      <c r="AT117" s="1732"/>
      <c r="AU117" s="1732"/>
      <c r="AV117" s="1256"/>
      <c r="AW117" s="1256"/>
      <c r="AX117" s="1256"/>
      <c r="AY117" s="1256"/>
      <c r="AZ117" s="1732"/>
      <c r="BA117" s="1256"/>
      <c r="BB117" s="1256"/>
      <c r="BC117" s="651"/>
      <c r="BD117" s="1256"/>
      <c r="BE117" s="1256"/>
      <c r="BF117" s="1256"/>
      <c r="BG117" s="1256"/>
      <c r="BH117" s="1256"/>
      <c r="BI117" s="1728"/>
      <c r="BJ117" s="673"/>
      <c r="BK117" s="673"/>
      <c r="BL117" s="673"/>
      <c r="BM117" s="673"/>
      <c r="BN117" s="1737">
        <v>11</v>
      </c>
    </row>
    <row s="10851" customFormat="1" customHeight="1" ht="11.549999999999999">
      <c r="A118" s="1087"/>
      <c r="B118" s="1732"/>
      <c r="C118" s="1732"/>
      <c r="D118" s="458"/>
      <c r="AO118" s="4889"/>
      <c r="AP118" s="4889"/>
      <c r="AQ118" s="4889"/>
      <c r="AS118" s="1256"/>
      <c r="AT118" s="1732"/>
      <c r="AU118" s="1732"/>
      <c r="AV118" s="1256"/>
      <c r="AW118" s="1256"/>
      <c r="AX118" s="1256"/>
      <c r="AY118" s="1256"/>
      <c r="AZ118" s="1732"/>
      <c r="BA118" s="1256"/>
      <c r="BB118" s="1256"/>
      <c r="BC118" s="651"/>
      <c r="BD118" s="1256"/>
      <c r="BE118" s="1256"/>
      <c r="BF118" s="1256"/>
      <c r="BG118" s="1256"/>
      <c r="BH118" s="1256"/>
      <c r="BI118" s="1728"/>
      <c r="BJ118" s="673"/>
      <c r="BK118" s="673"/>
      <c r="BL118" s="673"/>
      <c r="BM118" s="673"/>
      <c r="BN118" s="1737">
        <v>11</v>
      </c>
    </row>
    <row s="10851" customFormat="1" customHeight="1" ht="11.549999999999999">
      <c r="A119" s="1087"/>
      <c r="B119" s="1732"/>
      <c r="C119" s="1732"/>
      <c r="D119" s="458"/>
      <c r="AO119" s="4889"/>
      <c r="AP119" s="4889"/>
      <c r="AQ119" s="4889"/>
      <c r="AS119" s="1256"/>
      <c r="AT119" s="1732"/>
      <c r="AU119" s="1732"/>
      <c r="AV119" s="1256"/>
      <c r="AW119" s="1256"/>
      <c r="AX119" s="1256"/>
      <c r="AY119" s="1256"/>
      <c r="AZ119" s="1732"/>
      <c r="BA119" s="1256"/>
      <c r="BB119" s="1256"/>
      <c r="BC119" s="651"/>
      <c r="BD119" s="1256"/>
      <c r="BE119" s="1256"/>
      <c r="BF119" s="1256"/>
      <c r="BG119" s="1256"/>
      <c r="BH119" s="1256"/>
      <c r="BI119" s="1728"/>
      <c r="BJ119" s="673"/>
      <c r="BK119" s="673"/>
      <c r="BL119" s="673"/>
      <c r="BM119" s="673"/>
      <c r="BN119" s="1737">
        <v>11</v>
      </c>
    </row>
    <row s="10851" customFormat="1" customHeight="1" ht="11.549999999999999">
      <c r="A120" s="1087"/>
      <c r="B120" s="1732"/>
      <c r="C120" s="1732"/>
      <c r="D120" s="458"/>
      <c r="AO120" s="4889"/>
      <c r="AP120" s="4889"/>
      <c r="AQ120" s="4889"/>
      <c r="AS120" s="1256"/>
      <c r="AT120" s="1732"/>
      <c r="AU120" s="1732"/>
      <c r="AV120" s="1256"/>
      <c r="AW120" s="1256"/>
      <c r="AX120" s="1256"/>
      <c r="AY120" s="1256"/>
      <c r="AZ120" s="1732"/>
      <c r="BA120" s="1256"/>
      <c r="BB120" s="1256"/>
      <c r="BC120" s="651"/>
      <c r="BD120" s="1256"/>
      <c r="BE120" s="1256"/>
      <c r="BF120" s="1256"/>
      <c r="BG120" s="1256"/>
      <c r="BH120" s="1256"/>
      <c r="BI120" s="1728"/>
      <c r="BJ120" s="673"/>
      <c r="BK120" s="673"/>
      <c r="BL120" s="673"/>
      <c r="BM120" s="673"/>
      <c r="BN120" s="1737">
        <v>11</v>
      </c>
    </row>
    <row s="10851" customFormat="1" customHeight="1" ht="11.549999999999999">
      <c r="A121" s="1087"/>
      <c r="B121" s="1732"/>
      <c r="C121" s="1732"/>
      <c r="D121" s="458"/>
      <c r="AO121" s="4889"/>
      <c r="AP121" s="4889"/>
      <c r="AQ121" s="4889"/>
      <c r="AS121" s="1256"/>
      <c r="AT121" s="1732"/>
      <c r="AU121" s="1732"/>
      <c r="AV121" s="1256"/>
      <c r="AW121" s="1256"/>
      <c r="AX121" s="1256"/>
      <c r="AY121" s="1256"/>
      <c r="AZ121" s="1732"/>
      <c r="BA121" s="1256"/>
      <c r="BB121" s="1256"/>
      <c r="BC121" s="651"/>
      <c r="BD121" s="1256"/>
      <c r="BE121" s="1256"/>
      <c r="BF121" s="1256"/>
      <c r="BG121" s="1256"/>
      <c r="BH121" s="1256"/>
      <c r="BI121" s="1728"/>
      <c r="BJ121" s="673"/>
      <c r="BK121" s="673"/>
      <c r="BL121" s="673"/>
      <c r="BM121" s="673"/>
      <c r="BN121" s="1737">
        <v>11</v>
      </c>
    </row>
    <row s="10851" customFormat="1" customHeight="1" ht="11.549999999999999">
      <c r="A122" s="1087"/>
      <c r="B122" s="1732"/>
      <c r="C122" s="1732"/>
      <c r="D122" s="458"/>
      <c r="AO122" s="4889"/>
      <c r="AP122" s="4889"/>
      <c r="AQ122" s="4889"/>
      <c r="AS122" s="1256"/>
      <c r="AT122" s="1732"/>
      <c r="AU122" s="1732"/>
      <c r="AV122" s="1256"/>
      <c r="AW122" s="1256"/>
      <c r="AX122" s="1256"/>
      <c r="AY122" s="1256"/>
      <c r="AZ122" s="1732"/>
      <c r="BA122" s="1256"/>
      <c r="BB122" s="1256"/>
      <c r="BC122" s="651"/>
      <c r="BD122" s="1256"/>
      <c r="BE122" s="1256"/>
      <c r="BF122" s="1256"/>
      <c r="BG122" s="1256"/>
      <c r="BH122" s="1256"/>
      <c r="BI122" s="1728"/>
      <c r="BJ122" s="673"/>
      <c r="BK122" s="673"/>
      <c r="BL122" s="673"/>
      <c r="BM122" s="673"/>
      <c r="BN122" s="1737">
        <v>11</v>
      </c>
    </row>
    <row s="10851" customFormat="1" customHeight="1" ht="11.549999999999999">
      <c r="A123" s="1087"/>
      <c r="B123" s="1732"/>
      <c r="C123" s="1732"/>
      <c r="D123" s="458"/>
      <c r="AO123" s="4889"/>
      <c r="AP123" s="4889"/>
      <c r="AQ123" s="4889"/>
      <c r="AS123" s="1256"/>
      <c r="AT123" s="1732"/>
      <c r="AU123" s="1732"/>
      <c r="AV123" s="1256"/>
      <c r="AW123" s="1256"/>
      <c r="AX123" s="1256"/>
      <c r="AY123" s="1256"/>
      <c r="AZ123" s="1732"/>
      <c r="BA123" s="1256"/>
      <c r="BB123" s="1256"/>
      <c r="BC123" s="651"/>
      <c r="BD123" s="1256"/>
      <c r="BE123" s="1256"/>
      <c r="BF123" s="1256"/>
      <c r="BG123" s="1256"/>
      <c r="BH123" s="1256"/>
      <c r="BI123" s="1728"/>
      <c r="BJ123" s="673"/>
      <c r="BK123" s="673"/>
      <c r="BL123" s="673"/>
      <c r="BM123" s="673"/>
      <c r="BN123" s="1737">
        <v>11</v>
      </c>
    </row>
    <row s="10851" customFormat="1" customHeight="1" ht="11.549999999999999">
      <c r="A124" s="1087"/>
      <c r="B124" s="1732"/>
      <c r="C124" s="1732"/>
      <c r="D124" s="458"/>
      <c r="AO124" s="4889"/>
      <c r="AP124" s="4889"/>
      <c r="AQ124" s="4889"/>
      <c r="AS124" s="1256"/>
      <c r="AT124" s="1732"/>
      <c r="AU124" s="1732"/>
      <c r="AV124" s="1256"/>
      <c r="AW124" s="1256"/>
      <c r="AX124" s="1256"/>
      <c r="AY124" s="1256"/>
      <c r="AZ124" s="1732"/>
      <c r="BA124" s="1256"/>
      <c r="BB124" s="1256"/>
      <c r="BC124" s="651"/>
      <c r="BD124" s="1256"/>
      <c r="BE124" s="1256"/>
      <c r="BF124" s="1256"/>
      <c r="BG124" s="1256"/>
      <c r="BH124" s="1256"/>
      <c r="BI124" s="1728"/>
      <c r="BJ124" s="673"/>
      <c r="BK124" s="673"/>
      <c r="BL124" s="673"/>
      <c r="BM124" s="673"/>
      <c r="BN124" s="1737">
        <v>11</v>
      </c>
    </row>
    <row s="10851" customFormat="1" customHeight="1" ht="11.549999999999999">
      <c r="A125" s="1087"/>
      <c r="B125" s="1732"/>
      <c r="C125" s="1732"/>
      <c r="D125" s="458"/>
      <c r="AO125" s="4889"/>
      <c r="AP125" s="4889"/>
      <c r="AQ125" s="4889"/>
      <c r="AS125" s="1256"/>
      <c r="AT125" s="1732"/>
      <c r="AU125" s="1732"/>
      <c r="AV125" s="1256"/>
      <c r="AW125" s="1256"/>
      <c r="AX125" s="1256"/>
      <c r="AY125" s="1256"/>
      <c r="AZ125" s="1732"/>
      <c r="BA125" s="1256"/>
      <c r="BB125" s="1256"/>
      <c r="BC125" s="651"/>
      <c r="BD125" s="1256"/>
      <c r="BE125" s="1256"/>
      <c r="BF125" s="1256"/>
      <c r="BG125" s="1256"/>
      <c r="BH125" s="1256"/>
      <c r="BI125" s="1728"/>
      <c r="BJ125" s="673"/>
      <c r="BK125" s="673"/>
      <c r="BL125" s="673"/>
      <c r="BM125" s="673"/>
      <c r="BN125" s="1737">
        <v>11</v>
      </c>
    </row>
    <row s="10851" customFormat="1" customHeight="1" ht="11.549999999999999">
      <c r="A126" s="1087"/>
      <c r="B126" s="1732"/>
      <c r="C126" s="1732"/>
      <c r="D126" s="458"/>
      <c r="AO126" s="4889"/>
      <c r="AP126" s="4889"/>
      <c r="AQ126" s="4889"/>
      <c r="AS126" s="1256"/>
      <c r="AT126" s="1732"/>
      <c r="AU126" s="1732"/>
      <c r="AV126" s="1256"/>
      <c r="AW126" s="1256"/>
      <c r="AX126" s="1256"/>
      <c r="AY126" s="1256"/>
      <c r="AZ126" s="1732"/>
      <c r="BA126" s="1256"/>
      <c r="BB126" s="1256"/>
      <c r="BC126" s="651"/>
      <c r="BD126" s="1256"/>
      <c r="BE126" s="1256"/>
      <c r="BF126" s="1256"/>
      <c r="BG126" s="1256"/>
      <c r="BH126" s="1256"/>
      <c r="BI126" s="1728"/>
      <c r="BJ126" s="673"/>
      <c r="BK126" s="673"/>
      <c r="BL126" s="673"/>
      <c r="BM126" s="673"/>
      <c r="BN126" s="1737">
        <v>11</v>
      </c>
    </row>
    <row s="10851" customFormat="1" customHeight="1" ht="11.549999999999999">
      <c r="A127" s="1087"/>
      <c r="B127" s="1732"/>
      <c r="C127" s="1732"/>
      <c r="D127" s="458"/>
      <c r="AO127" s="4889"/>
      <c r="AP127" s="4889"/>
      <c r="AQ127" s="4889"/>
      <c r="AS127" s="1256"/>
      <c r="AT127" s="1732"/>
      <c r="AU127" s="1732"/>
      <c r="AV127" s="1256"/>
      <c r="AW127" s="1256"/>
      <c r="AX127" s="1256"/>
      <c r="AY127" s="1256"/>
      <c r="AZ127" s="1732"/>
      <c r="BA127" s="1256"/>
      <c r="BB127" s="1256"/>
      <c r="BC127" s="651"/>
      <c r="BD127" s="1256"/>
      <c r="BE127" s="1256"/>
      <c r="BF127" s="1256"/>
      <c r="BG127" s="1256"/>
      <c r="BH127" s="1256"/>
      <c r="BI127" s="1728"/>
      <c r="BJ127" s="673"/>
      <c r="BK127" s="673"/>
      <c r="BL127" s="673"/>
      <c r="BM127" s="673"/>
      <c r="BN127" s="1737">
        <v>11</v>
      </c>
    </row>
    <row s="10851" customFormat="1" customHeight="1" ht="11.549999999999999">
      <c r="A128" s="1087"/>
      <c r="B128" s="1732"/>
      <c r="C128" s="1732"/>
      <c r="D128" s="458"/>
      <c r="AO128" s="4889"/>
      <c r="AP128" s="4889"/>
      <c r="AQ128" s="4889"/>
      <c r="AS128" s="1256"/>
      <c r="AT128" s="1732"/>
      <c r="AU128" s="1732"/>
      <c r="AV128" s="1256"/>
      <c r="AW128" s="1256"/>
      <c r="AX128" s="1256"/>
      <c r="AY128" s="1256"/>
      <c r="AZ128" s="1732"/>
      <c r="BA128" s="1256"/>
      <c r="BB128" s="1256"/>
      <c r="BC128" s="651"/>
      <c r="BD128" s="1256"/>
      <c r="BE128" s="1256"/>
      <c r="BF128" s="1256"/>
      <c r="BG128" s="1256"/>
      <c r="BH128" s="1256"/>
      <c r="BI128" s="1728"/>
      <c r="BJ128" s="673"/>
      <c r="BK128" s="673"/>
      <c r="BL128" s="673"/>
      <c r="BM128" s="673"/>
      <c r="BN128" s="1737">
        <v>11</v>
      </c>
    </row>
    <row s="10851" customFormat="1" customHeight="1" ht="11.549999999999999">
      <c r="A129" s="1087"/>
      <c r="B129" s="1732"/>
      <c r="C129" s="1732"/>
      <c r="D129" s="458"/>
      <c r="AO129" s="4889"/>
      <c r="AP129" s="4889"/>
      <c r="AQ129" s="4889"/>
      <c r="AS129" s="1256"/>
      <c r="AT129" s="1732"/>
      <c r="AU129" s="1732"/>
      <c r="AV129" s="1256"/>
      <c r="AW129" s="1256"/>
      <c r="AX129" s="1256"/>
      <c r="AY129" s="1256"/>
      <c r="AZ129" s="1732"/>
      <c r="BA129" s="1256"/>
      <c r="BB129" s="1256"/>
      <c r="BC129" s="651"/>
      <c r="BD129" s="1256"/>
      <c r="BE129" s="1256"/>
      <c r="BF129" s="1256"/>
      <c r="BG129" s="1256"/>
      <c r="BH129" s="1256"/>
      <c r="BI129" s="1728"/>
      <c r="BJ129" s="673"/>
      <c r="BK129" s="673"/>
      <c r="BL129" s="673"/>
      <c r="BM129" s="673"/>
      <c r="BN129" s="1737">
        <v>11</v>
      </c>
    </row>
    <row s="10851" customFormat="1" customHeight="1" ht="11.549999999999999">
      <c r="A130" s="1087"/>
      <c r="B130" s="1732"/>
      <c r="C130" s="1732"/>
      <c r="D130" s="458"/>
      <c r="AO130" s="4889"/>
      <c r="AP130" s="4889"/>
      <c r="AQ130" s="4889"/>
      <c r="AS130" s="1256"/>
      <c r="AT130" s="1732"/>
      <c r="AU130" s="1732"/>
      <c r="AV130" s="1256"/>
      <c r="AW130" s="1256"/>
      <c r="AX130" s="1256"/>
      <c r="AY130" s="1256"/>
      <c r="AZ130" s="1732"/>
      <c r="BA130" s="1256"/>
      <c r="BB130" s="1256"/>
      <c r="BC130" s="651"/>
      <c r="BD130" s="1256"/>
      <c r="BE130" s="1256"/>
      <c r="BF130" s="1256"/>
      <c r="BG130" s="1256"/>
      <c r="BH130" s="1256"/>
      <c r="BI130" s="1728"/>
      <c r="BJ130" s="673"/>
      <c r="BK130" s="673"/>
      <c r="BL130" s="673"/>
      <c r="BM130" s="673"/>
      <c r="BN130" s="1737">
        <v>11</v>
      </c>
    </row>
    <row s="10851" customFormat="1" customHeight="1" ht="11.549999999999999">
      <c r="A131" s="1087"/>
      <c r="B131" s="1732"/>
      <c r="C131" s="1732"/>
      <c r="D131" s="458"/>
      <c r="AO131" s="4889"/>
      <c r="AP131" s="4889"/>
      <c r="AQ131" s="4889"/>
      <c r="AS131" s="1256"/>
      <c r="AT131" s="1732"/>
      <c r="AU131" s="1732"/>
      <c r="AV131" s="1256"/>
      <c r="AW131" s="1256"/>
      <c r="AX131" s="1256"/>
      <c r="AY131" s="1256"/>
      <c r="AZ131" s="1732"/>
      <c r="BA131" s="1256"/>
      <c r="BB131" s="1256"/>
      <c r="BC131" s="651"/>
      <c r="BD131" s="1256"/>
      <c r="BE131" s="1256"/>
      <c r="BF131" s="1256"/>
      <c r="BG131" s="1256"/>
      <c r="BH131" s="1256"/>
      <c r="BI131" s="1728"/>
      <c r="BJ131" s="673"/>
      <c r="BK131" s="673"/>
      <c r="BL131" s="673"/>
      <c r="BM131" s="673"/>
      <c r="BN131" s="1737">
        <v>11</v>
      </c>
    </row>
    <row s="10851" customFormat="1" customHeight="1" ht="11.549999999999999">
      <c r="A132" s="1087"/>
      <c r="B132" s="1732"/>
      <c r="C132" s="1732"/>
      <c r="D132" s="458"/>
      <c r="AO132" s="4889"/>
      <c r="AP132" s="4889"/>
      <c r="AQ132" s="4889"/>
      <c r="AS132" s="1256"/>
      <c r="AT132" s="1732"/>
      <c r="AU132" s="1732"/>
      <c r="AV132" s="1256"/>
      <c r="AW132" s="1256"/>
      <c r="AX132" s="1256"/>
      <c r="AY132" s="1256"/>
      <c r="AZ132" s="1732"/>
      <c r="BA132" s="1256"/>
      <c r="BB132" s="1256"/>
      <c r="BC132" s="651"/>
      <c r="BD132" s="1256"/>
      <c r="BE132" s="1256"/>
      <c r="BF132" s="1256"/>
      <c r="BG132" s="1256"/>
      <c r="BH132" s="1256"/>
      <c r="BI132" s="1728"/>
      <c r="BJ132" s="673"/>
      <c r="BK132" s="673"/>
      <c r="BL132" s="673"/>
      <c r="BM132" s="673"/>
      <c r="BN132" s="1737">
        <v>11</v>
      </c>
    </row>
    <row s="10851" customFormat="1" customHeight="1" ht="11.549999999999999">
      <c r="A133" s="1087"/>
      <c r="B133" s="1732"/>
      <c r="C133" s="1732"/>
      <c r="D133" s="458"/>
      <c r="AO133" s="4889"/>
      <c r="AP133" s="4889"/>
      <c r="AQ133" s="4889"/>
      <c r="AS133" s="1256"/>
      <c r="AT133" s="1732"/>
      <c r="AU133" s="1732"/>
      <c r="AV133" s="1256"/>
      <c r="AW133" s="1256"/>
      <c r="AX133" s="1256"/>
      <c r="AY133" s="1256"/>
      <c r="AZ133" s="1732"/>
      <c r="BA133" s="1256"/>
      <c r="BB133" s="1256"/>
      <c r="BC133" s="651"/>
      <c r="BD133" s="1256"/>
      <c r="BE133" s="1256"/>
      <c r="BF133" s="1256"/>
      <c r="BG133" s="1256"/>
      <c r="BH133" s="1256"/>
      <c r="BI133" s="1728"/>
      <c r="BJ133" s="673"/>
      <c r="BK133" s="673"/>
      <c r="BL133" s="673"/>
      <c r="BM133" s="673"/>
      <c r="BN133" s="1737">
        <v>11</v>
      </c>
    </row>
    <row s="10851" customFormat="1" customHeight="1" ht="11.549999999999999">
      <c r="A134" s="1087"/>
      <c r="B134" s="1732"/>
      <c r="C134" s="1732"/>
      <c r="D134" s="458"/>
      <c r="AO134" s="4889"/>
      <c r="AP134" s="4889"/>
      <c r="AQ134" s="4889"/>
      <c r="AS134" s="1256"/>
      <c r="AT134" s="1732"/>
      <c r="AU134" s="1732"/>
      <c r="AV134" s="1256"/>
      <c r="AW134" s="1256"/>
      <c r="AX134" s="1256"/>
      <c r="AY134" s="1256"/>
      <c r="AZ134" s="1732"/>
      <c r="BA134" s="1256"/>
      <c r="BB134" s="1256"/>
      <c r="BC134" s="651"/>
      <c r="BD134" s="1256"/>
      <c r="BE134" s="1256"/>
      <c r="BF134" s="1256"/>
      <c r="BG134" s="1256"/>
      <c r="BH134" s="1256"/>
      <c r="BI134" s="1728"/>
      <c r="BJ134" s="673"/>
      <c r="BK134" s="673"/>
      <c r="BL134" s="673"/>
      <c r="BM134" s="673"/>
      <c r="BN134" s="1737">
        <v>11</v>
      </c>
    </row>
    <row s="10851" customFormat="1" customHeight="1" ht="11.549999999999999">
      <c r="A135" s="1087"/>
      <c r="B135" s="1732"/>
      <c r="C135" s="1732"/>
      <c r="D135" s="458"/>
      <c r="AO135" s="4889"/>
      <c r="AP135" s="4889"/>
      <c r="AQ135" s="4889"/>
      <c r="AS135" s="1256"/>
      <c r="AT135" s="1732"/>
      <c r="AU135" s="1732"/>
      <c r="AV135" s="1256"/>
      <c r="AW135" s="1256"/>
      <c r="AX135" s="1256"/>
      <c r="AY135" s="1256"/>
      <c r="AZ135" s="1732"/>
      <c r="BA135" s="1256"/>
      <c r="BB135" s="1256"/>
      <c r="BC135" s="651"/>
      <c r="BD135" s="1256"/>
      <c r="BE135" s="1256"/>
      <c r="BF135" s="1256"/>
      <c r="BG135" s="1256"/>
      <c r="BH135" s="1256"/>
      <c r="BI135" s="1728"/>
      <c r="BJ135" s="673"/>
      <c r="BK135" s="673"/>
      <c r="BL135" s="673"/>
      <c r="BM135" s="673"/>
      <c r="BN135" s="1737">
        <v>11</v>
      </c>
    </row>
    <row s="10851" customFormat="1" customHeight="1" ht="11.549999999999999">
      <c r="A136" s="1087"/>
      <c r="B136" s="1732"/>
      <c r="C136" s="1732"/>
      <c r="D136" s="458"/>
      <c r="AO136" s="4889"/>
      <c r="AP136" s="4889"/>
      <c r="AQ136" s="4889"/>
      <c r="AS136" s="1256"/>
      <c r="AT136" s="1732"/>
      <c r="AU136" s="1732"/>
      <c r="AV136" s="1256"/>
      <c r="AW136" s="1256"/>
      <c r="AX136" s="1256"/>
      <c r="AY136" s="1256"/>
      <c r="AZ136" s="1732"/>
      <c r="BA136" s="1256"/>
      <c r="BB136" s="1256"/>
      <c r="BC136" s="651"/>
      <c r="BD136" s="1256"/>
      <c r="BE136" s="1256"/>
      <c r="BF136" s="1256"/>
      <c r="BG136" s="1256"/>
      <c r="BH136" s="1256"/>
      <c r="BI136" s="1728"/>
      <c r="BJ136" s="673"/>
      <c r="BK136" s="673"/>
      <c r="BL136" s="673"/>
      <c r="BM136" s="673"/>
      <c r="BN136" s="1737">
        <v>11</v>
      </c>
    </row>
    <row s="10851" customFormat="1" customHeight="1" ht="11.549999999999999">
      <c r="A137" s="1087"/>
      <c r="B137" s="1732"/>
      <c r="C137" s="1732"/>
      <c r="D137" s="458"/>
      <c r="AO137" s="4889"/>
      <c r="AP137" s="4889"/>
      <c r="AQ137" s="4889"/>
      <c r="AS137" s="1256"/>
      <c r="AT137" s="1732"/>
      <c r="AU137" s="1732"/>
      <c r="AV137" s="1256"/>
      <c r="AW137" s="1256"/>
      <c r="AX137" s="1256"/>
      <c r="AY137" s="1256"/>
      <c r="AZ137" s="1732"/>
      <c r="BA137" s="1256"/>
      <c r="BB137" s="1256"/>
      <c r="BC137" s="651"/>
      <c r="BD137" s="1256"/>
      <c r="BE137" s="1256"/>
      <c r="BF137" s="1256"/>
      <c r="BG137" s="1256"/>
      <c r="BH137" s="1256"/>
      <c r="BI137" s="1728"/>
      <c r="BJ137" s="673"/>
      <c r="BK137" s="673"/>
      <c r="BL137" s="673"/>
      <c r="BM137" s="673"/>
      <c r="BN137" s="1737">
        <v>11</v>
      </c>
    </row>
    <row s="10851" customFormat="1" customHeight="1" ht="11.549999999999999">
      <c r="A138" s="1087"/>
      <c r="B138" s="1732"/>
      <c r="C138" s="1732"/>
      <c r="D138" s="458"/>
      <c r="AO138" s="4889"/>
      <c r="AP138" s="4889"/>
      <c r="AQ138" s="4889"/>
      <c r="AS138" s="1256"/>
      <c r="AT138" s="1732"/>
      <c r="AU138" s="1732"/>
      <c r="AV138" s="1256"/>
      <c r="AW138" s="1256"/>
      <c r="AX138" s="1256"/>
      <c r="AY138" s="1256"/>
      <c r="AZ138" s="1732"/>
      <c r="BA138" s="1256"/>
      <c r="BB138" s="1256"/>
      <c r="BC138" s="651"/>
      <c r="BD138" s="1256"/>
      <c r="BE138" s="1256"/>
      <c r="BF138" s="1256"/>
      <c r="BG138" s="1256"/>
      <c r="BH138" s="1256"/>
      <c r="BI138" s="1728"/>
      <c r="BJ138" s="673"/>
      <c r="BK138" s="673"/>
      <c r="BL138" s="673"/>
      <c r="BM138" s="673"/>
      <c r="BN138" s="1737">
        <v>11</v>
      </c>
    </row>
    <row s="10851" customFormat="1" customHeight="1" ht="11.549999999999999">
      <c r="A139" s="1087"/>
      <c r="B139" s="1732"/>
      <c r="C139" s="1732"/>
      <c r="D139" s="458"/>
      <c r="AO139" s="4889"/>
      <c r="AP139" s="4889"/>
      <c r="AQ139" s="4889"/>
      <c r="AS139" s="1256"/>
      <c r="AT139" s="1732"/>
      <c r="AU139" s="1732"/>
      <c r="AV139" s="1256"/>
      <c r="AW139" s="1256"/>
      <c r="AX139" s="1256"/>
      <c r="AY139" s="1256"/>
      <c r="AZ139" s="1732"/>
      <c r="BA139" s="1256"/>
      <c r="BB139" s="1256"/>
      <c r="BC139" s="651"/>
      <c r="BD139" s="1256"/>
      <c r="BE139" s="1256"/>
      <c r="BF139" s="1256"/>
      <c r="BG139" s="1256"/>
      <c r="BH139" s="1256"/>
      <c r="BI139" s="1728"/>
      <c r="BJ139" s="673"/>
      <c r="BK139" s="673"/>
      <c r="BL139" s="673"/>
      <c r="BM139" s="673"/>
      <c r="BN139" s="1737">
        <v>11</v>
      </c>
    </row>
    <row s="10851" customFormat="1" customHeight="1" ht="11.549999999999999">
      <c r="A140" s="1087"/>
      <c r="B140" s="1732"/>
      <c r="C140" s="1732"/>
      <c r="D140" s="458"/>
      <c r="AO140" s="4889"/>
      <c r="AP140" s="4889"/>
      <c r="AQ140" s="4889"/>
      <c r="AS140" s="1256"/>
      <c r="AT140" s="1732"/>
      <c r="AU140" s="1732"/>
      <c r="AV140" s="1256"/>
      <c r="AW140" s="1256"/>
      <c r="AX140" s="1256"/>
      <c r="AY140" s="1256"/>
      <c r="AZ140" s="1732"/>
      <c r="BA140" s="1256"/>
      <c r="BB140" s="1256"/>
      <c r="BC140" s="651"/>
      <c r="BD140" s="1256"/>
      <c r="BE140" s="1256"/>
      <c r="BF140" s="1256"/>
      <c r="BG140" s="1256"/>
      <c r="BH140" s="1256"/>
      <c r="BI140" s="1728"/>
      <c r="BJ140" s="673"/>
      <c r="BK140" s="673"/>
      <c r="BL140" s="673"/>
      <c r="BM140" s="673"/>
      <c r="BN140" s="1737">
        <v>11</v>
      </c>
    </row>
    <row s="10851" customFormat="1" customHeight="1" ht="11.549999999999999">
      <c r="A141" s="1087"/>
      <c r="B141" s="1732"/>
      <c r="C141" s="1732"/>
      <c r="D141" s="458"/>
      <c r="AO141" s="4889"/>
      <c r="AP141" s="4889"/>
      <c r="AQ141" s="4889"/>
      <c r="AS141" s="1256"/>
      <c r="AT141" s="1732"/>
      <c r="AU141" s="1732"/>
      <c r="AV141" s="1256"/>
      <c r="AW141" s="1256"/>
      <c r="AX141" s="1256"/>
      <c r="AY141" s="1256"/>
      <c r="AZ141" s="1732"/>
      <c r="BA141" s="1256"/>
      <c r="BB141" s="1256"/>
      <c r="BC141" s="651"/>
      <c r="BD141" s="1256"/>
      <c r="BE141" s="1256"/>
      <c r="BF141" s="1256"/>
      <c r="BG141" s="1256"/>
      <c r="BH141" s="1256"/>
      <c r="BI141" s="1728"/>
      <c r="BJ141" s="673"/>
      <c r="BK141" s="673"/>
      <c r="BL141" s="673"/>
      <c r="BM141" s="673"/>
      <c r="BN141" s="1737">
        <v>11</v>
      </c>
    </row>
    <row s="10851" customFormat="1" customHeight="1" ht="11.549999999999999">
      <c r="A142" s="1087"/>
      <c r="B142" s="1732"/>
      <c r="C142" s="1732"/>
      <c r="D142" s="458"/>
      <c r="AO142" s="4889"/>
      <c r="AP142" s="4889"/>
      <c r="AQ142" s="4889"/>
      <c r="AS142" s="1256"/>
      <c r="AT142" s="1732"/>
      <c r="AU142" s="1732"/>
      <c r="AV142" s="1256"/>
      <c r="AW142" s="1256"/>
      <c r="AX142" s="1256"/>
      <c r="AY142" s="1256"/>
      <c r="AZ142" s="1732"/>
      <c r="BA142" s="1256"/>
      <c r="BB142" s="1256"/>
      <c r="BC142" s="651"/>
      <c r="BD142" s="1256"/>
      <c r="BE142" s="1256"/>
      <c r="BF142" s="1256"/>
      <c r="BG142" s="1256"/>
      <c r="BH142" s="1256"/>
      <c r="BI142" s="1728"/>
      <c r="BJ142" s="673"/>
      <c r="BK142" s="673"/>
      <c r="BL142" s="673"/>
      <c r="BM142" s="673"/>
      <c r="BN142" s="1737">
        <v>11</v>
      </c>
    </row>
    <row s="10851" customFormat="1" customHeight="1" ht="11.549999999999999">
      <c r="A143" s="1087"/>
      <c r="B143" s="1732"/>
      <c r="C143" s="1732"/>
      <c r="D143" s="458"/>
      <c r="AO143" s="4889"/>
      <c r="AP143" s="4889"/>
      <c r="AQ143" s="4889"/>
      <c r="AS143" s="1256"/>
      <c r="AT143" s="1732"/>
      <c r="AU143" s="1732"/>
      <c r="AV143" s="1256"/>
      <c r="AW143" s="1256"/>
      <c r="AX143" s="1256"/>
      <c r="AY143" s="1256"/>
      <c r="AZ143" s="1732"/>
      <c r="BA143" s="1256"/>
      <c r="BB143" s="1256"/>
      <c r="BC143" s="651"/>
      <c r="BD143" s="1256"/>
      <c r="BE143" s="1256"/>
      <c r="BF143" s="1256"/>
      <c r="BG143" s="1256"/>
      <c r="BH143" s="1256"/>
      <c r="BI143" s="1728"/>
      <c r="BJ143" s="673"/>
      <c r="BK143" s="673"/>
      <c r="BL143" s="673"/>
      <c r="BM143" s="673"/>
      <c r="BN143" s="1737">
        <v>11</v>
      </c>
    </row>
    <row s="10851" customFormat="1" customHeight="1" ht="11.549999999999999">
      <c r="A144" s="1087"/>
      <c r="B144" s="1732"/>
      <c r="C144" s="1732"/>
      <c r="D144" s="458"/>
      <c r="AO144" s="4889"/>
      <c r="AP144" s="4889"/>
      <c r="AQ144" s="4889"/>
      <c r="AS144" s="1256"/>
      <c r="AT144" s="1732"/>
      <c r="AU144" s="1732"/>
      <c r="AV144" s="1256"/>
      <c r="AW144" s="1256"/>
      <c r="AX144" s="1256"/>
      <c r="AY144" s="1256"/>
      <c r="AZ144" s="1732"/>
      <c r="BA144" s="1256"/>
      <c r="BB144" s="1256"/>
      <c r="BC144" s="651"/>
      <c r="BD144" s="1256"/>
      <c r="BE144" s="1256"/>
      <c r="BF144" s="1256"/>
      <c r="BG144" s="1256"/>
      <c r="BH144" s="1256"/>
      <c r="BI144" s="1728"/>
      <c r="BJ144" s="673"/>
      <c r="BK144" s="673"/>
      <c r="BL144" s="673"/>
      <c r="BM144" s="673"/>
      <c r="BN144" s="1737">
        <v>11</v>
      </c>
    </row>
    <row s="10851" customFormat="1" customHeight="1" ht="11.549999999999999">
      <c r="A145" s="1087"/>
      <c r="B145" s="1732"/>
      <c r="C145" s="1732"/>
      <c r="D145" s="458"/>
      <c r="AO145" s="4889"/>
      <c r="AP145" s="4889"/>
      <c r="AQ145" s="4889"/>
      <c r="AS145" s="1256"/>
      <c r="AT145" s="1732"/>
      <c r="AU145" s="1732"/>
      <c r="AV145" s="1256"/>
      <c r="AW145" s="1256"/>
      <c r="AX145" s="1256"/>
      <c r="AY145" s="1256"/>
      <c r="AZ145" s="1732"/>
      <c r="BA145" s="1256"/>
      <c r="BB145" s="1256"/>
      <c r="BC145" s="651"/>
      <c r="BD145" s="1256"/>
      <c r="BE145" s="1256"/>
      <c r="BF145" s="1256"/>
      <c r="BG145" s="1256"/>
      <c r="BH145" s="1256"/>
      <c r="BI145" s="1728"/>
      <c r="BJ145" s="673"/>
      <c r="BK145" s="673"/>
      <c r="BL145" s="673"/>
      <c r="BM145" s="673"/>
      <c r="BN145" s="1737">
        <v>11</v>
      </c>
    </row>
    <row s="10851" customFormat="1" customHeight="1" ht="11.549999999999999">
      <c r="A146" s="1087"/>
      <c r="B146" s="1732"/>
      <c r="C146" s="1732"/>
      <c r="D146" s="458"/>
      <c r="AO146" s="4889"/>
      <c r="AP146" s="4889"/>
      <c r="AQ146" s="4889"/>
      <c r="AS146" s="1256"/>
      <c r="AT146" s="1732"/>
      <c r="AU146" s="1732"/>
      <c r="AV146" s="1256"/>
      <c r="AW146" s="1256"/>
      <c r="AX146" s="1256"/>
      <c r="AY146" s="1256"/>
      <c r="AZ146" s="1732"/>
      <c r="BA146" s="1256"/>
      <c r="BB146" s="1256"/>
      <c r="BC146" s="651"/>
      <c r="BD146" s="1256"/>
      <c r="BE146" s="1256"/>
      <c r="BF146" s="1256"/>
      <c r="BG146" s="1256"/>
      <c r="BH146" s="1256"/>
      <c r="BI146" s="1728"/>
      <c r="BJ146" s="673"/>
      <c r="BK146" s="673"/>
      <c r="BL146" s="673"/>
      <c r="BM146" s="673"/>
      <c r="BN146" s="1737">
        <v>11</v>
      </c>
    </row>
    <row s="10851" customFormat="1" customHeight="1" ht="11.549999999999999">
      <c r="A147" s="1087"/>
      <c r="B147" s="1732"/>
      <c r="C147" s="1732"/>
      <c r="D147" s="458"/>
      <c r="AO147" s="4889"/>
      <c r="AP147" s="4889"/>
      <c r="AQ147" s="4889"/>
      <c r="AS147" s="1256"/>
      <c r="AT147" s="1732"/>
      <c r="AU147" s="1732"/>
      <c r="AV147" s="1256"/>
      <c r="AW147" s="1256"/>
      <c r="AX147" s="1256"/>
      <c r="AY147" s="1256"/>
      <c r="AZ147" s="1732"/>
      <c r="BA147" s="1256"/>
      <c r="BB147" s="1256"/>
      <c r="BC147" s="651"/>
      <c r="BD147" s="1256"/>
      <c r="BE147" s="1256"/>
      <c r="BF147" s="1256"/>
      <c r="BG147" s="1256"/>
      <c r="BH147" s="1256"/>
      <c r="BI147" s="1728"/>
      <c r="BJ147" s="673"/>
      <c r="BK147" s="673"/>
      <c r="BL147" s="673"/>
      <c r="BM147" s="673"/>
      <c r="BN147" s="1737">
        <v>11</v>
      </c>
    </row>
    <row s="10851" customFormat="1" customHeight="1" ht="11.549999999999999">
      <c r="A148" s="1087"/>
      <c r="B148" s="1732"/>
      <c r="C148" s="1732"/>
      <c r="D148" s="458"/>
      <c r="AO148" s="4889"/>
      <c r="AP148" s="4889"/>
      <c r="AQ148" s="4889"/>
      <c r="AS148" s="1256"/>
      <c r="AT148" s="1732"/>
      <c r="AU148" s="1732"/>
      <c r="AV148" s="1256"/>
      <c r="AW148" s="1256"/>
      <c r="AX148" s="1256"/>
      <c r="AY148" s="1256"/>
      <c r="AZ148" s="1732"/>
      <c r="BA148" s="1256"/>
      <c r="BB148" s="1256"/>
      <c r="BC148" s="651"/>
      <c r="BD148" s="1256"/>
      <c r="BE148" s="1256"/>
      <c r="BF148" s="1256"/>
      <c r="BG148" s="1256"/>
      <c r="BH148" s="1256"/>
      <c r="BI148" s="1728"/>
      <c r="BJ148" s="673"/>
      <c r="BK148" s="673"/>
      <c r="BL148" s="673"/>
      <c r="BM148" s="673"/>
      <c r="BN148" s="1737">
        <v>11</v>
      </c>
    </row>
    <row s="10851" customFormat="1" customHeight="1" ht="11.549999999999999">
      <c r="A149" s="1087"/>
      <c r="B149" s="1732"/>
      <c r="C149" s="1732"/>
      <c r="D149" s="458"/>
      <c r="AO149" s="4889"/>
      <c r="AP149" s="4889"/>
      <c r="AQ149" s="4889"/>
      <c r="AS149" s="1256"/>
      <c r="AT149" s="1732"/>
      <c r="AU149" s="1732"/>
      <c r="AV149" s="1256"/>
      <c r="AW149" s="1256"/>
      <c r="AX149" s="1256"/>
      <c r="AY149" s="1256"/>
      <c r="AZ149" s="1732"/>
      <c r="BA149" s="1256"/>
      <c r="BB149" s="1256"/>
      <c r="BC149" s="651"/>
      <c r="BD149" s="1256"/>
      <c r="BE149" s="1256"/>
      <c r="BF149" s="1256"/>
      <c r="BG149" s="1256"/>
      <c r="BH149" s="1256"/>
      <c r="BI149" s="1728"/>
      <c r="BJ149" s="673"/>
      <c r="BK149" s="673"/>
      <c r="BL149" s="673"/>
      <c r="BM149" s="673"/>
      <c r="BN149" s="1737">
        <v>11</v>
      </c>
    </row>
    <row s="10851" customFormat="1" customHeight="1" ht="11.549999999999999">
      <c r="A150" s="1087"/>
      <c r="B150" s="1732"/>
      <c r="C150" s="1732"/>
      <c r="D150" s="458"/>
      <c r="AO150" s="4889"/>
      <c r="AP150" s="4889"/>
      <c r="AQ150" s="4889"/>
      <c r="AS150" s="1256"/>
      <c r="AT150" s="1732"/>
      <c r="AU150" s="1732"/>
      <c r="AV150" s="1256"/>
      <c r="AW150" s="1256"/>
      <c r="AX150" s="1256"/>
      <c r="AY150" s="1256"/>
      <c r="AZ150" s="1732"/>
      <c r="BA150" s="1256"/>
      <c r="BB150" s="1256"/>
      <c r="BC150" s="651"/>
      <c r="BD150" s="1256"/>
      <c r="BE150" s="1256"/>
      <c r="BF150" s="1256"/>
      <c r="BG150" s="1256"/>
      <c r="BH150" s="1256"/>
      <c r="BI150" s="1728"/>
      <c r="BJ150" s="673"/>
      <c r="BK150" s="673"/>
      <c r="BL150" s="673"/>
      <c r="BM150" s="673"/>
      <c r="BN150" s="1737">
        <v>11</v>
      </c>
    </row>
    <row s="10851" customFormat="1" customHeight="1" ht="11.549999999999999">
      <c r="A151" s="1087"/>
      <c r="B151" s="1732"/>
      <c r="C151" s="1732"/>
      <c r="D151" s="458"/>
      <c r="AO151" s="4889"/>
      <c r="AP151" s="4889"/>
      <c r="AQ151" s="4889"/>
      <c r="AS151" s="1256"/>
      <c r="AT151" s="1732"/>
      <c r="AU151" s="1732"/>
      <c r="AV151" s="1256"/>
      <c r="AW151" s="1256"/>
      <c r="AX151" s="1256"/>
      <c r="AY151" s="1256"/>
      <c r="AZ151" s="1732"/>
      <c r="BA151" s="1256"/>
      <c r="BB151" s="1256"/>
      <c r="BC151" s="651"/>
      <c r="BD151" s="1256"/>
      <c r="BE151" s="1256"/>
      <c r="BF151" s="1256"/>
      <c r="BG151" s="1256"/>
      <c r="BH151" s="1256"/>
      <c r="BI151" s="1728"/>
      <c r="BJ151" s="673"/>
      <c r="BK151" s="673"/>
      <c r="BL151" s="673"/>
      <c r="BM151" s="673"/>
      <c r="BN151" s="1737">
        <v>11</v>
      </c>
    </row>
    <row s="10851" customFormat="1" customHeight="1" ht="11.549999999999999">
      <c r="A152" s="1087"/>
      <c r="B152" s="1732"/>
      <c r="C152" s="1732"/>
      <c r="D152" s="458"/>
      <c r="AO152" s="4889"/>
      <c r="AP152" s="4889"/>
      <c r="AQ152" s="4889"/>
      <c r="AS152" s="1256"/>
      <c r="AT152" s="1732"/>
      <c r="AU152" s="1732"/>
      <c r="AV152" s="1256"/>
      <c r="AW152" s="1256"/>
      <c r="AX152" s="1256"/>
      <c r="AY152" s="1256"/>
      <c r="AZ152" s="1732"/>
      <c r="BA152" s="1256"/>
      <c r="BB152" s="1256"/>
      <c r="BC152" s="651"/>
      <c r="BD152" s="1256"/>
      <c r="BE152" s="1256"/>
      <c r="BF152" s="1256"/>
      <c r="BG152" s="1256"/>
      <c r="BH152" s="1256"/>
      <c r="BI152" s="1728"/>
      <c r="BJ152" s="673"/>
      <c r="BK152" s="673"/>
      <c r="BL152" s="673"/>
      <c r="BM152" s="673"/>
      <c r="BN152" s="1737">
        <v>11</v>
      </c>
    </row>
    <row s="10851" customFormat="1" customHeight="1" ht="11.549999999999999">
      <c r="A153" s="1087"/>
      <c r="B153" s="1732"/>
      <c r="C153" s="1732"/>
      <c r="D153" s="458"/>
      <c r="AO153" s="4889"/>
      <c r="AP153" s="4889"/>
      <c r="AQ153" s="4889"/>
      <c r="AS153" s="1256"/>
      <c r="AT153" s="1732"/>
      <c r="AU153" s="1732"/>
      <c r="AV153" s="1256"/>
      <c r="AW153" s="1256"/>
      <c r="AX153" s="1256"/>
      <c r="AY153" s="1256"/>
      <c r="AZ153" s="1732"/>
      <c r="BA153" s="1256"/>
      <c r="BB153" s="1256"/>
      <c r="BC153" s="651"/>
      <c r="BD153" s="1256"/>
      <c r="BE153" s="1256"/>
      <c r="BF153" s="1256"/>
      <c r="BG153" s="1256"/>
      <c r="BH153" s="1256"/>
      <c r="BI153" s="1728"/>
      <c r="BJ153" s="673"/>
      <c r="BK153" s="673"/>
      <c r="BL153" s="673"/>
      <c r="BM153" s="673"/>
      <c r="BN153" s="1737">
        <v>11</v>
      </c>
    </row>
    <row s="10851" customFormat="1" customHeight="1" ht="11.549999999999999">
      <c r="A154" s="1087"/>
      <c r="B154" s="1732"/>
      <c r="C154" s="1732"/>
      <c r="D154" s="458"/>
      <c r="AO154" s="4889"/>
      <c r="AP154" s="4889"/>
      <c r="AQ154" s="4889"/>
      <c r="AS154" s="1256"/>
      <c r="AT154" s="1732"/>
      <c r="AU154" s="1732"/>
      <c r="AV154" s="1256"/>
      <c r="AW154" s="1256"/>
      <c r="AX154" s="1256"/>
      <c r="AY154" s="1256"/>
      <c r="AZ154" s="1732"/>
      <c r="BA154" s="1256"/>
      <c r="BB154" s="1256"/>
      <c r="BC154" s="651"/>
      <c r="BD154" s="1256"/>
      <c r="BE154" s="1256"/>
      <c r="BF154" s="1256"/>
      <c r="BG154" s="1256"/>
      <c r="BH154" s="1256"/>
      <c r="BI154" s="1728"/>
      <c r="BJ154" s="673"/>
      <c r="BK154" s="673"/>
      <c r="BL154" s="673"/>
      <c r="BM154" s="673"/>
      <c r="BN154" s="1737">
        <v>11</v>
      </c>
    </row>
    <row s="10851" customFormat="1" customHeight="1" ht="11.549999999999999">
      <c r="A155" s="1087"/>
      <c r="B155" s="1732"/>
      <c r="C155" s="1732"/>
      <c r="D155" s="458"/>
      <c r="AO155" s="4889"/>
      <c r="AP155" s="4889"/>
      <c r="AQ155" s="4889"/>
      <c r="AS155" s="1256"/>
      <c r="AT155" s="1732"/>
      <c r="AU155" s="1732"/>
      <c r="AV155" s="1256"/>
      <c r="AW155" s="1256"/>
      <c r="AX155" s="1256"/>
      <c r="AY155" s="1256"/>
      <c r="AZ155" s="1732"/>
      <c r="BA155" s="1256"/>
      <c r="BB155" s="1256"/>
      <c r="BC155" s="651"/>
      <c r="BD155" s="1256"/>
      <c r="BE155" s="1256"/>
      <c r="BF155" s="1256"/>
      <c r="BG155" s="1256"/>
      <c r="BH155" s="1256"/>
      <c r="BI155" s="1728"/>
      <c r="BJ155" s="673"/>
      <c r="BK155" s="673"/>
      <c r="BL155" s="673"/>
      <c r="BM155" s="673"/>
      <c r="BN155" s="1737">
        <v>11</v>
      </c>
    </row>
    <row s="10851" customFormat="1" customHeight="1" ht="11.549999999999999">
      <c r="A156" s="1087"/>
      <c r="B156" s="1732"/>
      <c r="C156" s="1732"/>
      <c r="D156" s="458"/>
      <c r="AO156" s="4889"/>
      <c r="AP156" s="4889"/>
      <c r="AQ156" s="4889"/>
      <c r="AS156" s="1256"/>
      <c r="AT156" s="1732"/>
      <c r="AU156" s="1732"/>
      <c r="AV156" s="1256"/>
      <c r="AW156" s="1256"/>
      <c r="AX156" s="1256"/>
      <c r="AY156" s="1256"/>
      <c r="AZ156" s="1732"/>
      <c r="BA156" s="1256"/>
      <c r="BB156" s="1256"/>
      <c r="BC156" s="651"/>
      <c r="BD156" s="1256"/>
      <c r="BE156" s="1256"/>
      <c r="BF156" s="1256"/>
      <c r="BG156" s="1256"/>
      <c r="BH156" s="1256"/>
      <c r="BI156" s="1728"/>
      <c r="BJ156" s="673"/>
      <c r="BK156" s="673"/>
      <c r="BL156" s="673"/>
      <c r="BM156" s="673"/>
      <c r="BN156" s="1737">
        <v>11</v>
      </c>
    </row>
    <row s="10851" customFormat="1" customHeight="1" ht="11.549999999999999">
      <c r="A157" s="1087"/>
      <c r="B157" s="1732"/>
      <c r="C157" s="1732"/>
      <c r="D157" s="458"/>
      <c r="AO157" s="4889"/>
      <c r="AP157" s="4889"/>
      <c r="AQ157" s="4889"/>
      <c r="AS157" s="1256"/>
      <c r="AT157" s="1732"/>
      <c r="AU157" s="1732"/>
      <c r="AV157" s="1256"/>
      <c r="AW157" s="1256"/>
      <c r="AX157" s="1256"/>
      <c r="AY157" s="1256"/>
      <c r="AZ157" s="1732"/>
      <c r="BA157" s="1256"/>
      <c r="BB157" s="1256"/>
      <c r="BC157" s="651"/>
      <c r="BD157" s="1256"/>
      <c r="BE157" s="1256"/>
      <c r="BF157" s="1256"/>
      <c r="BG157" s="1256"/>
      <c r="BH157" s="1256"/>
      <c r="BI157" s="1728"/>
      <c r="BJ157" s="673"/>
      <c r="BK157" s="673"/>
      <c r="BL157" s="673"/>
      <c r="BM157" s="673"/>
      <c r="BN157" s="1737">
        <v>11</v>
      </c>
    </row>
    <row s="10851" customFormat="1" customHeight="1" ht="11.549999999999999">
      <c r="A158" s="1087"/>
      <c r="B158" s="1732"/>
      <c r="C158" s="1732"/>
      <c r="D158" s="458"/>
      <c r="AO158" s="4889"/>
      <c r="AP158" s="4889"/>
      <c r="AQ158" s="4889"/>
      <c r="AS158" s="1256"/>
      <c r="AT158" s="1732"/>
      <c r="AU158" s="1732"/>
      <c r="AV158" s="1256"/>
      <c r="AW158" s="1256"/>
      <c r="AX158" s="1256"/>
      <c r="AY158" s="1256"/>
      <c r="AZ158" s="1732"/>
      <c r="BA158" s="1256"/>
      <c r="BB158" s="1256"/>
      <c r="BC158" s="651"/>
      <c r="BD158" s="1256"/>
      <c r="BE158" s="1256"/>
      <c r="BF158" s="1256"/>
      <c r="BG158" s="1256"/>
      <c r="BH158" s="1256"/>
      <c r="BI158" s="1728"/>
      <c r="BJ158" s="673"/>
      <c r="BK158" s="673"/>
      <c r="BL158" s="673"/>
      <c r="BM158" s="673"/>
      <c r="BN158" s="1737">
        <v>11</v>
      </c>
    </row>
    <row s="10851" customFormat="1" customHeight="1" ht="11.549999999999999">
      <c r="A159" s="1087"/>
      <c r="B159" s="1732"/>
      <c r="C159" s="1732"/>
      <c r="D159" s="458"/>
      <c r="AO159" s="4889"/>
      <c r="AP159" s="4889"/>
      <c r="AQ159" s="4889"/>
      <c r="AS159" s="1256"/>
      <c r="AT159" s="1732"/>
      <c r="AU159" s="1732"/>
      <c r="AV159" s="1256"/>
      <c r="AW159" s="1256"/>
      <c r="AX159" s="1256"/>
      <c r="AY159" s="1256"/>
      <c r="AZ159" s="1732"/>
      <c r="BA159" s="1256"/>
      <c r="BB159" s="1256"/>
      <c r="BC159" s="651"/>
      <c r="BD159" s="1256"/>
      <c r="BE159" s="1256"/>
      <c r="BF159" s="1256"/>
      <c r="BG159" s="1256"/>
      <c r="BH159" s="1256"/>
      <c r="BI159" s="1728"/>
      <c r="BJ159" s="673"/>
      <c r="BK159" s="673"/>
      <c r="BL159" s="673"/>
      <c r="BM159" s="673"/>
      <c r="BN159" s="1737">
        <v>11</v>
      </c>
    </row>
    <row s="10851" customFormat="1" customHeight="1" ht="11.549999999999999">
      <c r="A160" s="1087"/>
      <c r="B160" s="1732"/>
      <c r="C160" s="1732"/>
      <c r="D160" s="458"/>
      <c r="AO160" s="4889"/>
      <c r="AP160" s="4889"/>
      <c r="AQ160" s="4889"/>
      <c r="AS160" s="1256"/>
      <c r="AT160" s="1732"/>
      <c r="AU160" s="1732"/>
      <c r="AV160" s="1256"/>
      <c r="AW160" s="1256"/>
      <c r="AX160" s="1256"/>
      <c r="AY160" s="1256"/>
      <c r="AZ160" s="1732"/>
      <c r="BA160" s="1256"/>
      <c r="BB160" s="1256"/>
      <c r="BC160" s="651"/>
      <c r="BD160" s="1256"/>
      <c r="BE160" s="1256"/>
      <c r="BF160" s="1256"/>
      <c r="BG160" s="1256"/>
      <c r="BH160" s="1256"/>
      <c r="BI160" s="1728"/>
      <c r="BJ160" s="673"/>
      <c r="BK160" s="673"/>
      <c r="BL160" s="673"/>
      <c r="BM160" s="673"/>
      <c r="BN160" s="1737">
        <v>11</v>
      </c>
    </row>
    <row s="10851" customFormat="1" customHeight="1" ht="11.549999999999999">
      <c r="A161" s="1087"/>
      <c r="B161" s="1732"/>
      <c r="C161" s="1732"/>
      <c r="D161" s="458"/>
      <c r="AO161" s="4889"/>
      <c r="AP161" s="4889"/>
      <c r="AQ161" s="4889"/>
      <c r="AS161" s="1256"/>
      <c r="AT161" s="1732"/>
      <c r="AU161" s="1732"/>
      <c r="AV161" s="1256"/>
      <c r="AW161" s="1256"/>
      <c r="AX161" s="1256"/>
      <c r="AY161" s="1256"/>
      <c r="AZ161" s="1732"/>
      <c r="BA161" s="1256"/>
      <c r="BB161" s="1256"/>
      <c r="BC161" s="651"/>
      <c r="BD161" s="1256"/>
      <c r="BE161" s="1256"/>
      <c r="BF161" s="1256"/>
      <c r="BG161" s="1256"/>
      <c r="BH161" s="1256"/>
      <c r="BI161" s="1728"/>
      <c r="BJ161" s="673"/>
      <c r="BK161" s="673"/>
      <c r="BL161" s="673"/>
      <c r="BM161" s="673"/>
      <c r="BN161" s="1737">
        <v>11</v>
      </c>
    </row>
    <row s="10851" customFormat="1" customHeight="1" ht="11.549999999999999">
      <c r="A162" s="1087"/>
      <c r="B162" s="1732"/>
      <c r="C162" s="1732"/>
      <c r="D162" s="458"/>
      <c r="AO162" s="4889"/>
      <c r="AP162" s="4889"/>
      <c r="AQ162" s="4889"/>
      <c r="AS162" s="1256"/>
      <c r="AT162" s="1732"/>
      <c r="AU162" s="1732"/>
      <c r="AV162" s="1256"/>
      <c r="AW162" s="1256"/>
      <c r="AX162" s="1256"/>
      <c r="AY162" s="1256"/>
      <c r="AZ162" s="1732"/>
      <c r="BA162" s="1256"/>
      <c r="BB162" s="1256"/>
      <c r="BC162" s="651"/>
      <c r="BD162" s="1256"/>
      <c r="BE162" s="1256"/>
      <c r="BF162" s="1256"/>
      <c r="BG162" s="1256"/>
      <c r="BH162" s="1256"/>
      <c r="BI162" s="1728"/>
      <c r="BJ162" s="673"/>
      <c r="BK162" s="673"/>
      <c r="BL162" s="673"/>
      <c r="BM162" s="673"/>
      <c r="BN162" s="1737">
        <v>11</v>
      </c>
    </row>
    <row s="10851" customFormat="1" customHeight="1" ht="11.549999999999999">
      <c r="A163" s="1087"/>
      <c r="B163" s="1732"/>
      <c r="C163" s="1732"/>
      <c r="D163" s="458"/>
      <c r="AO163" s="4889"/>
      <c r="AP163" s="4889"/>
      <c r="AQ163" s="4889"/>
      <c r="AS163" s="1256"/>
      <c r="AT163" s="1732"/>
      <c r="AU163" s="1732"/>
      <c r="AV163" s="1256"/>
      <c r="AW163" s="1256"/>
      <c r="AX163" s="1256"/>
      <c r="AY163" s="1256"/>
      <c r="AZ163" s="1732"/>
      <c r="BA163" s="1256"/>
      <c r="BB163" s="1256"/>
      <c r="BC163" s="651"/>
      <c r="BD163" s="1256"/>
      <c r="BE163" s="1256"/>
      <c r="BF163" s="1256"/>
      <c r="BG163" s="1256"/>
      <c r="BH163" s="1256"/>
      <c r="BI163" s="1728"/>
      <c r="BJ163" s="673"/>
      <c r="BK163" s="673"/>
      <c r="BL163" s="673"/>
      <c r="BM163" s="673"/>
      <c r="BN163" s="1737">
        <v>11</v>
      </c>
    </row>
    <row s="10851" customFormat="1" customHeight="1" ht="11.549999999999999">
      <c r="A164" s="1087"/>
      <c r="B164" s="1732"/>
      <c r="C164" s="1732"/>
      <c r="D164" s="458"/>
      <c r="AO164" s="4889"/>
      <c r="AP164" s="4889"/>
      <c r="AQ164" s="4889"/>
      <c r="AS164" s="1256"/>
      <c r="AT164" s="1732"/>
      <c r="AU164" s="1732"/>
      <c r="AV164" s="1256"/>
      <c r="AW164" s="1256"/>
      <c r="AX164" s="1256"/>
      <c r="AY164" s="1256"/>
      <c r="AZ164" s="1732"/>
      <c r="BA164" s="1256"/>
      <c r="BB164" s="1256"/>
      <c r="BC164" s="651"/>
      <c r="BD164" s="1256"/>
      <c r="BE164" s="1256"/>
      <c r="BF164" s="1256"/>
      <c r="BG164" s="1256"/>
      <c r="BH164" s="1256"/>
      <c r="BI164" s="1728"/>
      <c r="BJ164" s="673"/>
      <c r="BK164" s="673"/>
      <c r="BL164" s="673"/>
      <c r="BM164" s="673"/>
      <c r="BN164" s="1737">
        <v>11</v>
      </c>
    </row>
    <row s="10851" customFormat="1" customHeight="1" ht="11.549999999999999">
      <c r="A165" s="1087"/>
      <c r="B165" s="1732"/>
      <c r="C165" s="1732"/>
      <c r="D165" s="458"/>
      <c r="AO165" s="4889"/>
      <c r="AP165" s="4889"/>
      <c r="AQ165" s="4889"/>
      <c r="AS165" s="1256"/>
      <c r="AT165" s="1732"/>
      <c r="AU165" s="1732"/>
      <c r="AV165" s="1256"/>
      <c r="AW165" s="1256"/>
      <c r="AX165" s="1256"/>
      <c r="AY165" s="1256"/>
      <c r="AZ165" s="1732"/>
      <c r="BA165" s="1256"/>
      <c r="BB165" s="1256"/>
      <c r="BC165" s="651"/>
      <c r="BD165" s="1256"/>
      <c r="BE165" s="1256"/>
      <c r="BF165" s="1256"/>
      <c r="BG165" s="1256"/>
      <c r="BH165" s="1256"/>
      <c r="BI165" s="1728"/>
      <c r="BJ165" s="673"/>
      <c r="BK165" s="673"/>
      <c r="BL165" s="673"/>
      <c r="BM165" s="673"/>
      <c r="BN165" s="1737">
        <v>11</v>
      </c>
    </row>
    <row s="10851" customFormat="1" customHeight="1" ht="11.549999999999999">
      <c r="A166" s="1087"/>
      <c r="B166" s="1732"/>
      <c r="C166" s="1732"/>
      <c r="D166" s="458"/>
      <c r="AO166" s="4889"/>
      <c r="AP166" s="4889"/>
      <c r="AQ166" s="4889"/>
      <c r="AS166" s="1256"/>
      <c r="AT166" s="1732"/>
      <c r="AU166" s="1732"/>
      <c r="AV166" s="1256"/>
      <c r="AW166" s="1256"/>
      <c r="AX166" s="1256"/>
      <c r="AY166" s="1256"/>
      <c r="AZ166" s="1732"/>
      <c r="BA166" s="1256"/>
      <c r="BB166" s="1256"/>
      <c r="BC166" s="651"/>
      <c r="BD166" s="1256"/>
      <c r="BE166" s="1256"/>
      <c r="BF166" s="1256"/>
      <c r="BG166" s="1256"/>
      <c r="BH166" s="1256"/>
      <c r="BI166" s="1728"/>
      <c r="BJ166" s="673"/>
      <c r="BK166" s="673"/>
      <c r="BL166" s="673"/>
      <c r="BM166" s="673"/>
      <c r="BN166" s="1737">
        <v>11</v>
      </c>
    </row>
    <row s="10851" customFormat="1" customHeight="1" ht="11.549999999999999">
      <c r="A167" s="1087"/>
      <c r="B167" s="1732"/>
      <c r="C167" s="1732"/>
      <c r="D167" s="458"/>
      <c r="AO167" s="4889"/>
      <c r="AP167" s="4889"/>
      <c r="AQ167" s="4889"/>
      <c r="AS167" s="1256"/>
      <c r="AT167" s="1732"/>
      <c r="AU167" s="1732"/>
      <c r="AV167" s="1256"/>
      <c r="AW167" s="1256"/>
      <c r="AX167" s="1256"/>
      <c r="AY167" s="1256"/>
      <c r="AZ167" s="1732"/>
      <c r="BA167" s="1256"/>
      <c r="BB167" s="1256"/>
      <c r="BC167" s="651"/>
      <c r="BD167" s="1256"/>
      <c r="BE167" s="1256"/>
      <c r="BF167" s="1256"/>
      <c r="BG167" s="1256"/>
      <c r="BH167" s="1256"/>
      <c r="BI167" s="1728"/>
      <c r="BJ167" s="673"/>
      <c r="BK167" s="673"/>
      <c r="BL167" s="673"/>
      <c r="BM167" s="673"/>
      <c r="BN167" s="1737">
        <v>11</v>
      </c>
    </row>
    <row s="10851" customFormat="1" customHeight="1" ht="11.549999999999999">
      <c r="A168" s="1087"/>
      <c r="B168" s="1732"/>
      <c r="C168" s="1732"/>
      <c r="D168" s="458"/>
      <c r="AO168" s="4889"/>
      <c r="AP168" s="4889"/>
      <c r="AQ168" s="4889"/>
      <c r="AS168" s="1256"/>
      <c r="AT168" s="1732"/>
      <c r="AU168" s="1732"/>
      <c r="AV168" s="1256"/>
      <c r="AW168" s="1256"/>
      <c r="AX168" s="1256"/>
      <c r="AY168" s="1256"/>
      <c r="AZ168" s="1732"/>
      <c r="BA168" s="1256"/>
      <c r="BB168" s="1256"/>
      <c r="BC168" s="651"/>
      <c r="BD168" s="1256"/>
      <c r="BE168" s="1256"/>
      <c r="BF168" s="1256"/>
      <c r="BG168" s="1256"/>
      <c r="BH168" s="1256"/>
      <c r="BI168" s="1728"/>
      <c r="BJ168" s="673"/>
      <c r="BK168" s="673"/>
      <c r="BL168" s="673"/>
      <c r="BM168" s="673"/>
      <c r="BN168" s="1737">
        <v>11</v>
      </c>
    </row>
    <row s="10851" customFormat="1" customHeight="1" ht="11.549999999999999">
      <c r="A169" s="1087"/>
      <c r="B169" s="1732"/>
      <c r="C169" s="1732"/>
      <c r="D169" s="458"/>
      <c r="AO169" s="4889"/>
      <c r="AP169" s="4889"/>
      <c r="AQ169" s="4889"/>
      <c r="AS169" s="1256"/>
      <c r="AT169" s="1732"/>
      <c r="AU169" s="1732"/>
      <c r="AV169" s="1256"/>
      <c r="AW169" s="1256"/>
      <c r="AX169" s="1256"/>
      <c r="AY169" s="1256"/>
      <c r="AZ169" s="1732"/>
      <c r="BA169" s="1256"/>
      <c r="BB169" s="1256"/>
      <c r="BC169" s="651"/>
      <c r="BD169" s="1256"/>
      <c r="BE169" s="1256"/>
      <c r="BF169" s="1256"/>
      <c r="BG169" s="1256"/>
      <c r="BH169" s="1256"/>
      <c r="BI169" s="1728"/>
      <c r="BJ169" s="673"/>
      <c r="BK169" s="673"/>
      <c r="BL169" s="673"/>
      <c r="BM169" s="673"/>
      <c r="BN169" s="1737">
        <v>11</v>
      </c>
    </row>
    <row s="10851" customFormat="1" customHeight="1" ht="11.549999999999999">
      <c r="A170" s="1087"/>
      <c r="B170" s="1732"/>
      <c r="C170" s="1732"/>
      <c r="D170" s="458"/>
      <c r="AO170" s="4889"/>
      <c r="AP170" s="4889"/>
      <c r="AQ170" s="4889"/>
      <c r="AS170" s="1256"/>
      <c r="AT170" s="1732"/>
      <c r="AU170" s="1732"/>
      <c r="AV170" s="1256"/>
      <c r="AW170" s="1256"/>
      <c r="AX170" s="1256"/>
      <c r="AY170" s="1256"/>
      <c r="AZ170" s="1732"/>
      <c r="BA170" s="1256"/>
      <c r="BB170" s="1256"/>
      <c r="BC170" s="651"/>
      <c r="BD170" s="1256"/>
      <c r="BE170" s="1256"/>
      <c r="BF170" s="1256"/>
      <c r="BG170" s="1256"/>
      <c r="BH170" s="1256"/>
      <c r="BI170" s="1728"/>
      <c r="BJ170" s="673"/>
      <c r="BK170" s="673"/>
      <c r="BL170" s="673"/>
      <c r="BM170" s="673"/>
      <c r="BN170" s="1737">
        <v>11</v>
      </c>
    </row>
    <row s="10851" customFormat="1" customHeight="1" ht="11.549999999999999">
      <c r="A171" s="1087"/>
      <c r="B171" s="1732"/>
      <c r="C171" s="1732"/>
      <c r="D171" s="458"/>
      <c r="AO171" s="4889"/>
      <c r="AP171" s="4889"/>
      <c r="AQ171" s="4889"/>
      <c r="AS171" s="1256"/>
      <c r="AT171" s="1732"/>
      <c r="AU171" s="1732"/>
      <c r="AV171" s="1256"/>
      <c r="AW171" s="1256"/>
      <c r="AX171" s="1256"/>
      <c r="AY171" s="1256"/>
      <c r="AZ171" s="1732"/>
      <c r="BA171" s="1256"/>
      <c r="BB171" s="1256"/>
      <c r="BC171" s="651"/>
      <c r="BD171" s="1256"/>
      <c r="BE171" s="1256"/>
      <c r="BF171" s="1256"/>
      <c r="BG171" s="1256"/>
      <c r="BH171" s="1256"/>
      <c r="BI171" s="1728"/>
      <c r="BJ171" s="673"/>
      <c r="BK171" s="673"/>
      <c r="BL171" s="673"/>
      <c r="BM171" s="673"/>
      <c r="BN171" s="1737">
        <v>11</v>
      </c>
    </row>
    <row s="10851" customFormat="1" customHeight="1" ht="11.549999999999999">
      <c r="A172" s="1087"/>
      <c r="B172" s="1732"/>
      <c r="C172" s="1732"/>
      <c r="D172" s="458"/>
      <c r="AO172" s="4889"/>
      <c r="AP172" s="4889"/>
      <c r="AQ172" s="4889"/>
      <c r="AS172" s="1256"/>
      <c r="AT172" s="1732"/>
      <c r="AU172" s="1732"/>
      <c r="AV172" s="1256"/>
      <c r="AW172" s="1256"/>
      <c r="AX172" s="1256"/>
      <c r="AY172" s="1256"/>
      <c r="AZ172" s="1732"/>
      <c r="BA172" s="1256"/>
      <c r="BB172" s="1256"/>
      <c r="BC172" s="651"/>
      <c r="BD172" s="1256"/>
      <c r="BE172" s="1256"/>
      <c r="BF172" s="1256"/>
      <c r="BG172" s="1256"/>
      <c r="BH172" s="1256"/>
      <c r="BI172" s="1728"/>
      <c r="BJ172" s="673"/>
      <c r="BK172" s="673"/>
      <c r="BL172" s="673"/>
      <c r="BM172" s="673"/>
      <c r="BN172" s="1737">
        <v>11</v>
      </c>
    </row>
    <row s="10851" customFormat="1" customHeight="1" ht="11.549999999999999">
      <c r="A173" s="1087"/>
      <c r="B173" s="1732"/>
      <c r="C173" s="1732"/>
      <c r="D173" s="458"/>
      <c r="AO173" s="4889"/>
      <c r="AP173" s="4889"/>
      <c r="AQ173" s="4889"/>
      <c r="AS173" s="1256"/>
      <c r="AT173" s="1732"/>
      <c r="AU173" s="1732"/>
      <c r="AV173" s="1256"/>
      <c r="AW173" s="1256"/>
      <c r="AX173" s="1256"/>
      <c r="AY173" s="1256"/>
      <c r="AZ173" s="1732"/>
      <c r="BA173" s="1256"/>
      <c r="BB173" s="1256"/>
      <c r="BC173" s="651"/>
      <c r="BD173" s="1256"/>
      <c r="BE173" s="1256"/>
      <c r="BF173" s="1256"/>
      <c r="BG173" s="1256"/>
      <c r="BH173" s="1256"/>
      <c r="BI173" s="1728"/>
      <c r="BJ173" s="673"/>
      <c r="BK173" s="673"/>
      <c r="BL173" s="673"/>
      <c r="BM173" s="673"/>
      <c r="BN173" s="1737">
        <v>11</v>
      </c>
    </row>
    <row s="10851" customFormat="1" customHeight="1" ht="11.549999999999999">
      <c r="A174" s="1087"/>
      <c r="B174" s="1732"/>
      <c r="C174" s="1732"/>
      <c r="D174" s="458"/>
      <c r="AO174" s="4889"/>
      <c r="AP174" s="4889"/>
      <c r="AQ174" s="4889"/>
      <c r="AS174" s="1256"/>
      <c r="AT174" s="1732"/>
      <c r="AU174" s="1732"/>
      <c r="AV174" s="1256"/>
      <c r="AW174" s="1256"/>
      <c r="AX174" s="1256"/>
      <c r="AY174" s="1256"/>
      <c r="AZ174" s="1732"/>
      <c r="BA174" s="1256"/>
      <c r="BB174" s="1256"/>
      <c r="BC174" s="651"/>
      <c r="BD174" s="1256"/>
      <c r="BE174" s="1256"/>
      <c r="BF174" s="1256"/>
      <c r="BG174" s="1256"/>
      <c r="BH174" s="1256"/>
      <c r="BI174" s="1728"/>
      <c r="BJ174" s="673"/>
      <c r="BK174" s="673"/>
      <c r="BL174" s="673"/>
      <c r="BM174" s="673"/>
      <c r="BN174" s="1737">
        <v>11</v>
      </c>
    </row>
    <row s="10851" customFormat="1" customHeight="1" ht="11.549999999999999">
      <c r="A175" s="1087"/>
      <c r="B175" s="1732"/>
      <c r="C175" s="1732"/>
      <c r="D175" s="458"/>
      <c r="AO175" s="4889"/>
      <c r="AP175" s="4889"/>
      <c r="AQ175" s="4889"/>
      <c r="AS175" s="1256"/>
      <c r="AT175" s="1732"/>
      <c r="AU175" s="1732"/>
      <c r="AV175" s="1256"/>
      <c r="AW175" s="1256"/>
      <c r="AX175" s="1256"/>
      <c r="AY175" s="1256"/>
      <c r="AZ175" s="1732"/>
      <c r="BA175" s="1256"/>
      <c r="BB175" s="1256"/>
      <c r="BC175" s="651"/>
      <c r="BD175" s="1256"/>
      <c r="BE175" s="1256"/>
      <c r="BF175" s="1256"/>
      <c r="BG175" s="1256"/>
      <c r="BH175" s="1256"/>
      <c r="BI175" s="1728"/>
      <c r="BJ175" s="673"/>
      <c r="BK175" s="673"/>
      <c r="BL175" s="673"/>
      <c r="BM175" s="673"/>
      <c r="BN175" s="1737">
        <v>11</v>
      </c>
    </row>
    <row s="10851" customFormat="1" customHeight="1" ht="11.549999999999999">
      <c r="A176" s="1087"/>
      <c r="B176" s="1732"/>
      <c r="C176" s="1732"/>
      <c r="D176" s="458"/>
      <c r="AO176" s="4889"/>
      <c r="AP176" s="4889"/>
      <c r="AQ176" s="4889"/>
      <c r="AS176" s="1256"/>
      <c r="AT176" s="1732"/>
      <c r="AU176" s="1732"/>
      <c r="AV176" s="1256"/>
      <c r="AW176" s="1256"/>
      <c r="AX176" s="1256"/>
      <c r="AY176" s="1256"/>
      <c r="AZ176" s="1732"/>
      <c r="BA176" s="1256"/>
      <c r="BB176" s="1256"/>
      <c r="BC176" s="651"/>
      <c r="BD176" s="1256"/>
      <c r="BE176" s="1256"/>
      <c r="BF176" s="1256"/>
      <c r="BG176" s="1256"/>
      <c r="BH176" s="1256"/>
      <c r="BI176" s="1728"/>
      <c r="BJ176" s="673"/>
      <c r="BK176" s="673"/>
      <c r="BL176" s="673"/>
      <c r="BM176" s="673"/>
      <c r="BN176" s="1737">
        <v>11</v>
      </c>
    </row>
    <row s="10851" customFormat="1" customHeight="1" ht="11.549999999999999">
      <c r="A177" s="1087"/>
      <c r="B177" s="1732"/>
      <c r="C177" s="1732"/>
      <c r="D177" s="458"/>
      <c r="AO177" s="4889"/>
      <c r="AP177" s="4889"/>
      <c r="AQ177" s="4889"/>
      <c r="AS177" s="1256"/>
      <c r="AT177" s="1732"/>
      <c r="AU177" s="1732"/>
      <c r="AV177" s="1256"/>
      <c r="AW177" s="1256"/>
      <c r="AX177" s="1256"/>
      <c r="AY177" s="1256"/>
      <c r="AZ177" s="1732"/>
      <c r="BA177" s="1256"/>
      <c r="BB177" s="1256"/>
      <c r="BC177" s="651"/>
      <c r="BD177" s="1256"/>
      <c r="BE177" s="1256"/>
      <c r="BF177" s="1256"/>
      <c r="BG177" s="1256"/>
      <c r="BH177" s="1256"/>
      <c r="BI177" s="1728"/>
      <c r="BJ177" s="673"/>
      <c r="BK177" s="673"/>
      <c r="BL177" s="673"/>
      <c r="BM177" s="673"/>
      <c r="BN177" s="1737">
        <v>11</v>
      </c>
    </row>
    <row s="10851" customFormat="1" customHeight="1" ht="11.549999999999999">
      <c r="A178" s="1087"/>
      <c r="B178" s="1732"/>
      <c r="C178" s="1732"/>
      <c r="D178" s="458"/>
      <c r="AO178" s="4889"/>
      <c r="AP178" s="4889"/>
      <c r="AQ178" s="4889"/>
      <c r="AS178" s="1256"/>
      <c r="AT178" s="1732"/>
      <c r="AU178" s="1732"/>
      <c r="AV178" s="1256"/>
      <c r="AW178" s="1256"/>
      <c r="AX178" s="1256"/>
      <c r="AY178" s="1256"/>
      <c r="AZ178" s="1732"/>
      <c r="BA178" s="1256"/>
      <c r="BB178" s="1256"/>
      <c r="BC178" s="651"/>
      <c r="BD178" s="1256"/>
      <c r="BE178" s="1256"/>
      <c r="BF178" s="1256"/>
      <c r="BG178" s="1256"/>
      <c r="BH178" s="1256"/>
      <c r="BI178" s="1728"/>
      <c r="BJ178" s="673"/>
      <c r="BK178" s="673"/>
      <c r="BL178" s="673"/>
      <c r="BM178" s="673"/>
      <c r="BN178" s="1737">
        <v>11</v>
      </c>
    </row>
    <row s="10851" customFormat="1" customHeight="1" ht="11.549999999999999">
      <c r="A179" s="1087"/>
      <c r="B179" s="1732"/>
      <c r="C179" s="1732"/>
      <c r="D179" s="458"/>
      <c r="AO179" s="4889"/>
      <c r="AP179" s="4889"/>
      <c r="AQ179" s="4889"/>
      <c r="AS179" s="1256"/>
      <c r="AT179" s="1732"/>
      <c r="AU179" s="1732"/>
      <c r="AV179" s="1256"/>
      <c r="AW179" s="1256"/>
      <c r="AX179" s="1256"/>
      <c r="AY179" s="1256"/>
      <c r="AZ179" s="1732"/>
      <c r="BA179" s="1256"/>
      <c r="BB179" s="1256"/>
      <c r="BC179" s="651"/>
      <c r="BD179" s="1256"/>
      <c r="BE179" s="1256"/>
      <c r="BF179" s="1256"/>
      <c r="BG179" s="1256"/>
      <c r="BH179" s="1256"/>
      <c r="BI179" s="1728"/>
      <c r="BJ179" s="673"/>
      <c r="BK179" s="673"/>
      <c r="BL179" s="673"/>
      <c r="BM179" s="673"/>
      <c r="BN179" s="1737">
        <v>11</v>
      </c>
    </row>
    <row s="10851" customFormat="1" customHeight="1" ht="11.549999999999999">
      <c r="A180" s="1087"/>
      <c r="B180" s="1732"/>
      <c r="C180" s="1732"/>
      <c r="D180" s="458"/>
      <c r="AO180" s="4889"/>
      <c r="AP180" s="4889"/>
      <c r="AQ180" s="4889"/>
      <c r="AS180" s="1256"/>
      <c r="AT180" s="1732"/>
      <c r="AU180" s="1732"/>
      <c r="AV180" s="1256"/>
      <c r="AW180" s="1256"/>
      <c r="AX180" s="1256"/>
      <c r="AY180" s="1256"/>
      <c r="AZ180" s="1732"/>
      <c r="BA180" s="1256"/>
      <c r="BB180" s="1256"/>
      <c r="BC180" s="651"/>
      <c r="BD180" s="1256"/>
      <c r="BE180" s="1256"/>
      <c r="BF180" s="1256"/>
      <c r="BG180" s="1256"/>
      <c r="BH180" s="1256"/>
      <c r="BI180" s="1728"/>
      <c r="BJ180" s="673"/>
      <c r="BK180" s="673"/>
      <c r="BL180" s="673"/>
      <c r="BM180" s="673"/>
      <c r="BN180" s="1737">
        <v>11</v>
      </c>
    </row>
    <row s="10851" customFormat="1" customHeight="1" ht="11.549999999999999">
      <c r="A181" s="1087"/>
      <c r="B181" s="1732"/>
      <c r="C181" s="1732"/>
      <c r="D181" s="458"/>
      <c r="AO181" s="4889"/>
      <c r="AP181" s="4889"/>
      <c r="AQ181" s="4889"/>
      <c r="AS181" s="1256"/>
      <c r="AT181" s="1732"/>
      <c r="AU181" s="1732"/>
      <c r="AV181" s="1256"/>
      <c r="AW181" s="1256"/>
      <c r="AX181" s="1256"/>
      <c r="AY181" s="1256"/>
      <c r="AZ181" s="1732"/>
      <c r="BA181" s="1256"/>
      <c r="BB181" s="1256"/>
      <c r="BC181" s="651"/>
      <c r="BD181" s="1256"/>
      <c r="BE181" s="1256"/>
      <c r="BF181" s="1256"/>
      <c r="BG181" s="1256"/>
      <c r="BH181" s="1256"/>
      <c r="BI181" s="1728"/>
      <c r="BJ181" s="673"/>
      <c r="BK181" s="673"/>
      <c r="BL181" s="673"/>
      <c r="BM181" s="673"/>
      <c r="BN181" s="1737">
        <v>11</v>
      </c>
    </row>
    <row s="10851" customFormat="1" customHeight="1" ht="11.549999999999999">
      <c r="A182" s="1087"/>
      <c r="B182" s="1732"/>
      <c r="C182" s="1732"/>
      <c r="D182" s="458"/>
      <c r="AO182" s="4889"/>
      <c r="AP182" s="4889"/>
      <c r="AQ182" s="4889"/>
      <c r="AS182" s="1256"/>
      <c r="AT182" s="1732"/>
      <c r="AU182" s="1732"/>
      <c r="AV182" s="1256"/>
      <c r="AW182" s="1256"/>
      <c r="AX182" s="1256"/>
      <c r="AY182" s="1256"/>
      <c r="AZ182" s="1732"/>
      <c r="BA182" s="1256"/>
      <c r="BB182" s="1256"/>
      <c r="BC182" s="651"/>
      <c r="BD182" s="1256"/>
      <c r="BE182" s="1256"/>
      <c r="BF182" s="1256"/>
      <c r="BG182" s="1256"/>
      <c r="BH182" s="1256"/>
      <c r="BI182" s="1728"/>
      <c r="BJ182" s="673"/>
      <c r="BK182" s="673"/>
      <c r="BL182" s="673"/>
      <c r="BM182" s="673"/>
      <c r="BN182" s="1737">
        <v>11</v>
      </c>
    </row>
    <row s="10851" customFormat="1" customHeight="1" ht="11.549999999999999">
      <c r="A183" s="1087"/>
      <c r="B183" s="1732"/>
      <c r="C183" s="1732"/>
      <c r="D183" s="458"/>
      <c r="AO183" s="4889"/>
      <c r="AP183" s="4889"/>
      <c r="AQ183" s="4889"/>
      <c r="AS183" s="1256"/>
      <c r="AT183" s="1732"/>
      <c r="AU183" s="1732"/>
      <c r="AV183" s="1256"/>
      <c r="AW183" s="1256"/>
      <c r="AX183" s="1256"/>
      <c r="AY183" s="1256"/>
      <c r="AZ183" s="1732"/>
      <c r="BA183" s="1256"/>
      <c r="BB183" s="1256"/>
      <c r="BC183" s="651"/>
      <c r="BD183" s="1256"/>
      <c r="BE183" s="1256"/>
      <c r="BF183" s="1256"/>
      <c r="BG183" s="1256"/>
      <c r="BH183" s="1256"/>
      <c r="BI183" s="1728"/>
      <c r="BJ183" s="673"/>
      <c r="BK183" s="673"/>
      <c r="BL183" s="673"/>
      <c r="BM183" s="673"/>
      <c r="BN183" s="1737">
        <v>11</v>
      </c>
    </row>
    <row s="10851" customFormat="1" customHeight="1" ht="11.549999999999999">
      <c r="A184" s="1087"/>
      <c r="B184" s="1732"/>
      <c r="C184" s="1732"/>
      <c r="D184" s="458"/>
      <c r="AO184" s="4889"/>
      <c r="AP184" s="4889"/>
      <c r="AQ184" s="4889"/>
      <c r="AS184" s="1256"/>
      <c r="AT184" s="1732"/>
      <c r="AU184" s="1732"/>
      <c r="AV184" s="1256"/>
      <c r="AW184" s="1256"/>
      <c r="AX184" s="1256"/>
      <c r="AY184" s="1256"/>
      <c r="AZ184" s="1732"/>
      <c r="BA184" s="1256"/>
      <c r="BB184" s="1256"/>
      <c r="BC184" s="651"/>
      <c r="BD184" s="1256"/>
      <c r="BE184" s="1256"/>
      <c r="BF184" s="1256"/>
      <c r="BG184" s="1256"/>
      <c r="BH184" s="1256"/>
      <c r="BI184" s="1728"/>
      <c r="BJ184" s="673"/>
      <c r="BK184" s="673"/>
      <c r="BL184" s="673"/>
      <c r="BM184" s="673"/>
      <c r="BN184" s="1737">
        <v>11</v>
      </c>
    </row>
    <row s="10851" customFormat="1" customHeight="1" ht="11.549999999999999">
      <c r="A185" s="1087"/>
      <c r="B185" s="1732"/>
      <c r="C185" s="1732"/>
      <c r="D185" s="458"/>
      <c r="AO185" s="4889"/>
      <c r="AP185" s="4889"/>
      <c r="AQ185" s="4889"/>
      <c r="AS185" s="1256"/>
      <c r="AT185" s="1732"/>
      <c r="AU185" s="1732"/>
      <c r="AV185" s="1256"/>
      <c r="AW185" s="1256"/>
      <c r="AX185" s="1256"/>
      <c r="AY185" s="1256"/>
      <c r="AZ185" s="1732"/>
      <c r="BA185" s="1256"/>
      <c r="BB185" s="1256"/>
      <c r="BC185" s="651"/>
      <c r="BD185" s="1256"/>
      <c r="BE185" s="1256"/>
      <c r="BF185" s="1256"/>
      <c r="BG185" s="1256"/>
      <c r="BH185" s="1256"/>
      <c r="BI185" s="1728"/>
      <c r="BJ185" s="673"/>
      <c r="BK185" s="673"/>
      <c r="BL185" s="673"/>
      <c r="BM185" s="673"/>
      <c r="BN185" s="1737">
        <v>11</v>
      </c>
    </row>
    <row s="10851" customFormat="1" customHeight="1" ht="11.549999999999999">
      <c r="A186" s="1087"/>
      <c r="B186" s="1732"/>
      <c r="C186" s="1732"/>
      <c r="D186" s="458"/>
      <c r="AO186" s="4889"/>
      <c r="AP186" s="4889"/>
      <c r="AQ186" s="4889"/>
      <c r="AS186" s="1256"/>
      <c r="AT186" s="1732"/>
      <c r="AU186" s="1732"/>
      <c r="AV186" s="1256"/>
      <c r="AW186" s="1256"/>
      <c r="AX186" s="1256"/>
      <c r="AY186" s="1256"/>
      <c r="AZ186" s="1732"/>
      <c r="BA186" s="1256"/>
      <c r="BB186" s="1256"/>
      <c r="BC186" s="651"/>
      <c r="BD186" s="1256"/>
      <c r="BE186" s="1256"/>
      <c r="BF186" s="1256"/>
      <c r="BG186" s="1256"/>
      <c r="BH186" s="1256"/>
      <c r="BI186" s="1728"/>
      <c r="BJ186" s="673"/>
      <c r="BK186" s="673"/>
      <c r="BL186" s="673"/>
      <c r="BM186" s="673"/>
      <c r="BN186" s="1737">
        <v>11</v>
      </c>
    </row>
    <row s="10851" customFormat="1" customHeight="1" ht="11.549999999999999">
      <c r="A187" s="1087"/>
      <c r="B187" s="1732"/>
      <c r="C187" s="1732"/>
      <c r="D187" s="458"/>
      <c r="AO187" s="4889"/>
      <c r="AP187" s="4889"/>
      <c r="AQ187" s="4889"/>
      <c r="AS187" s="1256"/>
      <c r="AT187" s="1732"/>
      <c r="AU187" s="1732"/>
      <c r="AV187" s="1256"/>
      <c r="AW187" s="1256"/>
      <c r="AX187" s="1256"/>
      <c r="AY187" s="1256"/>
      <c r="AZ187" s="1732"/>
      <c r="BA187" s="1256"/>
      <c r="BB187" s="1256"/>
      <c r="BC187" s="651"/>
      <c r="BD187" s="1256"/>
      <c r="BE187" s="1256"/>
      <c r="BF187" s="1256"/>
      <c r="BG187" s="1256"/>
      <c r="BH187" s="1256"/>
      <c r="BI187" s="1728"/>
      <c r="BJ187" s="673"/>
      <c r="BK187" s="673"/>
      <c r="BL187" s="673"/>
      <c r="BM187" s="673"/>
      <c r="BN187" s="1737">
        <v>11</v>
      </c>
    </row>
    <row s="10851" customFormat="1" customHeight="1" ht="11.549999999999999">
      <c r="A188" s="1087"/>
      <c r="B188" s="1732"/>
      <c r="C188" s="1732"/>
      <c r="D188" s="458"/>
      <c r="AO188" s="4889"/>
      <c r="AP188" s="4889"/>
      <c r="AQ188" s="4889"/>
      <c r="AS188" s="1256"/>
      <c r="AT188" s="1732"/>
      <c r="AU188" s="1732"/>
      <c r="AV188" s="1256"/>
      <c r="AW188" s="1256"/>
      <c r="AX188" s="1256"/>
      <c r="AY188" s="1256"/>
      <c r="AZ188" s="1732"/>
      <c r="BA188" s="1256"/>
      <c r="BB188" s="1256"/>
      <c r="BC188" s="651"/>
      <c r="BD188" s="1256"/>
      <c r="BE188" s="1256"/>
      <c r="BF188" s="1256"/>
      <c r="BG188" s="1256"/>
      <c r="BH188" s="1256"/>
      <c r="BI188" s="1728"/>
      <c r="BJ188" s="673"/>
      <c r="BK188" s="673"/>
      <c r="BL188" s="673"/>
      <c r="BM188" s="673"/>
      <c r="BN188" s="1737">
        <v>11</v>
      </c>
    </row>
    <row s="10851" customFormat="1" customHeight="1" ht="11.549999999999999">
      <c r="A189" s="1087"/>
      <c r="B189" s="1732"/>
      <c r="C189" s="1732"/>
      <c r="D189" s="458"/>
      <c r="AO189" s="4889"/>
      <c r="AP189" s="4889"/>
      <c r="AQ189" s="4889"/>
      <c r="AS189" s="1256"/>
      <c r="AT189" s="1732"/>
      <c r="AU189" s="1732"/>
      <c r="AV189" s="1256"/>
      <c r="AW189" s="1256"/>
      <c r="AX189" s="1256"/>
      <c r="AY189" s="1256"/>
      <c r="AZ189" s="1732"/>
      <c r="BA189" s="1256"/>
      <c r="BB189" s="1256"/>
      <c r="BC189" s="651"/>
      <c r="BD189" s="1256"/>
      <c r="BE189" s="1256"/>
      <c r="BF189" s="1256"/>
      <c r="BG189" s="1256"/>
      <c r="BH189" s="1256"/>
      <c r="BI189" s="1728"/>
      <c r="BJ189" s="673"/>
      <c r="BK189" s="673"/>
      <c r="BL189" s="673"/>
      <c r="BM189" s="673"/>
      <c r="BN189" s="1737">
        <v>11</v>
      </c>
    </row>
    <row s="10851" customFormat="1" customHeight="1" ht="11.549999999999999">
      <c r="A190" s="1087"/>
      <c r="B190" s="1732"/>
      <c r="C190" s="1732"/>
      <c r="D190" s="458"/>
      <c r="AO190" s="4889"/>
      <c r="AP190" s="4889"/>
      <c r="AQ190" s="4889"/>
      <c r="AS190" s="1256"/>
      <c r="AT190" s="1732"/>
      <c r="AU190" s="1732"/>
      <c r="AV190" s="1256"/>
      <c r="AW190" s="1256"/>
      <c r="AX190" s="1256"/>
      <c r="AY190" s="1256"/>
      <c r="AZ190" s="1732"/>
      <c r="BA190" s="1256"/>
      <c r="BB190" s="1256"/>
      <c r="BC190" s="651"/>
      <c r="BD190" s="1256"/>
      <c r="BE190" s="1256"/>
      <c r="BF190" s="1256"/>
      <c r="BG190" s="1256"/>
      <c r="BH190" s="1256"/>
      <c r="BI190" s="1728"/>
      <c r="BJ190" s="673"/>
      <c r="BK190" s="673"/>
      <c r="BL190" s="673"/>
      <c r="BM190" s="673"/>
      <c r="BN190" s="1737">
        <v>11</v>
      </c>
    </row>
    <row s="10851" customFormat="1" customHeight="1" ht="11.549999999999999">
      <c r="A191" s="1087"/>
      <c r="B191" s="1732"/>
      <c r="C191" s="1732"/>
      <c r="D191" s="458"/>
      <c r="AO191" s="4889"/>
      <c r="AP191" s="4889"/>
      <c r="AQ191" s="4889"/>
      <c r="AS191" s="1256"/>
      <c r="AT191" s="1732"/>
      <c r="AU191" s="1732"/>
      <c r="AV191" s="1256"/>
      <c r="AW191" s="1256"/>
      <c r="AX191" s="1256"/>
      <c r="AY191" s="1256"/>
      <c r="AZ191" s="1732"/>
      <c r="BA191" s="1256"/>
      <c r="BB191" s="1256"/>
      <c r="BC191" s="651"/>
      <c r="BD191" s="1256"/>
      <c r="BE191" s="1256"/>
      <c r="BF191" s="1256"/>
      <c r="BG191" s="1256"/>
      <c r="BH191" s="1256"/>
      <c r="BI191" s="1728"/>
      <c r="BJ191" s="673"/>
      <c r="BK191" s="673"/>
      <c r="BL191" s="673"/>
      <c r="BM191" s="673"/>
      <c r="BN191" s="1737">
        <v>11</v>
      </c>
    </row>
    <row s="10851" customFormat="1" customHeight="1" ht="11.549999999999999">
      <c r="A192" s="1087"/>
      <c r="B192" s="1732"/>
      <c r="C192" s="1732"/>
      <c r="D192" s="458"/>
      <c r="AO192" s="4889"/>
      <c r="AP192" s="4889"/>
      <c r="AQ192" s="4889"/>
      <c r="AS192" s="1256"/>
      <c r="AT192" s="1732"/>
      <c r="AU192" s="1732"/>
      <c r="AV192" s="1256"/>
      <c r="AW192" s="1256"/>
      <c r="AX192" s="1256"/>
      <c r="AY192" s="1256"/>
      <c r="AZ192" s="1732"/>
      <c r="BA192" s="1256"/>
      <c r="BB192" s="1256"/>
      <c r="BC192" s="651"/>
      <c r="BD192" s="1256"/>
      <c r="BE192" s="1256"/>
      <c r="BF192" s="1256"/>
      <c r="BG192" s="1256"/>
      <c r="BH192" s="1256"/>
      <c r="BI192" s="1728"/>
      <c r="BJ192" s="673"/>
      <c r="BK192" s="673"/>
      <c r="BL192" s="673"/>
      <c r="BM192" s="673"/>
      <c r="BN192" s="1737">
        <v>11</v>
      </c>
    </row>
    <row s="10851" customFormat="1" customHeight="1" ht="11.549999999999999">
      <c r="A193" s="1087"/>
      <c r="B193" s="1732"/>
      <c r="C193" s="1732"/>
      <c r="D193" s="458"/>
      <c r="AO193" s="4889"/>
      <c r="AP193" s="4889"/>
      <c r="AQ193" s="4889"/>
      <c r="AS193" s="1256"/>
      <c r="AT193" s="1732"/>
      <c r="AU193" s="1732"/>
      <c r="AV193" s="1256"/>
      <c r="AW193" s="1256"/>
      <c r="AX193" s="1256"/>
      <c r="AY193" s="1256"/>
      <c r="AZ193" s="1732"/>
      <c r="BA193" s="1256"/>
      <c r="BB193" s="1256"/>
      <c r="BC193" s="651"/>
      <c r="BD193" s="1256"/>
      <c r="BE193" s="1256"/>
      <c r="BF193" s="1256"/>
      <c r="BG193" s="1256"/>
      <c r="BH193" s="1256"/>
      <c r="BI193" s="1728"/>
      <c r="BJ193" s="673"/>
      <c r="BK193" s="673"/>
      <c r="BL193" s="673"/>
      <c r="BM193" s="673"/>
      <c r="BN193" s="1737">
        <v>11</v>
      </c>
    </row>
    <row s="10851" customFormat="1" customHeight="1" ht="11.549999999999999">
      <c r="A194" s="1087"/>
      <c r="B194" s="1732"/>
      <c r="C194" s="1732"/>
      <c r="D194" s="458"/>
      <c r="AO194" s="4889"/>
      <c r="AP194" s="4889"/>
      <c r="AQ194" s="4889"/>
      <c r="AS194" s="1256"/>
      <c r="AT194" s="1732"/>
      <c r="AU194" s="1732"/>
      <c r="AV194" s="1256"/>
      <c r="AW194" s="1256"/>
      <c r="AX194" s="1256"/>
      <c r="AY194" s="1256"/>
      <c r="AZ194" s="1732"/>
      <c r="BA194" s="1256"/>
      <c r="BB194" s="1256"/>
      <c r="BC194" s="651"/>
      <c r="BD194" s="1256"/>
      <c r="BE194" s="1256"/>
      <c r="BF194" s="1256"/>
      <c r="BG194" s="1256"/>
      <c r="BH194" s="1256"/>
      <c r="BI194" s="1728"/>
      <c r="BJ194" s="673"/>
      <c r="BK194" s="673"/>
      <c r="BL194" s="673"/>
      <c r="BM194" s="673"/>
      <c r="BN194" s="1737">
        <v>11</v>
      </c>
    </row>
    <row s="10851" customFormat="1" customHeight="1" ht="11.549999999999999">
      <c r="A195" s="1087"/>
      <c r="B195" s="1732"/>
      <c r="C195" s="1732"/>
      <c r="D195" s="458"/>
      <c r="AO195" s="4889"/>
      <c r="AP195" s="4889"/>
      <c r="AQ195" s="4889"/>
      <c r="AS195" s="1256"/>
      <c r="AT195" s="1732"/>
      <c r="AU195" s="1732"/>
      <c r="AV195" s="1256"/>
      <c r="AW195" s="1256"/>
      <c r="AX195" s="1256"/>
      <c r="AY195" s="1256"/>
      <c r="AZ195" s="1732"/>
      <c r="BA195" s="1256"/>
      <c r="BB195" s="1256"/>
      <c r="BC195" s="651"/>
      <c r="BD195" s="1256"/>
      <c r="BE195" s="1256"/>
      <c r="BF195" s="1256"/>
      <c r="BG195" s="1256"/>
      <c r="BH195" s="1256"/>
      <c r="BI195" s="1728"/>
      <c r="BJ195" s="673"/>
      <c r="BK195" s="673"/>
      <c r="BL195" s="673"/>
      <c r="BM195" s="673"/>
      <c r="BN195" s="1737">
        <v>11</v>
      </c>
    </row>
    <row s="10851" customFormat="1" customHeight="1" ht="11.549999999999999">
      <c r="A196" s="1087"/>
      <c r="B196" s="1732"/>
      <c r="C196" s="1732"/>
      <c r="D196" s="458"/>
      <c r="AO196" s="4889"/>
      <c r="AP196" s="4889"/>
      <c r="AQ196" s="4889"/>
      <c r="AS196" s="1256"/>
      <c r="AT196" s="1732"/>
      <c r="AU196" s="1732"/>
      <c r="AV196" s="1256"/>
      <c r="AW196" s="1256"/>
      <c r="AX196" s="1256"/>
      <c r="AY196" s="1256"/>
      <c r="AZ196" s="1732"/>
      <c r="BA196" s="1256"/>
      <c r="BB196" s="1256"/>
      <c r="BC196" s="651"/>
      <c r="BD196" s="1256"/>
      <c r="BE196" s="1256"/>
      <c r="BF196" s="1256"/>
      <c r="BG196" s="1256"/>
      <c r="BH196" s="1256"/>
      <c r="BI196" s="1728"/>
      <c r="BJ196" s="673"/>
      <c r="BK196" s="673"/>
      <c r="BL196" s="673"/>
      <c r="BM196" s="673"/>
      <c r="BN196" s="1737">
        <v>11</v>
      </c>
    </row>
    <row s="10851" customFormat="1" customHeight="1" ht="11.549999999999999">
      <c r="A197" s="1087"/>
      <c r="B197" s="1732"/>
      <c r="C197" s="1732"/>
      <c r="D197" s="458"/>
      <c r="AO197" s="4889"/>
      <c r="AP197" s="4889"/>
      <c r="AQ197" s="4889"/>
      <c r="AS197" s="1256"/>
      <c r="AT197" s="1732"/>
      <c r="AU197" s="1732"/>
      <c r="AV197" s="1256"/>
      <c r="AW197" s="1256"/>
      <c r="AX197" s="1256"/>
      <c r="AY197" s="1256"/>
      <c r="AZ197" s="1732"/>
      <c r="BA197" s="1256"/>
      <c r="BB197" s="1256"/>
      <c r="BC197" s="651"/>
      <c r="BD197" s="1256"/>
      <c r="BE197" s="1256"/>
      <c r="BF197" s="1256"/>
      <c r="BG197" s="1256"/>
      <c r="BH197" s="1256"/>
      <c r="BI197" s="1728"/>
      <c r="BJ197" s="673"/>
      <c r="BK197" s="673"/>
      <c r="BL197" s="673"/>
      <c r="BM197" s="673"/>
      <c r="BN197" s="1737">
        <v>11</v>
      </c>
    </row>
    <row s="10851" customFormat="1" customHeight="1" ht="11.549999999999999">
      <c r="A198" s="1087"/>
      <c r="B198" s="1732"/>
      <c r="C198" s="1732"/>
      <c r="D198" s="458"/>
      <c r="AO198" s="4889"/>
      <c r="AP198" s="4889"/>
      <c r="AQ198" s="4889"/>
      <c r="AS198" s="1256"/>
      <c r="AT198" s="1732"/>
      <c r="AU198" s="1732"/>
      <c r="AV198" s="1256"/>
      <c r="AW198" s="1256"/>
      <c r="AX198" s="1256"/>
      <c r="AY198" s="1256"/>
      <c r="AZ198" s="1732"/>
      <c r="BA198" s="1256"/>
      <c r="BB198" s="1256"/>
      <c r="BC198" s="651"/>
      <c r="BD198" s="1256"/>
      <c r="BE198" s="1256"/>
      <c r="BF198" s="1256"/>
      <c r="BG198" s="1256"/>
      <c r="BH198" s="1256"/>
      <c r="BI198" s="1728"/>
      <c r="BJ198" s="673"/>
      <c r="BK198" s="673"/>
      <c r="BL198" s="673"/>
      <c r="BM198" s="673"/>
      <c r="BN198" s="1737">
        <v>11</v>
      </c>
    </row>
    <row s="10851" customFormat="1" customHeight="1" ht="11.549999999999999">
      <c r="A199" s="1087"/>
      <c r="B199" s="1732"/>
      <c r="C199" s="1732"/>
      <c r="D199" s="458"/>
      <c r="AO199" s="4889"/>
      <c r="AP199" s="4889"/>
      <c r="AQ199" s="4889"/>
      <c r="AS199" s="1256"/>
      <c r="AT199" s="1732"/>
      <c r="AU199" s="1732"/>
      <c r="AV199" s="1256"/>
      <c r="AW199" s="1256"/>
      <c r="AX199" s="1256"/>
      <c r="AY199" s="1256"/>
      <c r="AZ199" s="1732"/>
      <c r="BA199" s="1256"/>
      <c r="BB199" s="1256"/>
      <c r="BC199" s="651"/>
      <c r="BD199" s="1256"/>
      <c r="BE199" s="1256"/>
      <c r="BF199" s="1256"/>
      <c r="BG199" s="1256"/>
      <c r="BH199" s="1256"/>
      <c r="BI199" s="1728"/>
      <c r="BJ199" s="673"/>
      <c r="BK199" s="673"/>
      <c r="BL199" s="673"/>
      <c r="BM199" s="673"/>
      <c r="BN199" s="1737">
        <v>11</v>
      </c>
    </row>
    <row s="10851" customFormat="1" customHeight="1" ht="11.549999999999999">
      <c r="A200" s="1087"/>
      <c r="B200" s="1732"/>
      <c r="C200" s="1732"/>
      <c r="D200" s="458"/>
      <c r="AO200" s="4889"/>
      <c r="AP200" s="4889"/>
      <c r="AQ200" s="4889"/>
      <c r="AS200" s="1256"/>
      <c r="AT200" s="1732"/>
      <c r="AU200" s="1732"/>
      <c r="AV200" s="1256"/>
      <c r="AW200" s="1256"/>
      <c r="AX200" s="1256"/>
      <c r="AY200" s="1256"/>
      <c r="AZ200" s="1732"/>
      <c r="BA200" s="1256"/>
      <c r="BB200" s="1256"/>
      <c r="BC200" s="651"/>
      <c r="BD200" s="1256"/>
      <c r="BE200" s="1256"/>
      <c r="BF200" s="1256"/>
      <c r="BG200" s="1256"/>
      <c r="BH200" s="1256"/>
      <c r="BI200" s="1728"/>
      <c r="BJ200" s="673"/>
      <c r="BK200" s="673"/>
      <c r="BL200" s="673"/>
      <c r="BM200" s="673"/>
      <c r="BN200" s="1737">
        <v>11</v>
      </c>
    </row>
    <row s="10851" customFormat="1" customHeight="1" ht="11.549999999999999">
      <c r="A201" s="1087"/>
      <c r="B201" s="1732"/>
      <c r="C201" s="1732"/>
      <c r="D201" s="458"/>
      <c r="AO201" s="4889"/>
      <c r="AP201" s="4889"/>
      <c r="AQ201" s="4889"/>
      <c r="AS201" s="1256"/>
      <c r="AT201" s="1732"/>
      <c r="AU201" s="1732"/>
      <c r="AV201" s="1256"/>
      <c r="AW201" s="1256"/>
      <c r="AX201" s="1256"/>
      <c r="AY201" s="1256"/>
      <c r="AZ201" s="1732"/>
      <c r="BA201" s="1256"/>
      <c r="BB201" s="1256"/>
      <c r="BC201" s="651"/>
      <c r="BD201" s="1256"/>
      <c r="BE201" s="1256"/>
      <c r="BF201" s="1256"/>
      <c r="BG201" s="1256"/>
      <c r="BH201" s="1256"/>
      <c r="BI201" s="1728"/>
      <c r="BJ201" s="673"/>
      <c r="BK201" s="673"/>
      <c r="BL201" s="673"/>
      <c r="BM201" s="673"/>
      <c r="BN201" s="1737">
        <v>11</v>
      </c>
    </row>
    <row s="10851" customFormat="1" customHeight="1" ht="11.549999999999999">
      <c r="A202" s="1087"/>
      <c r="B202" s="1732"/>
      <c r="C202" s="1732"/>
      <c r="D202" s="458"/>
      <c r="AO202" s="4889"/>
      <c r="AP202" s="4889"/>
      <c r="AQ202" s="4889"/>
      <c r="AS202" s="1256"/>
      <c r="AT202" s="1732"/>
      <c r="AU202" s="1732"/>
      <c r="AV202" s="1256"/>
      <c r="AW202" s="1256"/>
      <c r="AX202" s="1256"/>
      <c r="AY202" s="1256"/>
      <c r="AZ202" s="1732"/>
      <c r="BA202" s="1256"/>
      <c r="BB202" s="1256"/>
      <c r="BC202" s="651"/>
      <c r="BD202" s="1256"/>
      <c r="BE202" s="1256"/>
      <c r="BF202" s="1256"/>
      <c r="BG202" s="1256"/>
      <c r="BH202" s="1256"/>
      <c r="BI202" s="1728"/>
      <c r="BJ202" s="673"/>
      <c r="BK202" s="673"/>
      <c r="BL202" s="673"/>
      <c r="BM202" s="673"/>
      <c r="BN202" s="1737">
        <v>11</v>
      </c>
    </row>
    <row s="10851" customFormat="1" customHeight="1" ht="11.549999999999999">
      <c r="A203" s="1087"/>
      <c r="B203" s="1732"/>
      <c r="C203" s="1732"/>
      <c r="D203" s="458"/>
      <c r="AO203" s="4889"/>
      <c r="AP203" s="4889"/>
      <c r="AQ203" s="4889"/>
      <c r="AS203" s="1256"/>
      <c r="AT203" s="1732"/>
      <c r="AU203" s="1732"/>
      <c r="AV203" s="1256"/>
      <c r="AW203" s="1256"/>
      <c r="AX203" s="1256"/>
      <c r="AY203" s="1256"/>
      <c r="AZ203" s="1732"/>
      <c r="BA203" s="1256"/>
      <c r="BB203" s="1256"/>
      <c r="BC203" s="651"/>
      <c r="BD203" s="1256"/>
      <c r="BE203" s="1256"/>
      <c r="BF203" s="1256"/>
      <c r="BG203" s="1256"/>
      <c r="BH203" s="1256"/>
      <c r="BI203" s="1728"/>
      <c r="BJ203" s="673"/>
      <c r="BK203" s="673"/>
      <c r="BL203" s="673"/>
      <c r="BM203" s="673"/>
      <c r="BN203" s="1737">
        <v>11</v>
      </c>
    </row>
    <row s="10851" customFormat="1" customHeight="1" ht="11.549999999999999">
      <c r="A204" s="1087"/>
      <c r="B204" s="1732"/>
      <c r="C204" s="1732"/>
      <c r="D204" s="458"/>
      <c r="AO204" s="4889"/>
      <c r="AP204" s="4889"/>
      <c r="AQ204" s="4889"/>
      <c r="AS204" s="1256"/>
      <c r="AT204" s="1732"/>
      <c r="AU204" s="1732"/>
      <c r="AV204" s="1256"/>
      <c r="AW204" s="1256"/>
      <c r="AX204" s="1256"/>
      <c r="AY204" s="1256"/>
      <c r="AZ204" s="1732"/>
      <c r="BA204" s="1256"/>
      <c r="BB204" s="1256"/>
      <c r="BC204" s="651"/>
      <c r="BD204" s="1256"/>
      <c r="BE204" s="1256"/>
      <c r="BF204" s="1256"/>
      <c r="BG204" s="1256"/>
      <c r="BH204" s="1256"/>
      <c r="BI204" s="1728"/>
      <c r="BJ204" s="673"/>
      <c r="BK204" s="673"/>
      <c r="BL204" s="673"/>
      <c r="BM204" s="673"/>
      <c r="BN204" s="1737">
        <v>11</v>
      </c>
    </row>
    <row customHeight="1" ht="11.549999999999999">
      <c r="AO205" s="4586"/>
      <c r="AP205" s="4586"/>
      <c r="AQ205" s="4586"/>
      <c r="BN205" s="1727">
        <v>11</v>
      </c>
    </row>
    <row customHeight="1" ht="11.549999999999999">
      <c r="AO206" s="4586"/>
      <c r="AP206" s="4586"/>
      <c r="AQ206" s="4586"/>
      <c r="BN206" s="1727">
        <v>11</v>
      </c>
    </row>
    <row customHeight="1" ht="11.549999999999999">
      <c r="AO207" s="4586"/>
      <c r="AP207" s="4586"/>
      <c r="AQ207" s="4586"/>
      <c r="BN207" s="1727">
        <v>11</v>
      </c>
    </row>
    <row customHeight="1" ht="11.549999999999999">
      <c r="A208" s="1090"/>
      <c r="B208" s="1727"/>
      <c r="D208" s="1727"/>
      <c r="AO208" s="4586"/>
      <c r="AP208" s="4586"/>
      <c r="AQ208" s="4586"/>
      <c r="AS208" s="1727"/>
      <c r="AV208" s="1727"/>
      <c r="AW208" s="1727"/>
      <c r="AX208" s="1727"/>
      <c r="AY208" s="1727"/>
      <c r="BA208" s="1727"/>
      <c r="BB208" s="1727"/>
      <c r="BC208" s="1727"/>
      <c r="BD208" s="1727"/>
      <c r="BE208" s="1727"/>
      <c r="BF208" s="1727"/>
      <c r="BG208" s="1727"/>
      <c r="BH208" s="1727"/>
      <c r="BI208" s="1727"/>
      <c r="BJ208" s="1727"/>
      <c r="BK208" s="1727"/>
      <c r="BL208" s="1727"/>
      <c r="BM208" s="1727"/>
      <c r="BN208" s="1727">
        <v>11</v>
      </c>
    </row>
    <row customHeight="1" ht="11.549999999999999">
      <c r="A209" s="1090"/>
      <c r="B209" s="1727"/>
      <c r="D209" s="1727"/>
      <c r="AO209" s="4586"/>
      <c r="AP209" s="4586"/>
      <c r="AQ209" s="4586"/>
      <c r="AS209" s="1727"/>
      <c r="AV209" s="1727"/>
      <c r="AW209" s="1727"/>
      <c r="AX209" s="1727"/>
      <c r="AY209" s="1727"/>
      <c r="BA209" s="1727"/>
      <c r="BB209" s="1727"/>
      <c r="BC209" s="1727"/>
      <c r="BD209" s="1727"/>
      <c r="BE209" s="1727"/>
      <c r="BF209" s="1727"/>
      <c r="BG209" s="1727"/>
      <c r="BH209" s="1727"/>
      <c r="BI209" s="1727"/>
      <c r="BJ209" s="1727"/>
      <c r="BK209" s="1727"/>
      <c r="BL209" s="1727"/>
      <c r="BM209" s="1727"/>
      <c r="BN209" s="1727">
        <v>11</v>
      </c>
    </row>
    <row customHeight="1" ht="11.549999999999999">
      <c r="A210" s="1090"/>
      <c r="B210" s="1727"/>
      <c r="D210" s="1727"/>
      <c r="AO210" s="4586"/>
      <c r="AP210" s="4586"/>
      <c r="AQ210" s="4586"/>
      <c r="AS210" s="1727"/>
      <c r="AV210" s="1727"/>
      <c r="AW210" s="1727"/>
      <c r="AX210" s="1727"/>
      <c r="AY210" s="1727"/>
      <c r="BA210" s="1727"/>
      <c r="BB210" s="1727"/>
      <c r="BC210" s="1727"/>
      <c r="BD210" s="1727"/>
      <c r="BE210" s="1727"/>
      <c r="BF210" s="1727"/>
      <c r="BG210" s="1727"/>
      <c r="BH210" s="1727"/>
      <c r="BI210" s="1727"/>
      <c r="BJ210" s="1727"/>
      <c r="BK210" s="1727"/>
      <c r="BL210" s="1727"/>
      <c r="BM210" s="1727"/>
      <c r="BN210" s="1727">
        <v>11</v>
      </c>
    </row>
    <row customHeight="1" ht="11.549999999999999">
      <c r="A211" s="1090"/>
      <c r="B211" s="1727"/>
      <c r="D211" s="1727"/>
      <c r="AO211" s="4586"/>
      <c r="AP211" s="4586"/>
      <c r="AQ211" s="4586"/>
      <c r="AS211" s="1727"/>
      <c r="AV211" s="1727"/>
      <c r="AW211" s="1727"/>
      <c r="AX211" s="1727"/>
      <c r="AY211" s="1727"/>
      <c r="BA211" s="1727"/>
      <c r="BB211" s="1727"/>
      <c r="BC211" s="1727"/>
      <c r="BD211" s="1727"/>
      <c r="BE211" s="1727"/>
      <c r="BF211" s="1727"/>
      <c r="BG211" s="1727"/>
      <c r="BH211" s="1727"/>
      <c r="BI211" s="1727"/>
      <c r="BJ211" s="1727"/>
      <c r="BK211" s="1727"/>
      <c r="BL211" s="1727"/>
      <c r="BM211" s="1727"/>
      <c r="BN211" s="1727">
        <v>11</v>
      </c>
    </row>
    <row customHeight="1" ht="11.549999999999999">
      <c r="A212" s="1090"/>
      <c r="B212" s="1727"/>
      <c r="D212" s="1727"/>
      <c r="AO212" s="4586"/>
      <c r="AP212" s="4586"/>
      <c r="AQ212" s="4586"/>
      <c r="AS212" s="1727"/>
      <c r="AV212" s="1727"/>
      <c r="AW212" s="1727"/>
      <c r="AX212" s="1727"/>
      <c r="AY212" s="1727"/>
      <c r="BA212" s="1727"/>
      <c r="BB212" s="1727"/>
      <c r="BC212" s="1727"/>
      <c r="BD212" s="1727"/>
      <c r="BE212" s="1727"/>
      <c r="BF212" s="1727"/>
      <c r="BG212" s="1727"/>
      <c r="BH212" s="1727"/>
      <c r="BI212" s="1727"/>
      <c r="BJ212" s="1727"/>
      <c r="BK212" s="1727"/>
      <c r="BL212" s="1727"/>
      <c r="BM212" s="1727"/>
      <c r="BN212" s="1727">
        <v>11</v>
      </c>
    </row>
    <row customHeight="1" ht="11.549999999999999">
      <c r="A213" s="1090"/>
      <c r="B213" s="1727"/>
      <c r="D213" s="1727"/>
      <c r="AO213" s="4586"/>
      <c r="AP213" s="4586"/>
      <c r="AQ213" s="4586"/>
      <c r="AS213" s="1727"/>
      <c r="AV213" s="1727"/>
      <c r="AW213" s="1727"/>
      <c r="AX213" s="1727"/>
      <c r="AY213" s="1727"/>
      <c r="BA213" s="1727"/>
      <c r="BB213" s="1727"/>
      <c r="BC213" s="1727"/>
      <c r="BD213" s="1727"/>
      <c r="BE213" s="1727"/>
      <c r="BF213" s="1727"/>
      <c r="BG213" s="1727"/>
      <c r="BH213" s="1727"/>
      <c r="BI213" s="1727"/>
      <c r="BJ213" s="1727"/>
      <c r="BK213" s="1727"/>
      <c r="BL213" s="1727"/>
      <c r="BM213" s="1727"/>
      <c r="BN213" s="1727">
        <v>11</v>
      </c>
    </row>
    <row customHeight="1" ht="11.549999999999999">
      <c r="A214" s="1090"/>
      <c r="B214" s="1727"/>
      <c r="D214" s="1727"/>
      <c r="AO214" s="4586"/>
      <c r="AP214" s="4586"/>
      <c r="AQ214" s="4586"/>
      <c r="AS214" s="1727"/>
      <c r="AV214" s="1727"/>
      <c r="AW214" s="1727"/>
      <c r="AX214" s="1727"/>
      <c r="AY214" s="1727"/>
      <c r="BA214" s="1727"/>
      <c r="BB214" s="1727"/>
      <c r="BC214" s="1727"/>
      <c r="BD214" s="1727"/>
      <c r="BE214" s="1727"/>
      <c r="BF214" s="1727"/>
      <c r="BG214" s="1727"/>
      <c r="BH214" s="1727"/>
      <c r="BI214" s="1727"/>
      <c r="BJ214" s="1727"/>
      <c r="BK214" s="1727"/>
      <c r="BL214" s="1727"/>
      <c r="BM214" s="1727"/>
      <c r="BN214" s="1727">
        <v>11</v>
      </c>
    </row>
    <row customHeight="1" ht="11.549999999999999">
      <c r="A215" s="1090"/>
      <c r="B215" s="1727"/>
      <c r="D215" s="1727"/>
      <c r="AO215" s="4586"/>
      <c r="AP215" s="4586"/>
      <c r="AQ215" s="4586"/>
      <c r="AS215" s="1727"/>
      <c r="AV215" s="1727"/>
      <c r="AW215" s="1727"/>
      <c r="AX215" s="1727"/>
      <c r="AY215" s="1727"/>
      <c r="BA215" s="1727"/>
      <c r="BB215" s="1727"/>
      <c r="BC215" s="1727"/>
      <c r="BD215" s="1727"/>
      <c r="BE215" s="1727"/>
      <c r="BF215" s="1727"/>
      <c r="BG215" s="1727"/>
      <c r="BH215" s="1727"/>
      <c r="BI215" s="1727"/>
      <c r="BJ215" s="1727"/>
      <c r="BK215" s="1727"/>
      <c r="BL215" s="1727"/>
      <c r="BM215" s="1727"/>
      <c r="BN215" s="1727">
        <v>11</v>
      </c>
    </row>
    <row customHeight="1" ht="11.549999999999999">
      <c r="A216" s="1090"/>
      <c r="B216" s="1727"/>
      <c r="D216" s="1727"/>
      <c r="AO216" s="4586"/>
      <c r="AP216" s="4586"/>
      <c r="AQ216" s="4586"/>
      <c r="AS216" s="1727"/>
      <c r="AV216" s="1727"/>
      <c r="AW216" s="1727"/>
      <c r="AX216" s="1727"/>
      <c r="AY216" s="1727"/>
      <c r="BA216" s="1727"/>
      <c r="BB216" s="1727"/>
      <c r="BC216" s="1727"/>
      <c r="BD216" s="1727"/>
      <c r="BE216" s="1727"/>
      <c r="BF216" s="1727"/>
      <c r="BG216" s="1727"/>
      <c r="BH216" s="1727"/>
      <c r="BI216" s="1727"/>
      <c r="BJ216" s="1727"/>
      <c r="BK216" s="1727"/>
      <c r="BL216" s="1727"/>
      <c r="BM216" s="1727"/>
      <c r="BN216" s="1727">
        <v>11</v>
      </c>
    </row>
    <row customHeight="1" ht="11.549999999999999">
      <c r="A217" s="1090"/>
      <c r="B217" s="1727"/>
      <c r="D217" s="1727"/>
      <c r="AO217" s="4586"/>
      <c r="AP217" s="4586"/>
      <c r="AQ217" s="4586"/>
      <c r="AS217" s="1727"/>
      <c r="AV217" s="1727"/>
      <c r="AW217" s="1727"/>
      <c r="AX217" s="1727"/>
      <c r="AY217" s="1727"/>
      <c r="BA217" s="1727"/>
      <c r="BB217" s="1727"/>
      <c r="BC217" s="1727"/>
      <c r="BD217" s="1727"/>
      <c r="BE217" s="1727"/>
      <c r="BF217" s="1727"/>
      <c r="BG217" s="1727"/>
      <c r="BH217" s="1727"/>
      <c r="BI217" s="1727"/>
      <c r="BJ217" s="1727"/>
      <c r="BK217" s="1727"/>
      <c r="BL217" s="1727"/>
      <c r="BM217" s="1727"/>
      <c r="BN217" s="1727">
        <v>11</v>
      </c>
    </row>
    <row customHeight="1" ht="11.549999999999999">
      <c r="A218" s="1090"/>
      <c r="B218" s="1727"/>
      <c r="D218" s="1727"/>
      <c r="AO218" s="4586"/>
      <c r="AP218" s="4586"/>
      <c r="AQ218" s="4586"/>
      <c r="AS218" s="1727"/>
      <c r="AV218" s="1727"/>
      <c r="AW218" s="1727"/>
      <c r="AX218" s="1727"/>
      <c r="AY218" s="1727"/>
      <c r="BA218" s="1727"/>
      <c r="BB218" s="1727"/>
      <c r="BC218" s="1727"/>
      <c r="BD218" s="1727"/>
      <c r="BE218" s="1727"/>
      <c r="BF218" s="1727"/>
      <c r="BG218" s="1727"/>
      <c r="BH218" s="1727"/>
      <c r="BI218" s="1727"/>
      <c r="BJ218" s="1727"/>
      <c r="BK218" s="1727"/>
      <c r="BL218" s="1727"/>
      <c r="BM218" s="1727"/>
      <c r="BN218" s="1727">
        <v>11</v>
      </c>
    </row>
    <row customHeight="1" ht="11.25" hidden="1">
      <c r="A219" s="1087" t="s">
        <v>82</v>
      </c>
      <c r="B219" s="1256">
        <v>0</v>
      </c>
      <c r="C219" s="1732">
        <v>0</v>
      </c>
      <c r="D219" s="1731">
        <v>3</v>
      </c>
      <c r="E219" s="1727">
        <v>7</v>
      </c>
      <c r="F219" s="1727">
        <v>56</v>
      </c>
      <c r="G219" s="1727">
        <v>10</v>
      </c>
      <c r="H219" s="1727">
        <v>0</v>
      </c>
      <c r="I219" s="1727">
        <v>40</v>
      </c>
      <c r="J219" s="1731">
        <v>0</v>
      </c>
      <c r="K219" s="1731">
        <v>0</v>
      </c>
      <c r="L219" s="1731">
        <v>0</v>
      </c>
      <c r="M219" s="1731">
        <v>0</v>
      </c>
      <c r="N219" s="1731">
        <v>0</v>
      </c>
      <c r="O219" s="1731">
        <v>0</v>
      </c>
      <c r="P219" s="1731">
        <v>0</v>
      </c>
      <c r="Q219" s="1731">
        <v>0</v>
      </c>
      <c r="R219" s="1731">
        <v>0</v>
      </c>
      <c r="S219" s="1731">
        <v>0</v>
      </c>
      <c r="T219" s="1731">
        <v>0</v>
      </c>
      <c r="U219" s="1731">
        <v>0</v>
      </c>
      <c r="V219" s="1731">
        <v>0</v>
      </c>
      <c r="W219" s="1731">
        <v>0</v>
      </c>
      <c r="X219" s="1731">
        <v>0</v>
      </c>
      <c r="Y219" s="1731">
        <v>0</v>
      </c>
      <c r="Z219" s="1731">
        <v>0</v>
      </c>
      <c r="AA219" s="1731">
        <v>0</v>
      </c>
      <c r="AB219" s="1731">
        <v>0</v>
      </c>
      <c r="AC219" s="1731">
        <v>0</v>
      </c>
      <c r="AD219" s="1731">
        <v>0</v>
      </c>
      <c r="AE219" s="1731">
        <v>0</v>
      </c>
      <c r="AF219" s="1731">
        <v>0</v>
      </c>
      <c r="AG219" s="1731">
        <v>0</v>
      </c>
      <c r="AH219" s="1731">
        <v>0</v>
      </c>
      <c r="AI219" s="1731">
        <v>0</v>
      </c>
      <c r="AJ219" s="1731">
        <v>0</v>
      </c>
      <c r="AK219" s="1731">
        <v>0</v>
      </c>
      <c r="AL219" s="1731">
        <v>0</v>
      </c>
      <c r="AM219" s="1731">
        <v>0</v>
      </c>
      <c r="AN219" s="1731">
        <v>0</v>
      </c>
      <c r="AO219" s="4586">
        <v>0</v>
      </c>
      <c r="AP219" s="4586">
        <v>0</v>
      </c>
      <c r="AQ219" s="4586">
        <v>0</v>
      </c>
      <c r="AR219" s="1727">
        <v>102</v>
      </c>
      <c r="AS219" s="1256">
        <v>9</v>
      </c>
      <c r="AT219" s="1732">
        <v>5</v>
      </c>
      <c r="AU219" s="1732">
        <v>3</v>
      </c>
      <c r="AV219" s="1256">
        <v>3</v>
      </c>
      <c r="AW219" s="1256">
        <v>3</v>
      </c>
      <c r="AX219" s="1256">
        <v>3</v>
      </c>
      <c r="AY219" s="1256">
        <v>3</v>
      </c>
      <c r="AZ219" s="1732">
        <v>10</v>
      </c>
      <c r="BA219" s="1256">
        <v>34</v>
      </c>
      <c r="BB219" s="1256">
        <v>9</v>
      </c>
      <c r="BC219" s="651">
        <v>8</v>
      </c>
      <c r="BD219" s="1256">
        <v>8</v>
      </c>
      <c r="BE219" s="1256">
        <v>8</v>
      </c>
      <c r="BF219" s="1256">
        <v>8</v>
      </c>
      <c r="BG219" s="1256">
        <v>8</v>
      </c>
      <c r="BH219" s="1256">
        <v>8</v>
      </c>
      <c r="BI219" s="1728">
        <v>8</v>
      </c>
      <c r="BJ219" s="1728">
        <v>8</v>
      </c>
      <c r="BK219" s="1728">
        <v>8</v>
      </c>
      <c r="BL219" s="1728">
        <v>8</v>
      </c>
      <c r="BM219" s="1728">
        <v>8</v>
      </c>
      <c r="BN219" s="1727">
        <v>11</v>
      </c>
    </row>
  </sheetData>
  <sheetProtection formatColumns="0" formatRows="0" autoFilter="0" sort="0" insertRows="0" insertColumns="1" deleteRows="0" deleteColumns="0"/>
  <mergeCells count="7">
    <mergeCell ref="E6:I6"/>
    <mergeCell ref="E7:I7"/>
    <mergeCell ref="F10:G10"/>
    <mergeCell ref="AR10:AR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Q33">
      <formula1>900</formula1>
    </dataValidation>
    <dataValidation type="decimal" allowBlank="1" showErrorMessage="1" errorTitle="Ошибка" error="Допускается ввод только неотрицательных чисел!" sqref="H40:AQ41 H2:AQ2 H15:AQ15 H17:AQ32 H35:AQ37 H46:AQ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AQ45">
      <formula1>900</formula1>
    </dataValidation>
    <dataValidation type="decimal" allowBlank="1" showErrorMessage="1" errorTitle="Ошибка" error="Допускается ввод только действительных чисел!" sqref="H38:AQ39">
      <formula1>-9.99999999999999E+23</formula1>
      <formula2>9.99999999999999E+23</formula2>
    </dataValidation>
    <dataValidation type="decimal" allowBlank="1" showErrorMessage="1" errorTitle="Ошибка" error="Допускается ввод только действительных чисел!" sqref="H42:AQ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B6CDB-948C-A1AF-51AF-894893FA1E8F}" mc:Ignorable="x14ac xr xr2 xr3">
  <sheetPr>
    <tabColor theme="9" tint="-0.25"/>
  </sheetPr>
  <dimension ref="A1:BN215"/>
  <sheetViews>
    <sheetView topLeftCell="A1" showGridLines="0" zoomScale="90" workbookViewId="0">
      <selection activeCell="AQ9" sqref="AQ9"/>
    </sheetView>
  </sheetViews>
  <sheetFormatPr defaultColWidth="9.140625" customHeight="1" defaultRowHeight="11.25"/>
  <cols>
    <col min="1" max="1" style="11666" width="10.7109375" hidden="1" customWidth="1"/>
    <col min="2" max="2" style="10306" width="16.8515625" hidden="1" customWidth="1"/>
    <col min="3" max="3" style="10307" width="5.57421875" hidden="1" customWidth="1"/>
    <col min="4" max="4" style="10232" width="3.00390625" customWidth="1"/>
    <col min="5" max="5" style="10232" width="7.00390625" customWidth="1"/>
    <col min="6" max="6" style="10232" width="54.00390625" customWidth="1"/>
    <col min="7" max="7" style="10232" width="10.00390625" customWidth="1"/>
    <col min="8" max="8" style="10232" width="40.7109375" hidden="1" customWidth="1"/>
    <col min="9" max="9" style="10232" width="40.00390625" customWidth="1"/>
    <col min="10" max="40" style="10232" width="40.7109375" customWidth="1"/>
    <col min="41" max="43" style="11667" width="40.7109375" customWidth="1"/>
    <col min="44" max="44" style="10232" width="102.00390625" customWidth="1"/>
    <col min="45" max="45" style="10306" width="9.00390625" customWidth="1"/>
    <col min="46" max="46" style="10307" width="5.00390625" customWidth="1"/>
    <col min="47" max="47" style="10307" width="3.00390625" customWidth="1"/>
    <col min="48" max="51" style="10306" width="3.00390625" customWidth="1"/>
    <col min="52" max="52" style="10307" width="10.00390625" customWidth="1"/>
    <col min="53" max="53" style="10306" width="34.00390625" customWidth="1"/>
    <col min="54" max="54" style="10306" width="9.00390625" customWidth="1"/>
    <col min="55" max="55" style="11668" width="8.00390625" customWidth="1"/>
    <col min="56" max="60" style="10306" width="8.00390625" customWidth="1"/>
    <col min="61" max="65" style="10196" width="8.00390625" customWidth="1"/>
    <col min="66" max="66" style="10232" width="9.140625" hidden="1"/>
  </cols>
  <sheetData>
    <row s="10306" customFormat="1" customHeight="1" ht="22.5" hidden="1">
      <c r="A1" s="1087"/>
      <c r="C1" s="1732"/>
      <c r="D1" s="644"/>
      <c r="H1" s="1256">
        <v>4</v>
      </c>
      <c r="I1" s="1256">
        <v>4</v>
      </c>
      <c r="J1" s="1462" t="s">
        <v>461</v>
      </c>
      <c r="K1" s="1462">
        <v>4</v>
      </c>
      <c r="L1" s="1462">
        <v>4</v>
      </c>
      <c r="M1" s="1462">
        <v>4</v>
      </c>
      <c r="N1" s="1462">
        <v>4</v>
      </c>
      <c r="O1" s="1462">
        <v>4</v>
      </c>
      <c r="P1" s="1462">
        <v>4</v>
      </c>
      <c r="Q1" s="1462">
        <v>4</v>
      </c>
      <c r="R1" s="1462">
        <v>4</v>
      </c>
      <c r="S1" s="1462">
        <v>4</v>
      </c>
      <c r="T1" s="1462">
        <v>4</v>
      </c>
      <c r="U1" s="1462">
        <v>4</v>
      </c>
      <c r="V1" s="1462">
        <v>4</v>
      </c>
      <c r="W1" s="1462">
        <v>4</v>
      </c>
      <c r="X1" s="1462">
        <v>4</v>
      </c>
      <c r="Y1" s="1462">
        <v>4</v>
      </c>
      <c r="Z1" s="1462">
        <v>4</v>
      </c>
      <c r="AA1" s="1462">
        <v>4</v>
      </c>
      <c r="AB1" s="1462">
        <v>4</v>
      </c>
      <c r="AC1" s="1462">
        <v>4</v>
      </c>
      <c r="AD1" s="1462">
        <v>4</v>
      </c>
      <c r="AE1" s="1462">
        <v>4</v>
      </c>
      <c r="AF1" s="1462">
        <v>4</v>
      </c>
      <c r="AG1" s="1462">
        <v>4</v>
      </c>
      <c r="AH1" s="1462">
        <v>4</v>
      </c>
      <c r="AI1" s="1462">
        <v>4</v>
      </c>
      <c r="AJ1" s="1462">
        <v>4</v>
      </c>
      <c r="AK1" s="1462">
        <v>4</v>
      </c>
      <c r="AL1" s="1462">
        <v>4</v>
      </c>
      <c r="AM1" s="1462">
        <v>4</v>
      </c>
      <c r="AN1" s="1462">
        <v>4</v>
      </c>
      <c r="AO1" s="4608">
        <v>4</v>
      </c>
      <c r="AP1" s="4608">
        <v>4</v>
      </c>
      <c r="AQ1" s="4608">
        <v>4</v>
      </c>
      <c r="AT1" s="1732"/>
      <c r="AU1" s="1732"/>
      <c r="AZ1" s="1732"/>
      <c r="BN1" s="1256" t="s">
        <v>14</v>
      </c>
    </row>
    <row s="10306" customFormat="1" customHeight="1" ht="22.5" hidden="1">
      <c r="A2" s="1087"/>
      <c r="C2" s="1732"/>
      <c r="D2" s="645"/>
      <c r="E2" s="1754"/>
      <c r="F2" s="647"/>
      <c r="G2" s="1753" t="s">
        <v>637</v>
      </c>
      <c r="H2" s="648"/>
      <c r="I2" s="64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4604"/>
      <c r="AP2" s="4604"/>
      <c r="AQ2" s="4604"/>
      <c r="AR2" s="649" t="s">
        <v>640</v>
      </c>
      <c r="AS2" s="650"/>
      <c r="AT2" s="1732"/>
      <c r="AU2" s="1732"/>
      <c r="AZ2" s="1732"/>
      <c r="BC2" s="651"/>
      <c r="BI2" s="1728"/>
      <c r="BJ2" s="1728"/>
      <c r="BK2" s="1728"/>
      <c r="BL2" s="1728"/>
      <c r="BM2" s="1728"/>
      <c r="BN2" s="1256">
        <v>0</v>
      </c>
    </row>
    <row customHeight="1" ht="11.25" hidden="1">
      <c r="AO3" s="4586"/>
      <c r="AP3" s="4586"/>
      <c r="AQ3" s="4586"/>
      <c r="BN3" s="1727">
        <v>0</v>
      </c>
    </row>
    <row s="10196" customFormat="1" customHeight="1" ht="11.25" hidden="1">
      <c r="A4" s="1087"/>
      <c r="B4" s="1256"/>
      <c r="C4" s="1732"/>
      <c r="D4" s="469"/>
      <c r="AO4" s="4618"/>
      <c r="AP4" s="4618"/>
      <c r="AQ4" s="4618"/>
      <c r="AR4" s="1728">
        <v>4</v>
      </c>
      <c r="AS4" s="1256"/>
      <c r="AT4" s="1732"/>
      <c r="AU4" s="1732"/>
      <c r="AV4" s="1256"/>
      <c r="AW4" s="1256"/>
      <c r="AX4" s="1256"/>
      <c r="AY4" s="1256"/>
      <c r="AZ4" s="1732"/>
      <c r="BA4" s="1256"/>
      <c r="BB4" s="1256"/>
      <c r="BC4" s="651"/>
      <c r="BD4" s="1256"/>
      <c r="BE4" s="1256"/>
      <c r="BF4" s="1256"/>
      <c r="BG4" s="1256"/>
      <c r="BH4" s="1256"/>
      <c r="BN4" s="1728">
        <v>0</v>
      </c>
    </row>
    <row customHeight="1" ht="11.549999999999999">
      <c r="AO5" s="4586"/>
      <c r="AP5" s="4586"/>
      <c r="AQ5" s="4586"/>
      <c r="BN5" s="1727">
        <v>11</v>
      </c>
    </row>
    <row customHeight="1" ht="33.75">
      <c r="E6" s="3096" t="s">
        <v>920</v>
      </c>
      <c r="F6" s="3096"/>
      <c r="G6" s="3096"/>
      <c r="H6" s="3096"/>
      <c r="I6" s="3096"/>
      <c r="J6" s="2172"/>
      <c r="K6" s="2172"/>
      <c r="L6" s="2172"/>
      <c r="M6" s="2172"/>
      <c r="N6" s="2172"/>
      <c r="O6" s="2172"/>
      <c r="P6" s="2172"/>
      <c r="Q6" s="2172"/>
      <c r="R6" s="2172"/>
      <c r="S6" s="2172"/>
      <c r="T6" s="2172"/>
      <c r="U6" s="2172"/>
      <c r="V6" s="2172"/>
      <c r="W6" s="2172"/>
      <c r="X6" s="2172"/>
      <c r="Y6" s="2172"/>
      <c r="Z6" s="2172"/>
      <c r="AA6" s="2172"/>
      <c r="AB6" s="2172"/>
      <c r="AC6" s="2172"/>
      <c r="AD6" s="2172"/>
      <c r="AE6" s="2172"/>
      <c r="AF6" s="2172"/>
      <c r="AG6" s="2172"/>
      <c r="AH6" s="2172"/>
      <c r="AI6" s="2172"/>
      <c r="AJ6" s="2172"/>
      <c r="AK6" s="2172"/>
      <c r="AL6" s="2172"/>
      <c r="AM6" s="2172"/>
      <c r="AN6" s="2172"/>
      <c r="AO6" s="4620"/>
      <c r="AP6" s="4620"/>
      <c r="AQ6" s="4620"/>
      <c r="AR6" s="663"/>
      <c r="BN6" s="1727">
        <v>32</v>
      </c>
    </row>
    <row customHeight="1" ht="25.2">
      <c r="E7" s="3069" t="str">
        <f>IF(org=0,"Не определено",org)</f>
        <v>АО "ДГК"</v>
      </c>
      <c r="F7" s="3069"/>
      <c r="G7" s="3069"/>
      <c r="H7" s="3069"/>
      <c r="I7" s="3069"/>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4623"/>
      <c r="AP7" s="4623"/>
      <c r="AQ7" s="4623"/>
      <c r="BN7" s="1727">
        <v>24</v>
      </c>
    </row>
    <row customHeight="1" ht="11.549999999999999">
      <c r="E8" s="1232"/>
      <c r="F8" s="1232"/>
      <c r="G8" s="1232"/>
      <c r="H8" s="1232"/>
      <c r="I8" s="1232"/>
      <c r="J8" s="1233" t="s">
        <v>22</v>
      </c>
      <c r="K8" s="1233" t="s">
        <v>22</v>
      </c>
      <c r="L8" s="1233" t="s">
        <v>22</v>
      </c>
      <c r="M8" s="1233" t="s">
        <v>22</v>
      </c>
      <c r="N8" s="1233" t="s">
        <v>22</v>
      </c>
      <c r="O8" s="1233" t="s">
        <v>22</v>
      </c>
      <c r="P8" s="1233" t="s">
        <v>22</v>
      </c>
      <c r="Q8" s="1233" t="s">
        <v>22</v>
      </c>
      <c r="R8" s="1233" t="s">
        <v>22</v>
      </c>
      <c r="S8" s="1233" t="s">
        <v>22</v>
      </c>
      <c r="T8" s="1233" t="s">
        <v>22</v>
      </c>
      <c r="U8" s="1233" t="s">
        <v>22</v>
      </c>
      <c r="V8" s="1233" t="s">
        <v>22</v>
      </c>
      <c r="W8" s="1233" t="s">
        <v>22</v>
      </c>
      <c r="X8" s="1233" t="s">
        <v>22</v>
      </c>
      <c r="Y8" s="1233" t="s">
        <v>22</v>
      </c>
      <c r="Z8" s="1233" t="s">
        <v>22</v>
      </c>
      <c r="AA8" s="1233" t="s">
        <v>22</v>
      </c>
      <c r="AB8" s="1233" t="s">
        <v>22</v>
      </c>
      <c r="AC8" s="1233" t="s">
        <v>22</v>
      </c>
      <c r="AD8" s="1233" t="s">
        <v>22</v>
      </c>
      <c r="AE8" s="1233" t="s">
        <v>22</v>
      </c>
      <c r="AF8" s="1233" t="s">
        <v>22</v>
      </c>
      <c r="AG8" s="1233" t="s">
        <v>22</v>
      </c>
      <c r="AH8" s="1233" t="s">
        <v>22</v>
      </c>
      <c r="AI8" s="1233" t="s">
        <v>22</v>
      </c>
      <c r="AJ8" s="1233" t="s">
        <v>22</v>
      </c>
      <c r="AK8" s="1233" t="s">
        <v>22</v>
      </c>
      <c r="AL8" s="1233" t="s">
        <v>22</v>
      </c>
      <c r="AM8" s="1233" t="s">
        <v>22</v>
      </c>
      <c r="AN8" s="1233" t="s">
        <v>22</v>
      </c>
      <c r="AO8" s="4626" t="s">
        <v>22</v>
      </c>
      <c r="AP8" s="4626" t="s">
        <v>22</v>
      </c>
      <c r="AQ8" s="4626" t="s">
        <v>22</v>
      </c>
      <c r="BN8" s="1727">
        <v>11</v>
      </c>
    </row>
    <row s="10307" customFormat="1" customHeight="1" ht="1.05">
      <c r="A9" s="1263"/>
      <c r="H9" s="989"/>
      <c r="I9" s="989" t="s">
        <v>150</v>
      </c>
      <c r="J9" s="989" t="s">
        <v>154</v>
      </c>
      <c r="K9" s="989" t="s">
        <v>157</v>
      </c>
      <c r="L9" s="989" t="s">
        <v>159</v>
      </c>
      <c r="M9" s="989" t="s">
        <v>161</v>
      </c>
      <c r="N9" s="989" t="s">
        <v>163</v>
      </c>
      <c r="O9" s="989" t="s">
        <v>165</v>
      </c>
      <c r="P9" s="989" t="s">
        <v>168</v>
      </c>
      <c r="Q9" s="989" t="s">
        <v>171</v>
      </c>
      <c r="R9" s="989" t="s">
        <v>173</v>
      </c>
      <c r="S9" s="989" t="s">
        <v>175</v>
      </c>
      <c r="T9" s="989" t="s">
        <v>177</v>
      </c>
      <c r="U9" s="989" t="s">
        <v>179</v>
      </c>
      <c r="V9" s="989" t="s">
        <v>181</v>
      </c>
      <c r="W9" s="989" t="s">
        <v>183</v>
      </c>
      <c r="X9" s="989" t="s">
        <v>725</v>
      </c>
      <c r="Y9" s="989" t="s">
        <v>727</v>
      </c>
      <c r="Z9" s="989" t="s">
        <v>729</v>
      </c>
      <c r="AA9" s="989" t="s">
        <v>731</v>
      </c>
      <c r="AB9" s="989" t="s">
        <v>733</v>
      </c>
      <c r="AC9" s="989" t="s">
        <v>735</v>
      </c>
      <c r="AD9" s="989" t="s">
        <v>737</v>
      </c>
      <c r="AE9" s="989" t="s">
        <v>739</v>
      </c>
      <c r="AF9" s="989" t="s">
        <v>741</v>
      </c>
      <c r="AG9" s="989" t="s">
        <v>743</v>
      </c>
      <c r="AH9" s="989" t="s">
        <v>186</v>
      </c>
      <c r="AI9" s="989" t="s">
        <v>188</v>
      </c>
      <c r="AJ9" s="989" t="s">
        <v>190</v>
      </c>
      <c r="AK9" s="989" t="s">
        <v>192</v>
      </c>
      <c r="AL9" s="989" t="s">
        <v>194</v>
      </c>
      <c r="AM9" s="989" t="s">
        <v>197</v>
      </c>
      <c r="AN9" s="989" t="s">
        <v>199</v>
      </c>
      <c r="AO9" s="4628" t="s">
        <v>202</v>
      </c>
      <c r="AP9" s="4628" t="s">
        <v>205</v>
      </c>
      <c r="AQ9" s="4628" t="s">
        <v>206</v>
      </c>
      <c r="BN9" s="1732">
        <v>1</v>
      </c>
    </row>
    <row customHeight="1" ht="11.549999999999999">
      <c r="E10" s="818"/>
      <c r="F10" s="3204" t="s">
        <v>140</v>
      </c>
      <c r="G10" s="3205"/>
      <c r="H10" s="1755" t="str">
        <f>IF(H9="","",INDEX(DIFFERENTIATION_UNMERGE_VD,MATCH(H9,DIFFERENTIATION_ID_DIFF,0)))</f>
        <v/>
      </c>
      <c r="I10" s="175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84"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v>
      </c>
      <c r="K10" s="2184" t="str">
        <f>IF(K9="","",INDEX(DIFFERENTIATION_UNMERGE_VD,MATCH(K9,DIFFERENTIATION_ID_DIFF,0)))</f>
        <v>Производство тепловой энергии. Комбинированная выработка с уст. мощностью производства электрической энергии 25 МВт и более</v>
      </c>
      <c r="L10" s="2184" t="str">
        <f>IF(L9="","",INDEX(DIFFERENTIATION_UNMERGE_VD,MATCH(L9,DIFFERENTIATION_ID_DIFF,0)))</f>
        <v>Производство тепловой энергии. Комбинированная выработка с уст. мощностью производства электрической энергии 25 МВт и более</v>
      </c>
      <c r="M10" s="2184"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184"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v>
      </c>
      <c r="O10" s="2184" t="str">
        <f>IF(O9="","",INDEX(DIFFERENTIATION_UNMERGE_VD,MATCH(O9,DIFFERENTIATION_ID_DIFF,0)))</f>
        <v>Производство тепловой энергии. Комбинированная выработка с уст. мощностью производства электрической энергии 25 МВт и более</v>
      </c>
      <c r="P10" s="2184" t="str">
        <f>IF(P9="","",INDEX(DIFFERENTIATION_UNMERGE_VD,MATCH(P9,DIFFERENTIATION_ID_DIFF,0)))</f>
        <v>Производство. Теплоноситель</v>
      </c>
      <c r="Q10" s="2184" t="str">
        <f>IF(Q9="","",INDEX(DIFFERENTIATION_UNMERGE_VD,MATCH(Q9,DIFFERENTIATION_ID_DIFF,0)))</f>
        <v>Производство. Теплоноситель</v>
      </c>
      <c r="R10" s="2184" t="str">
        <f>IF(R9="","",INDEX(DIFFERENTIATION_UNMERGE_VD,MATCH(R9,DIFFERENTIATION_ID_DIFF,0)))</f>
        <v>Производство. Теплоноситель</v>
      </c>
      <c r="S10" s="2184" t="str">
        <f>IF(S9="","",INDEX(DIFFERENTIATION_UNMERGE_VD,MATCH(S9,DIFFERENTIATION_ID_DIFF,0)))</f>
        <v>Производство. Теплоноситель</v>
      </c>
      <c r="T10" s="2184" t="str">
        <f>IF(T9="","",INDEX(DIFFERENTIATION_UNMERGE_VD,MATCH(T9,DIFFERENTIATION_ID_DIFF,0)))</f>
        <v>Производство. Теплоноситель</v>
      </c>
      <c r="U10" s="2184" t="str">
        <f>IF(U9="","",INDEX(DIFFERENTIATION_UNMERGE_VD,MATCH(U9,DIFFERENTIATION_ID_DIFF,0)))</f>
        <v>Производство. Теплоноситель</v>
      </c>
      <c r="V10" s="2184" t="str">
        <f>IF(V9="","",INDEX(DIFFERENTIATION_UNMERGE_VD,MATCH(V9,DIFFERENTIATION_ID_DIFF,0)))</f>
        <v>Производство. Теплоноситель</v>
      </c>
      <c r="W10" s="2184" t="str">
        <f>IF(W9="","",INDEX(DIFFERENTIATION_UNMERGE_VD,MATCH(W9,DIFFERENTIATION_ID_DIFF,0)))</f>
        <v>Производство тепловой энергии. Некомбинированная выработка</v>
      </c>
      <c r="X10" s="2184">
        <f>IF(X9="","",INDEX(DIFFERENTIATION_UNMERGE_VD,MATCH(X9,DIFFERENTIATION_ID_DIFF,0)))</f>
      </c>
      <c r="Y10" s="2184">
        <f>IF(Y9="","",INDEX(DIFFERENTIATION_UNMERGE_VD,MATCH(Y9,DIFFERENTIATION_ID_DIFF,0)))</f>
      </c>
      <c r="Z10" s="2184">
        <f>IF(Z9="","",INDEX(DIFFERENTIATION_UNMERGE_VD,MATCH(Z9,DIFFERENTIATION_ID_DIFF,0)))</f>
      </c>
      <c r="AA10" s="2184">
        <f>IF(AA9="","",INDEX(DIFFERENTIATION_UNMERGE_VD,MATCH(AA9,DIFFERENTIATION_ID_DIFF,0)))</f>
      </c>
      <c r="AB10" s="2184">
        <f>IF(AB9="","",INDEX(DIFFERENTIATION_UNMERGE_VD,MATCH(AB9,DIFFERENTIATION_ID_DIFF,0)))</f>
      </c>
      <c r="AC10" s="2184">
        <f>IF(AC9="","",INDEX(DIFFERENTIATION_UNMERGE_VD,MATCH(AC9,DIFFERENTIATION_ID_DIFF,0)))</f>
      </c>
      <c r="AD10" s="2184">
        <f>IF(AD9="","",INDEX(DIFFERENTIATION_UNMERGE_VD,MATCH(AD9,DIFFERENTIATION_ID_DIFF,0)))</f>
      </c>
      <c r="AE10" s="2184">
        <f>IF(AE9="","",INDEX(DIFFERENTIATION_UNMERGE_VD,MATCH(AE9,DIFFERENTIATION_ID_DIFF,0)))</f>
      </c>
      <c r="AF10" s="2184">
        <f>IF(AF9="","",INDEX(DIFFERENTIATION_UNMERGE_VD,MATCH(AF9,DIFFERENTIATION_ID_DIFF,0)))</f>
      </c>
      <c r="AG10" s="2184">
        <f>IF(AG9="","",INDEX(DIFFERENTIATION_UNMERGE_VD,MATCH(AG9,DIFFERENTIATION_ID_DIFF,0)))</f>
      </c>
      <c r="AH10" s="2184" t="str">
        <f>IF(AH9="","",INDEX(DIFFERENTIATION_UNMERGE_VD,MATCH(AH9,DIFFERENTIATION_ID_DIFF,0)))</f>
        <v>Производство тепловой энергии. Некомбинированная выработка</v>
      </c>
      <c r="AI10" s="2184" t="str">
        <f>IF(AI9="","",INDEX(DIFFERENTIATION_UNMERGE_VD,MATCH(AI9,DIFFERENTIATION_ID_DIFF,0)))</f>
        <v>Производство тепловой энергии. Некомбинированная выработка</v>
      </c>
      <c r="AJ10" s="2184" t="str">
        <f>IF(AJ9="","",INDEX(DIFFERENTIATION_UNMERGE_VD,MATCH(AJ9,DIFFERENTIATION_ID_DIFF,0)))</f>
        <v>Производство тепловой энергии. Некомбинированная выработка</v>
      </c>
      <c r="AK10" s="2184" t="str">
        <f>IF(AK9="","",INDEX(DIFFERENTIATION_UNMERGE_VD,MATCH(AK9,DIFFERENTIATION_ID_DIFF,0)))</f>
        <v>Производство тепловой энергии. Некомбинированная выработка</v>
      </c>
      <c r="AL10" s="2184" t="str">
        <f>IF(AL9="","",INDEX(DIFFERENTIATION_UNMERGE_VD,MATCH(AL9,DIFFERENTIATION_ID_DIFF,0)))</f>
        <v>Передача. Тепловая энергия; Передача. Теплоноситель; Сбыт. Тепловая энергия; Сбыт. Теплоноситель</v>
      </c>
      <c r="AM10" s="2184" t="str">
        <f>IF(AM9="","",INDEX(DIFFERENTIATION_UNMERGE_VD,MATCH(AM9,DIFFERENTIATION_ID_DIFF,0)))</f>
        <v>Передача. Тепловая энергия; Передача. Теплоноситель; Сбыт. Тепловая энергия; Сбыт. Теплоноситель</v>
      </c>
      <c r="AN10" s="2184" t="str">
        <f>IF(AN9="","",INDEX(DIFFERENTIATION_UNMERGE_VD,MATCH(AN9,DIFFERENTIATION_ID_DIFF,0)))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Передача. Теплоноситель; Сбыт. Тепловая энергия; Сбыт. Теплоноситель</v>
      </c>
      <c r="AO10" s="4634" t="str">
        <f>IF(AO9="","",INDEX(DIFFERENTIATION_UNMERGE_VD,MATCH(AO9,DIFFERENTIATION_ID_DIFF,0)))</f>
        <v>Производство тепловой энергии. Некомбинированная выработка; Передача. Тепловая энергия; Сбыт. Тепловая энергия</v>
      </c>
      <c r="AP10" s="4634" t="str">
        <f>IF(AP9="","",INDEX(DIFFERENTIATION_UNMERGE_VD,MATCH(AP9,DIFFERENTIATION_ID_DIFF,0)))</f>
        <v>Производство тепловой энергии. Некомбинированная выработка; Передача. Тепловая энергия; Сбыт. Тепловая энергия</v>
      </c>
      <c r="AQ10" s="4634" t="str">
        <f>IF(AQ9="","",INDEX(DIFFERENTIATION_UNMERGE_VD,MATCH(AQ9,DIFFERENTIATION_ID_DIFF,0)))</f>
        <v>Подключение (технологическое присоединение) к системе теплоснабжения</v>
      </c>
      <c r="AR10" s="2978" t="s">
        <v>386</v>
      </c>
      <c r="BN10" s="1727">
        <v>11</v>
      </c>
    </row>
    <row customHeight="1" ht="11.549999999999999">
      <c r="E11" s="818"/>
      <c r="F11" s="3204" t="s">
        <v>649</v>
      </c>
      <c r="G11" s="3205"/>
      <c r="H11" s="1755" t="str">
        <f>IF(H9="","",INDEX(DIFFERENTIATION_UNMERGE_AREA,MATCH(H9,DIFFERENTIATION_ID_DIFF,0)))</f>
        <v/>
      </c>
      <c r="I11" s="1755" t="str">
        <f>IF(I9="","",INDEX(DIFFERENTIATION_UNMERGE_AREA,MATCH(I9,DIFFERENTIATION_ID_DIFF,0)))</f>
        <v>Территория 1</v>
      </c>
      <c r="J11" s="2184" t="str">
        <f>IF(J9="","",INDEX(DIFFERENTIATION_UNMERGE_AREA,MATCH(J9,DIFFERENTIATION_ID_DIFF,0)))</f>
        <v>Территория 1</v>
      </c>
      <c r="K11" s="2184" t="str">
        <f>IF(K9="","",INDEX(DIFFERENTIATION_UNMERGE_AREA,MATCH(K9,DIFFERENTIATION_ID_DIFF,0)))</f>
        <v>Территория 2</v>
      </c>
      <c r="L11" s="2184" t="str">
        <f>IF(L9="","",INDEX(DIFFERENTIATION_UNMERGE_AREA,MATCH(L9,DIFFERENTIATION_ID_DIFF,0)))</f>
        <v>Территория 2</v>
      </c>
      <c r="M11" s="2184" t="str">
        <f>IF(M9="","",INDEX(DIFFERENTIATION_UNMERGE_AREA,MATCH(M9,DIFFERENTIATION_ID_DIFF,0)))</f>
        <v>Территория 3</v>
      </c>
      <c r="N11" s="2184" t="str">
        <f>IF(N9="","",INDEX(DIFFERENTIATION_UNMERGE_AREA,MATCH(N9,DIFFERENTIATION_ID_DIFF,0)))</f>
        <v>Территория 4</v>
      </c>
      <c r="O11" s="2184" t="str">
        <f>IF(O9="","",INDEX(DIFFERENTIATION_UNMERGE_AREA,MATCH(O9,DIFFERENTIATION_ID_DIFF,0)))</f>
        <v>Территория 5</v>
      </c>
      <c r="P11" s="2184" t="str">
        <f>IF(P9="","",INDEX(DIFFERENTIATION_UNMERGE_AREA,MATCH(P9,DIFFERENTIATION_ID_DIFF,0)))</f>
        <v>Территория 1</v>
      </c>
      <c r="Q11" s="2184" t="str">
        <f>IF(Q9="","",INDEX(DIFFERENTIATION_UNMERGE_AREA,MATCH(Q9,DIFFERENTIATION_ID_DIFF,0)))</f>
        <v>Территория 2</v>
      </c>
      <c r="R11" s="2184" t="str">
        <f>IF(R9="","",INDEX(DIFFERENTIATION_UNMERGE_AREA,MATCH(R9,DIFFERENTIATION_ID_DIFF,0)))</f>
        <v>Территория 3</v>
      </c>
      <c r="S11" s="2184" t="str">
        <f>IF(S9="","",INDEX(DIFFERENTIATION_UNMERGE_AREA,MATCH(S9,DIFFERENTIATION_ID_DIFF,0)))</f>
        <v>Территория 4</v>
      </c>
      <c r="T11" s="2184" t="str">
        <f>IF(T9="","",INDEX(DIFFERENTIATION_UNMERGE_AREA,MATCH(T9,DIFFERENTIATION_ID_DIFF,0)))</f>
        <v>Территория 5</v>
      </c>
      <c r="U11" s="2184" t="str">
        <f>IF(U9="","",INDEX(DIFFERENTIATION_UNMERGE_AREA,MATCH(U9,DIFFERENTIATION_ID_DIFF,0)))</f>
        <v>Территория 6</v>
      </c>
      <c r="V11" s="2184" t="str">
        <f>IF(V9="","",INDEX(DIFFERENTIATION_UNMERGE_AREA,MATCH(V9,DIFFERENTIATION_ID_DIFF,0)))</f>
        <v>Территория 7</v>
      </c>
      <c r="W11" s="2184" t="str">
        <f>IF(W9="","",INDEX(DIFFERENTIATION_UNMERGE_AREA,MATCH(W9,DIFFERENTIATION_ID_DIFF,0)))</f>
        <v>без дифференциации</v>
      </c>
      <c r="X11" s="2184">
        <f>IF(X9="","",INDEX(DIFFERENTIATION_UNMERGE_AREA,MATCH(X9,DIFFERENTIATION_ID_DIFF,0)))</f>
      </c>
      <c r="Y11" s="2184">
        <f>IF(Y9="","",INDEX(DIFFERENTIATION_UNMERGE_AREA,MATCH(Y9,DIFFERENTIATION_ID_DIFF,0)))</f>
      </c>
      <c r="Z11" s="2184">
        <f>IF(Z9="","",INDEX(DIFFERENTIATION_UNMERGE_AREA,MATCH(Z9,DIFFERENTIATION_ID_DIFF,0)))</f>
      </c>
      <c r="AA11" s="2184">
        <f>IF(AA9="","",INDEX(DIFFERENTIATION_UNMERGE_AREA,MATCH(AA9,DIFFERENTIATION_ID_DIFF,0)))</f>
      </c>
      <c r="AB11" s="2184">
        <f>IF(AB9="","",INDEX(DIFFERENTIATION_UNMERGE_AREA,MATCH(AB9,DIFFERENTIATION_ID_DIFF,0)))</f>
      </c>
      <c r="AC11" s="2184">
        <f>IF(AC9="","",INDEX(DIFFERENTIATION_UNMERGE_AREA,MATCH(AC9,DIFFERENTIATION_ID_DIFF,0)))</f>
      </c>
      <c r="AD11" s="2184">
        <f>IF(AD9="","",INDEX(DIFFERENTIATION_UNMERGE_AREA,MATCH(AD9,DIFFERENTIATION_ID_DIFF,0)))</f>
      </c>
      <c r="AE11" s="2184">
        <f>IF(AE9="","",INDEX(DIFFERENTIATION_UNMERGE_AREA,MATCH(AE9,DIFFERENTIATION_ID_DIFF,0)))</f>
      </c>
      <c r="AF11" s="2184">
        <f>IF(AF9="","",INDEX(DIFFERENTIATION_UNMERGE_AREA,MATCH(AF9,DIFFERENTIATION_ID_DIFF,0)))</f>
      </c>
      <c r="AG11" s="2184">
        <f>IF(AG9="","",INDEX(DIFFERENTIATION_UNMERGE_AREA,MATCH(AG9,DIFFERENTIATION_ID_DIFF,0)))</f>
      </c>
      <c r="AH11" s="2184" t="str">
        <f>IF(AH9="","",INDEX(DIFFERENTIATION_UNMERGE_AREA,MATCH(AH9,DIFFERENTIATION_ID_DIFF,0)))</f>
        <v>без дифференциации</v>
      </c>
      <c r="AI11" s="2184" t="str">
        <f>IF(AI9="","",INDEX(DIFFERENTIATION_UNMERGE_AREA,MATCH(AI9,DIFFERENTIATION_ID_DIFF,0)))</f>
        <v>без дифференциации</v>
      </c>
      <c r="AJ11" s="2184" t="str">
        <f>IF(AJ9="","",INDEX(DIFFERENTIATION_UNMERGE_AREA,MATCH(AJ9,DIFFERENTIATION_ID_DIFF,0)))</f>
        <v>без дифференциации</v>
      </c>
      <c r="AK11" s="2184" t="str">
        <f>IF(AK9="","",INDEX(DIFFERENTIATION_UNMERGE_AREA,MATCH(AK9,DIFFERENTIATION_ID_DIFF,0)))</f>
        <v>без дифференциации</v>
      </c>
      <c r="AL11" s="2184" t="str">
        <f>IF(AL9="","",INDEX(DIFFERENTIATION_UNMERGE_AREA,MATCH(AL9,DIFFERENTIATION_ID_DIFF,0)))</f>
        <v>без дифференциации</v>
      </c>
      <c r="AM11" s="2184" t="str">
        <f>IF(AM9="","",INDEX(DIFFERENTIATION_UNMERGE_AREA,MATCH(AM9,DIFFERENTIATION_ID_DIFF,0)))</f>
        <v>без дифференциации</v>
      </c>
      <c r="AN11" s="2184" t="str">
        <f>IF(AN9="","",INDEX(DIFFERENTIATION_UNMERGE_AREA,MATCH(AN9,DIFFERENTIATION_ID_DIFF,0)))</f>
        <v>Территория 7</v>
      </c>
      <c r="AO11" s="4634" t="str">
        <f>IF(AO9="","",INDEX(DIFFERENTIATION_UNMERGE_AREA,MATCH(AO9,DIFFERENTIATION_ID_DIFF,0)))</f>
        <v>Территория 5</v>
      </c>
      <c r="AP11" s="4634" t="str">
        <f>IF(AP9="","",INDEX(DIFFERENTIATION_UNMERGE_AREA,MATCH(AP9,DIFFERENTIATION_ID_DIFF,0)))</f>
        <v>Территория 8</v>
      </c>
      <c r="AQ11" s="4634" t="str">
        <f>IF(AQ9="","",INDEX(DIFFERENTIATION_UNMERGE_AREA,MATCH(AQ9,DIFFERENTIATION_ID_DIFF,0)))</f>
        <v>без дифференциации</v>
      </c>
      <c r="AR11" s="2978"/>
      <c r="BN11" s="1727">
        <v>11</v>
      </c>
    </row>
    <row customHeight="1" ht="11.25" hidden="1">
      <c r="E12" s="1758"/>
      <c r="F12" s="3225" t="s">
        <v>650</v>
      </c>
      <c r="G12" s="3226"/>
      <c r="H12" s="1759" t="str">
        <f>IF(H9="","",INDEX(DIFFERENTIATION_UNMERGE_SYSTEM,MATCH(H9,DIFFERENTIATION_ID_DIFF,0)))</f>
        <v/>
      </c>
      <c r="I12" s="1759" t="str">
        <f>IF(I9="","",INDEX(DIFFERENTIATION_UNMERGE_SYSTEM,MATCH(I9,DIFFERENTIATION_ID_DIFF,0)))</f>
        <v>Хабаровская ТЭЦ - 1</v>
      </c>
      <c r="J12" s="1759" t="str">
        <f>IF(J9="","",INDEX(DIFFERENTIATION_UNMERGE_SYSTEM,MATCH(J9,DIFFERENTIATION_ID_DIFF,0)))</f>
        <v>Хабаровская ТЭЦ - 3</v>
      </c>
      <c r="K12" s="1759" t="str">
        <f>IF(K9="","",INDEX(DIFFERENTIATION_UNMERGE_SYSTEM,MATCH(K9,DIFFERENTIATION_ID_DIFF,0)))</f>
        <v>Комсомольская ТЭЦ - 2</v>
      </c>
      <c r="L12" s="1759" t="str">
        <f>IF(L9="","",INDEX(DIFFERENTIATION_UNMERGE_SYSTEM,MATCH(L9,DIFFERENTIATION_ID_DIFF,0)))</f>
        <v>Комсомольская ТЭЦ - 3</v>
      </c>
      <c r="M12" s="1759" t="str">
        <f>IF(M9="","",INDEX(DIFFERENTIATION_UNMERGE_SYSTEM,MATCH(M9,DIFFERENTIATION_ID_DIFF,0)))</f>
        <v>Амурская ТЭЦ - 1</v>
      </c>
      <c r="N12" s="1759" t="str">
        <f>IF(N9="","",INDEX(DIFFERENTIATION_UNMERGE_SYSTEM,MATCH(N9,DIFFERENTIATION_ID_DIFF,0)))</f>
        <v>Майская ГРЭС</v>
      </c>
      <c r="O12" s="1759" t="str">
        <f>IF(O9="","",INDEX(DIFFERENTIATION_UNMERGE_SYSTEM,MATCH(O9,DIFFERENTIATION_ID_DIFF,0)))</f>
        <v>Николаевская ТЭЦ</v>
      </c>
      <c r="P12" s="1759" t="str">
        <f>IF(P9="","",INDEX(DIFFERENTIATION_UNMERGE_SYSTEM,MATCH(P9,DIFFERENTIATION_ID_DIFF,0)))</f>
        <v>г. Хабаровск, Хабаровский муниципальный район</v>
      </c>
      <c r="Q12" s="1759" t="str">
        <f>IF(Q9="","",INDEX(DIFFERENTIATION_UNMERGE_SYSTEM,MATCH(Q9,DIFFERENTIATION_ID_DIFF,0)))</f>
        <v>г. Комсомольск-на-Амуре</v>
      </c>
      <c r="R12" s="1759" t="str">
        <f>IF(R9="","",INDEX(DIFFERENTIATION_UNMERGE_SYSTEM,MATCH(R9,DIFFERENTIATION_ID_DIFF,0)))</f>
        <v>г. Амурск</v>
      </c>
      <c r="S12" s="1759" t="str">
        <f>IF(S9="","",INDEX(DIFFERENTIATION_UNMERGE_SYSTEM,MATCH(S9,DIFFERENTIATION_ID_DIFF,0)))</f>
        <v>п. Майский</v>
      </c>
      <c r="T12" s="1759" t="str">
        <f>IF(T9="","",INDEX(DIFFERENTIATION_UNMERGE_SYSTEM,MATCH(T9,DIFFERENTIATION_ID_DIFF,0)))</f>
        <v>г. Николаевск-на-Амуре</v>
      </c>
      <c r="U12" s="1759" t="str">
        <f>IF(U9="","",INDEX(DIFFERENTIATION_UNMERGE_SYSTEM,MATCH(U9,DIFFERENTIATION_ID_DIFF,0)))</f>
        <v>п. Чегдомын</v>
      </c>
      <c r="V12" s="1759" t="str">
        <f>IF(V9="","",INDEX(DIFFERENTIATION_UNMERGE_SYSTEM,MATCH(V9,DIFFERENTIATION_ID_DIFF,0)))</f>
        <v>г. Советская Гавань</v>
      </c>
      <c r="W12" s="1759" t="str">
        <f>IF(W9="","",INDEX(DIFFERENTIATION_UNMERGE_SYSTEM,MATCH(W9,DIFFERENTIATION_ID_DIFF,0)))</f>
        <v>Хабаровская ТЭЦ-2</v>
      </c>
      <c r="X12" s="1759">
        <f>IF(X9="","",INDEX(DIFFERENTIATION_UNMERGE_SYSTEM,MATCH(X9,DIFFERENTIATION_ID_DIFF,0)))</f>
      </c>
      <c r="Y12" s="1759">
        <f>IF(Y9="","",INDEX(DIFFERENTIATION_UNMERGE_SYSTEM,MATCH(Y9,DIFFERENTIATION_ID_DIFF,0)))</f>
      </c>
      <c r="Z12" s="1759">
        <f>IF(Z9="","",INDEX(DIFFERENTIATION_UNMERGE_SYSTEM,MATCH(Z9,DIFFERENTIATION_ID_DIFF,0)))</f>
      </c>
      <c r="AA12" s="1759">
        <f>IF(AA9="","",INDEX(DIFFERENTIATION_UNMERGE_SYSTEM,MATCH(AA9,DIFFERENTIATION_ID_DIFF,0)))</f>
      </c>
      <c r="AB12" s="1759">
        <f>IF(AB9="","",INDEX(DIFFERENTIATION_UNMERGE_SYSTEM,MATCH(AB9,DIFFERENTIATION_ID_DIFF,0)))</f>
      </c>
      <c r="AC12" s="1759">
        <f>IF(AC9="","",INDEX(DIFFERENTIATION_UNMERGE_SYSTEM,MATCH(AC9,DIFFERENTIATION_ID_DIFF,0)))</f>
      </c>
      <c r="AD12" s="1759">
        <f>IF(AD9="","",INDEX(DIFFERENTIATION_UNMERGE_SYSTEM,MATCH(AD9,DIFFERENTIATION_ID_DIFF,0)))</f>
      </c>
      <c r="AE12" s="1759">
        <f>IF(AE9="","",INDEX(DIFFERENTIATION_UNMERGE_SYSTEM,MATCH(AE9,DIFFERENTIATION_ID_DIFF,0)))</f>
      </c>
      <c r="AF12" s="1759">
        <f>IF(AF9="","",INDEX(DIFFERENTIATION_UNMERGE_SYSTEM,MATCH(AF9,DIFFERENTIATION_ID_DIFF,0)))</f>
      </c>
      <c r="AG12" s="1759">
        <f>IF(AG9="","",INDEX(DIFFERENTIATION_UNMERGE_SYSTEM,MATCH(AG9,DIFFERENTIATION_ID_DIFF,0)))</f>
      </c>
      <c r="AH12" s="1759" t="str">
        <f>IF(AH9="","",INDEX(DIFFERENTIATION_UNMERGE_SYSTEM,MATCH(AH9,DIFFERENTIATION_ID_DIFF,0)))</f>
        <v>Некрасовская котельная</v>
      </c>
      <c r="AI12" s="1759" t="str">
        <f>IF(AI9="","",INDEX(DIFFERENTIATION_UNMERGE_SYSTEM,MATCH(AI9,DIFFERENTIATION_ID_DIFF,0)))</f>
        <v>котельная "Дземги"</v>
      </c>
      <c r="AJ12" s="1759" t="str">
        <f>IF(AJ9="","",INDEX(DIFFERENTIATION_UNMERGE_SYSTEM,MATCH(AJ9,DIFFERENTIATION_ID_DIFF,0)))</f>
        <v>Майская котельная</v>
      </c>
      <c r="AK12" s="1759" t="str">
        <f>IF(AK9="","",INDEX(DIFFERENTIATION_UNMERGE_SYSTEM,MATCH(AK9,DIFFERENTIATION_ID_DIFF,0)))</f>
        <v>Ургальская котельная</v>
      </c>
      <c r="AL12" s="1759" t="str">
        <f>IF(AL9="","",INDEX(DIFFERENTIATION_UNMERGE_SYSTEM,MATCH(AL9,DIFFERENTIATION_ID_DIFF,0)))</f>
        <v>Комсомольские тепловые сети</v>
      </c>
      <c r="AM12" s="1759" t="str">
        <f>IF(AM9="","",INDEX(DIFFERENTIATION_UNMERGE_SYSTEM,MATCH(AM9,DIFFERENTIATION_ID_DIFF,0)))</f>
        <v>Хабаровские тепловые сети</v>
      </c>
      <c r="AN12" s="1759" t="str">
        <f>IF(AN9="","",INDEX(DIFFERENTIATION_UNMERGE_SYSTEM,MATCH(AN9,DIFFERENTIATION_ID_DIFF,0)))</f>
        <v>ТЭЦ в г. Советская Гавань</v>
      </c>
      <c r="AO12" s="5090" t="str">
        <f>IF(AO9="","",INDEX(DIFFERENTIATION_UNMERGE_SYSTEM,MATCH(AO9,DIFFERENTIATION_ID_DIFF,0)))</f>
        <v>котельная "Аэропорт"</v>
      </c>
      <c r="AP12" s="5090" t="str">
        <f>IF(AP9="","",INDEX(DIFFERENTIATION_UNMERGE_SYSTEM,MATCH(AP9,DIFFERENTIATION_ID_DIFF,0)))</f>
        <v>котельная в Волочаевском городке</v>
      </c>
      <c r="AQ12" s="5090" t="str">
        <f>IF(AQ9="","",INDEX(DIFFERENTIATION_UNMERGE_SYSTEM,MATCH(AQ9,DIFFERENTIATION_ID_DIFF,0)))</f>
        <v>без дифференциации</v>
      </c>
      <c r="AR12" s="2978"/>
      <c r="BN12" s="1727">
        <v>0</v>
      </c>
    </row>
    <row customHeight="1" ht="11.549999999999999">
      <c r="E13" s="3206" t="s">
        <v>385</v>
      </c>
      <c r="F13" s="3207"/>
      <c r="G13" s="3207"/>
      <c r="H13" s="1752"/>
      <c r="I13" s="1752"/>
      <c r="J13" s="2181"/>
      <c r="K13" s="2181"/>
      <c r="L13" s="2181"/>
      <c r="M13" s="2181"/>
      <c r="N13" s="2181"/>
      <c r="O13" s="2181"/>
      <c r="P13" s="2181"/>
      <c r="Q13" s="2181"/>
      <c r="R13" s="2181"/>
      <c r="S13" s="2181"/>
      <c r="T13" s="2181"/>
      <c r="U13" s="2181"/>
      <c r="V13" s="2181"/>
      <c r="W13" s="2181"/>
      <c r="X13" s="2181"/>
      <c r="Y13" s="2181"/>
      <c r="Z13" s="2181"/>
      <c r="AA13" s="2181"/>
      <c r="AB13" s="2181"/>
      <c r="AC13" s="2181"/>
      <c r="AD13" s="2181"/>
      <c r="AE13" s="2181"/>
      <c r="AF13" s="2181"/>
      <c r="AG13" s="2181"/>
      <c r="AH13" s="2181"/>
      <c r="AI13" s="2181"/>
      <c r="AJ13" s="2181"/>
      <c r="AK13" s="2181"/>
      <c r="AL13" s="2181"/>
      <c r="AM13" s="2181"/>
      <c r="AN13" s="2181"/>
      <c r="AO13" s="4639"/>
      <c r="AP13" s="4639"/>
      <c r="AQ13" s="4639"/>
      <c r="AR13" s="2978"/>
      <c r="BN13" s="1727">
        <v>11</v>
      </c>
    </row>
    <row customHeight="1" ht="24">
      <c r="E14" s="1753" t="s">
        <v>88</v>
      </c>
      <c r="F14" s="1756" t="s">
        <v>387</v>
      </c>
      <c r="G14" s="1756" t="s">
        <v>651</v>
      </c>
      <c r="H14" s="1756" t="s">
        <v>388</v>
      </c>
      <c r="I14" s="1756" t="s">
        <v>388</v>
      </c>
      <c r="J14" s="2179" t="s">
        <v>388</v>
      </c>
      <c r="K14" s="2179" t="s">
        <v>388</v>
      </c>
      <c r="L14" s="2179" t="s">
        <v>388</v>
      </c>
      <c r="M14" s="2179" t="s">
        <v>388</v>
      </c>
      <c r="N14" s="2179" t="s">
        <v>388</v>
      </c>
      <c r="O14" s="2179" t="s">
        <v>388</v>
      </c>
      <c r="P14" s="2179" t="s">
        <v>388</v>
      </c>
      <c r="Q14" s="2179" t="s">
        <v>388</v>
      </c>
      <c r="R14" s="2179" t="s">
        <v>388</v>
      </c>
      <c r="S14" s="2179" t="s">
        <v>388</v>
      </c>
      <c r="T14" s="2179" t="s">
        <v>388</v>
      </c>
      <c r="U14" s="2179" t="s">
        <v>388</v>
      </c>
      <c r="V14" s="2179" t="s">
        <v>388</v>
      </c>
      <c r="W14" s="2179" t="s">
        <v>388</v>
      </c>
      <c r="X14" s="2179" t="s">
        <v>388</v>
      </c>
      <c r="Y14" s="2179" t="s">
        <v>388</v>
      </c>
      <c r="Z14" s="2179" t="s">
        <v>388</v>
      </c>
      <c r="AA14" s="2179" t="s">
        <v>388</v>
      </c>
      <c r="AB14" s="2179" t="s">
        <v>388</v>
      </c>
      <c r="AC14" s="2179" t="s">
        <v>388</v>
      </c>
      <c r="AD14" s="2179" t="s">
        <v>388</v>
      </c>
      <c r="AE14" s="2179" t="s">
        <v>388</v>
      </c>
      <c r="AF14" s="2179" t="s">
        <v>388</v>
      </c>
      <c r="AG14" s="2179" t="s">
        <v>388</v>
      </c>
      <c r="AH14" s="2179" t="s">
        <v>388</v>
      </c>
      <c r="AI14" s="2179" t="s">
        <v>388</v>
      </c>
      <c r="AJ14" s="2179" t="s">
        <v>388</v>
      </c>
      <c r="AK14" s="2179" t="s">
        <v>388</v>
      </c>
      <c r="AL14" s="2179" t="s">
        <v>388</v>
      </c>
      <c r="AM14" s="2179" t="s">
        <v>388</v>
      </c>
      <c r="AN14" s="2179" t="s">
        <v>388</v>
      </c>
      <c r="AO14" s="4593" t="s">
        <v>388</v>
      </c>
      <c r="AP14" s="4593" t="s">
        <v>388</v>
      </c>
      <c r="AQ14" s="4593" t="s">
        <v>388</v>
      </c>
      <c r="AR14" s="2978"/>
      <c r="BN14" s="1727">
        <v>23</v>
      </c>
    </row>
    <row customHeight="1" ht="19.95">
      <c r="D15" s="1734"/>
      <c r="E15" s="1726" t="s">
        <v>144</v>
      </c>
      <c r="F15" s="814" t="s">
        <v>921</v>
      </c>
      <c r="G15" s="1753" t="s">
        <v>637</v>
      </c>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4643"/>
      <c r="AP15" s="4643"/>
      <c r="AQ15" s="4643"/>
      <c r="AR15" s="397" t="s">
        <v>922</v>
      </c>
      <c r="AS15" s="650" t="s">
        <v>770</v>
      </c>
      <c r="BN15" s="1727">
        <v>19</v>
      </c>
    </row>
    <row customHeight="1" ht="24">
      <c r="D16" s="1734"/>
      <c r="E16" s="1726" t="s">
        <v>102</v>
      </c>
      <c r="F16" s="1761" t="s">
        <v>923</v>
      </c>
      <c r="G16" s="1753" t="s">
        <v>637</v>
      </c>
      <c r="H16" s="665">
        <f>SUM(H17,H20:H27)</f>
        <v>0</v>
      </c>
      <c r="I16" s="665">
        <f>SUM(I17,I20:I27)</f>
        <v>0</v>
      </c>
      <c r="J16" s="665">
        <f>SUM(J17,J20:J27)</f>
        <v>0</v>
      </c>
      <c r="K16" s="665">
        <f>SUM(K17,K20:K27)</f>
        <v>0</v>
      </c>
      <c r="L16" s="665">
        <f>SUM(L17,L20:L27)</f>
        <v>0</v>
      </c>
      <c r="M16" s="665">
        <f>SUM(M17,M20:M27)</f>
        <v>0</v>
      </c>
      <c r="N16" s="665">
        <f>SUM(N17,N20:N27)</f>
        <v>0</v>
      </c>
      <c r="O16" s="665">
        <f>SUM(O17,O20:O27)</f>
        <v>0</v>
      </c>
      <c r="P16" s="665">
        <f>SUM(P17,P20:P27)</f>
        <v>0</v>
      </c>
      <c r="Q16" s="665">
        <f>SUM(Q17,Q20:Q27)</f>
        <v>0</v>
      </c>
      <c r="R16" s="665">
        <f>SUM(R17,R20:R27)</f>
        <v>0</v>
      </c>
      <c r="S16" s="665">
        <f>SUM(S17,S20:S27)</f>
        <v>0</v>
      </c>
      <c r="T16" s="665">
        <f>SUM(T17,T20:T27)</f>
        <v>0</v>
      </c>
      <c r="U16" s="665">
        <f>SUM(U17,U20:U27)</f>
        <v>0</v>
      </c>
      <c r="V16" s="665">
        <f>SUM(V17,V20:V27)</f>
        <v>0</v>
      </c>
      <c r="W16" s="665">
        <f>SUM(W17,W20:W27)</f>
        <v>0</v>
      </c>
      <c r="X16" s="665">
        <f>SUM(X17,X20:X27)</f>
        <v>0</v>
      </c>
      <c r="Y16" s="665">
        <f>SUM(Y17,Y20:Y27)</f>
        <v>0</v>
      </c>
      <c r="Z16" s="665">
        <f>SUM(Z17,Z20:Z27)</f>
        <v>0</v>
      </c>
      <c r="AA16" s="665">
        <f>SUM(AA17,AA20:AA27)</f>
        <v>0</v>
      </c>
      <c r="AB16" s="665">
        <f>SUM(AB17,AB20:AB27)</f>
        <v>0</v>
      </c>
      <c r="AC16" s="665">
        <f>SUM(AC17,AC20:AC27)</f>
        <v>0</v>
      </c>
      <c r="AD16" s="665">
        <f>SUM(AD17,AD20:AD27)</f>
        <v>0</v>
      </c>
      <c r="AE16" s="665">
        <f>SUM(AE17,AE20:AE27)</f>
        <v>0</v>
      </c>
      <c r="AF16" s="665">
        <f>SUM(AF17,AF20:AF27)</f>
        <v>0</v>
      </c>
      <c r="AG16" s="665">
        <f>SUM(AG17,AG20:AG27)</f>
        <v>0</v>
      </c>
      <c r="AH16" s="665">
        <f>SUM(AH17,AH20:AH27)</f>
        <v>0</v>
      </c>
      <c r="AI16" s="665">
        <f>SUM(AI17,AI20:AI27)</f>
        <v>0</v>
      </c>
      <c r="AJ16" s="665">
        <f>SUM(AJ17,AJ20:AJ27)</f>
        <v>0</v>
      </c>
      <c r="AK16" s="665">
        <f>SUM(AK17,AK20:AK27)</f>
        <v>0</v>
      </c>
      <c r="AL16" s="665">
        <f>SUM(AL17,AL20:AL27)</f>
        <v>0</v>
      </c>
      <c r="AM16" s="665">
        <f>SUM(AM17,AM20:AM27)</f>
        <v>0</v>
      </c>
      <c r="AN16" s="665">
        <f>SUM(AN17,AN20:AN27)</f>
        <v>0</v>
      </c>
      <c r="AO16" s="4645">
        <f>SUM(AO17,AO20:AO27)</f>
        <v>0</v>
      </c>
      <c r="AP16" s="4645">
        <f>SUM(AP17,AP20:AP27)</f>
        <v>0</v>
      </c>
      <c r="AQ16" s="4645">
        <f>SUM(AQ17,AQ20:AQ27)</f>
        <v>0</v>
      </c>
      <c r="AR16" s="397" t="s">
        <v>924</v>
      </c>
      <c r="AS16" s="650" t="s">
        <v>770</v>
      </c>
      <c r="BN16" s="1727">
        <v>23</v>
      </c>
    </row>
    <row customHeight="1" ht="35.699999999999996">
      <c r="D17" s="1734"/>
      <c r="E17" s="1760" t="s">
        <v>848</v>
      </c>
      <c r="F17" s="1763" t="s">
        <v>925</v>
      </c>
      <c r="G17" s="1750" t="s">
        <v>637</v>
      </c>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4643"/>
      <c r="AP17" s="4643"/>
      <c r="AQ17" s="4643"/>
      <c r="AR17" s="397" t="s">
        <v>926</v>
      </c>
      <c r="AS17" s="650"/>
      <c r="BN17" s="1727">
        <v>34</v>
      </c>
    </row>
    <row customHeight="1" ht="19.95">
      <c r="D18" s="1734"/>
      <c r="E18" s="1760" t="s">
        <v>851</v>
      </c>
      <c r="F18" s="1764" t="s">
        <v>927</v>
      </c>
      <c r="G18" s="1750" t="s">
        <v>637</v>
      </c>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4643"/>
      <c r="AP18" s="4643"/>
      <c r="AQ18" s="4643"/>
      <c r="AR18" s="397"/>
      <c r="AS18" s="650"/>
      <c r="BN18" s="1727">
        <v>19</v>
      </c>
    </row>
    <row customHeight="1" ht="24">
      <c r="D19" s="1734"/>
      <c r="E19" s="1760" t="s">
        <v>854</v>
      </c>
      <c r="F19" s="1764" t="s">
        <v>928</v>
      </c>
      <c r="G19" s="1750" t="s">
        <v>637</v>
      </c>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4643"/>
      <c r="AP19" s="4643"/>
      <c r="AQ19" s="4643"/>
      <c r="AR19" s="397"/>
      <c r="AS19" s="650"/>
      <c r="BN19" s="1727">
        <v>23</v>
      </c>
    </row>
    <row customHeight="1" ht="35.699999999999996">
      <c r="D20" s="1734"/>
      <c r="E20" s="1760" t="s">
        <v>392</v>
      </c>
      <c r="F20" s="1763" t="s">
        <v>929</v>
      </c>
      <c r="G20" s="1750" t="s">
        <v>637</v>
      </c>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4643"/>
      <c r="AP20" s="4643"/>
      <c r="AQ20" s="4643"/>
      <c r="AR20" s="397"/>
      <c r="AS20" s="650"/>
      <c r="BN20" s="1727">
        <v>34</v>
      </c>
    </row>
    <row customHeight="1" ht="48.29999999999999">
      <c r="D21" s="1734"/>
      <c r="E21" s="1760" t="s">
        <v>395</v>
      </c>
      <c r="F21" s="1763" t="s">
        <v>930</v>
      </c>
      <c r="G21" s="1750" t="s">
        <v>637</v>
      </c>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4643"/>
      <c r="AP21" s="4643"/>
      <c r="AQ21" s="4643"/>
      <c r="AR21" s="397"/>
      <c r="AS21" s="650"/>
      <c r="BN21" s="1727">
        <v>46</v>
      </c>
    </row>
    <row customHeight="1" ht="60">
      <c r="D22" s="1734"/>
      <c r="E22" s="1760" t="s">
        <v>868</v>
      </c>
      <c r="F22" s="1763" t="s">
        <v>931</v>
      </c>
      <c r="G22" s="1750" t="s">
        <v>637</v>
      </c>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4643"/>
      <c r="AP22" s="4643"/>
      <c r="AQ22" s="4643"/>
      <c r="AR22" s="397"/>
      <c r="AS22" s="650"/>
      <c r="BN22" s="1727">
        <v>57</v>
      </c>
    </row>
    <row customHeight="1" ht="35.699999999999996">
      <c r="D23" s="1734"/>
      <c r="E23" s="1760" t="s">
        <v>875</v>
      </c>
      <c r="F23" s="1763" t="s">
        <v>932</v>
      </c>
      <c r="G23" s="1750" t="s">
        <v>637</v>
      </c>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4643"/>
      <c r="AP23" s="4643"/>
      <c r="AQ23" s="4643"/>
      <c r="AR23" s="397"/>
      <c r="AS23" s="650"/>
      <c r="BN23" s="1727">
        <v>34</v>
      </c>
    </row>
    <row customHeight="1" ht="35.699999999999996">
      <c r="D24" s="1734"/>
      <c r="E24" s="1760" t="s">
        <v>877</v>
      </c>
      <c r="F24" s="1763" t="s">
        <v>933</v>
      </c>
      <c r="G24" s="1750" t="s">
        <v>637</v>
      </c>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4"/>
      <c r="AO24" s="4643"/>
      <c r="AP24" s="4643"/>
      <c r="AQ24" s="4643"/>
      <c r="AR24" s="397"/>
      <c r="AS24" s="650"/>
      <c r="BN24" s="1727">
        <v>34</v>
      </c>
    </row>
    <row customHeight="1" ht="24">
      <c r="D25" s="1734"/>
      <c r="E25" s="1760" t="s">
        <v>879</v>
      </c>
      <c r="F25" s="1763" t="s">
        <v>934</v>
      </c>
      <c r="G25" s="1750" t="s">
        <v>637</v>
      </c>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4643"/>
      <c r="AP25" s="4643"/>
      <c r="AQ25" s="4643"/>
      <c r="AR25" s="397"/>
      <c r="AS25" s="650"/>
      <c r="BN25" s="1727">
        <v>23</v>
      </c>
    </row>
    <row customHeight="1" ht="76.5">
      <c r="D26" s="1734"/>
      <c r="E26" s="1760" t="s">
        <v>881</v>
      </c>
      <c r="F26" s="1763" t="s">
        <v>935</v>
      </c>
      <c r="G26" s="1750" t="s">
        <v>637</v>
      </c>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4"/>
      <c r="AM26" s="664"/>
      <c r="AN26" s="664"/>
      <c r="AO26" s="4643"/>
      <c r="AP26" s="4643"/>
      <c r="AQ26" s="4643"/>
      <c r="AR26" s="397"/>
      <c r="AS26" s="650"/>
      <c r="BN26" s="1727">
        <v>73</v>
      </c>
    </row>
    <row s="10306" customFormat="1" customHeight="1" ht="35.699999999999996">
      <c r="A27" s="1087"/>
      <c r="C27" s="1732"/>
      <c r="D27" s="1734"/>
      <c r="E27" s="1725" t="s">
        <v>885</v>
      </c>
      <c r="F27" s="1724" t="s">
        <v>936</v>
      </c>
      <c r="G27" s="1751" t="s">
        <v>637</v>
      </c>
      <c r="H27" s="686">
        <f>SUM(H28:H29)</f>
        <v>0</v>
      </c>
      <c r="I27" s="686">
        <f>SUM(I28:I29)</f>
        <v>0</v>
      </c>
      <c r="J27" s="686">
        <f>SUM(J28:J29)</f>
        <v>0</v>
      </c>
      <c r="K27" s="686">
        <f>SUM(K28:K29)</f>
        <v>0</v>
      </c>
      <c r="L27" s="686">
        <f>SUM(L28:L29)</f>
        <v>0</v>
      </c>
      <c r="M27" s="686">
        <f>SUM(M28:M29)</f>
        <v>0</v>
      </c>
      <c r="N27" s="686">
        <f>SUM(N28:N29)</f>
        <v>0</v>
      </c>
      <c r="O27" s="686">
        <f>SUM(O28:O29)</f>
        <v>0</v>
      </c>
      <c r="P27" s="686">
        <f>SUM(P28:P29)</f>
        <v>0</v>
      </c>
      <c r="Q27" s="686">
        <f>SUM(Q28:Q29)</f>
        <v>0</v>
      </c>
      <c r="R27" s="686">
        <f>SUM(R28:R29)</f>
        <v>0</v>
      </c>
      <c r="S27" s="686">
        <f>SUM(S28:S29)</f>
        <v>0</v>
      </c>
      <c r="T27" s="686">
        <f>SUM(T28:T29)</f>
        <v>0</v>
      </c>
      <c r="U27" s="686">
        <f>SUM(U28:U29)</f>
        <v>0</v>
      </c>
      <c r="V27" s="686">
        <f>SUM(V28:V29)</f>
        <v>0</v>
      </c>
      <c r="W27" s="686">
        <f>SUM(W28:W29)</f>
        <v>0</v>
      </c>
      <c r="X27" s="686">
        <f>SUM(X28:X29)</f>
        <v>0</v>
      </c>
      <c r="Y27" s="686">
        <f>SUM(Y28:Y29)</f>
        <v>0</v>
      </c>
      <c r="Z27" s="686">
        <f>SUM(Z28:Z29)</f>
        <v>0</v>
      </c>
      <c r="AA27" s="686">
        <f>SUM(AA28:AA29)</f>
        <v>0</v>
      </c>
      <c r="AB27" s="686">
        <f>SUM(AB28:AB29)</f>
        <v>0</v>
      </c>
      <c r="AC27" s="686">
        <f>SUM(AC28:AC29)</f>
        <v>0</v>
      </c>
      <c r="AD27" s="686">
        <f>SUM(AD28:AD29)</f>
        <v>0</v>
      </c>
      <c r="AE27" s="686">
        <f>SUM(AE28:AE29)</f>
        <v>0</v>
      </c>
      <c r="AF27" s="686">
        <f>SUM(AF28:AF29)</f>
        <v>0</v>
      </c>
      <c r="AG27" s="686">
        <f>SUM(AG28:AG29)</f>
        <v>0</v>
      </c>
      <c r="AH27" s="686">
        <f>SUM(AH28:AH29)</f>
        <v>0</v>
      </c>
      <c r="AI27" s="686">
        <f>SUM(AI28:AI29)</f>
        <v>0</v>
      </c>
      <c r="AJ27" s="686">
        <f>SUM(AJ28:AJ29)</f>
        <v>0</v>
      </c>
      <c r="AK27" s="686">
        <f>SUM(AK28:AK29)</f>
        <v>0</v>
      </c>
      <c r="AL27" s="686">
        <f>SUM(AL28:AL29)</f>
        <v>0</v>
      </c>
      <c r="AM27" s="686">
        <f>SUM(AM28:AM29)</f>
        <v>0</v>
      </c>
      <c r="AN27" s="686">
        <f>SUM(AN28:AN29)</f>
        <v>0</v>
      </c>
      <c r="AO27" s="4710">
        <f>SUM(AO28:AO29)</f>
        <v>0</v>
      </c>
      <c r="AP27" s="4710">
        <f>SUM(AP28:AP29)</f>
        <v>0</v>
      </c>
      <c r="AQ27" s="4710">
        <f>SUM(AQ28:AQ29)</f>
        <v>0</v>
      </c>
      <c r="AR27" s="397" t="s">
        <v>883</v>
      </c>
      <c r="AS27" s="650"/>
      <c r="AT27" s="1732"/>
      <c r="AU27" s="1732"/>
      <c r="AZ27" s="1732"/>
      <c r="BC27" s="651"/>
      <c r="BI27" s="1728"/>
      <c r="BJ27" s="1728"/>
      <c r="BK27" s="1728"/>
      <c r="BL27" s="1728"/>
      <c r="BM27" s="1728"/>
      <c r="BN27" s="1256">
        <v>34</v>
      </c>
    </row>
    <row s="10307" customFormat="1" customHeight="1" ht="1.05">
      <c r="A28" s="1263"/>
      <c r="D28" s="655"/>
      <c r="E28" s="903" t="str">
        <f>E27&amp;".0"</f>
        <v>2.9.0</v>
      </c>
      <c r="F28" s="1091"/>
      <c r="G28" s="658"/>
      <c r="H28" s="1092"/>
      <c r="I28" s="1092"/>
      <c r="J28" s="1092"/>
      <c r="K28" s="1092"/>
      <c r="L28" s="1092"/>
      <c r="M28" s="1092"/>
      <c r="N28" s="1092"/>
      <c r="O28" s="1092"/>
      <c r="P28" s="1092"/>
      <c r="Q28" s="1092"/>
      <c r="R28" s="1092"/>
      <c r="S28" s="1092"/>
      <c r="T28" s="1092"/>
      <c r="U28" s="1092"/>
      <c r="V28" s="1092"/>
      <c r="W28" s="1092"/>
      <c r="X28" s="1092"/>
      <c r="Y28" s="1092"/>
      <c r="Z28" s="1092"/>
      <c r="AA28" s="1092"/>
      <c r="AB28" s="1092"/>
      <c r="AC28" s="1092"/>
      <c r="AD28" s="1092"/>
      <c r="AE28" s="1092"/>
      <c r="AF28" s="1092"/>
      <c r="AG28" s="1092"/>
      <c r="AH28" s="1092"/>
      <c r="AI28" s="1092"/>
      <c r="AJ28" s="1092"/>
      <c r="AK28" s="1092"/>
      <c r="AL28" s="1092"/>
      <c r="AM28" s="1092"/>
      <c r="AN28" s="1092"/>
      <c r="AO28" s="4713"/>
      <c r="AP28" s="4713"/>
      <c r="AQ28" s="4713"/>
      <c r="AR28" s="1093"/>
      <c r="BN28" s="1732">
        <v>1</v>
      </c>
    </row>
    <row s="10306" customFormat="1" customHeight="1" ht="19.95">
      <c r="A29" s="1087"/>
      <c r="C29" s="1732"/>
      <c r="D29" s="1729"/>
      <c r="E29" s="677"/>
      <c r="F29" s="1762" t="s">
        <v>671</v>
      </c>
      <c r="G29" s="679"/>
      <c r="H29" s="680" t="s">
        <v>22</v>
      </c>
      <c r="I29" s="680" t="s">
        <v>22</v>
      </c>
      <c r="J29" s="2427" t="s">
        <v>22</v>
      </c>
      <c r="K29" s="2428" t="s">
        <v>22</v>
      </c>
      <c r="L29" s="2429" t="s">
        <v>22</v>
      </c>
      <c r="M29" s="2430" t="s">
        <v>22</v>
      </c>
      <c r="N29" s="2431" t="s">
        <v>22</v>
      </c>
      <c r="O29" s="2432" t="s">
        <v>22</v>
      </c>
      <c r="P29" s="2433" t="s">
        <v>22</v>
      </c>
      <c r="Q29" s="2434" t="s">
        <v>22</v>
      </c>
      <c r="R29" s="2435" t="s">
        <v>22</v>
      </c>
      <c r="S29" s="2436" t="s">
        <v>22</v>
      </c>
      <c r="T29" s="2437" t="s">
        <v>22</v>
      </c>
      <c r="U29" s="2438" t="s">
        <v>22</v>
      </c>
      <c r="V29" s="2439" t="s">
        <v>22</v>
      </c>
      <c r="W29" s="2440" t="s">
        <v>22</v>
      </c>
      <c r="X29" s="2441" t="s">
        <v>22</v>
      </c>
      <c r="Y29" s="2442" t="s">
        <v>22</v>
      </c>
      <c r="Z29" s="2443" t="s">
        <v>22</v>
      </c>
      <c r="AA29" s="2444" t="s">
        <v>22</v>
      </c>
      <c r="AB29" s="2445" t="s">
        <v>22</v>
      </c>
      <c r="AC29" s="2446" t="s">
        <v>22</v>
      </c>
      <c r="AD29" s="2447" t="s">
        <v>22</v>
      </c>
      <c r="AE29" s="2448" t="s">
        <v>22</v>
      </c>
      <c r="AF29" s="2449" t="s">
        <v>22</v>
      </c>
      <c r="AG29" s="2450" t="s">
        <v>22</v>
      </c>
      <c r="AH29" s="2451" t="s">
        <v>22</v>
      </c>
      <c r="AI29" s="2452" t="s">
        <v>22</v>
      </c>
      <c r="AJ29" s="2453" t="s">
        <v>22</v>
      </c>
      <c r="AK29" s="2454" t="s">
        <v>22</v>
      </c>
      <c r="AL29" s="2455" t="s">
        <v>22</v>
      </c>
      <c r="AM29" s="2456" t="s">
        <v>22</v>
      </c>
      <c r="AN29" s="2457" t="s">
        <v>22</v>
      </c>
      <c r="AO29" s="5175" t="s">
        <v>22</v>
      </c>
      <c r="AP29" s="5176" t="s">
        <v>22</v>
      </c>
      <c r="AQ29" s="5177" t="s">
        <v>22</v>
      </c>
      <c r="AR29" s="409" t="s">
        <v>884</v>
      </c>
      <c r="AS29" s="650"/>
      <c r="AT29" s="1732"/>
      <c r="AU29" s="1732"/>
      <c r="AZ29" s="1732"/>
      <c r="BC29" s="651"/>
      <c r="BI29" s="1728"/>
      <c r="BJ29" s="1728"/>
      <c r="BK29" s="1728"/>
      <c r="BL29" s="1728"/>
      <c r="BM29" s="1728"/>
      <c r="BN29" s="1256">
        <v>19</v>
      </c>
    </row>
    <row s="11973" customFormat="1" customHeight="1" ht="76.5">
      <c r="A30" s="8488"/>
      <c r="B30" s="8489"/>
      <c r="C30" s="8490"/>
      <c r="D30" s="8491"/>
      <c r="E30" s="8547" t="s">
        <v>937</v>
      </c>
      <c r="F30" s="8548" t="s">
        <v>892</v>
      </c>
      <c r="G30" s="8494" t="s">
        <v>637</v>
      </c>
      <c r="H30" s="8549"/>
      <c r="I30" s="8549"/>
      <c r="J30" s="8549"/>
      <c r="K30" s="8549"/>
      <c r="L30" s="8549"/>
      <c r="M30" s="8549"/>
      <c r="N30" s="8549"/>
      <c r="O30" s="8549"/>
      <c r="P30" s="8549"/>
      <c r="Q30" s="8549"/>
      <c r="R30" s="8549"/>
      <c r="S30" s="8549"/>
      <c r="T30" s="8549"/>
      <c r="U30" s="8549"/>
      <c r="V30" s="8549"/>
      <c r="W30" s="8549"/>
      <c r="X30" s="8549"/>
      <c r="Y30" s="8549"/>
      <c r="Z30" s="8549"/>
      <c r="AA30" s="8549"/>
      <c r="AB30" s="8549"/>
      <c r="AC30" s="8549"/>
      <c r="AD30" s="8549"/>
      <c r="AE30" s="8549"/>
      <c r="AF30" s="8549"/>
      <c r="AG30" s="8549"/>
      <c r="AH30" s="8549"/>
      <c r="AI30" s="8549"/>
      <c r="AJ30" s="8549"/>
      <c r="AK30" s="8549"/>
      <c r="AL30" s="8549"/>
      <c r="AM30" s="8549"/>
      <c r="AN30" s="8549"/>
      <c r="AO30" s="8549"/>
      <c r="AP30" s="8549"/>
      <c r="AQ30" s="8549"/>
      <c r="AR30" s="8496" t="s">
        <v>938</v>
      </c>
      <c r="AS30" s="8497"/>
      <c r="AT30" s="8490"/>
      <c r="AU30" s="8490"/>
      <c r="AV30" s="8489"/>
      <c r="AW30" s="8489"/>
      <c r="AX30" s="8489"/>
      <c r="AY30" s="8489"/>
      <c r="AZ30" s="8490"/>
      <c r="BA30" s="8489"/>
      <c r="BB30" s="8489"/>
      <c r="BC30" s="8498"/>
      <c r="BD30" s="8489"/>
      <c r="BE30" s="8489"/>
      <c r="BF30" s="8489"/>
      <c r="BG30" s="8489"/>
      <c r="BH30" s="8489"/>
      <c r="BI30" s="8499"/>
      <c r="BJ30" s="8499"/>
      <c r="BK30" s="8499"/>
      <c r="BL30" s="8499"/>
      <c r="BM30" s="8499"/>
      <c r="BN30" s="8500">
        <v>73</v>
      </c>
    </row>
    <row s="10306" customFormat="1" customHeight="1" ht="24">
      <c r="A31" s="1087"/>
      <c r="C31" s="1732"/>
      <c r="D31" s="1734"/>
      <c r="E31" s="1760" t="s">
        <v>90</v>
      </c>
      <c r="F31" s="1757" t="s">
        <v>939</v>
      </c>
      <c r="G31" s="1750" t="s">
        <v>637</v>
      </c>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4643"/>
      <c r="AP31" s="4643"/>
      <c r="AQ31" s="4643"/>
      <c r="AR31" s="397"/>
      <c r="AS31" s="650"/>
      <c r="AT31" s="1732"/>
      <c r="AU31" s="1732"/>
      <c r="AZ31" s="1732"/>
      <c r="BC31" s="651"/>
      <c r="BI31" s="1728"/>
      <c r="BJ31" s="1728"/>
      <c r="BK31" s="1728"/>
      <c r="BL31" s="1728"/>
      <c r="BM31" s="1728"/>
      <c r="BN31" s="1256">
        <v>23</v>
      </c>
    </row>
    <row s="10306" customFormat="1" customHeight="1" ht="35.699999999999996">
      <c r="A32" s="1087"/>
      <c r="C32" s="1732"/>
      <c r="D32" s="682"/>
      <c r="E32" s="1760" t="s">
        <v>91</v>
      </c>
      <c r="F32" s="1757" t="s">
        <v>940</v>
      </c>
      <c r="G32" s="1750" t="s">
        <v>637</v>
      </c>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4643"/>
      <c r="AP32" s="4643"/>
      <c r="AQ32" s="4643"/>
      <c r="AR32" s="397" t="s">
        <v>941</v>
      </c>
      <c r="AS32" s="650"/>
      <c r="AT32" s="1732"/>
      <c r="AU32" s="1732"/>
      <c r="AZ32" s="1732"/>
      <c r="BC32" s="651"/>
      <c r="BI32" s="1728"/>
      <c r="BJ32" s="1728"/>
      <c r="BK32" s="1728"/>
      <c r="BL32" s="1728"/>
      <c r="BM32" s="1728"/>
      <c r="BN32" s="1256">
        <v>34</v>
      </c>
    </row>
    <row s="10306" customFormat="1" customHeight="1" ht="24">
      <c r="A33" s="1087"/>
      <c r="C33" s="1732"/>
      <c r="D33" s="1734"/>
      <c r="E33" s="1760" t="s">
        <v>899</v>
      </c>
      <c r="F33" s="797" t="s">
        <v>903</v>
      </c>
      <c r="G33" s="1750" t="s">
        <v>637</v>
      </c>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4643"/>
      <c r="AP33" s="4643"/>
      <c r="AQ33" s="4643"/>
      <c r="AR33" s="397" t="s">
        <v>942</v>
      </c>
      <c r="AS33" s="650"/>
      <c r="AT33" s="1732"/>
      <c r="AU33" s="1732"/>
      <c r="AZ33" s="1732"/>
      <c r="BC33" s="651"/>
      <c r="BI33" s="1728"/>
      <c r="BJ33" s="1728"/>
      <c r="BK33" s="1728"/>
      <c r="BL33" s="1728"/>
      <c r="BM33" s="1728"/>
      <c r="BN33" s="1256">
        <v>23</v>
      </c>
    </row>
    <row s="10306" customFormat="1" customHeight="1" ht="24">
      <c r="A34" s="1087"/>
      <c r="C34" s="1732"/>
      <c r="D34" s="1734"/>
      <c r="E34" s="1760" t="s">
        <v>943</v>
      </c>
      <c r="F34" s="797" t="s">
        <v>944</v>
      </c>
      <c r="G34" s="1750" t="s">
        <v>637</v>
      </c>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4643"/>
      <c r="AP34" s="4643"/>
      <c r="AQ34" s="4643"/>
      <c r="AR34" s="397" t="s">
        <v>945</v>
      </c>
      <c r="AS34" s="650"/>
      <c r="AT34" s="1732"/>
      <c r="AU34" s="1732"/>
      <c r="AZ34" s="1732"/>
      <c r="BC34" s="651"/>
      <c r="BI34" s="1728"/>
      <c r="BJ34" s="1728"/>
      <c r="BK34" s="1728"/>
      <c r="BL34" s="1728"/>
      <c r="BM34" s="1728"/>
      <c r="BN34" s="1256">
        <v>23</v>
      </c>
    </row>
    <row s="10306" customFormat="1" customHeight="1" ht="24">
      <c r="A35" s="1087"/>
      <c r="C35" s="1732"/>
      <c r="D35" s="1734"/>
      <c r="E35" s="1760" t="s">
        <v>946</v>
      </c>
      <c r="F35" s="797" t="s">
        <v>909</v>
      </c>
      <c r="G35" s="1750" t="s">
        <v>637</v>
      </c>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4"/>
      <c r="AH35" s="664"/>
      <c r="AI35" s="664"/>
      <c r="AJ35" s="664"/>
      <c r="AK35" s="664"/>
      <c r="AL35" s="664"/>
      <c r="AM35" s="664"/>
      <c r="AN35" s="664"/>
      <c r="AO35" s="4643"/>
      <c r="AP35" s="4643"/>
      <c r="AQ35" s="4643"/>
      <c r="AR35" s="397" t="s">
        <v>947</v>
      </c>
      <c r="AS35" s="650"/>
      <c r="AT35" s="1732"/>
      <c r="AU35" s="1732"/>
      <c r="AZ35" s="1732"/>
      <c r="BC35" s="651"/>
      <c r="BI35" s="1728"/>
      <c r="BJ35" s="1728"/>
      <c r="BK35" s="1728"/>
      <c r="BL35" s="1728"/>
      <c r="BM35" s="1728"/>
      <c r="BN35" s="1256">
        <v>23</v>
      </c>
    </row>
    <row s="10306" customFormat="1" customHeight="1" ht="35.699999999999996">
      <c r="A36" s="1087"/>
      <c r="C36" s="1732" t="s">
        <v>674</v>
      </c>
      <c r="D36" s="1734"/>
      <c r="E36" s="1760" t="s">
        <v>121</v>
      </c>
      <c r="F36" s="1757" t="s">
        <v>769</v>
      </c>
      <c r="G36" s="1753" t="s">
        <v>391</v>
      </c>
      <c r="H36" s="508"/>
      <c r="I36" s="508"/>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4884"/>
      <c r="AP36" s="4884"/>
      <c r="AQ36" s="4884"/>
      <c r="AR36" s="397" t="s">
        <v>948</v>
      </c>
      <c r="AS36" s="650"/>
      <c r="AT36" s="1732"/>
      <c r="AU36" s="1732"/>
      <c r="AZ36" s="1732"/>
      <c r="BC36" s="651"/>
      <c r="BI36" s="1728"/>
      <c r="BJ36" s="1728"/>
      <c r="BK36" s="1728"/>
      <c r="BL36" s="1728"/>
      <c r="BM36" s="1728"/>
      <c r="BN36" s="1256">
        <v>34</v>
      </c>
    </row>
    <row s="10306" customFormat="1" customHeight="1" ht="35.699999999999996">
      <c r="A37" s="1087"/>
      <c r="C37" s="1732"/>
      <c r="D37" s="1734"/>
      <c r="E37" s="1760" t="s">
        <v>92</v>
      </c>
      <c r="F37" s="1757" t="s">
        <v>949</v>
      </c>
      <c r="G37" s="1750" t="s">
        <v>914</v>
      </c>
      <c r="H37" s="8552" t="s">
        <v>22</v>
      </c>
      <c r="I37" s="8552" t="s">
        <v>22</v>
      </c>
      <c r="J37" s="8552" t="s">
        <v>22</v>
      </c>
      <c r="K37" s="8552" t="s">
        <v>22</v>
      </c>
      <c r="L37" s="8552" t="s">
        <v>22</v>
      </c>
      <c r="M37" s="8552" t="s">
        <v>22</v>
      </c>
      <c r="N37" s="8552" t="s">
        <v>22</v>
      </c>
      <c r="O37" s="8552" t="s">
        <v>22</v>
      </c>
      <c r="P37" s="8552" t="s">
        <v>22</v>
      </c>
      <c r="Q37" s="8552" t="s">
        <v>22</v>
      </c>
      <c r="R37" s="8552" t="s">
        <v>22</v>
      </c>
      <c r="S37" s="8552" t="s">
        <v>22</v>
      </c>
      <c r="T37" s="8552" t="s">
        <v>22</v>
      </c>
      <c r="U37" s="8552" t="s">
        <v>22</v>
      </c>
      <c r="V37" s="8552" t="s">
        <v>22</v>
      </c>
      <c r="W37" s="8552" t="s">
        <v>22</v>
      </c>
      <c r="X37" s="8552" t="s">
        <v>22</v>
      </c>
      <c r="Y37" s="8552" t="s">
        <v>22</v>
      </c>
      <c r="Z37" s="8552" t="s">
        <v>22</v>
      </c>
      <c r="AA37" s="8552" t="s">
        <v>22</v>
      </c>
      <c r="AB37" s="8552" t="s">
        <v>22</v>
      </c>
      <c r="AC37" s="8552" t="s">
        <v>22</v>
      </c>
      <c r="AD37" s="8552" t="s">
        <v>22</v>
      </c>
      <c r="AE37" s="8552" t="s">
        <v>22</v>
      </c>
      <c r="AF37" s="8552" t="s">
        <v>22</v>
      </c>
      <c r="AG37" s="8552" t="s">
        <v>22</v>
      </c>
      <c r="AH37" s="8552" t="s">
        <v>22</v>
      </c>
      <c r="AI37" s="8552" t="s">
        <v>22</v>
      </c>
      <c r="AJ37" s="8552" t="s">
        <v>22</v>
      </c>
      <c r="AK37" s="8552" t="s">
        <v>22</v>
      </c>
      <c r="AL37" s="8552" t="s">
        <v>22</v>
      </c>
      <c r="AM37" s="8552" t="s">
        <v>22</v>
      </c>
      <c r="AN37" s="8552" t="s">
        <v>22</v>
      </c>
      <c r="AO37" s="8553" t="s">
        <v>22</v>
      </c>
      <c r="AP37" s="8553" t="s">
        <v>22</v>
      </c>
      <c r="AQ37" s="8553" t="s">
        <v>22</v>
      </c>
      <c r="AR37" s="397" t="s">
        <v>915</v>
      </c>
      <c r="AS37" s="650"/>
      <c r="AT37" s="1732"/>
      <c r="AU37" s="1732"/>
      <c r="AZ37" s="1732"/>
      <c r="BC37" s="651"/>
      <c r="BI37" s="1728"/>
      <c r="BJ37" s="1728"/>
      <c r="BK37" s="1728"/>
      <c r="BL37" s="1728"/>
      <c r="BM37" s="1728"/>
      <c r="BN37" s="1256">
        <v>34</v>
      </c>
    </row>
    <row s="11981" customFormat="1" customHeight="1" ht="35.699999999999996">
      <c r="A38" s="8488"/>
      <c r="B38" s="8489"/>
      <c r="C38" s="8490"/>
      <c r="D38" s="8491"/>
      <c r="E38" s="8547" t="s">
        <v>792</v>
      </c>
      <c r="F38" s="8548" t="s">
        <v>950</v>
      </c>
      <c r="G38" s="8494" t="s">
        <v>951</v>
      </c>
      <c r="H38" s="8555" t="s">
        <v>22</v>
      </c>
      <c r="I38" s="8555" t="s">
        <v>22</v>
      </c>
      <c r="J38" s="8555" t="s">
        <v>22</v>
      </c>
      <c r="K38" s="8555" t="s">
        <v>22</v>
      </c>
      <c r="L38" s="8555" t="s">
        <v>22</v>
      </c>
      <c r="M38" s="8555" t="s">
        <v>22</v>
      </c>
      <c r="N38" s="8555" t="s">
        <v>22</v>
      </c>
      <c r="O38" s="8555" t="s">
        <v>22</v>
      </c>
      <c r="P38" s="8555" t="s">
        <v>22</v>
      </c>
      <c r="Q38" s="8555" t="s">
        <v>22</v>
      </c>
      <c r="R38" s="8555" t="s">
        <v>22</v>
      </c>
      <c r="S38" s="8555" t="s">
        <v>22</v>
      </c>
      <c r="T38" s="8555" t="s">
        <v>22</v>
      </c>
      <c r="U38" s="8555" t="s">
        <v>22</v>
      </c>
      <c r="V38" s="8555" t="s">
        <v>22</v>
      </c>
      <c r="W38" s="8555" t="s">
        <v>22</v>
      </c>
      <c r="X38" s="8555" t="s">
        <v>22</v>
      </c>
      <c r="Y38" s="8555" t="s">
        <v>22</v>
      </c>
      <c r="Z38" s="8555" t="s">
        <v>22</v>
      </c>
      <c r="AA38" s="8555" t="s">
        <v>22</v>
      </c>
      <c r="AB38" s="8555" t="s">
        <v>22</v>
      </c>
      <c r="AC38" s="8555" t="s">
        <v>22</v>
      </c>
      <c r="AD38" s="8555" t="s">
        <v>22</v>
      </c>
      <c r="AE38" s="8555" t="s">
        <v>22</v>
      </c>
      <c r="AF38" s="8555" t="s">
        <v>22</v>
      </c>
      <c r="AG38" s="8555" t="s">
        <v>22</v>
      </c>
      <c r="AH38" s="8555" t="s">
        <v>22</v>
      </c>
      <c r="AI38" s="8555" t="s">
        <v>22</v>
      </c>
      <c r="AJ38" s="8555" t="s">
        <v>22</v>
      </c>
      <c r="AK38" s="8555" t="s">
        <v>22</v>
      </c>
      <c r="AL38" s="8555" t="s">
        <v>22</v>
      </c>
      <c r="AM38" s="8555" t="s">
        <v>22</v>
      </c>
      <c r="AN38" s="8555" t="s">
        <v>22</v>
      </c>
      <c r="AO38" s="8555" t="s">
        <v>22</v>
      </c>
      <c r="AP38" s="8555" t="s">
        <v>22</v>
      </c>
      <c r="AQ38" s="8555" t="s">
        <v>22</v>
      </c>
      <c r="AR38" s="8496" t="s">
        <v>952</v>
      </c>
      <c r="AS38" s="8497"/>
      <c r="AT38" s="8490"/>
      <c r="AU38" s="8490"/>
      <c r="AV38" s="8489"/>
      <c r="AW38" s="8489"/>
      <c r="AX38" s="8489"/>
      <c r="AY38" s="8489"/>
      <c r="AZ38" s="8490"/>
      <c r="BA38" s="8489"/>
      <c r="BB38" s="8489"/>
      <c r="BC38" s="8498"/>
      <c r="BD38" s="8489"/>
      <c r="BE38" s="8489"/>
      <c r="BF38" s="8489"/>
      <c r="BG38" s="8489"/>
      <c r="BH38" s="8489"/>
      <c r="BI38" s="8499"/>
      <c r="BJ38" s="8499"/>
      <c r="BK38" s="8499"/>
      <c r="BL38" s="8499"/>
      <c r="BM38" s="8499"/>
      <c r="BN38" s="8500">
        <v>34</v>
      </c>
    </row>
    <row s="11983" customFormat="1" customHeight="1" ht="48.29999999999999">
      <c r="A39" s="8488"/>
      <c r="B39" s="8489"/>
      <c r="C39" s="8490"/>
      <c r="D39" s="8491"/>
      <c r="E39" s="8547" t="s">
        <v>796</v>
      </c>
      <c r="F39" s="8548" t="s">
        <v>953</v>
      </c>
      <c r="G39" s="8494" t="s">
        <v>951</v>
      </c>
      <c r="H39" s="8555" t="s">
        <v>22</v>
      </c>
      <c r="I39" s="8555" t="s">
        <v>22</v>
      </c>
      <c r="J39" s="8555" t="s">
        <v>22</v>
      </c>
      <c r="K39" s="8555" t="s">
        <v>22</v>
      </c>
      <c r="L39" s="8555" t="s">
        <v>22</v>
      </c>
      <c r="M39" s="8555" t="s">
        <v>22</v>
      </c>
      <c r="N39" s="8555" t="s">
        <v>22</v>
      </c>
      <c r="O39" s="8555" t="s">
        <v>22</v>
      </c>
      <c r="P39" s="8555" t="s">
        <v>22</v>
      </c>
      <c r="Q39" s="8555" t="s">
        <v>22</v>
      </c>
      <c r="R39" s="8555" t="s">
        <v>22</v>
      </c>
      <c r="S39" s="8555" t="s">
        <v>22</v>
      </c>
      <c r="T39" s="8555" t="s">
        <v>22</v>
      </c>
      <c r="U39" s="8555" t="s">
        <v>22</v>
      </c>
      <c r="V39" s="8555" t="s">
        <v>22</v>
      </c>
      <c r="W39" s="8555" t="s">
        <v>22</v>
      </c>
      <c r="X39" s="8555" t="s">
        <v>22</v>
      </c>
      <c r="Y39" s="8555" t="s">
        <v>22</v>
      </c>
      <c r="Z39" s="8555" t="s">
        <v>22</v>
      </c>
      <c r="AA39" s="8555" t="s">
        <v>22</v>
      </c>
      <c r="AB39" s="8555" t="s">
        <v>22</v>
      </c>
      <c r="AC39" s="8555" t="s">
        <v>22</v>
      </c>
      <c r="AD39" s="8555" t="s">
        <v>22</v>
      </c>
      <c r="AE39" s="8555" t="s">
        <v>22</v>
      </c>
      <c r="AF39" s="8555" t="s">
        <v>22</v>
      </c>
      <c r="AG39" s="8555" t="s">
        <v>22</v>
      </c>
      <c r="AH39" s="8555" t="s">
        <v>22</v>
      </c>
      <c r="AI39" s="8555" t="s">
        <v>22</v>
      </c>
      <c r="AJ39" s="8555" t="s">
        <v>22</v>
      </c>
      <c r="AK39" s="8555" t="s">
        <v>22</v>
      </c>
      <c r="AL39" s="8555" t="s">
        <v>22</v>
      </c>
      <c r="AM39" s="8555" t="s">
        <v>22</v>
      </c>
      <c r="AN39" s="8555" t="s">
        <v>22</v>
      </c>
      <c r="AO39" s="8555" t="s">
        <v>22</v>
      </c>
      <c r="AP39" s="8555" t="s">
        <v>22</v>
      </c>
      <c r="AQ39" s="8555" t="s">
        <v>22</v>
      </c>
      <c r="AR39" s="8496" t="s">
        <v>954</v>
      </c>
      <c r="AS39" s="8497"/>
      <c r="AT39" s="8490"/>
      <c r="AU39" s="8490"/>
      <c r="AV39" s="8489"/>
      <c r="AW39" s="8489"/>
      <c r="AX39" s="8489"/>
      <c r="AY39" s="8489"/>
      <c r="AZ39" s="8490"/>
      <c r="BA39" s="8489"/>
      <c r="BB39" s="8489"/>
      <c r="BC39" s="8498"/>
      <c r="BD39" s="8489"/>
      <c r="BE39" s="8489"/>
      <c r="BF39" s="8489"/>
      <c r="BG39" s="8489"/>
      <c r="BH39" s="8489"/>
      <c r="BI39" s="8499"/>
      <c r="BJ39" s="8499"/>
      <c r="BK39" s="8499"/>
      <c r="BL39" s="8499"/>
      <c r="BM39" s="8499"/>
      <c r="BN39" s="8500">
        <v>46</v>
      </c>
    </row>
    <row s="10306" customFormat="1" customHeight="1" ht="24">
      <c r="A40" s="1087"/>
      <c r="C40" s="1732"/>
      <c r="D40" s="1734"/>
      <c r="E40" s="1760" t="s">
        <v>93</v>
      </c>
      <c r="F40" s="1757" t="s">
        <v>955</v>
      </c>
      <c r="G40" s="1750" t="s">
        <v>917</v>
      </c>
      <c r="H40" s="8552" t="s">
        <v>22</v>
      </c>
      <c r="I40" s="8552" t="s">
        <v>22</v>
      </c>
      <c r="J40" s="8552" t="s">
        <v>22</v>
      </c>
      <c r="K40" s="8552" t="s">
        <v>22</v>
      </c>
      <c r="L40" s="8552" t="s">
        <v>22</v>
      </c>
      <c r="M40" s="8552" t="s">
        <v>22</v>
      </c>
      <c r="N40" s="8552" t="s">
        <v>22</v>
      </c>
      <c r="O40" s="8552" t="s">
        <v>22</v>
      </c>
      <c r="P40" s="8552" t="s">
        <v>22</v>
      </c>
      <c r="Q40" s="8552" t="s">
        <v>22</v>
      </c>
      <c r="R40" s="8552" t="s">
        <v>22</v>
      </c>
      <c r="S40" s="8552" t="s">
        <v>22</v>
      </c>
      <c r="T40" s="8552" t="s">
        <v>22</v>
      </c>
      <c r="U40" s="8552" t="s">
        <v>22</v>
      </c>
      <c r="V40" s="8552" t="s">
        <v>22</v>
      </c>
      <c r="W40" s="8552" t="s">
        <v>22</v>
      </c>
      <c r="X40" s="8552" t="s">
        <v>22</v>
      </c>
      <c r="Y40" s="8552" t="s">
        <v>22</v>
      </c>
      <c r="Z40" s="8552" t="s">
        <v>22</v>
      </c>
      <c r="AA40" s="8552" t="s">
        <v>22</v>
      </c>
      <c r="AB40" s="8552" t="s">
        <v>22</v>
      </c>
      <c r="AC40" s="8552" t="s">
        <v>22</v>
      </c>
      <c r="AD40" s="8552" t="s">
        <v>22</v>
      </c>
      <c r="AE40" s="8552" t="s">
        <v>22</v>
      </c>
      <c r="AF40" s="8552" t="s">
        <v>22</v>
      </c>
      <c r="AG40" s="8552" t="s">
        <v>22</v>
      </c>
      <c r="AH40" s="8552" t="s">
        <v>22</v>
      </c>
      <c r="AI40" s="8552" t="s">
        <v>22</v>
      </c>
      <c r="AJ40" s="8552" t="s">
        <v>22</v>
      </c>
      <c r="AK40" s="8552" t="s">
        <v>22</v>
      </c>
      <c r="AL40" s="8552" t="s">
        <v>22</v>
      </c>
      <c r="AM40" s="8552" t="s">
        <v>22</v>
      </c>
      <c r="AN40" s="8552" t="s">
        <v>22</v>
      </c>
      <c r="AO40" s="8553" t="s">
        <v>22</v>
      </c>
      <c r="AP40" s="8553" t="s">
        <v>22</v>
      </c>
      <c r="AQ40" s="8553" t="s">
        <v>22</v>
      </c>
      <c r="AR40" s="397" t="s">
        <v>918</v>
      </c>
      <c r="AS40" s="650"/>
      <c r="AT40" s="1732"/>
      <c r="AU40" s="1732"/>
      <c r="AZ40" s="1732"/>
      <c r="BC40" s="651"/>
      <c r="BI40" s="1728"/>
      <c r="BJ40" s="1728"/>
      <c r="BK40" s="1728"/>
      <c r="BL40" s="1728"/>
      <c r="BM40" s="1728"/>
      <c r="BN40" s="1256">
        <v>23</v>
      </c>
    </row>
    <row s="11984" customFormat="1" customHeight="1" ht="35.699999999999996">
      <c r="A41" s="8488"/>
      <c r="B41" s="8489"/>
      <c r="C41" s="8490"/>
      <c r="D41" s="8491"/>
      <c r="E41" s="8547" t="s">
        <v>956</v>
      </c>
      <c r="F41" s="8548" t="s">
        <v>957</v>
      </c>
      <c r="G41" s="8494" t="s">
        <v>917</v>
      </c>
      <c r="H41" s="8555" t="s">
        <v>22</v>
      </c>
      <c r="I41" s="8555" t="s">
        <v>22</v>
      </c>
      <c r="J41" s="8555" t="s">
        <v>22</v>
      </c>
      <c r="K41" s="8555" t="s">
        <v>22</v>
      </c>
      <c r="L41" s="8555" t="s">
        <v>22</v>
      </c>
      <c r="M41" s="8555" t="s">
        <v>22</v>
      </c>
      <c r="N41" s="8555" t="s">
        <v>22</v>
      </c>
      <c r="O41" s="8555" t="s">
        <v>22</v>
      </c>
      <c r="P41" s="8555" t="s">
        <v>22</v>
      </c>
      <c r="Q41" s="8555" t="s">
        <v>22</v>
      </c>
      <c r="R41" s="8555" t="s">
        <v>22</v>
      </c>
      <c r="S41" s="8555" t="s">
        <v>22</v>
      </c>
      <c r="T41" s="8555" t="s">
        <v>22</v>
      </c>
      <c r="U41" s="8555" t="s">
        <v>22</v>
      </c>
      <c r="V41" s="8555" t="s">
        <v>22</v>
      </c>
      <c r="W41" s="8555" t="s">
        <v>22</v>
      </c>
      <c r="X41" s="8555" t="s">
        <v>22</v>
      </c>
      <c r="Y41" s="8555" t="s">
        <v>22</v>
      </c>
      <c r="Z41" s="8555" t="s">
        <v>22</v>
      </c>
      <c r="AA41" s="8555" t="s">
        <v>22</v>
      </c>
      <c r="AB41" s="8555" t="s">
        <v>22</v>
      </c>
      <c r="AC41" s="8555" t="s">
        <v>22</v>
      </c>
      <c r="AD41" s="8555" t="s">
        <v>22</v>
      </c>
      <c r="AE41" s="8555" t="s">
        <v>22</v>
      </c>
      <c r="AF41" s="8555" t="s">
        <v>22</v>
      </c>
      <c r="AG41" s="8555" t="s">
        <v>22</v>
      </c>
      <c r="AH41" s="8555" t="s">
        <v>22</v>
      </c>
      <c r="AI41" s="8555" t="s">
        <v>22</v>
      </c>
      <c r="AJ41" s="8555" t="s">
        <v>22</v>
      </c>
      <c r="AK41" s="8555" t="s">
        <v>22</v>
      </c>
      <c r="AL41" s="8555" t="s">
        <v>22</v>
      </c>
      <c r="AM41" s="8555" t="s">
        <v>22</v>
      </c>
      <c r="AN41" s="8555" t="s">
        <v>22</v>
      </c>
      <c r="AO41" s="8555" t="s">
        <v>22</v>
      </c>
      <c r="AP41" s="8555" t="s">
        <v>22</v>
      </c>
      <c r="AQ41" s="8555" t="s">
        <v>22</v>
      </c>
      <c r="AR41" s="8496" t="s">
        <v>958</v>
      </c>
      <c r="AS41" s="8497"/>
      <c r="AT41" s="8490"/>
      <c r="AU41" s="8490"/>
      <c r="AV41" s="8489"/>
      <c r="AW41" s="8489"/>
      <c r="AX41" s="8489"/>
      <c r="AY41" s="8489"/>
      <c r="AZ41" s="8490"/>
      <c r="BA41" s="8489"/>
      <c r="BB41" s="8489"/>
      <c r="BC41" s="8498"/>
      <c r="BD41" s="8489"/>
      <c r="BE41" s="8489"/>
      <c r="BF41" s="8489"/>
      <c r="BG41" s="8489"/>
      <c r="BH41" s="8489"/>
      <c r="BI41" s="8499"/>
      <c r="BJ41" s="8499"/>
      <c r="BK41" s="8499"/>
      <c r="BL41" s="8499"/>
      <c r="BM41" s="8499"/>
      <c r="BN41" s="8500">
        <v>34</v>
      </c>
    </row>
    <row s="11985" customFormat="1" customHeight="1" ht="48.29999999999999">
      <c r="A42" s="8488"/>
      <c r="B42" s="8489"/>
      <c r="C42" s="8490"/>
      <c r="D42" s="8491"/>
      <c r="E42" s="8547" t="s">
        <v>959</v>
      </c>
      <c r="F42" s="8548" t="s">
        <v>960</v>
      </c>
      <c r="G42" s="8494" t="s">
        <v>917</v>
      </c>
      <c r="H42" s="8555" t="s">
        <v>22</v>
      </c>
      <c r="I42" s="8555" t="s">
        <v>22</v>
      </c>
      <c r="J42" s="8555" t="s">
        <v>22</v>
      </c>
      <c r="K42" s="8555" t="s">
        <v>22</v>
      </c>
      <c r="L42" s="8555" t="s">
        <v>22</v>
      </c>
      <c r="M42" s="8555" t="s">
        <v>22</v>
      </c>
      <c r="N42" s="8555" t="s">
        <v>22</v>
      </c>
      <c r="O42" s="8555" t="s">
        <v>22</v>
      </c>
      <c r="P42" s="8555" t="s">
        <v>22</v>
      </c>
      <c r="Q42" s="8555" t="s">
        <v>22</v>
      </c>
      <c r="R42" s="8555" t="s">
        <v>22</v>
      </c>
      <c r="S42" s="8555" t="s">
        <v>22</v>
      </c>
      <c r="T42" s="8555" t="s">
        <v>22</v>
      </c>
      <c r="U42" s="8555" t="s">
        <v>22</v>
      </c>
      <c r="V42" s="8555" t="s">
        <v>22</v>
      </c>
      <c r="W42" s="8555" t="s">
        <v>22</v>
      </c>
      <c r="X42" s="8555" t="s">
        <v>22</v>
      </c>
      <c r="Y42" s="8555" t="s">
        <v>22</v>
      </c>
      <c r="Z42" s="8555" t="s">
        <v>22</v>
      </c>
      <c r="AA42" s="8555" t="s">
        <v>22</v>
      </c>
      <c r="AB42" s="8555" t="s">
        <v>22</v>
      </c>
      <c r="AC42" s="8555" t="s">
        <v>22</v>
      </c>
      <c r="AD42" s="8555" t="s">
        <v>22</v>
      </c>
      <c r="AE42" s="8555" t="s">
        <v>22</v>
      </c>
      <c r="AF42" s="8555" t="s">
        <v>22</v>
      </c>
      <c r="AG42" s="8555" t="s">
        <v>22</v>
      </c>
      <c r="AH42" s="8555" t="s">
        <v>22</v>
      </c>
      <c r="AI42" s="8555" t="s">
        <v>22</v>
      </c>
      <c r="AJ42" s="8555" t="s">
        <v>22</v>
      </c>
      <c r="AK42" s="8555" t="s">
        <v>22</v>
      </c>
      <c r="AL42" s="8555" t="s">
        <v>22</v>
      </c>
      <c r="AM42" s="8555" t="s">
        <v>22</v>
      </c>
      <c r="AN42" s="8555" t="s">
        <v>22</v>
      </c>
      <c r="AO42" s="8555" t="s">
        <v>22</v>
      </c>
      <c r="AP42" s="8555" t="s">
        <v>22</v>
      </c>
      <c r="AQ42" s="8555" t="s">
        <v>22</v>
      </c>
      <c r="AR42" s="8496" t="s">
        <v>961</v>
      </c>
      <c r="AS42" s="8497"/>
      <c r="AT42" s="8490"/>
      <c r="AU42" s="8490"/>
      <c r="AV42" s="8489"/>
      <c r="AW42" s="8489"/>
      <c r="AX42" s="8489"/>
      <c r="AY42" s="8489"/>
      <c r="AZ42" s="8490"/>
      <c r="BA42" s="8489"/>
      <c r="BB42" s="8489"/>
      <c r="BC42" s="8498"/>
      <c r="BD42" s="8489"/>
      <c r="BE42" s="8489"/>
      <c r="BF42" s="8489"/>
      <c r="BG42" s="8489"/>
      <c r="BH42" s="8489"/>
      <c r="BI42" s="8499"/>
      <c r="BJ42" s="8499"/>
      <c r="BK42" s="8499"/>
      <c r="BL42" s="8499"/>
      <c r="BM42" s="8499"/>
      <c r="BN42" s="8500">
        <v>46</v>
      </c>
    </row>
    <row customHeight="1" ht="11.549999999999999">
      <c r="D43" s="1734"/>
      <c r="AO43" s="4586"/>
      <c r="AP43" s="4586"/>
      <c r="AQ43" s="4586"/>
      <c r="BN43" s="1727">
        <v>11</v>
      </c>
    </row>
    <row customHeight="1" ht="27.299999999999997">
      <c r="D44" s="1734"/>
      <c r="E44" s="1349" t="s">
        <v>962</v>
      </c>
      <c r="F44" s="3114" t="s">
        <v>963</v>
      </c>
      <c r="G44" s="3114"/>
      <c r="H44" s="476"/>
      <c r="I44" s="476"/>
      <c r="J44" s="1783"/>
      <c r="K44" s="1783"/>
      <c r="L44" s="1783"/>
      <c r="M44" s="1783"/>
      <c r="N44" s="1783"/>
      <c r="O44" s="1783"/>
      <c r="P44" s="1783"/>
      <c r="Q44" s="1783"/>
      <c r="R44" s="1783"/>
      <c r="S44" s="1783"/>
      <c r="T44" s="1783"/>
      <c r="U44" s="1783"/>
      <c r="V44" s="1783"/>
      <c r="W44" s="1783"/>
      <c r="X44" s="1783"/>
      <c r="Y44" s="1783"/>
      <c r="Z44" s="1783"/>
      <c r="AA44" s="1783"/>
      <c r="AB44" s="1783"/>
      <c r="AC44" s="1783"/>
      <c r="AD44" s="1783"/>
      <c r="AE44" s="1783"/>
      <c r="AF44" s="1783"/>
      <c r="AG44" s="1783"/>
      <c r="AH44" s="1783"/>
      <c r="AI44" s="1783"/>
      <c r="AJ44" s="1783"/>
      <c r="AK44" s="1783"/>
      <c r="AL44" s="1783"/>
      <c r="AM44" s="1783"/>
      <c r="AN44" s="1783"/>
      <c r="AO44" s="4887"/>
      <c r="AP44" s="4887"/>
      <c r="AQ44" s="4887"/>
      <c r="AR44" s="476"/>
      <c r="BN44" s="1727">
        <v>26</v>
      </c>
    </row>
    <row s="10851" customFormat="1" customHeight="1" ht="39.75">
      <c r="A45" s="1087"/>
      <c r="B45" s="1732"/>
      <c r="C45" s="1732"/>
      <c r="D45" s="458"/>
      <c r="F45" s="3114" t="s">
        <v>964</v>
      </c>
      <c r="G45" s="3114"/>
      <c r="H45" s="476"/>
      <c r="I45" s="476"/>
      <c r="J45" s="1783"/>
      <c r="K45" s="1783"/>
      <c r="L45" s="1783"/>
      <c r="M45" s="1783"/>
      <c r="N45" s="1783"/>
      <c r="O45" s="1783"/>
      <c r="P45" s="1783"/>
      <c r="Q45" s="1783"/>
      <c r="R45" s="1783"/>
      <c r="S45" s="1783"/>
      <c r="T45" s="1783"/>
      <c r="U45" s="1783"/>
      <c r="V45" s="1783"/>
      <c r="W45" s="1783"/>
      <c r="X45" s="1783"/>
      <c r="Y45" s="1783"/>
      <c r="Z45" s="1783"/>
      <c r="AA45" s="1783"/>
      <c r="AB45" s="1783"/>
      <c r="AC45" s="1783"/>
      <c r="AD45" s="1783"/>
      <c r="AE45" s="1783"/>
      <c r="AF45" s="1783"/>
      <c r="AG45" s="1783"/>
      <c r="AH45" s="1783"/>
      <c r="AI45" s="1783"/>
      <c r="AJ45" s="1783"/>
      <c r="AK45" s="1783"/>
      <c r="AL45" s="1783"/>
      <c r="AM45" s="1783"/>
      <c r="AN45" s="1783"/>
      <c r="AO45" s="4887"/>
      <c r="AP45" s="4887"/>
      <c r="AQ45" s="4887"/>
      <c r="AR45" s="476"/>
      <c r="AS45" s="1256"/>
      <c r="AT45" s="1732"/>
      <c r="AU45" s="1732"/>
      <c r="AV45" s="1256"/>
      <c r="AW45" s="1256"/>
      <c r="AX45" s="1256"/>
      <c r="AY45" s="1256"/>
      <c r="AZ45" s="1732"/>
      <c r="BA45" s="1256"/>
      <c r="BB45" s="1256"/>
      <c r="BC45" s="651"/>
      <c r="BD45" s="1256"/>
      <c r="BE45" s="1256"/>
      <c r="BF45" s="1256"/>
      <c r="BG45" s="1256"/>
      <c r="BH45" s="1256"/>
      <c r="BI45" s="1728"/>
      <c r="BJ45" s="673"/>
      <c r="BK45" s="673"/>
      <c r="BL45" s="673"/>
      <c r="BM45" s="673"/>
      <c r="BN45" s="1737">
        <v>38</v>
      </c>
    </row>
    <row s="10851" customFormat="1" customHeight="1" ht="11.549999999999999">
      <c r="A46" s="1087"/>
      <c r="B46" s="1732"/>
      <c r="C46" s="1732"/>
      <c r="D46" s="458"/>
      <c r="AO46" s="4889"/>
      <c r="AP46" s="4889"/>
      <c r="AQ46" s="4889"/>
      <c r="AS46" s="1256"/>
      <c r="AT46" s="1732"/>
      <c r="AU46" s="1732"/>
      <c r="AV46" s="1256"/>
      <c r="AW46" s="1256"/>
      <c r="AX46" s="1256"/>
      <c r="AY46" s="1256"/>
      <c r="AZ46" s="1732"/>
      <c r="BA46" s="1256"/>
      <c r="BB46" s="1256"/>
      <c r="BC46" s="651"/>
      <c r="BD46" s="1256"/>
      <c r="BE46" s="1256"/>
      <c r="BF46" s="1256"/>
      <c r="BG46" s="1256"/>
      <c r="BH46" s="1256"/>
      <c r="BI46" s="1728"/>
      <c r="BJ46" s="673"/>
      <c r="BK46" s="673"/>
      <c r="BL46" s="673"/>
      <c r="BM46" s="673"/>
      <c r="BN46" s="1737">
        <v>11</v>
      </c>
    </row>
    <row s="10851" customFormat="1" customHeight="1" ht="11.549999999999999">
      <c r="A47" s="1087"/>
      <c r="B47" s="1732"/>
      <c r="C47" s="1732"/>
      <c r="D47" s="458"/>
      <c r="AO47" s="4889"/>
      <c r="AP47" s="4889"/>
      <c r="AQ47" s="4889"/>
      <c r="AS47" s="1256"/>
      <c r="AT47" s="1732"/>
      <c r="AU47" s="1732"/>
      <c r="AV47" s="1256"/>
      <c r="AW47" s="1256"/>
      <c r="AX47" s="1256"/>
      <c r="AY47" s="1256"/>
      <c r="AZ47" s="1732"/>
      <c r="BA47" s="1256"/>
      <c r="BB47" s="1256"/>
      <c r="BC47" s="651"/>
      <c r="BD47" s="1256"/>
      <c r="BE47" s="1256"/>
      <c r="BF47" s="1256"/>
      <c r="BG47" s="1256"/>
      <c r="BH47" s="1256"/>
      <c r="BI47" s="1728"/>
      <c r="BJ47" s="673"/>
      <c r="BK47" s="673"/>
      <c r="BL47" s="673"/>
      <c r="BM47" s="673"/>
      <c r="BN47" s="1737">
        <v>11</v>
      </c>
    </row>
    <row s="10851" customFormat="1" customHeight="1" ht="11.549999999999999">
      <c r="A48" s="1087"/>
      <c r="B48" s="1732"/>
      <c r="C48" s="1732"/>
      <c r="D48" s="458"/>
      <c r="H48" s="673"/>
      <c r="I48" s="673"/>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4890"/>
      <c r="AP48" s="4890"/>
      <c r="AQ48" s="4890"/>
      <c r="AS48" s="1256"/>
      <c r="AT48" s="1732"/>
      <c r="AU48" s="1732"/>
      <c r="AV48" s="1256"/>
      <c r="AW48" s="1256"/>
      <c r="AX48" s="1256"/>
      <c r="AY48" s="1256"/>
      <c r="AZ48" s="1732"/>
      <c r="BA48" s="1256"/>
      <c r="BB48" s="1256"/>
      <c r="BC48" s="651"/>
      <c r="BD48" s="1256"/>
      <c r="BE48" s="1256"/>
      <c r="BF48" s="1256"/>
      <c r="BG48" s="1256"/>
      <c r="BH48" s="1256"/>
      <c r="BI48" s="1728"/>
      <c r="BJ48" s="673"/>
      <c r="BK48" s="673"/>
      <c r="BL48" s="673"/>
      <c r="BM48" s="673"/>
      <c r="BN48" s="1737">
        <v>11</v>
      </c>
    </row>
    <row s="10851" customFormat="1" customHeight="1" ht="11.549999999999999">
      <c r="A49" s="1087"/>
      <c r="B49" s="1732"/>
      <c r="C49" s="1732"/>
      <c r="D49" s="458"/>
      <c r="AO49" s="4889"/>
      <c r="AP49" s="4889"/>
      <c r="AQ49" s="4889"/>
      <c r="AS49" s="1256"/>
      <c r="AT49" s="1732"/>
      <c r="AU49" s="1732"/>
      <c r="AV49" s="1256"/>
      <c r="AW49" s="1256"/>
      <c r="AX49" s="1256"/>
      <c r="AY49" s="1256"/>
      <c r="AZ49" s="1732"/>
      <c r="BA49" s="1256"/>
      <c r="BB49" s="1256"/>
      <c r="BC49" s="651"/>
      <c r="BD49" s="1256"/>
      <c r="BE49" s="1256"/>
      <c r="BF49" s="1256"/>
      <c r="BG49" s="1256"/>
      <c r="BH49" s="1256"/>
      <c r="BI49" s="1728"/>
      <c r="BJ49" s="673"/>
      <c r="BK49" s="673"/>
      <c r="BL49" s="673"/>
      <c r="BM49" s="673"/>
      <c r="BN49" s="1737">
        <v>11</v>
      </c>
    </row>
    <row s="10851" customFormat="1" customHeight="1" ht="11.549999999999999">
      <c r="A50" s="1087"/>
      <c r="B50" s="1732"/>
      <c r="C50" s="1732"/>
      <c r="D50" s="458"/>
      <c r="AO50" s="4889"/>
      <c r="AP50" s="4889"/>
      <c r="AQ50" s="4889"/>
      <c r="AS50" s="1256"/>
      <c r="AT50" s="1732"/>
      <c r="AU50" s="1732"/>
      <c r="AV50" s="1256"/>
      <c r="AW50" s="1256"/>
      <c r="AX50" s="1256"/>
      <c r="AY50" s="1256"/>
      <c r="AZ50" s="1732"/>
      <c r="BA50" s="1256"/>
      <c r="BB50" s="1256"/>
      <c r="BC50" s="651"/>
      <c r="BD50" s="1256"/>
      <c r="BE50" s="1256"/>
      <c r="BF50" s="1256"/>
      <c r="BG50" s="1256"/>
      <c r="BH50" s="1256"/>
      <c r="BI50" s="1728"/>
      <c r="BJ50" s="673"/>
      <c r="BK50" s="673"/>
      <c r="BL50" s="673"/>
      <c r="BM50" s="673"/>
      <c r="BN50" s="1737">
        <v>11</v>
      </c>
    </row>
    <row s="10851" customFormat="1" customHeight="1" ht="11.549999999999999">
      <c r="A51" s="1087"/>
      <c r="B51" s="1732"/>
      <c r="C51" s="1732"/>
      <c r="D51" s="458"/>
      <c r="AO51" s="4889"/>
      <c r="AP51" s="4889"/>
      <c r="AQ51" s="4889"/>
      <c r="AS51" s="1256"/>
      <c r="AT51" s="1732"/>
      <c r="AU51" s="1732"/>
      <c r="AV51" s="1256"/>
      <c r="AW51" s="1256"/>
      <c r="AX51" s="1256"/>
      <c r="AY51" s="1256"/>
      <c r="AZ51" s="1732"/>
      <c r="BA51" s="1256"/>
      <c r="BB51" s="1256"/>
      <c r="BC51" s="651"/>
      <c r="BD51" s="1256"/>
      <c r="BE51" s="1256"/>
      <c r="BF51" s="1256"/>
      <c r="BG51" s="1256"/>
      <c r="BH51" s="1256"/>
      <c r="BI51" s="1728"/>
      <c r="BJ51" s="673"/>
      <c r="BK51" s="673"/>
      <c r="BL51" s="673"/>
      <c r="BM51" s="673"/>
      <c r="BN51" s="1737">
        <v>11</v>
      </c>
    </row>
    <row s="10851" customFormat="1" customHeight="1" ht="11.549999999999999">
      <c r="A52" s="1087"/>
      <c r="B52" s="1732"/>
      <c r="C52" s="1732"/>
      <c r="D52" s="458"/>
      <c r="AO52" s="4889"/>
      <c r="AP52" s="4889"/>
      <c r="AQ52" s="4889"/>
      <c r="AS52" s="1256"/>
      <c r="AT52" s="1732"/>
      <c r="AU52" s="1732"/>
      <c r="AV52" s="1256"/>
      <c r="AW52" s="1256"/>
      <c r="AX52" s="1256"/>
      <c r="AY52" s="1256"/>
      <c r="AZ52" s="1732"/>
      <c r="BA52" s="1256"/>
      <c r="BB52" s="1256"/>
      <c r="BC52" s="651"/>
      <c r="BD52" s="1256"/>
      <c r="BE52" s="1256"/>
      <c r="BF52" s="1256"/>
      <c r="BG52" s="1256"/>
      <c r="BH52" s="1256"/>
      <c r="BI52" s="1728"/>
      <c r="BJ52" s="673"/>
      <c r="BK52" s="673"/>
      <c r="BL52" s="673"/>
      <c r="BM52" s="673"/>
      <c r="BN52" s="1737">
        <v>11</v>
      </c>
    </row>
    <row s="10851" customFormat="1" customHeight="1" ht="11.549999999999999">
      <c r="A53" s="1087"/>
      <c r="B53" s="1732"/>
      <c r="C53" s="1732"/>
      <c r="D53" s="458"/>
      <c r="AO53" s="4889"/>
      <c r="AP53" s="4889"/>
      <c r="AQ53" s="4889"/>
      <c r="AS53" s="1256"/>
      <c r="AT53" s="1732"/>
      <c r="AU53" s="1732"/>
      <c r="AV53" s="1256"/>
      <c r="AW53" s="1256"/>
      <c r="AX53" s="1256"/>
      <c r="AY53" s="1256"/>
      <c r="AZ53" s="1732"/>
      <c r="BA53" s="1256"/>
      <c r="BB53" s="1256"/>
      <c r="BC53" s="651"/>
      <c r="BD53" s="1256"/>
      <c r="BE53" s="1256"/>
      <c r="BF53" s="1256"/>
      <c r="BG53" s="1256"/>
      <c r="BH53" s="1256"/>
      <c r="BI53" s="1728"/>
      <c r="BJ53" s="673"/>
      <c r="BK53" s="673"/>
      <c r="BL53" s="673"/>
      <c r="BM53" s="673"/>
      <c r="BN53" s="1737">
        <v>11</v>
      </c>
    </row>
    <row s="10851" customFormat="1" customHeight="1" ht="11.549999999999999">
      <c r="A54" s="1087"/>
      <c r="B54" s="1732"/>
      <c r="C54" s="1732"/>
      <c r="D54" s="458"/>
      <c r="AO54" s="4889"/>
      <c r="AP54" s="4889"/>
      <c r="AQ54" s="4889"/>
      <c r="AS54" s="1256"/>
      <c r="AT54" s="1732"/>
      <c r="AU54" s="1732"/>
      <c r="AV54" s="1256"/>
      <c r="AW54" s="1256"/>
      <c r="AX54" s="1256"/>
      <c r="AY54" s="1256"/>
      <c r="AZ54" s="1732"/>
      <c r="BA54" s="1256"/>
      <c r="BB54" s="1256"/>
      <c r="BC54" s="651"/>
      <c r="BD54" s="1256"/>
      <c r="BE54" s="1256"/>
      <c r="BF54" s="1256"/>
      <c r="BG54" s="1256"/>
      <c r="BH54" s="1256"/>
      <c r="BI54" s="1728"/>
      <c r="BJ54" s="673"/>
      <c r="BK54" s="673"/>
      <c r="BL54" s="673"/>
      <c r="BM54" s="673"/>
      <c r="BN54" s="1737">
        <v>11</v>
      </c>
    </row>
    <row s="10851" customFormat="1" customHeight="1" ht="11.549999999999999">
      <c r="A55" s="1087"/>
      <c r="B55" s="1732"/>
      <c r="C55" s="1732"/>
      <c r="D55" s="458"/>
      <c r="AO55" s="4889"/>
      <c r="AP55" s="4889"/>
      <c r="AQ55" s="4889"/>
      <c r="AS55" s="1256"/>
      <c r="AT55" s="1732"/>
      <c r="AU55" s="1732"/>
      <c r="AV55" s="1256"/>
      <c r="AW55" s="1256"/>
      <c r="AX55" s="1256"/>
      <c r="AY55" s="1256"/>
      <c r="AZ55" s="1732"/>
      <c r="BA55" s="1256"/>
      <c r="BB55" s="1256"/>
      <c r="BC55" s="651"/>
      <c r="BD55" s="1256"/>
      <c r="BE55" s="1256"/>
      <c r="BF55" s="1256"/>
      <c r="BG55" s="1256"/>
      <c r="BH55" s="1256"/>
      <c r="BI55" s="1728"/>
      <c r="BJ55" s="673"/>
      <c r="BK55" s="673"/>
      <c r="BL55" s="673"/>
      <c r="BM55" s="673"/>
      <c r="BN55" s="1737">
        <v>11</v>
      </c>
    </row>
    <row s="10851" customFormat="1" customHeight="1" ht="11.549999999999999">
      <c r="A56" s="1087"/>
      <c r="B56" s="1732"/>
      <c r="C56" s="1732"/>
      <c r="D56" s="458"/>
      <c r="AO56" s="4889"/>
      <c r="AP56" s="4889"/>
      <c r="AQ56" s="4889"/>
      <c r="AS56" s="1256"/>
      <c r="AT56" s="1732"/>
      <c r="AU56" s="1732"/>
      <c r="AV56" s="1256"/>
      <c r="AW56" s="1256"/>
      <c r="AX56" s="1256"/>
      <c r="AY56" s="1256"/>
      <c r="AZ56" s="1732"/>
      <c r="BA56" s="1256"/>
      <c r="BB56" s="1256"/>
      <c r="BC56" s="651"/>
      <c r="BD56" s="1256"/>
      <c r="BE56" s="1256"/>
      <c r="BF56" s="1256"/>
      <c r="BG56" s="1256"/>
      <c r="BH56" s="1256"/>
      <c r="BI56" s="1728"/>
      <c r="BJ56" s="673"/>
      <c r="BK56" s="673"/>
      <c r="BL56" s="673"/>
      <c r="BM56" s="673"/>
      <c r="BN56" s="1737">
        <v>11</v>
      </c>
    </row>
    <row s="10851" customFormat="1" customHeight="1" ht="11.549999999999999">
      <c r="A57" s="1087"/>
      <c r="B57" s="1732"/>
      <c r="C57" s="1732"/>
      <c r="D57" s="458"/>
      <c r="AO57" s="4889"/>
      <c r="AP57" s="4889"/>
      <c r="AQ57" s="4889"/>
      <c r="AS57" s="1256"/>
      <c r="AT57" s="1732"/>
      <c r="AU57" s="1732"/>
      <c r="AV57" s="1256"/>
      <c r="AW57" s="1256"/>
      <c r="AX57" s="1256"/>
      <c r="AY57" s="1256"/>
      <c r="AZ57" s="1732"/>
      <c r="BA57" s="1256"/>
      <c r="BB57" s="1256"/>
      <c r="BC57" s="651"/>
      <c r="BD57" s="1256"/>
      <c r="BE57" s="1256"/>
      <c r="BF57" s="1256"/>
      <c r="BG57" s="1256"/>
      <c r="BH57" s="1256"/>
      <c r="BI57" s="1728"/>
      <c r="BJ57" s="673"/>
      <c r="BK57" s="673"/>
      <c r="BL57" s="673"/>
      <c r="BM57" s="673"/>
      <c r="BN57" s="1737">
        <v>11</v>
      </c>
    </row>
    <row s="10851" customFormat="1" customHeight="1" ht="11.549999999999999">
      <c r="A58" s="1087"/>
      <c r="B58" s="1732"/>
      <c r="C58" s="1732"/>
      <c r="D58" s="458"/>
      <c r="AO58" s="4889"/>
      <c r="AP58" s="4889"/>
      <c r="AQ58" s="4889"/>
      <c r="AS58" s="1256"/>
      <c r="AT58" s="1732"/>
      <c r="AU58" s="1732"/>
      <c r="AV58" s="1256"/>
      <c r="AW58" s="1256"/>
      <c r="AX58" s="1256"/>
      <c r="AY58" s="1256"/>
      <c r="AZ58" s="1732"/>
      <c r="BA58" s="1256"/>
      <c r="BB58" s="1256"/>
      <c r="BC58" s="651"/>
      <c r="BD58" s="1256"/>
      <c r="BE58" s="1256"/>
      <c r="BF58" s="1256"/>
      <c r="BG58" s="1256"/>
      <c r="BH58" s="1256"/>
      <c r="BI58" s="1728"/>
      <c r="BJ58" s="673"/>
      <c r="BK58" s="673"/>
      <c r="BL58" s="673"/>
      <c r="BM58" s="673"/>
      <c r="BN58" s="1737">
        <v>11</v>
      </c>
    </row>
    <row s="10851" customFormat="1" customHeight="1" ht="11.549999999999999">
      <c r="A59" s="1087"/>
      <c r="B59" s="1732"/>
      <c r="C59" s="1732"/>
      <c r="D59" s="458"/>
      <c r="AO59" s="4889"/>
      <c r="AP59" s="4889"/>
      <c r="AQ59" s="4889"/>
      <c r="AS59" s="1256"/>
      <c r="AT59" s="1732"/>
      <c r="AU59" s="1732"/>
      <c r="AV59" s="1256"/>
      <c r="AW59" s="1256"/>
      <c r="AX59" s="1256"/>
      <c r="AY59" s="1256"/>
      <c r="AZ59" s="1732"/>
      <c r="BA59" s="1256"/>
      <c r="BB59" s="1256"/>
      <c r="BC59" s="651"/>
      <c r="BD59" s="1256"/>
      <c r="BE59" s="1256"/>
      <c r="BF59" s="1256"/>
      <c r="BG59" s="1256"/>
      <c r="BH59" s="1256"/>
      <c r="BI59" s="1728"/>
      <c r="BJ59" s="673"/>
      <c r="BK59" s="673"/>
      <c r="BL59" s="673"/>
      <c r="BM59" s="673"/>
      <c r="BN59" s="1737">
        <v>11</v>
      </c>
    </row>
    <row s="10851" customFormat="1" customHeight="1" ht="11.549999999999999">
      <c r="A60" s="1087"/>
      <c r="B60" s="1732"/>
      <c r="C60" s="1732"/>
      <c r="D60" s="458"/>
      <c r="AO60" s="4889"/>
      <c r="AP60" s="4889"/>
      <c r="AQ60" s="4889"/>
      <c r="AS60" s="1256"/>
      <c r="AT60" s="1732"/>
      <c r="AU60" s="1732"/>
      <c r="AV60" s="1256"/>
      <c r="AW60" s="1256"/>
      <c r="AX60" s="1256"/>
      <c r="AY60" s="1256"/>
      <c r="AZ60" s="1732"/>
      <c r="BA60" s="1256"/>
      <c r="BB60" s="1256"/>
      <c r="BC60" s="651"/>
      <c r="BD60" s="1256"/>
      <c r="BE60" s="1256"/>
      <c r="BF60" s="1256"/>
      <c r="BG60" s="1256"/>
      <c r="BH60" s="1256"/>
      <c r="BI60" s="1728"/>
      <c r="BJ60" s="673"/>
      <c r="BK60" s="673"/>
      <c r="BL60" s="673"/>
      <c r="BM60" s="673"/>
      <c r="BN60" s="1737">
        <v>11</v>
      </c>
    </row>
    <row s="10851" customFormat="1" customHeight="1" ht="11.549999999999999">
      <c r="A61" s="1087"/>
      <c r="B61" s="1732"/>
      <c r="C61" s="1732"/>
      <c r="D61" s="458"/>
      <c r="AO61" s="4889"/>
      <c r="AP61" s="4889"/>
      <c r="AQ61" s="4889"/>
      <c r="AS61" s="1256"/>
      <c r="AT61" s="1732"/>
      <c r="AU61" s="1732"/>
      <c r="AV61" s="1256"/>
      <c r="AW61" s="1256"/>
      <c r="AX61" s="1256"/>
      <c r="AY61" s="1256"/>
      <c r="AZ61" s="1732"/>
      <c r="BA61" s="1256"/>
      <c r="BB61" s="1256"/>
      <c r="BC61" s="651"/>
      <c r="BD61" s="1256"/>
      <c r="BE61" s="1256"/>
      <c r="BF61" s="1256"/>
      <c r="BG61" s="1256"/>
      <c r="BH61" s="1256"/>
      <c r="BI61" s="1728"/>
      <c r="BJ61" s="673"/>
      <c r="BK61" s="673"/>
      <c r="BL61" s="673"/>
      <c r="BM61" s="673"/>
      <c r="BN61" s="1737">
        <v>11</v>
      </c>
    </row>
    <row s="10851" customFormat="1" customHeight="1" ht="11.549999999999999">
      <c r="A62" s="1087"/>
      <c r="B62" s="1732"/>
      <c r="C62" s="1732"/>
      <c r="D62" s="458"/>
      <c r="AO62" s="4889"/>
      <c r="AP62" s="4889"/>
      <c r="AQ62" s="4889"/>
      <c r="AS62" s="1256"/>
      <c r="AT62" s="1732"/>
      <c r="AU62" s="1732"/>
      <c r="AV62" s="1256"/>
      <c r="AW62" s="1256"/>
      <c r="AX62" s="1256"/>
      <c r="AY62" s="1256"/>
      <c r="AZ62" s="1732"/>
      <c r="BA62" s="1256"/>
      <c r="BB62" s="1256"/>
      <c r="BC62" s="651"/>
      <c r="BD62" s="1256"/>
      <c r="BE62" s="1256"/>
      <c r="BF62" s="1256"/>
      <c r="BG62" s="1256"/>
      <c r="BH62" s="1256"/>
      <c r="BI62" s="1728"/>
      <c r="BJ62" s="673"/>
      <c r="BK62" s="673"/>
      <c r="BL62" s="673"/>
      <c r="BM62" s="673"/>
      <c r="BN62" s="1737">
        <v>11</v>
      </c>
    </row>
    <row s="10851" customFormat="1" customHeight="1" ht="11.549999999999999">
      <c r="A63" s="1087"/>
      <c r="B63" s="1732"/>
      <c r="C63" s="1732"/>
      <c r="D63" s="458"/>
      <c r="AO63" s="4889"/>
      <c r="AP63" s="4889"/>
      <c r="AQ63" s="4889"/>
      <c r="AS63" s="1256"/>
      <c r="AT63" s="1732"/>
      <c r="AU63" s="1732"/>
      <c r="AV63" s="1256"/>
      <c r="AW63" s="1256"/>
      <c r="AX63" s="1256"/>
      <c r="AY63" s="1256"/>
      <c r="AZ63" s="1732"/>
      <c r="BA63" s="1256"/>
      <c r="BB63" s="1256"/>
      <c r="BC63" s="651"/>
      <c r="BD63" s="1256"/>
      <c r="BE63" s="1256"/>
      <c r="BF63" s="1256"/>
      <c r="BG63" s="1256"/>
      <c r="BH63" s="1256"/>
      <c r="BI63" s="1728"/>
      <c r="BJ63" s="673"/>
      <c r="BK63" s="673"/>
      <c r="BL63" s="673"/>
      <c r="BM63" s="673"/>
      <c r="BN63" s="1737">
        <v>11</v>
      </c>
    </row>
    <row s="10851" customFormat="1" customHeight="1" ht="11.549999999999999">
      <c r="A64" s="1087"/>
      <c r="B64" s="1732"/>
      <c r="C64" s="1732"/>
      <c r="D64" s="458"/>
      <c r="AO64" s="4889"/>
      <c r="AP64" s="4889"/>
      <c r="AQ64" s="4889"/>
      <c r="AS64" s="1256"/>
      <c r="AT64" s="1732"/>
      <c r="AU64" s="1732"/>
      <c r="AV64" s="1256"/>
      <c r="AW64" s="1256"/>
      <c r="AX64" s="1256"/>
      <c r="AY64" s="1256"/>
      <c r="AZ64" s="1732"/>
      <c r="BA64" s="1256"/>
      <c r="BB64" s="1256"/>
      <c r="BC64" s="651"/>
      <c r="BD64" s="1256"/>
      <c r="BE64" s="1256"/>
      <c r="BF64" s="1256"/>
      <c r="BG64" s="1256"/>
      <c r="BH64" s="1256"/>
      <c r="BI64" s="1728"/>
      <c r="BJ64" s="673"/>
      <c r="BK64" s="673"/>
      <c r="BL64" s="673"/>
      <c r="BM64" s="673"/>
      <c r="BN64" s="1737">
        <v>11</v>
      </c>
    </row>
    <row s="10851" customFormat="1" customHeight="1" ht="11.549999999999999">
      <c r="A65" s="1087"/>
      <c r="B65" s="1732"/>
      <c r="C65" s="1732"/>
      <c r="D65" s="458"/>
      <c r="AO65" s="4889"/>
      <c r="AP65" s="4889"/>
      <c r="AQ65" s="4889"/>
      <c r="AS65" s="1256"/>
      <c r="AT65" s="1732"/>
      <c r="AU65" s="1732"/>
      <c r="AV65" s="1256"/>
      <c r="AW65" s="1256"/>
      <c r="AX65" s="1256"/>
      <c r="AY65" s="1256"/>
      <c r="AZ65" s="1732"/>
      <c r="BA65" s="1256"/>
      <c r="BB65" s="1256"/>
      <c r="BC65" s="651"/>
      <c r="BD65" s="1256"/>
      <c r="BE65" s="1256"/>
      <c r="BF65" s="1256"/>
      <c r="BG65" s="1256"/>
      <c r="BH65" s="1256"/>
      <c r="BI65" s="1728"/>
      <c r="BJ65" s="673"/>
      <c r="BK65" s="673"/>
      <c r="BL65" s="673"/>
      <c r="BM65" s="673"/>
      <c r="BN65" s="1737">
        <v>11</v>
      </c>
    </row>
    <row s="10851" customFormat="1" customHeight="1" ht="11.549999999999999">
      <c r="A66" s="1087"/>
      <c r="B66" s="1732"/>
      <c r="C66" s="1732"/>
      <c r="D66" s="458"/>
      <c r="AO66" s="4889"/>
      <c r="AP66" s="4889"/>
      <c r="AQ66" s="4889"/>
      <c r="AS66" s="1256"/>
      <c r="AT66" s="1732"/>
      <c r="AU66" s="1732"/>
      <c r="AV66" s="1256"/>
      <c r="AW66" s="1256"/>
      <c r="AX66" s="1256"/>
      <c r="AY66" s="1256"/>
      <c r="AZ66" s="1732"/>
      <c r="BA66" s="1256"/>
      <c r="BB66" s="1256"/>
      <c r="BC66" s="651"/>
      <c r="BD66" s="1256"/>
      <c r="BE66" s="1256"/>
      <c r="BF66" s="1256"/>
      <c r="BG66" s="1256"/>
      <c r="BH66" s="1256"/>
      <c r="BI66" s="1728"/>
      <c r="BJ66" s="673"/>
      <c r="BK66" s="673"/>
      <c r="BL66" s="673"/>
      <c r="BM66" s="673"/>
      <c r="BN66" s="1737">
        <v>11</v>
      </c>
    </row>
    <row s="10851" customFormat="1" customHeight="1" ht="11.549999999999999">
      <c r="A67" s="1087"/>
      <c r="B67" s="1732"/>
      <c r="C67" s="1732"/>
      <c r="D67" s="458"/>
      <c r="AO67" s="4889"/>
      <c r="AP67" s="4889"/>
      <c r="AQ67" s="4889"/>
      <c r="AS67" s="1256"/>
      <c r="AT67" s="1732"/>
      <c r="AU67" s="1732"/>
      <c r="AV67" s="1256"/>
      <c r="AW67" s="1256"/>
      <c r="AX67" s="1256"/>
      <c r="AY67" s="1256"/>
      <c r="AZ67" s="1732"/>
      <c r="BA67" s="1256"/>
      <c r="BB67" s="1256"/>
      <c r="BC67" s="651"/>
      <c r="BD67" s="1256"/>
      <c r="BE67" s="1256"/>
      <c r="BF67" s="1256"/>
      <c r="BG67" s="1256"/>
      <c r="BH67" s="1256"/>
      <c r="BI67" s="1728"/>
      <c r="BJ67" s="673"/>
      <c r="BK67" s="673"/>
      <c r="BL67" s="673"/>
      <c r="BM67" s="673"/>
      <c r="BN67" s="1737">
        <v>11</v>
      </c>
    </row>
    <row s="10851" customFormat="1" customHeight="1" ht="11.549999999999999">
      <c r="A68" s="1087"/>
      <c r="B68" s="1732"/>
      <c r="C68" s="1732"/>
      <c r="D68" s="458"/>
      <c r="AO68" s="4889"/>
      <c r="AP68" s="4889"/>
      <c r="AQ68" s="4889"/>
      <c r="AS68" s="1256"/>
      <c r="AT68" s="1732"/>
      <c r="AU68" s="1732"/>
      <c r="AV68" s="1256"/>
      <c r="AW68" s="1256"/>
      <c r="AX68" s="1256"/>
      <c r="AY68" s="1256"/>
      <c r="AZ68" s="1732"/>
      <c r="BA68" s="1256"/>
      <c r="BB68" s="1256"/>
      <c r="BC68" s="651"/>
      <c r="BD68" s="1256"/>
      <c r="BE68" s="1256"/>
      <c r="BF68" s="1256"/>
      <c r="BG68" s="1256"/>
      <c r="BH68" s="1256"/>
      <c r="BI68" s="1728"/>
      <c r="BJ68" s="673"/>
      <c r="BK68" s="673"/>
      <c r="BL68" s="673"/>
      <c r="BM68" s="673"/>
      <c r="BN68" s="1737">
        <v>11</v>
      </c>
    </row>
    <row s="10851" customFormat="1" customHeight="1" ht="11.549999999999999">
      <c r="A69" s="1087"/>
      <c r="B69" s="1732"/>
      <c r="C69" s="1732"/>
      <c r="D69" s="458"/>
      <c r="AO69" s="4889"/>
      <c r="AP69" s="4889"/>
      <c r="AQ69" s="4889"/>
      <c r="AS69" s="1256"/>
      <c r="AT69" s="1732"/>
      <c r="AU69" s="1732"/>
      <c r="AV69" s="1256"/>
      <c r="AW69" s="1256"/>
      <c r="AX69" s="1256"/>
      <c r="AY69" s="1256"/>
      <c r="AZ69" s="1732"/>
      <c r="BA69" s="1256"/>
      <c r="BB69" s="1256"/>
      <c r="BC69" s="651"/>
      <c r="BD69" s="1256"/>
      <c r="BE69" s="1256"/>
      <c r="BF69" s="1256"/>
      <c r="BG69" s="1256"/>
      <c r="BH69" s="1256"/>
      <c r="BI69" s="1728"/>
      <c r="BJ69" s="673"/>
      <c r="BK69" s="673"/>
      <c r="BL69" s="673"/>
      <c r="BM69" s="673"/>
      <c r="BN69" s="1737">
        <v>11</v>
      </c>
    </row>
    <row s="10851" customFormat="1" customHeight="1" ht="11.549999999999999">
      <c r="A70" s="1087"/>
      <c r="B70" s="1732"/>
      <c r="C70" s="1732"/>
      <c r="D70" s="458"/>
      <c r="AO70" s="4889"/>
      <c r="AP70" s="4889"/>
      <c r="AQ70" s="4889"/>
      <c r="AS70" s="1256"/>
      <c r="AT70" s="1732"/>
      <c r="AU70" s="1732"/>
      <c r="AV70" s="1256"/>
      <c r="AW70" s="1256"/>
      <c r="AX70" s="1256"/>
      <c r="AY70" s="1256"/>
      <c r="AZ70" s="1732"/>
      <c r="BA70" s="1256"/>
      <c r="BB70" s="1256"/>
      <c r="BC70" s="651"/>
      <c r="BD70" s="1256"/>
      <c r="BE70" s="1256"/>
      <c r="BF70" s="1256"/>
      <c r="BG70" s="1256"/>
      <c r="BH70" s="1256"/>
      <c r="BI70" s="1728"/>
      <c r="BJ70" s="673"/>
      <c r="BK70" s="673"/>
      <c r="BL70" s="673"/>
      <c r="BM70" s="673"/>
      <c r="BN70" s="1737">
        <v>11</v>
      </c>
    </row>
    <row s="10851" customFormat="1" customHeight="1" ht="11.549999999999999">
      <c r="A71" s="1087"/>
      <c r="B71" s="1732"/>
      <c r="C71" s="1732"/>
      <c r="D71" s="458"/>
      <c r="AO71" s="4889"/>
      <c r="AP71" s="4889"/>
      <c r="AQ71" s="4889"/>
      <c r="AS71" s="1256"/>
      <c r="AT71" s="1732"/>
      <c r="AU71" s="1732"/>
      <c r="AV71" s="1256"/>
      <c r="AW71" s="1256"/>
      <c r="AX71" s="1256"/>
      <c r="AY71" s="1256"/>
      <c r="AZ71" s="1732"/>
      <c r="BA71" s="1256"/>
      <c r="BB71" s="1256"/>
      <c r="BC71" s="651"/>
      <c r="BD71" s="1256"/>
      <c r="BE71" s="1256"/>
      <c r="BF71" s="1256"/>
      <c r="BG71" s="1256"/>
      <c r="BH71" s="1256"/>
      <c r="BI71" s="1728"/>
      <c r="BJ71" s="673"/>
      <c r="BK71" s="673"/>
      <c r="BL71" s="673"/>
      <c r="BM71" s="673"/>
      <c r="BN71" s="1737">
        <v>11</v>
      </c>
    </row>
    <row s="10851" customFormat="1" customHeight="1" ht="11.549999999999999">
      <c r="A72" s="1087"/>
      <c r="B72" s="1732"/>
      <c r="C72" s="1732"/>
      <c r="D72" s="458"/>
      <c r="AO72" s="4889"/>
      <c r="AP72" s="4889"/>
      <c r="AQ72" s="4889"/>
      <c r="AS72" s="1256"/>
      <c r="AT72" s="1732"/>
      <c r="AU72" s="1732"/>
      <c r="AV72" s="1256"/>
      <c r="AW72" s="1256"/>
      <c r="AX72" s="1256"/>
      <c r="AY72" s="1256"/>
      <c r="AZ72" s="1732"/>
      <c r="BA72" s="1256"/>
      <c r="BB72" s="1256"/>
      <c r="BC72" s="651"/>
      <c r="BD72" s="1256"/>
      <c r="BE72" s="1256"/>
      <c r="BF72" s="1256"/>
      <c r="BG72" s="1256"/>
      <c r="BH72" s="1256"/>
      <c r="BI72" s="1728"/>
      <c r="BJ72" s="673"/>
      <c r="BK72" s="673"/>
      <c r="BL72" s="673"/>
      <c r="BM72" s="673"/>
      <c r="BN72" s="1737">
        <v>11</v>
      </c>
    </row>
    <row s="10851" customFormat="1" customHeight="1" ht="11.549999999999999">
      <c r="A73" s="1087"/>
      <c r="B73" s="1732"/>
      <c r="C73" s="1732"/>
      <c r="D73" s="458"/>
      <c r="AO73" s="4889"/>
      <c r="AP73" s="4889"/>
      <c r="AQ73" s="4889"/>
      <c r="AS73" s="1256"/>
      <c r="AT73" s="1732"/>
      <c r="AU73" s="1732"/>
      <c r="AV73" s="1256"/>
      <c r="AW73" s="1256"/>
      <c r="AX73" s="1256"/>
      <c r="AY73" s="1256"/>
      <c r="AZ73" s="1732"/>
      <c r="BA73" s="1256"/>
      <c r="BB73" s="1256"/>
      <c r="BC73" s="651"/>
      <c r="BD73" s="1256"/>
      <c r="BE73" s="1256"/>
      <c r="BF73" s="1256"/>
      <c r="BG73" s="1256"/>
      <c r="BH73" s="1256"/>
      <c r="BI73" s="1728"/>
      <c r="BJ73" s="673"/>
      <c r="BK73" s="673"/>
      <c r="BL73" s="673"/>
      <c r="BM73" s="673"/>
      <c r="BN73" s="1737">
        <v>11</v>
      </c>
    </row>
    <row s="10851" customFormat="1" customHeight="1" ht="11.549999999999999">
      <c r="A74" s="1087"/>
      <c r="B74" s="1732"/>
      <c r="C74" s="1732"/>
      <c r="D74" s="458"/>
      <c r="AO74" s="4889"/>
      <c r="AP74" s="4889"/>
      <c r="AQ74" s="4889"/>
      <c r="AS74" s="1256"/>
      <c r="AT74" s="1732"/>
      <c r="AU74" s="1732"/>
      <c r="AV74" s="1256"/>
      <c r="AW74" s="1256"/>
      <c r="AX74" s="1256"/>
      <c r="AY74" s="1256"/>
      <c r="AZ74" s="1732"/>
      <c r="BA74" s="1256"/>
      <c r="BB74" s="1256"/>
      <c r="BC74" s="651"/>
      <c r="BD74" s="1256"/>
      <c r="BE74" s="1256"/>
      <c r="BF74" s="1256"/>
      <c r="BG74" s="1256"/>
      <c r="BH74" s="1256"/>
      <c r="BI74" s="1728"/>
      <c r="BJ74" s="673"/>
      <c r="BK74" s="673"/>
      <c r="BL74" s="673"/>
      <c r="BM74" s="673"/>
      <c r="BN74" s="1737">
        <v>11</v>
      </c>
    </row>
    <row s="10851" customFormat="1" customHeight="1" ht="11.549999999999999">
      <c r="A75" s="1087"/>
      <c r="B75" s="1732"/>
      <c r="C75" s="1732"/>
      <c r="D75" s="458"/>
      <c r="AO75" s="4889"/>
      <c r="AP75" s="4889"/>
      <c r="AQ75" s="4889"/>
      <c r="AS75" s="1256"/>
      <c r="AT75" s="1732"/>
      <c r="AU75" s="1732"/>
      <c r="AV75" s="1256"/>
      <c r="AW75" s="1256"/>
      <c r="AX75" s="1256"/>
      <c r="AY75" s="1256"/>
      <c r="AZ75" s="1732"/>
      <c r="BA75" s="1256"/>
      <c r="BB75" s="1256"/>
      <c r="BC75" s="651"/>
      <c r="BD75" s="1256"/>
      <c r="BE75" s="1256"/>
      <c r="BF75" s="1256"/>
      <c r="BG75" s="1256"/>
      <c r="BH75" s="1256"/>
      <c r="BI75" s="1728"/>
      <c r="BJ75" s="673"/>
      <c r="BK75" s="673"/>
      <c r="BL75" s="673"/>
      <c r="BM75" s="673"/>
      <c r="BN75" s="1737">
        <v>11</v>
      </c>
    </row>
    <row s="10851" customFormat="1" customHeight="1" ht="11.549999999999999">
      <c r="A76" s="1087"/>
      <c r="B76" s="1732"/>
      <c r="C76" s="1732"/>
      <c r="D76" s="458"/>
      <c r="AO76" s="4889"/>
      <c r="AP76" s="4889"/>
      <c r="AQ76" s="4889"/>
      <c r="AS76" s="1256"/>
      <c r="AT76" s="1732"/>
      <c r="AU76" s="1732"/>
      <c r="AV76" s="1256"/>
      <c r="AW76" s="1256"/>
      <c r="AX76" s="1256"/>
      <c r="AY76" s="1256"/>
      <c r="AZ76" s="1732"/>
      <c r="BA76" s="1256"/>
      <c r="BB76" s="1256"/>
      <c r="BC76" s="651"/>
      <c r="BD76" s="1256"/>
      <c r="BE76" s="1256"/>
      <c r="BF76" s="1256"/>
      <c r="BG76" s="1256"/>
      <c r="BH76" s="1256"/>
      <c r="BI76" s="1728"/>
      <c r="BJ76" s="673"/>
      <c r="BK76" s="673"/>
      <c r="BL76" s="673"/>
      <c r="BM76" s="673"/>
      <c r="BN76" s="1737">
        <v>11</v>
      </c>
    </row>
    <row s="10851" customFormat="1" customHeight="1" ht="11.549999999999999">
      <c r="A77" s="1087"/>
      <c r="B77" s="1732"/>
      <c r="C77" s="1732"/>
      <c r="D77" s="458"/>
      <c r="AO77" s="4889"/>
      <c r="AP77" s="4889"/>
      <c r="AQ77" s="4889"/>
      <c r="AS77" s="1256"/>
      <c r="AT77" s="1732"/>
      <c r="AU77" s="1732"/>
      <c r="AV77" s="1256"/>
      <c r="AW77" s="1256"/>
      <c r="AX77" s="1256"/>
      <c r="AY77" s="1256"/>
      <c r="AZ77" s="1732"/>
      <c r="BA77" s="1256"/>
      <c r="BB77" s="1256"/>
      <c r="BC77" s="651"/>
      <c r="BD77" s="1256"/>
      <c r="BE77" s="1256"/>
      <c r="BF77" s="1256"/>
      <c r="BG77" s="1256"/>
      <c r="BH77" s="1256"/>
      <c r="BI77" s="1728"/>
      <c r="BJ77" s="673"/>
      <c r="BK77" s="673"/>
      <c r="BL77" s="673"/>
      <c r="BM77" s="673"/>
      <c r="BN77" s="1737">
        <v>11</v>
      </c>
    </row>
    <row s="10851" customFormat="1" customHeight="1" ht="11.549999999999999">
      <c r="A78" s="1087"/>
      <c r="B78" s="1732"/>
      <c r="C78" s="1732"/>
      <c r="D78" s="458"/>
      <c r="AO78" s="4889"/>
      <c r="AP78" s="4889"/>
      <c r="AQ78" s="4889"/>
      <c r="AS78" s="1256"/>
      <c r="AT78" s="1732"/>
      <c r="AU78" s="1732"/>
      <c r="AV78" s="1256"/>
      <c r="AW78" s="1256"/>
      <c r="AX78" s="1256"/>
      <c r="AY78" s="1256"/>
      <c r="AZ78" s="1732"/>
      <c r="BA78" s="1256"/>
      <c r="BB78" s="1256"/>
      <c r="BC78" s="651"/>
      <c r="BD78" s="1256"/>
      <c r="BE78" s="1256"/>
      <c r="BF78" s="1256"/>
      <c r="BG78" s="1256"/>
      <c r="BH78" s="1256"/>
      <c r="BI78" s="1728"/>
      <c r="BJ78" s="673"/>
      <c r="BK78" s="673"/>
      <c r="BL78" s="673"/>
      <c r="BM78" s="673"/>
      <c r="BN78" s="1737">
        <v>11</v>
      </c>
    </row>
    <row s="10851" customFormat="1" customHeight="1" ht="11.549999999999999">
      <c r="A79" s="1087"/>
      <c r="B79" s="1732"/>
      <c r="C79" s="1732"/>
      <c r="D79" s="458"/>
      <c r="AO79" s="4889"/>
      <c r="AP79" s="4889"/>
      <c r="AQ79" s="4889"/>
      <c r="AS79" s="1256"/>
      <c r="AT79" s="1732"/>
      <c r="AU79" s="1732"/>
      <c r="AV79" s="1256"/>
      <c r="AW79" s="1256"/>
      <c r="AX79" s="1256"/>
      <c r="AY79" s="1256"/>
      <c r="AZ79" s="1732"/>
      <c r="BA79" s="1256"/>
      <c r="BB79" s="1256"/>
      <c r="BC79" s="651"/>
      <c r="BD79" s="1256"/>
      <c r="BE79" s="1256"/>
      <c r="BF79" s="1256"/>
      <c r="BG79" s="1256"/>
      <c r="BH79" s="1256"/>
      <c r="BI79" s="1728"/>
      <c r="BJ79" s="673"/>
      <c r="BK79" s="673"/>
      <c r="BL79" s="673"/>
      <c r="BM79" s="673"/>
      <c r="BN79" s="1737">
        <v>11</v>
      </c>
    </row>
    <row s="10851" customFormat="1" customHeight="1" ht="11.549999999999999">
      <c r="A80" s="1087"/>
      <c r="B80" s="1732"/>
      <c r="C80" s="1732"/>
      <c r="D80" s="458"/>
      <c r="AO80" s="4889"/>
      <c r="AP80" s="4889"/>
      <c r="AQ80" s="4889"/>
      <c r="AS80" s="1256"/>
      <c r="AT80" s="1732"/>
      <c r="AU80" s="1732"/>
      <c r="AV80" s="1256"/>
      <c r="AW80" s="1256"/>
      <c r="AX80" s="1256"/>
      <c r="AY80" s="1256"/>
      <c r="AZ80" s="1732"/>
      <c r="BA80" s="1256"/>
      <c r="BB80" s="1256"/>
      <c r="BC80" s="651"/>
      <c r="BD80" s="1256"/>
      <c r="BE80" s="1256"/>
      <c r="BF80" s="1256"/>
      <c r="BG80" s="1256"/>
      <c r="BH80" s="1256"/>
      <c r="BI80" s="1728"/>
      <c r="BJ80" s="673"/>
      <c r="BK80" s="673"/>
      <c r="BL80" s="673"/>
      <c r="BM80" s="673"/>
      <c r="BN80" s="1737">
        <v>11</v>
      </c>
    </row>
    <row s="10851" customFormat="1" customHeight="1" ht="11.549999999999999">
      <c r="A81" s="1087"/>
      <c r="B81" s="1732"/>
      <c r="C81" s="1732"/>
      <c r="D81" s="458"/>
      <c r="AO81" s="4889"/>
      <c r="AP81" s="4889"/>
      <c r="AQ81" s="4889"/>
      <c r="AS81" s="1256"/>
      <c r="AT81" s="1732"/>
      <c r="AU81" s="1732"/>
      <c r="AV81" s="1256"/>
      <c r="AW81" s="1256"/>
      <c r="AX81" s="1256"/>
      <c r="AY81" s="1256"/>
      <c r="AZ81" s="1732"/>
      <c r="BA81" s="1256"/>
      <c r="BB81" s="1256"/>
      <c r="BC81" s="651"/>
      <c r="BD81" s="1256"/>
      <c r="BE81" s="1256"/>
      <c r="BF81" s="1256"/>
      <c r="BG81" s="1256"/>
      <c r="BH81" s="1256"/>
      <c r="BI81" s="1728"/>
      <c r="BJ81" s="673"/>
      <c r="BK81" s="673"/>
      <c r="BL81" s="673"/>
      <c r="BM81" s="673"/>
      <c r="BN81" s="1737">
        <v>11</v>
      </c>
    </row>
    <row s="10851" customFormat="1" customHeight="1" ht="11.549999999999999">
      <c r="A82" s="1087"/>
      <c r="B82" s="1732"/>
      <c r="C82" s="1732"/>
      <c r="D82" s="458"/>
      <c r="AO82" s="4889"/>
      <c r="AP82" s="4889"/>
      <c r="AQ82" s="4889"/>
      <c r="AS82" s="1256"/>
      <c r="AT82" s="1732"/>
      <c r="AU82" s="1732"/>
      <c r="AV82" s="1256"/>
      <c r="AW82" s="1256"/>
      <c r="AX82" s="1256"/>
      <c r="AY82" s="1256"/>
      <c r="AZ82" s="1732"/>
      <c r="BA82" s="1256"/>
      <c r="BB82" s="1256"/>
      <c r="BC82" s="651"/>
      <c r="BD82" s="1256"/>
      <c r="BE82" s="1256"/>
      <c r="BF82" s="1256"/>
      <c r="BG82" s="1256"/>
      <c r="BH82" s="1256"/>
      <c r="BI82" s="1728"/>
      <c r="BJ82" s="673"/>
      <c r="BK82" s="673"/>
      <c r="BL82" s="673"/>
      <c r="BM82" s="673"/>
      <c r="BN82" s="1737">
        <v>11</v>
      </c>
    </row>
    <row s="10851" customFormat="1" customHeight="1" ht="11.549999999999999">
      <c r="A83" s="1087"/>
      <c r="B83" s="1732"/>
      <c r="C83" s="1732"/>
      <c r="D83" s="458"/>
      <c r="AO83" s="4889"/>
      <c r="AP83" s="4889"/>
      <c r="AQ83" s="4889"/>
      <c r="AS83" s="1256"/>
      <c r="AT83" s="1732"/>
      <c r="AU83" s="1732"/>
      <c r="AV83" s="1256"/>
      <c r="AW83" s="1256"/>
      <c r="AX83" s="1256"/>
      <c r="AY83" s="1256"/>
      <c r="AZ83" s="1732"/>
      <c r="BA83" s="1256"/>
      <c r="BB83" s="1256"/>
      <c r="BC83" s="651"/>
      <c r="BD83" s="1256"/>
      <c r="BE83" s="1256"/>
      <c r="BF83" s="1256"/>
      <c r="BG83" s="1256"/>
      <c r="BH83" s="1256"/>
      <c r="BI83" s="1728"/>
      <c r="BJ83" s="673"/>
      <c r="BK83" s="673"/>
      <c r="BL83" s="673"/>
      <c r="BM83" s="673"/>
      <c r="BN83" s="1737">
        <v>11</v>
      </c>
    </row>
    <row s="10851" customFormat="1" customHeight="1" ht="11.549999999999999">
      <c r="A84" s="1087"/>
      <c r="B84" s="1732"/>
      <c r="C84" s="1732"/>
      <c r="D84" s="458"/>
      <c r="AO84" s="4889"/>
      <c r="AP84" s="4889"/>
      <c r="AQ84" s="4889"/>
      <c r="AS84" s="1256"/>
      <c r="AT84" s="1732"/>
      <c r="AU84" s="1732"/>
      <c r="AV84" s="1256"/>
      <c r="AW84" s="1256"/>
      <c r="AX84" s="1256"/>
      <c r="AY84" s="1256"/>
      <c r="AZ84" s="1732"/>
      <c r="BA84" s="1256"/>
      <c r="BB84" s="1256"/>
      <c r="BC84" s="651"/>
      <c r="BD84" s="1256"/>
      <c r="BE84" s="1256"/>
      <c r="BF84" s="1256"/>
      <c r="BG84" s="1256"/>
      <c r="BH84" s="1256"/>
      <c r="BI84" s="1728"/>
      <c r="BJ84" s="673"/>
      <c r="BK84" s="673"/>
      <c r="BL84" s="673"/>
      <c r="BM84" s="673"/>
      <c r="BN84" s="1737">
        <v>11</v>
      </c>
    </row>
    <row s="10851" customFormat="1" customHeight="1" ht="11.549999999999999">
      <c r="A85" s="1087"/>
      <c r="B85" s="1732"/>
      <c r="C85" s="1732"/>
      <c r="D85" s="458"/>
      <c r="AO85" s="4889"/>
      <c r="AP85" s="4889"/>
      <c r="AQ85" s="4889"/>
      <c r="AS85" s="1256"/>
      <c r="AT85" s="1732"/>
      <c r="AU85" s="1732"/>
      <c r="AV85" s="1256"/>
      <c r="AW85" s="1256"/>
      <c r="AX85" s="1256"/>
      <c r="AY85" s="1256"/>
      <c r="AZ85" s="1732"/>
      <c r="BA85" s="1256"/>
      <c r="BB85" s="1256"/>
      <c r="BC85" s="651"/>
      <c r="BD85" s="1256"/>
      <c r="BE85" s="1256"/>
      <c r="BF85" s="1256"/>
      <c r="BG85" s="1256"/>
      <c r="BH85" s="1256"/>
      <c r="BI85" s="1728"/>
      <c r="BJ85" s="673"/>
      <c r="BK85" s="673"/>
      <c r="BL85" s="673"/>
      <c r="BM85" s="673"/>
      <c r="BN85" s="1737">
        <v>11</v>
      </c>
    </row>
    <row s="10851" customFormat="1" customHeight="1" ht="11.549999999999999">
      <c r="A86" s="1087"/>
      <c r="B86" s="1732"/>
      <c r="C86" s="1732"/>
      <c r="D86" s="458"/>
      <c r="AO86" s="4889"/>
      <c r="AP86" s="4889"/>
      <c r="AQ86" s="4889"/>
      <c r="AS86" s="1256"/>
      <c r="AT86" s="1732"/>
      <c r="AU86" s="1732"/>
      <c r="AV86" s="1256"/>
      <c r="AW86" s="1256"/>
      <c r="AX86" s="1256"/>
      <c r="AY86" s="1256"/>
      <c r="AZ86" s="1732"/>
      <c r="BA86" s="1256"/>
      <c r="BB86" s="1256"/>
      <c r="BC86" s="651"/>
      <c r="BD86" s="1256"/>
      <c r="BE86" s="1256"/>
      <c r="BF86" s="1256"/>
      <c r="BG86" s="1256"/>
      <c r="BH86" s="1256"/>
      <c r="BI86" s="1728"/>
      <c r="BJ86" s="673"/>
      <c r="BK86" s="673"/>
      <c r="BL86" s="673"/>
      <c r="BM86" s="673"/>
      <c r="BN86" s="1737">
        <v>11</v>
      </c>
    </row>
    <row s="10851" customFormat="1" customHeight="1" ht="11.549999999999999">
      <c r="A87" s="1087"/>
      <c r="B87" s="1732"/>
      <c r="C87" s="1732"/>
      <c r="D87" s="458"/>
      <c r="AO87" s="4889"/>
      <c r="AP87" s="4889"/>
      <c r="AQ87" s="4889"/>
      <c r="AS87" s="1256"/>
      <c r="AT87" s="1732"/>
      <c r="AU87" s="1732"/>
      <c r="AV87" s="1256"/>
      <c r="AW87" s="1256"/>
      <c r="AX87" s="1256"/>
      <c r="AY87" s="1256"/>
      <c r="AZ87" s="1732"/>
      <c r="BA87" s="1256"/>
      <c r="BB87" s="1256"/>
      <c r="BC87" s="651"/>
      <c r="BD87" s="1256"/>
      <c r="BE87" s="1256"/>
      <c r="BF87" s="1256"/>
      <c r="BG87" s="1256"/>
      <c r="BH87" s="1256"/>
      <c r="BI87" s="1728"/>
      <c r="BJ87" s="673"/>
      <c r="BK87" s="673"/>
      <c r="BL87" s="673"/>
      <c r="BM87" s="673"/>
      <c r="BN87" s="1737">
        <v>11</v>
      </c>
    </row>
    <row s="10851" customFormat="1" customHeight="1" ht="11.549999999999999">
      <c r="A88" s="1087"/>
      <c r="B88" s="1732"/>
      <c r="C88" s="1732"/>
      <c r="D88" s="458"/>
      <c r="AO88" s="4889"/>
      <c r="AP88" s="4889"/>
      <c r="AQ88" s="4889"/>
      <c r="AS88" s="1256"/>
      <c r="AT88" s="1732"/>
      <c r="AU88" s="1732"/>
      <c r="AV88" s="1256"/>
      <c r="AW88" s="1256"/>
      <c r="AX88" s="1256"/>
      <c r="AY88" s="1256"/>
      <c r="AZ88" s="1732"/>
      <c r="BA88" s="1256"/>
      <c r="BB88" s="1256"/>
      <c r="BC88" s="651"/>
      <c r="BD88" s="1256"/>
      <c r="BE88" s="1256"/>
      <c r="BF88" s="1256"/>
      <c r="BG88" s="1256"/>
      <c r="BH88" s="1256"/>
      <c r="BI88" s="1728"/>
      <c r="BJ88" s="673"/>
      <c r="BK88" s="673"/>
      <c r="BL88" s="673"/>
      <c r="BM88" s="673"/>
      <c r="BN88" s="1737">
        <v>11</v>
      </c>
    </row>
    <row s="10851" customFormat="1" customHeight="1" ht="11.549999999999999">
      <c r="A89" s="1087"/>
      <c r="B89" s="1732"/>
      <c r="C89" s="1732"/>
      <c r="D89" s="458"/>
      <c r="AO89" s="4889"/>
      <c r="AP89" s="4889"/>
      <c r="AQ89" s="4889"/>
      <c r="AS89" s="1256"/>
      <c r="AT89" s="1732"/>
      <c r="AU89" s="1732"/>
      <c r="AV89" s="1256"/>
      <c r="AW89" s="1256"/>
      <c r="AX89" s="1256"/>
      <c r="AY89" s="1256"/>
      <c r="AZ89" s="1732"/>
      <c r="BA89" s="1256"/>
      <c r="BB89" s="1256"/>
      <c r="BC89" s="651"/>
      <c r="BD89" s="1256"/>
      <c r="BE89" s="1256"/>
      <c r="BF89" s="1256"/>
      <c r="BG89" s="1256"/>
      <c r="BH89" s="1256"/>
      <c r="BI89" s="1728"/>
      <c r="BJ89" s="673"/>
      <c r="BK89" s="673"/>
      <c r="BL89" s="673"/>
      <c r="BM89" s="673"/>
      <c r="BN89" s="1737">
        <v>11</v>
      </c>
    </row>
    <row s="10851" customFormat="1" customHeight="1" ht="11.549999999999999">
      <c r="A90" s="1087"/>
      <c r="B90" s="1732"/>
      <c r="C90" s="1732"/>
      <c r="D90" s="458"/>
      <c r="AO90" s="4889"/>
      <c r="AP90" s="4889"/>
      <c r="AQ90" s="4889"/>
      <c r="AS90" s="1256"/>
      <c r="AT90" s="1732"/>
      <c r="AU90" s="1732"/>
      <c r="AV90" s="1256"/>
      <c r="AW90" s="1256"/>
      <c r="AX90" s="1256"/>
      <c r="AY90" s="1256"/>
      <c r="AZ90" s="1732"/>
      <c r="BA90" s="1256"/>
      <c r="BB90" s="1256"/>
      <c r="BC90" s="651"/>
      <c r="BD90" s="1256"/>
      <c r="BE90" s="1256"/>
      <c r="BF90" s="1256"/>
      <c r="BG90" s="1256"/>
      <c r="BH90" s="1256"/>
      <c r="BI90" s="1728"/>
      <c r="BJ90" s="673"/>
      <c r="BK90" s="673"/>
      <c r="BL90" s="673"/>
      <c r="BM90" s="673"/>
      <c r="BN90" s="1737">
        <v>11</v>
      </c>
    </row>
    <row s="10851" customFormat="1" customHeight="1" ht="11.549999999999999">
      <c r="A91" s="1087"/>
      <c r="B91" s="1732"/>
      <c r="C91" s="1732"/>
      <c r="D91" s="458"/>
      <c r="AO91" s="4889"/>
      <c r="AP91" s="4889"/>
      <c r="AQ91" s="4889"/>
      <c r="AS91" s="1256"/>
      <c r="AT91" s="1732"/>
      <c r="AU91" s="1732"/>
      <c r="AV91" s="1256"/>
      <c r="AW91" s="1256"/>
      <c r="AX91" s="1256"/>
      <c r="AY91" s="1256"/>
      <c r="AZ91" s="1732"/>
      <c r="BA91" s="1256"/>
      <c r="BB91" s="1256"/>
      <c r="BC91" s="651"/>
      <c r="BD91" s="1256"/>
      <c r="BE91" s="1256"/>
      <c r="BF91" s="1256"/>
      <c r="BG91" s="1256"/>
      <c r="BH91" s="1256"/>
      <c r="BI91" s="1728"/>
      <c r="BJ91" s="673"/>
      <c r="BK91" s="673"/>
      <c r="BL91" s="673"/>
      <c r="BM91" s="673"/>
      <c r="BN91" s="1737">
        <v>11</v>
      </c>
    </row>
    <row s="10851" customFormat="1" customHeight="1" ht="11.549999999999999">
      <c r="A92" s="1087"/>
      <c r="B92" s="1732"/>
      <c r="C92" s="1732"/>
      <c r="D92" s="458"/>
      <c r="AO92" s="4889"/>
      <c r="AP92" s="4889"/>
      <c r="AQ92" s="4889"/>
      <c r="AS92" s="1256"/>
      <c r="AT92" s="1732"/>
      <c r="AU92" s="1732"/>
      <c r="AV92" s="1256"/>
      <c r="AW92" s="1256"/>
      <c r="AX92" s="1256"/>
      <c r="AY92" s="1256"/>
      <c r="AZ92" s="1732"/>
      <c r="BA92" s="1256"/>
      <c r="BB92" s="1256"/>
      <c r="BC92" s="651"/>
      <c r="BD92" s="1256"/>
      <c r="BE92" s="1256"/>
      <c r="BF92" s="1256"/>
      <c r="BG92" s="1256"/>
      <c r="BH92" s="1256"/>
      <c r="BI92" s="1728"/>
      <c r="BJ92" s="673"/>
      <c r="BK92" s="673"/>
      <c r="BL92" s="673"/>
      <c r="BM92" s="673"/>
      <c r="BN92" s="1737">
        <v>11</v>
      </c>
    </row>
    <row s="10851" customFormat="1" customHeight="1" ht="11.549999999999999">
      <c r="A93" s="1087"/>
      <c r="B93" s="1732"/>
      <c r="C93" s="1732"/>
      <c r="D93" s="458"/>
      <c r="AO93" s="4889"/>
      <c r="AP93" s="4889"/>
      <c r="AQ93" s="4889"/>
      <c r="AS93" s="1256"/>
      <c r="AT93" s="1732"/>
      <c r="AU93" s="1732"/>
      <c r="AV93" s="1256"/>
      <c r="AW93" s="1256"/>
      <c r="AX93" s="1256"/>
      <c r="AY93" s="1256"/>
      <c r="AZ93" s="1732"/>
      <c r="BA93" s="1256"/>
      <c r="BB93" s="1256"/>
      <c r="BC93" s="651"/>
      <c r="BD93" s="1256"/>
      <c r="BE93" s="1256"/>
      <c r="BF93" s="1256"/>
      <c r="BG93" s="1256"/>
      <c r="BH93" s="1256"/>
      <c r="BI93" s="1728"/>
      <c r="BJ93" s="673"/>
      <c r="BK93" s="673"/>
      <c r="BL93" s="673"/>
      <c r="BM93" s="673"/>
      <c r="BN93" s="1737">
        <v>11</v>
      </c>
    </row>
    <row s="10851" customFormat="1" customHeight="1" ht="11.549999999999999">
      <c r="A94" s="1087"/>
      <c r="B94" s="1732"/>
      <c r="C94" s="1732"/>
      <c r="D94" s="458"/>
      <c r="AO94" s="4889"/>
      <c r="AP94" s="4889"/>
      <c r="AQ94" s="4889"/>
      <c r="AS94" s="1256"/>
      <c r="AT94" s="1732"/>
      <c r="AU94" s="1732"/>
      <c r="AV94" s="1256"/>
      <c r="AW94" s="1256"/>
      <c r="AX94" s="1256"/>
      <c r="AY94" s="1256"/>
      <c r="AZ94" s="1732"/>
      <c r="BA94" s="1256"/>
      <c r="BB94" s="1256"/>
      <c r="BC94" s="651"/>
      <c r="BD94" s="1256"/>
      <c r="BE94" s="1256"/>
      <c r="BF94" s="1256"/>
      <c r="BG94" s="1256"/>
      <c r="BH94" s="1256"/>
      <c r="BI94" s="1728"/>
      <c r="BJ94" s="673"/>
      <c r="BK94" s="673"/>
      <c r="BL94" s="673"/>
      <c r="BM94" s="673"/>
      <c r="BN94" s="1737">
        <v>11</v>
      </c>
    </row>
    <row s="10851" customFormat="1" customHeight="1" ht="11.549999999999999">
      <c r="A95" s="1087"/>
      <c r="B95" s="1732"/>
      <c r="C95" s="1732"/>
      <c r="D95" s="458"/>
      <c r="AO95" s="4889"/>
      <c r="AP95" s="4889"/>
      <c r="AQ95" s="4889"/>
      <c r="AS95" s="1256"/>
      <c r="AT95" s="1732"/>
      <c r="AU95" s="1732"/>
      <c r="AV95" s="1256"/>
      <c r="AW95" s="1256"/>
      <c r="AX95" s="1256"/>
      <c r="AY95" s="1256"/>
      <c r="AZ95" s="1732"/>
      <c r="BA95" s="1256"/>
      <c r="BB95" s="1256"/>
      <c r="BC95" s="651"/>
      <c r="BD95" s="1256"/>
      <c r="BE95" s="1256"/>
      <c r="BF95" s="1256"/>
      <c r="BG95" s="1256"/>
      <c r="BH95" s="1256"/>
      <c r="BI95" s="1728"/>
      <c r="BJ95" s="673"/>
      <c r="BK95" s="673"/>
      <c r="BL95" s="673"/>
      <c r="BM95" s="673"/>
      <c r="BN95" s="1737">
        <v>11</v>
      </c>
    </row>
    <row s="10851" customFormat="1" customHeight="1" ht="11.549999999999999">
      <c r="A96" s="1087"/>
      <c r="B96" s="1732"/>
      <c r="C96" s="1732"/>
      <c r="D96" s="458"/>
      <c r="AO96" s="4889"/>
      <c r="AP96" s="4889"/>
      <c r="AQ96" s="4889"/>
      <c r="AS96" s="1256"/>
      <c r="AT96" s="1732"/>
      <c r="AU96" s="1732"/>
      <c r="AV96" s="1256"/>
      <c r="AW96" s="1256"/>
      <c r="AX96" s="1256"/>
      <c r="AY96" s="1256"/>
      <c r="AZ96" s="1732"/>
      <c r="BA96" s="1256"/>
      <c r="BB96" s="1256"/>
      <c r="BC96" s="651"/>
      <c r="BD96" s="1256"/>
      <c r="BE96" s="1256"/>
      <c r="BF96" s="1256"/>
      <c r="BG96" s="1256"/>
      <c r="BH96" s="1256"/>
      <c r="BI96" s="1728"/>
      <c r="BJ96" s="673"/>
      <c r="BK96" s="673"/>
      <c r="BL96" s="673"/>
      <c r="BM96" s="673"/>
      <c r="BN96" s="1737">
        <v>11</v>
      </c>
    </row>
    <row s="10851" customFormat="1" customHeight="1" ht="11.549999999999999">
      <c r="A97" s="1087"/>
      <c r="B97" s="1732"/>
      <c r="C97" s="1732"/>
      <c r="D97" s="458"/>
      <c r="AO97" s="4889"/>
      <c r="AP97" s="4889"/>
      <c r="AQ97" s="4889"/>
      <c r="AS97" s="1256"/>
      <c r="AT97" s="1732"/>
      <c r="AU97" s="1732"/>
      <c r="AV97" s="1256"/>
      <c r="AW97" s="1256"/>
      <c r="AX97" s="1256"/>
      <c r="AY97" s="1256"/>
      <c r="AZ97" s="1732"/>
      <c r="BA97" s="1256"/>
      <c r="BB97" s="1256"/>
      <c r="BC97" s="651"/>
      <c r="BD97" s="1256"/>
      <c r="BE97" s="1256"/>
      <c r="BF97" s="1256"/>
      <c r="BG97" s="1256"/>
      <c r="BH97" s="1256"/>
      <c r="BI97" s="1728"/>
      <c r="BJ97" s="673"/>
      <c r="BK97" s="673"/>
      <c r="BL97" s="673"/>
      <c r="BM97" s="673"/>
      <c r="BN97" s="1737">
        <v>11</v>
      </c>
    </row>
    <row s="10851" customFormat="1" customHeight="1" ht="11.549999999999999">
      <c r="A98" s="1087"/>
      <c r="B98" s="1732"/>
      <c r="C98" s="1732"/>
      <c r="D98" s="458"/>
      <c r="AO98" s="4889"/>
      <c r="AP98" s="4889"/>
      <c r="AQ98" s="4889"/>
      <c r="AS98" s="1256"/>
      <c r="AT98" s="1732"/>
      <c r="AU98" s="1732"/>
      <c r="AV98" s="1256"/>
      <c r="AW98" s="1256"/>
      <c r="AX98" s="1256"/>
      <c r="AY98" s="1256"/>
      <c r="AZ98" s="1732"/>
      <c r="BA98" s="1256"/>
      <c r="BB98" s="1256"/>
      <c r="BC98" s="651"/>
      <c r="BD98" s="1256"/>
      <c r="BE98" s="1256"/>
      <c r="BF98" s="1256"/>
      <c r="BG98" s="1256"/>
      <c r="BH98" s="1256"/>
      <c r="BI98" s="1728"/>
      <c r="BJ98" s="673"/>
      <c r="BK98" s="673"/>
      <c r="BL98" s="673"/>
      <c r="BM98" s="673"/>
      <c r="BN98" s="1737">
        <v>11</v>
      </c>
    </row>
    <row s="10851" customFormat="1" customHeight="1" ht="11.549999999999999">
      <c r="A99" s="1087"/>
      <c r="B99" s="1732"/>
      <c r="C99" s="1732"/>
      <c r="D99" s="458"/>
      <c r="AO99" s="4889"/>
      <c r="AP99" s="4889"/>
      <c r="AQ99" s="4889"/>
      <c r="AS99" s="1256"/>
      <c r="AT99" s="1732"/>
      <c r="AU99" s="1732"/>
      <c r="AV99" s="1256"/>
      <c r="AW99" s="1256"/>
      <c r="AX99" s="1256"/>
      <c r="AY99" s="1256"/>
      <c r="AZ99" s="1732"/>
      <c r="BA99" s="1256"/>
      <c r="BB99" s="1256"/>
      <c r="BC99" s="651"/>
      <c r="BD99" s="1256"/>
      <c r="BE99" s="1256"/>
      <c r="BF99" s="1256"/>
      <c r="BG99" s="1256"/>
      <c r="BH99" s="1256"/>
      <c r="BI99" s="1728"/>
      <c r="BJ99" s="673"/>
      <c r="BK99" s="673"/>
      <c r="BL99" s="673"/>
      <c r="BM99" s="673"/>
      <c r="BN99" s="1737">
        <v>11</v>
      </c>
    </row>
    <row s="10851" customFormat="1" customHeight="1" ht="11.549999999999999">
      <c r="A100" s="1087"/>
      <c r="B100" s="1732"/>
      <c r="C100" s="1732"/>
      <c r="D100" s="458"/>
      <c r="AO100" s="4889"/>
      <c r="AP100" s="4889"/>
      <c r="AQ100" s="4889"/>
      <c r="AS100" s="1256"/>
      <c r="AT100" s="1732"/>
      <c r="AU100" s="1732"/>
      <c r="AV100" s="1256"/>
      <c r="AW100" s="1256"/>
      <c r="AX100" s="1256"/>
      <c r="AY100" s="1256"/>
      <c r="AZ100" s="1732"/>
      <c r="BA100" s="1256"/>
      <c r="BB100" s="1256"/>
      <c r="BC100" s="651"/>
      <c r="BD100" s="1256"/>
      <c r="BE100" s="1256"/>
      <c r="BF100" s="1256"/>
      <c r="BG100" s="1256"/>
      <c r="BH100" s="1256"/>
      <c r="BI100" s="1728"/>
      <c r="BJ100" s="673"/>
      <c r="BK100" s="673"/>
      <c r="BL100" s="673"/>
      <c r="BM100" s="673"/>
      <c r="BN100" s="1737">
        <v>11</v>
      </c>
    </row>
    <row s="10851" customFormat="1" customHeight="1" ht="11.549999999999999">
      <c r="A101" s="1087"/>
      <c r="B101" s="1732"/>
      <c r="C101" s="1732"/>
      <c r="D101" s="458"/>
      <c r="AO101" s="4889"/>
      <c r="AP101" s="4889"/>
      <c r="AQ101" s="4889"/>
      <c r="AS101" s="1256"/>
      <c r="AT101" s="1732"/>
      <c r="AU101" s="1732"/>
      <c r="AV101" s="1256"/>
      <c r="AW101" s="1256"/>
      <c r="AX101" s="1256"/>
      <c r="AY101" s="1256"/>
      <c r="AZ101" s="1732"/>
      <c r="BA101" s="1256"/>
      <c r="BB101" s="1256"/>
      <c r="BC101" s="651"/>
      <c r="BD101" s="1256"/>
      <c r="BE101" s="1256"/>
      <c r="BF101" s="1256"/>
      <c r="BG101" s="1256"/>
      <c r="BH101" s="1256"/>
      <c r="BI101" s="1728"/>
      <c r="BJ101" s="673"/>
      <c r="BK101" s="673"/>
      <c r="BL101" s="673"/>
      <c r="BM101" s="673"/>
      <c r="BN101" s="1737">
        <v>11</v>
      </c>
    </row>
    <row s="10851" customFormat="1" customHeight="1" ht="11.549999999999999">
      <c r="A102" s="1087"/>
      <c r="B102" s="1732"/>
      <c r="C102" s="1732"/>
      <c r="D102" s="458"/>
      <c r="AO102" s="4889"/>
      <c r="AP102" s="4889"/>
      <c r="AQ102" s="4889"/>
      <c r="AS102" s="1256"/>
      <c r="AT102" s="1732"/>
      <c r="AU102" s="1732"/>
      <c r="AV102" s="1256"/>
      <c r="AW102" s="1256"/>
      <c r="AX102" s="1256"/>
      <c r="AY102" s="1256"/>
      <c r="AZ102" s="1732"/>
      <c r="BA102" s="1256"/>
      <c r="BB102" s="1256"/>
      <c r="BC102" s="651"/>
      <c r="BD102" s="1256"/>
      <c r="BE102" s="1256"/>
      <c r="BF102" s="1256"/>
      <c r="BG102" s="1256"/>
      <c r="BH102" s="1256"/>
      <c r="BI102" s="1728"/>
      <c r="BJ102" s="673"/>
      <c r="BK102" s="673"/>
      <c r="BL102" s="673"/>
      <c r="BM102" s="673"/>
      <c r="BN102" s="1737">
        <v>11</v>
      </c>
    </row>
    <row s="10851" customFormat="1" customHeight="1" ht="11.549999999999999">
      <c r="A103" s="1087"/>
      <c r="B103" s="1732"/>
      <c r="C103" s="1732"/>
      <c r="D103" s="458"/>
      <c r="AO103" s="4889"/>
      <c r="AP103" s="4889"/>
      <c r="AQ103" s="4889"/>
      <c r="AS103" s="1256"/>
      <c r="AT103" s="1732"/>
      <c r="AU103" s="1732"/>
      <c r="AV103" s="1256"/>
      <c r="AW103" s="1256"/>
      <c r="AX103" s="1256"/>
      <c r="AY103" s="1256"/>
      <c r="AZ103" s="1732"/>
      <c r="BA103" s="1256"/>
      <c r="BB103" s="1256"/>
      <c r="BC103" s="651"/>
      <c r="BD103" s="1256"/>
      <c r="BE103" s="1256"/>
      <c r="BF103" s="1256"/>
      <c r="BG103" s="1256"/>
      <c r="BH103" s="1256"/>
      <c r="BI103" s="1728"/>
      <c r="BJ103" s="673"/>
      <c r="BK103" s="673"/>
      <c r="BL103" s="673"/>
      <c r="BM103" s="673"/>
      <c r="BN103" s="1737">
        <v>11</v>
      </c>
    </row>
    <row s="10851" customFormat="1" customHeight="1" ht="11.549999999999999">
      <c r="A104" s="1087"/>
      <c r="B104" s="1732"/>
      <c r="C104" s="1732"/>
      <c r="D104" s="458"/>
      <c r="AO104" s="4889"/>
      <c r="AP104" s="4889"/>
      <c r="AQ104" s="4889"/>
      <c r="AS104" s="1256"/>
      <c r="AT104" s="1732"/>
      <c r="AU104" s="1732"/>
      <c r="AV104" s="1256"/>
      <c r="AW104" s="1256"/>
      <c r="AX104" s="1256"/>
      <c r="AY104" s="1256"/>
      <c r="AZ104" s="1732"/>
      <c r="BA104" s="1256"/>
      <c r="BB104" s="1256"/>
      <c r="BC104" s="651"/>
      <c r="BD104" s="1256"/>
      <c r="BE104" s="1256"/>
      <c r="BF104" s="1256"/>
      <c r="BG104" s="1256"/>
      <c r="BH104" s="1256"/>
      <c r="BI104" s="1728"/>
      <c r="BJ104" s="673"/>
      <c r="BK104" s="673"/>
      <c r="BL104" s="673"/>
      <c r="BM104" s="673"/>
      <c r="BN104" s="1737">
        <v>11</v>
      </c>
    </row>
    <row s="10851" customFormat="1" customHeight="1" ht="11.549999999999999">
      <c r="A105" s="1087"/>
      <c r="B105" s="1732"/>
      <c r="C105" s="1732"/>
      <c r="D105" s="458"/>
      <c r="AO105" s="4889"/>
      <c r="AP105" s="4889"/>
      <c r="AQ105" s="4889"/>
      <c r="AS105" s="1256"/>
      <c r="AT105" s="1732"/>
      <c r="AU105" s="1732"/>
      <c r="AV105" s="1256"/>
      <c r="AW105" s="1256"/>
      <c r="AX105" s="1256"/>
      <c r="AY105" s="1256"/>
      <c r="AZ105" s="1732"/>
      <c r="BA105" s="1256"/>
      <c r="BB105" s="1256"/>
      <c r="BC105" s="651"/>
      <c r="BD105" s="1256"/>
      <c r="BE105" s="1256"/>
      <c r="BF105" s="1256"/>
      <c r="BG105" s="1256"/>
      <c r="BH105" s="1256"/>
      <c r="BI105" s="1728"/>
      <c r="BJ105" s="673"/>
      <c r="BK105" s="673"/>
      <c r="BL105" s="673"/>
      <c r="BM105" s="673"/>
      <c r="BN105" s="1737">
        <v>11</v>
      </c>
    </row>
    <row s="10851" customFormat="1" customHeight="1" ht="11.549999999999999">
      <c r="A106" s="1087"/>
      <c r="B106" s="1732"/>
      <c r="C106" s="1732"/>
      <c r="D106" s="458"/>
      <c r="AO106" s="4889"/>
      <c r="AP106" s="4889"/>
      <c r="AQ106" s="4889"/>
      <c r="AS106" s="1256"/>
      <c r="AT106" s="1732"/>
      <c r="AU106" s="1732"/>
      <c r="AV106" s="1256"/>
      <c r="AW106" s="1256"/>
      <c r="AX106" s="1256"/>
      <c r="AY106" s="1256"/>
      <c r="AZ106" s="1732"/>
      <c r="BA106" s="1256"/>
      <c r="BB106" s="1256"/>
      <c r="BC106" s="651"/>
      <c r="BD106" s="1256"/>
      <c r="BE106" s="1256"/>
      <c r="BF106" s="1256"/>
      <c r="BG106" s="1256"/>
      <c r="BH106" s="1256"/>
      <c r="BI106" s="1728"/>
      <c r="BJ106" s="673"/>
      <c r="BK106" s="673"/>
      <c r="BL106" s="673"/>
      <c r="BM106" s="673"/>
      <c r="BN106" s="1737">
        <v>11</v>
      </c>
    </row>
    <row s="10851" customFormat="1" customHeight="1" ht="11.549999999999999">
      <c r="A107" s="1087"/>
      <c r="B107" s="1732"/>
      <c r="C107" s="1732"/>
      <c r="D107" s="458"/>
      <c r="AO107" s="4889"/>
      <c r="AP107" s="4889"/>
      <c r="AQ107" s="4889"/>
      <c r="AS107" s="1256"/>
      <c r="AT107" s="1732"/>
      <c r="AU107" s="1732"/>
      <c r="AV107" s="1256"/>
      <c r="AW107" s="1256"/>
      <c r="AX107" s="1256"/>
      <c r="AY107" s="1256"/>
      <c r="AZ107" s="1732"/>
      <c r="BA107" s="1256"/>
      <c r="BB107" s="1256"/>
      <c r="BC107" s="651"/>
      <c r="BD107" s="1256"/>
      <c r="BE107" s="1256"/>
      <c r="BF107" s="1256"/>
      <c r="BG107" s="1256"/>
      <c r="BH107" s="1256"/>
      <c r="BI107" s="1728"/>
      <c r="BJ107" s="673"/>
      <c r="BK107" s="673"/>
      <c r="BL107" s="673"/>
      <c r="BM107" s="673"/>
      <c r="BN107" s="1737">
        <v>11</v>
      </c>
    </row>
    <row s="10851" customFormat="1" customHeight="1" ht="11.549999999999999">
      <c r="A108" s="1087"/>
      <c r="B108" s="1732"/>
      <c r="C108" s="1732"/>
      <c r="D108" s="458"/>
      <c r="AO108" s="4889"/>
      <c r="AP108" s="4889"/>
      <c r="AQ108" s="4889"/>
      <c r="AS108" s="1256"/>
      <c r="AT108" s="1732"/>
      <c r="AU108" s="1732"/>
      <c r="AV108" s="1256"/>
      <c r="AW108" s="1256"/>
      <c r="AX108" s="1256"/>
      <c r="AY108" s="1256"/>
      <c r="AZ108" s="1732"/>
      <c r="BA108" s="1256"/>
      <c r="BB108" s="1256"/>
      <c r="BC108" s="651"/>
      <c r="BD108" s="1256"/>
      <c r="BE108" s="1256"/>
      <c r="BF108" s="1256"/>
      <c r="BG108" s="1256"/>
      <c r="BH108" s="1256"/>
      <c r="BI108" s="1728"/>
      <c r="BJ108" s="673"/>
      <c r="BK108" s="673"/>
      <c r="BL108" s="673"/>
      <c r="BM108" s="673"/>
      <c r="BN108" s="1737">
        <v>11</v>
      </c>
    </row>
    <row s="10851" customFormat="1" customHeight="1" ht="11.549999999999999">
      <c r="A109" s="1087"/>
      <c r="B109" s="1732"/>
      <c r="C109" s="1732"/>
      <c r="D109" s="458"/>
      <c r="AO109" s="4889"/>
      <c r="AP109" s="4889"/>
      <c r="AQ109" s="4889"/>
      <c r="AS109" s="1256"/>
      <c r="AT109" s="1732"/>
      <c r="AU109" s="1732"/>
      <c r="AV109" s="1256"/>
      <c r="AW109" s="1256"/>
      <c r="AX109" s="1256"/>
      <c r="AY109" s="1256"/>
      <c r="AZ109" s="1732"/>
      <c r="BA109" s="1256"/>
      <c r="BB109" s="1256"/>
      <c r="BC109" s="651"/>
      <c r="BD109" s="1256"/>
      <c r="BE109" s="1256"/>
      <c r="BF109" s="1256"/>
      <c r="BG109" s="1256"/>
      <c r="BH109" s="1256"/>
      <c r="BI109" s="1728"/>
      <c r="BJ109" s="673"/>
      <c r="BK109" s="673"/>
      <c r="BL109" s="673"/>
      <c r="BM109" s="673"/>
      <c r="BN109" s="1737">
        <v>11</v>
      </c>
    </row>
    <row s="10851" customFormat="1" customHeight="1" ht="11.549999999999999">
      <c r="A110" s="1087"/>
      <c r="B110" s="1732"/>
      <c r="C110" s="1732"/>
      <c r="D110" s="458"/>
      <c r="AO110" s="4889"/>
      <c r="AP110" s="4889"/>
      <c r="AQ110" s="4889"/>
      <c r="AS110" s="1256"/>
      <c r="AT110" s="1732"/>
      <c r="AU110" s="1732"/>
      <c r="AV110" s="1256"/>
      <c r="AW110" s="1256"/>
      <c r="AX110" s="1256"/>
      <c r="AY110" s="1256"/>
      <c r="AZ110" s="1732"/>
      <c r="BA110" s="1256"/>
      <c r="BB110" s="1256"/>
      <c r="BC110" s="651"/>
      <c r="BD110" s="1256"/>
      <c r="BE110" s="1256"/>
      <c r="BF110" s="1256"/>
      <c r="BG110" s="1256"/>
      <c r="BH110" s="1256"/>
      <c r="BI110" s="1728"/>
      <c r="BJ110" s="673"/>
      <c r="BK110" s="673"/>
      <c r="BL110" s="673"/>
      <c r="BM110" s="673"/>
      <c r="BN110" s="1737">
        <v>11</v>
      </c>
    </row>
    <row s="10851" customFormat="1" customHeight="1" ht="11.549999999999999">
      <c r="A111" s="1087"/>
      <c r="B111" s="1732"/>
      <c r="C111" s="1732"/>
      <c r="D111" s="458"/>
      <c r="AO111" s="4889"/>
      <c r="AP111" s="4889"/>
      <c r="AQ111" s="4889"/>
      <c r="AS111" s="1256"/>
      <c r="AT111" s="1732"/>
      <c r="AU111" s="1732"/>
      <c r="AV111" s="1256"/>
      <c r="AW111" s="1256"/>
      <c r="AX111" s="1256"/>
      <c r="AY111" s="1256"/>
      <c r="AZ111" s="1732"/>
      <c r="BA111" s="1256"/>
      <c r="BB111" s="1256"/>
      <c r="BC111" s="651"/>
      <c r="BD111" s="1256"/>
      <c r="BE111" s="1256"/>
      <c r="BF111" s="1256"/>
      <c r="BG111" s="1256"/>
      <c r="BH111" s="1256"/>
      <c r="BI111" s="1728"/>
      <c r="BJ111" s="673"/>
      <c r="BK111" s="673"/>
      <c r="BL111" s="673"/>
      <c r="BM111" s="673"/>
      <c r="BN111" s="1737">
        <v>11</v>
      </c>
    </row>
    <row s="10851" customFormat="1" customHeight="1" ht="11.549999999999999">
      <c r="A112" s="1087"/>
      <c r="B112" s="1732"/>
      <c r="C112" s="1732"/>
      <c r="D112" s="458"/>
      <c r="AO112" s="4889"/>
      <c r="AP112" s="4889"/>
      <c r="AQ112" s="4889"/>
      <c r="AS112" s="1256"/>
      <c r="AT112" s="1732"/>
      <c r="AU112" s="1732"/>
      <c r="AV112" s="1256"/>
      <c r="AW112" s="1256"/>
      <c r="AX112" s="1256"/>
      <c r="AY112" s="1256"/>
      <c r="AZ112" s="1732"/>
      <c r="BA112" s="1256"/>
      <c r="BB112" s="1256"/>
      <c r="BC112" s="651"/>
      <c r="BD112" s="1256"/>
      <c r="BE112" s="1256"/>
      <c r="BF112" s="1256"/>
      <c r="BG112" s="1256"/>
      <c r="BH112" s="1256"/>
      <c r="BI112" s="1728"/>
      <c r="BJ112" s="673"/>
      <c r="BK112" s="673"/>
      <c r="BL112" s="673"/>
      <c r="BM112" s="673"/>
      <c r="BN112" s="1737">
        <v>11</v>
      </c>
    </row>
    <row s="10851" customFormat="1" customHeight="1" ht="11.549999999999999">
      <c r="A113" s="1087"/>
      <c r="B113" s="1732"/>
      <c r="C113" s="1732"/>
      <c r="D113" s="458"/>
      <c r="AO113" s="4889"/>
      <c r="AP113" s="4889"/>
      <c r="AQ113" s="4889"/>
      <c r="AS113" s="1256"/>
      <c r="AT113" s="1732"/>
      <c r="AU113" s="1732"/>
      <c r="AV113" s="1256"/>
      <c r="AW113" s="1256"/>
      <c r="AX113" s="1256"/>
      <c r="AY113" s="1256"/>
      <c r="AZ113" s="1732"/>
      <c r="BA113" s="1256"/>
      <c r="BB113" s="1256"/>
      <c r="BC113" s="651"/>
      <c r="BD113" s="1256"/>
      <c r="BE113" s="1256"/>
      <c r="BF113" s="1256"/>
      <c r="BG113" s="1256"/>
      <c r="BH113" s="1256"/>
      <c r="BI113" s="1728"/>
      <c r="BJ113" s="673"/>
      <c r="BK113" s="673"/>
      <c r="BL113" s="673"/>
      <c r="BM113" s="673"/>
      <c r="BN113" s="1737">
        <v>11</v>
      </c>
    </row>
    <row s="10851" customFormat="1" customHeight="1" ht="11.549999999999999">
      <c r="A114" s="1087"/>
      <c r="B114" s="1732"/>
      <c r="C114" s="1732"/>
      <c r="D114" s="458"/>
      <c r="AO114" s="4889"/>
      <c r="AP114" s="4889"/>
      <c r="AQ114" s="4889"/>
      <c r="AS114" s="1256"/>
      <c r="AT114" s="1732"/>
      <c r="AU114" s="1732"/>
      <c r="AV114" s="1256"/>
      <c r="AW114" s="1256"/>
      <c r="AX114" s="1256"/>
      <c r="AY114" s="1256"/>
      <c r="AZ114" s="1732"/>
      <c r="BA114" s="1256"/>
      <c r="BB114" s="1256"/>
      <c r="BC114" s="651"/>
      <c r="BD114" s="1256"/>
      <c r="BE114" s="1256"/>
      <c r="BF114" s="1256"/>
      <c r="BG114" s="1256"/>
      <c r="BH114" s="1256"/>
      <c r="BI114" s="1728"/>
      <c r="BJ114" s="673"/>
      <c r="BK114" s="673"/>
      <c r="BL114" s="673"/>
      <c r="BM114" s="673"/>
      <c r="BN114" s="1737">
        <v>11</v>
      </c>
    </row>
    <row s="10851" customFormat="1" customHeight="1" ht="11.549999999999999">
      <c r="A115" s="1087"/>
      <c r="B115" s="1732"/>
      <c r="C115" s="1732"/>
      <c r="D115" s="458"/>
      <c r="AO115" s="4889"/>
      <c r="AP115" s="4889"/>
      <c r="AQ115" s="4889"/>
      <c r="AS115" s="1256"/>
      <c r="AT115" s="1732"/>
      <c r="AU115" s="1732"/>
      <c r="AV115" s="1256"/>
      <c r="AW115" s="1256"/>
      <c r="AX115" s="1256"/>
      <c r="AY115" s="1256"/>
      <c r="AZ115" s="1732"/>
      <c r="BA115" s="1256"/>
      <c r="BB115" s="1256"/>
      <c r="BC115" s="651"/>
      <c r="BD115" s="1256"/>
      <c r="BE115" s="1256"/>
      <c r="BF115" s="1256"/>
      <c r="BG115" s="1256"/>
      <c r="BH115" s="1256"/>
      <c r="BI115" s="1728"/>
      <c r="BJ115" s="673"/>
      <c r="BK115" s="673"/>
      <c r="BL115" s="673"/>
      <c r="BM115" s="673"/>
      <c r="BN115" s="1737">
        <v>11</v>
      </c>
    </row>
    <row s="10851" customFormat="1" customHeight="1" ht="11.549999999999999">
      <c r="A116" s="1087"/>
      <c r="B116" s="1732"/>
      <c r="C116" s="1732"/>
      <c r="D116" s="458"/>
      <c r="AO116" s="4889"/>
      <c r="AP116" s="4889"/>
      <c r="AQ116" s="4889"/>
      <c r="AS116" s="1256"/>
      <c r="AT116" s="1732"/>
      <c r="AU116" s="1732"/>
      <c r="AV116" s="1256"/>
      <c r="AW116" s="1256"/>
      <c r="AX116" s="1256"/>
      <c r="AY116" s="1256"/>
      <c r="AZ116" s="1732"/>
      <c r="BA116" s="1256"/>
      <c r="BB116" s="1256"/>
      <c r="BC116" s="651"/>
      <c r="BD116" s="1256"/>
      <c r="BE116" s="1256"/>
      <c r="BF116" s="1256"/>
      <c r="BG116" s="1256"/>
      <c r="BH116" s="1256"/>
      <c r="BI116" s="1728"/>
      <c r="BJ116" s="673"/>
      <c r="BK116" s="673"/>
      <c r="BL116" s="673"/>
      <c r="BM116" s="673"/>
      <c r="BN116" s="1737">
        <v>11</v>
      </c>
    </row>
    <row s="10851" customFormat="1" customHeight="1" ht="11.549999999999999">
      <c r="A117" s="1087"/>
      <c r="B117" s="1732"/>
      <c r="C117" s="1732"/>
      <c r="D117" s="458"/>
      <c r="AO117" s="4889"/>
      <c r="AP117" s="4889"/>
      <c r="AQ117" s="4889"/>
      <c r="AS117" s="1256"/>
      <c r="AT117" s="1732"/>
      <c r="AU117" s="1732"/>
      <c r="AV117" s="1256"/>
      <c r="AW117" s="1256"/>
      <c r="AX117" s="1256"/>
      <c r="AY117" s="1256"/>
      <c r="AZ117" s="1732"/>
      <c r="BA117" s="1256"/>
      <c r="BB117" s="1256"/>
      <c r="BC117" s="651"/>
      <c r="BD117" s="1256"/>
      <c r="BE117" s="1256"/>
      <c r="BF117" s="1256"/>
      <c r="BG117" s="1256"/>
      <c r="BH117" s="1256"/>
      <c r="BI117" s="1728"/>
      <c r="BJ117" s="673"/>
      <c r="BK117" s="673"/>
      <c r="BL117" s="673"/>
      <c r="BM117" s="673"/>
      <c r="BN117" s="1737">
        <v>11</v>
      </c>
    </row>
    <row s="10851" customFormat="1" customHeight="1" ht="11.549999999999999">
      <c r="A118" s="1087"/>
      <c r="B118" s="1732"/>
      <c r="C118" s="1732"/>
      <c r="D118" s="458"/>
      <c r="AO118" s="4889"/>
      <c r="AP118" s="4889"/>
      <c r="AQ118" s="4889"/>
      <c r="AS118" s="1256"/>
      <c r="AT118" s="1732"/>
      <c r="AU118" s="1732"/>
      <c r="AV118" s="1256"/>
      <c r="AW118" s="1256"/>
      <c r="AX118" s="1256"/>
      <c r="AY118" s="1256"/>
      <c r="AZ118" s="1732"/>
      <c r="BA118" s="1256"/>
      <c r="BB118" s="1256"/>
      <c r="BC118" s="651"/>
      <c r="BD118" s="1256"/>
      <c r="BE118" s="1256"/>
      <c r="BF118" s="1256"/>
      <c r="BG118" s="1256"/>
      <c r="BH118" s="1256"/>
      <c r="BI118" s="1728"/>
      <c r="BJ118" s="673"/>
      <c r="BK118" s="673"/>
      <c r="BL118" s="673"/>
      <c r="BM118" s="673"/>
      <c r="BN118" s="1737">
        <v>11</v>
      </c>
    </row>
    <row s="10851" customFormat="1" customHeight="1" ht="11.549999999999999">
      <c r="A119" s="1087"/>
      <c r="B119" s="1732"/>
      <c r="C119" s="1732"/>
      <c r="D119" s="458"/>
      <c r="AO119" s="4889"/>
      <c r="AP119" s="4889"/>
      <c r="AQ119" s="4889"/>
      <c r="AS119" s="1256"/>
      <c r="AT119" s="1732"/>
      <c r="AU119" s="1732"/>
      <c r="AV119" s="1256"/>
      <c r="AW119" s="1256"/>
      <c r="AX119" s="1256"/>
      <c r="AY119" s="1256"/>
      <c r="AZ119" s="1732"/>
      <c r="BA119" s="1256"/>
      <c r="BB119" s="1256"/>
      <c r="BC119" s="651"/>
      <c r="BD119" s="1256"/>
      <c r="BE119" s="1256"/>
      <c r="BF119" s="1256"/>
      <c r="BG119" s="1256"/>
      <c r="BH119" s="1256"/>
      <c r="BI119" s="1728"/>
      <c r="BJ119" s="673"/>
      <c r="BK119" s="673"/>
      <c r="BL119" s="673"/>
      <c r="BM119" s="673"/>
      <c r="BN119" s="1737">
        <v>11</v>
      </c>
    </row>
    <row s="10851" customFormat="1" customHeight="1" ht="11.549999999999999">
      <c r="A120" s="1087"/>
      <c r="B120" s="1732"/>
      <c r="C120" s="1732"/>
      <c r="D120" s="458"/>
      <c r="AO120" s="4889"/>
      <c r="AP120" s="4889"/>
      <c r="AQ120" s="4889"/>
      <c r="AS120" s="1256"/>
      <c r="AT120" s="1732"/>
      <c r="AU120" s="1732"/>
      <c r="AV120" s="1256"/>
      <c r="AW120" s="1256"/>
      <c r="AX120" s="1256"/>
      <c r="AY120" s="1256"/>
      <c r="AZ120" s="1732"/>
      <c r="BA120" s="1256"/>
      <c r="BB120" s="1256"/>
      <c r="BC120" s="651"/>
      <c r="BD120" s="1256"/>
      <c r="BE120" s="1256"/>
      <c r="BF120" s="1256"/>
      <c r="BG120" s="1256"/>
      <c r="BH120" s="1256"/>
      <c r="BI120" s="1728"/>
      <c r="BJ120" s="673"/>
      <c r="BK120" s="673"/>
      <c r="BL120" s="673"/>
      <c r="BM120" s="673"/>
      <c r="BN120" s="1737">
        <v>11</v>
      </c>
    </row>
    <row s="10851" customFormat="1" customHeight="1" ht="11.549999999999999">
      <c r="A121" s="1087"/>
      <c r="B121" s="1732"/>
      <c r="C121" s="1732"/>
      <c r="D121" s="458"/>
      <c r="AO121" s="4889"/>
      <c r="AP121" s="4889"/>
      <c r="AQ121" s="4889"/>
      <c r="AS121" s="1256"/>
      <c r="AT121" s="1732"/>
      <c r="AU121" s="1732"/>
      <c r="AV121" s="1256"/>
      <c r="AW121" s="1256"/>
      <c r="AX121" s="1256"/>
      <c r="AY121" s="1256"/>
      <c r="AZ121" s="1732"/>
      <c r="BA121" s="1256"/>
      <c r="BB121" s="1256"/>
      <c r="BC121" s="651"/>
      <c r="BD121" s="1256"/>
      <c r="BE121" s="1256"/>
      <c r="BF121" s="1256"/>
      <c r="BG121" s="1256"/>
      <c r="BH121" s="1256"/>
      <c r="BI121" s="1728"/>
      <c r="BJ121" s="673"/>
      <c r="BK121" s="673"/>
      <c r="BL121" s="673"/>
      <c r="BM121" s="673"/>
      <c r="BN121" s="1737">
        <v>11</v>
      </c>
    </row>
    <row s="10851" customFormat="1" customHeight="1" ht="11.549999999999999">
      <c r="A122" s="1087"/>
      <c r="B122" s="1732"/>
      <c r="C122" s="1732"/>
      <c r="D122" s="458"/>
      <c r="AO122" s="4889"/>
      <c r="AP122" s="4889"/>
      <c r="AQ122" s="4889"/>
      <c r="AS122" s="1256"/>
      <c r="AT122" s="1732"/>
      <c r="AU122" s="1732"/>
      <c r="AV122" s="1256"/>
      <c r="AW122" s="1256"/>
      <c r="AX122" s="1256"/>
      <c r="AY122" s="1256"/>
      <c r="AZ122" s="1732"/>
      <c r="BA122" s="1256"/>
      <c r="BB122" s="1256"/>
      <c r="BC122" s="651"/>
      <c r="BD122" s="1256"/>
      <c r="BE122" s="1256"/>
      <c r="BF122" s="1256"/>
      <c r="BG122" s="1256"/>
      <c r="BH122" s="1256"/>
      <c r="BI122" s="1728"/>
      <c r="BJ122" s="673"/>
      <c r="BK122" s="673"/>
      <c r="BL122" s="673"/>
      <c r="BM122" s="673"/>
      <c r="BN122" s="1737">
        <v>11</v>
      </c>
    </row>
    <row s="10851" customFormat="1" customHeight="1" ht="11.549999999999999">
      <c r="A123" s="1087"/>
      <c r="B123" s="1732"/>
      <c r="C123" s="1732"/>
      <c r="D123" s="458"/>
      <c r="AO123" s="4889"/>
      <c r="AP123" s="4889"/>
      <c r="AQ123" s="4889"/>
      <c r="AS123" s="1256"/>
      <c r="AT123" s="1732"/>
      <c r="AU123" s="1732"/>
      <c r="AV123" s="1256"/>
      <c r="AW123" s="1256"/>
      <c r="AX123" s="1256"/>
      <c r="AY123" s="1256"/>
      <c r="AZ123" s="1732"/>
      <c r="BA123" s="1256"/>
      <c r="BB123" s="1256"/>
      <c r="BC123" s="651"/>
      <c r="BD123" s="1256"/>
      <c r="BE123" s="1256"/>
      <c r="BF123" s="1256"/>
      <c r="BG123" s="1256"/>
      <c r="BH123" s="1256"/>
      <c r="BI123" s="1728"/>
      <c r="BJ123" s="673"/>
      <c r="BK123" s="673"/>
      <c r="BL123" s="673"/>
      <c r="BM123" s="673"/>
      <c r="BN123" s="1737">
        <v>11</v>
      </c>
    </row>
    <row s="10851" customFormat="1" customHeight="1" ht="11.549999999999999">
      <c r="A124" s="1087"/>
      <c r="B124" s="1732"/>
      <c r="C124" s="1732"/>
      <c r="D124" s="458"/>
      <c r="AO124" s="4889"/>
      <c r="AP124" s="4889"/>
      <c r="AQ124" s="4889"/>
      <c r="AS124" s="1256"/>
      <c r="AT124" s="1732"/>
      <c r="AU124" s="1732"/>
      <c r="AV124" s="1256"/>
      <c r="AW124" s="1256"/>
      <c r="AX124" s="1256"/>
      <c r="AY124" s="1256"/>
      <c r="AZ124" s="1732"/>
      <c r="BA124" s="1256"/>
      <c r="BB124" s="1256"/>
      <c r="BC124" s="651"/>
      <c r="BD124" s="1256"/>
      <c r="BE124" s="1256"/>
      <c r="BF124" s="1256"/>
      <c r="BG124" s="1256"/>
      <c r="BH124" s="1256"/>
      <c r="BI124" s="1728"/>
      <c r="BJ124" s="673"/>
      <c r="BK124" s="673"/>
      <c r="BL124" s="673"/>
      <c r="BM124" s="673"/>
      <c r="BN124" s="1737">
        <v>11</v>
      </c>
    </row>
    <row s="10851" customFormat="1" customHeight="1" ht="11.549999999999999">
      <c r="A125" s="1087"/>
      <c r="B125" s="1732"/>
      <c r="C125" s="1732"/>
      <c r="D125" s="458"/>
      <c r="AO125" s="4889"/>
      <c r="AP125" s="4889"/>
      <c r="AQ125" s="4889"/>
      <c r="AS125" s="1256"/>
      <c r="AT125" s="1732"/>
      <c r="AU125" s="1732"/>
      <c r="AV125" s="1256"/>
      <c r="AW125" s="1256"/>
      <c r="AX125" s="1256"/>
      <c r="AY125" s="1256"/>
      <c r="AZ125" s="1732"/>
      <c r="BA125" s="1256"/>
      <c r="BB125" s="1256"/>
      <c r="BC125" s="651"/>
      <c r="BD125" s="1256"/>
      <c r="BE125" s="1256"/>
      <c r="BF125" s="1256"/>
      <c r="BG125" s="1256"/>
      <c r="BH125" s="1256"/>
      <c r="BI125" s="1728"/>
      <c r="BJ125" s="673"/>
      <c r="BK125" s="673"/>
      <c r="BL125" s="673"/>
      <c r="BM125" s="673"/>
      <c r="BN125" s="1737">
        <v>11</v>
      </c>
    </row>
    <row s="10851" customFormat="1" customHeight="1" ht="11.549999999999999">
      <c r="A126" s="1087"/>
      <c r="B126" s="1732"/>
      <c r="C126" s="1732"/>
      <c r="D126" s="458"/>
      <c r="AO126" s="4889"/>
      <c r="AP126" s="4889"/>
      <c r="AQ126" s="4889"/>
      <c r="AS126" s="1256"/>
      <c r="AT126" s="1732"/>
      <c r="AU126" s="1732"/>
      <c r="AV126" s="1256"/>
      <c r="AW126" s="1256"/>
      <c r="AX126" s="1256"/>
      <c r="AY126" s="1256"/>
      <c r="AZ126" s="1732"/>
      <c r="BA126" s="1256"/>
      <c r="BB126" s="1256"/>
      <c r="BC126" s="651"/>
      <c r="BD126" s="1256"/>
      <c r="BE126" s="1256"/>
      <c r="BF126" s="1256"/>
      <c r="BG126" s="1256"/>
      <c r="BH126" s="1256"/>
      <c r="BI126" s="1728"/>
      <c r="BJ126" s="673"/>
      <c r="BK126" s="673"/>
      <c r="BL126" s="673"/>
      <c r="BM126" s="673"/>
      <c r="BN126" s="1737">
        <v>11</v>
      </c>
    </row>
    <row s="10851" customFormat="1" customHeight="1" ht="11.549999999999999">
      <c r="A127" s="1087"/>
      <c r="B127" s="1732"/>
      <c r="C127" s="1732"/>
      <c r="D127" s="458"/>
      <c r="AO127" s="4889"/>
      <c r="AP127" s="4889"/>
      <c r="AQ127" s="4889"/>
      <c r="AS127" s="1256"/>
      <c r="AT127" s="1732"/>
      <c r="AU127" s="1732"/>
      <c r="AV127" s="1256"/>
      <c r="AW127" s="1256"/>
      <c r="AX127" s="1256"/>
      <c r="AY127" s="1256"/>
      <c r="AZ127" s="1732"/>
      <c r="BA127" s="1256"/>
      <c r="BB127" s="1256"/>
      <c r="BC127" s="651"/>
      <c r="BD127" s="1256"/>
      <c r="BE127" s="1256"/>
      <c r="BF127" s="1256"/>
      <c r="BG127" s="1256"/>
      <c r="BH127" s="1256"/>
      <c r="BI127" s="1728"/>
      <c r="BJ127" s="673"/>
      <c r="BK127" s="673"/>
      <c r="BL127" s="673"/>
      <c r="BM127" s="673"/>
      <c r="BN127" s="1737">
        <v>11</v>
      </c>
    </row>
    <row s="10851" customFormat="1" customHeight="1" ht="11.549999999999999">
      <c r="A128" s="1087"/>
      <c r="B128" s="1732"/>
      <c r="C128" s="1732"/>
      <c r="D128" s="458"/>
      <c r="AO128" s="4889"/>
      <c r="AP128" s="4889"/>
      <c r="AQ128" s="4889"/>
      <c r="AS128" s="1256"/>
      <c r="AT128" s="1732"/>
      <c r="AU128" s="1732"/>
      <c r="AV128" s="1256"/>
      <c r="AW128" s="1256"/>
      <c r="AX128" s="1256"/>
      <c r="AY128" s="1256"/>
      <c r="AZ128" s="1732"/>
      <c r="BA128" s="1256"/>
      <c r="BB128" s="1256"/>
      <c r="BC128" s="651"/>
      <c r="BD128" s="1256"/>
      <c r="BE128" s="1256"/>
      <c r="BF128" s="1256"/>
      <c r="BG128" s="1256"/>
      <c r="BH128" s="1256"/>
      <c r="BI128" s="1728"/>
      <c r="BJ128" s="673"/>
      <c r="BK128" s="673"/>
      <c r="BL128" s="673"/>
      <c r="BM128" s="673"/>
      <c r="BN128" s="1737">
        <v>11</v>
      </c>
    </row>
    <row s="10851" customFormat="1" customHeight="1" ht="11.549999999999999">
      <c r="A129" s="1087"/>
      <c r="B129" s="1732"/>
      <c r="C129" s="1732"/>
      <c r="D129" s="458"/>
      <c r="AO129" s="4889"/>
      <c r="AP129" s="4889"/>
      <c r="AQ129" s="4889"/>
      <c r="AS129" s="1256"/>
      <c r="AT129" s="1732"/>
      <c r="AU129" s="1732"/>
      <c r="AV129" s="1256"/>
      <c r="AW129" s="1256"/>
      <c r="AX129" s="1256"/>
      <c r="AY129" s="1256"/>
      <c r="AZ129" s="1732"/>
      <c r="BA129" s="1256"/>
      <c r="BB129" s="1256"/>
      <c r="BC129" s="651"/>
      <c r="BD129" s="1256"/>
      <c r="BE129" s="1256"/>
      <c r="BF129" s="1256"/>
      <c r="BG129" s="1256"/>
      <c r="BH129" s="1256"/>
      <c r="BI129" s="1728"/>
      <c r="BJ129" s="673"/>
      <c r="BK129" s="673"/>
      <c r="BL129" s="673"/>
      <c r="BM129" s="673"/>
      <c r="BN129" s="1737">
        <v>11</v>
      </c>
    </row>
    <row s="10851" customFormat="1" customHeight="1" ht="11.549999999999999">
      <c r="A130" s="1087"/>
      <c r="B130" s="1732"/>
      <c r="C130" s="1732"/>
      <c r="D130" s="458"/>
      <c r="AO130" s="4889"/>
      <c r="AP130" s="4889"/>
      <c r="AQ130" s="4889"/>
      <c r="AS130" s="1256"/>
      <c r="AT130" s="1732"/>
      <c r="AU130" s="1732"/>
      <c r="AV130" s="1256"/>
      <c r="AW130" s="1256"/>
      <c r="AX130" s="1256"/>
      <c r="AY130" s="1256"/>
      <c r="AZ130" s="1732"/>
      <c r="BA130" s="1256"/>
      <c r="BB130" s="1256"/>
      <c r="BC130" s="651"/>
      <c r="BD130" s="1256"/>
      <c r="BE130" s="1256"/>
      <c r="BF130" s="1256"/>
      <c r="BG130" s="1256"/>
      <c r="BH130" s="1256"/>
      <c r="BI130" s="1728"/>
      <c r="BJ130" s="673"/>
      <c r="BK130" s="673"/>
      <c r="BL130" s="673"/>
      <c r="BM130" s="673"/>
      <c r="BN130" s="1737">
        <v>11</v>
      </c>
    </row>
    <row s="10851" customFormat="1" customHeight="1" ht="11.549999999999999">
      <c r="A131" s="1087"/>
      <c r="B131" s="1732"/>
      <c r="C131" s="1732"/>
      <c r="D131" s="458"/>
      <c r="AO131" s="4889"/>
      <c r="AP131" s="4889"/>
      <c r="AQ131" s="4889"/>
      <c r="AS131" s="1256"/>
      <c r="AT131" s="1732"/>
      <c r="AU131" s="1732"/>
      <c r="AV131" s="1256"/>
      <c r="AW131" s="1256"/>
      <c r="AX131" s="1256"/>
      <c r="AY131" s="1256"/>
      <c r="AZ131" s="1732"/>
      <c r="BA131" s="1256"/>
      <c r="BB131" s="1256"/>
      <c r="BC131" s="651"/>
      <c r="BD131" s="1256"/>
      <c r="BE131" s="1256"/>
      <c r="BF131" s="1256"/>
      <c r="BG131" s="1256"/>
      <c r="BH131" s="1256"/>
      <c r="BI131" s="1728"/>
      <c r="BJ131" s="673"/>
      <c r="BK131" s="673"/>
      <c r="BL131" s="673"/>
      <c r="BM131" s="673"/>
      <c r="BN131" s="1737">
        <v>11</v>
      </c>
    </row>
    <row s="10851" customFormat="1" customHeight="1" ht="11.549999999999999">
      <c r="A132" s="1087"/>
      <c r="B132" s="1732"/>
      <c r="C132" s="1732"/>
      <c r="D132" s="458"/>
      <c r="AO132" s="4889"/>
      <c r="AP132" s="4889"/>
      <c r="AQ132" s="4889"/>
      <c r="AS132" s="1256"/>
      <c r="AT132" s="1732"/>
      <c r="AU132" s="1732"/>
      <c r="AV132" s="1256"/>
      <c r="AW132" s="1256"/>
      <c r="AX132" s="1256"/>
      <c r="AY132" s="1256"/>
      <c r="AZ132" s="1732"/>
      <c r="BA132" s="1256"/>
      <c r="BB132" s="1256"/>
      <c r="BC132" s="651"/>
      <c r="BD132" s="1256"/>
      <c r="BE132" s="1256"/>
      <c r="BF132" s="1256"/>
      <c r="BG132" s="1256"/>
      <c r="BH132" s="1256"/>
      <c r="BI132" s="1728"/>
      <c r="BJ132" s="673"/>
      <c r="BK132" s="673"/>
      <c r="BL132" s="673"/>
      <c r="BM132" s="673"/>
      <c r="BN132" s="1737">
        <v>11</v>
      </c>
    </row>
    <row s="10851" customFormat="1" customHeight="1" ht="11.549999999999999">
      <c r="A133" s="1087"/>
      <c r="B133" s="1732"/>
      <c r="C133" s="1732"/>
      <c r="D133" s="458"/>
      <c r="AO133" s="4889"/>
      <c r="AP133" s="4889"/>
      <c r="AQ133" s="4889"/>
      <c r="AS133" s="1256"/>
      <c r="AT133" s="1732"/>
      <c r="AU133" s="1732"/>
      <c r="AV133" s="1256"/>
      <c r="AW133" s="1256"/>
      <c r="AX133" s="1256"/>
      <c r="AY133" s="1256"/>
      <c r="AZ133" s="1732"/>
      <c r="BA133" s="1256"/>
      <c r="BB133" s="1256"/>
      <c r="BC133" s="651"/>
      <c r="BD133" s="1256"/>
      <c r="BE133" s="1256"/>
      <c r="BF133" s="1256"/>
      <c r="BG133" s="1256"/>
      <c r="BH133" s="1256"/>
      <c r="BI133" s="1728"/>
      <c r="BJ133" s="673"/>
      <c r="BK133" s="673"/>
      <c r="BL133" s="673"/>
      <c r="BM133" s="673"/>
      <c r="BN133" s="1737">
        <v>11</v>
      </c>
    </row>
    <row s="10851" customFormat="1" customHeight="1" ht="11.549999999999999">
      <c r="A134" s="1087"/>
      <c r="B134" s="1732"/>
      <c r="C134" s="1732"/>
      <c r="D134" s="458"/>
      <c r="AO134" s="4889"/>
      <c r="AP134" s="4889"/>
      <c r="AQ134" s="4889"/>
      <c r="AS134" s="1256"/>
      <c r="AT134" s="1732"/>
      <c r="AU134" s="1732"/>
      <c r="AV134" s="1256"/>
      <c r="AW134" s="1256"/>
      <c r="AX134" s="1256"/>
      <c r="AY134" s="1256"/>
      <c r="AZ134" s="1732"/>
      <c r="BA134" s="1256"/>
      <c r="BB134" s="1256"/>
      <c r="BC134" s="651"/>
      <c r="BD134" s="1256"/>
      <c r="BE134" s="1256"/>
      <c r="BF134" s="1256"/>
      <c r="BG134" s="1256"/>
      <c r="BH134" s="1256"/>
      <c r="BI134" s="1728"/>
      <c r="BJ134" s="673"/>
      <c r="BK134" s="673"/>
      <c r="BL134" s="673"/>
      <c r="BM134" s="673"/>
      <c r="BN134" s="1737">
        <v>11</v>
      </c>
    </row>
    <row s="10851" customFormat="1" customHeight="1" ht="11.549999999999999">
      <c r="A135" s="1087"/>
      <c r="B135" s="1732"/>
      <c r="C135" s="1732"/>
      <c r="D135" s="458"/>
      <c r="AO135" s="4889"/>
      <c r="AP135" s="4889"/>
      <c r="AQ135" s="4889"/>
      <c r="AS135" s="1256"/>
      <c r="AT135" s="1732"/>
      <c r="AU135" s="1732"/>
      <c r="AV135" s="1256"/>
      <c r="AW135" s="1256"/>
      <c r="AX135" s="1256"/>
      <c r="AY135" s="1256"/>
      <c r="AZ135" s="1732"/>
      <c r="BA135" s="1256"/>
      <c r="BB135" s="1256"/>
      <c r="BC135" s="651"/>
      <c r="BD135" s="1256"/>
      <c r="BE135" s="1256"/>
      <c r="BF135" s="1256"/>
      <c r="BG135" s="1256"/>
      <c r="BH135" s="1256"/>
      <c r="BI135" s="1728"/>
      <c r="BJ135" s="673"/>
      <c r="BK135" s="673"/>
      <c r="BL135" s="673"/>
      <c r="BM135" s="673"/>
      <c r="BN135" s="1737">
        <v>11</v>
      </c>
    </row>
    <row s="10851" customFormat="1" customHeight="1" ht="11.549999999999999">
      <c r="A136" s="1087"/>
      <c r="B136" s="1732"/>
      <c r="C136" s="1732"/>
      <c r="D136" s="458"/>
      <c r="AO136" s="4889"/>
      <c r="AP136" s="4889"/>
      <c r="AQ136" s="4889"/>
      <c r="AS136" s="1256"/>
      <c r="AT136" s="1732"/>
      <c r="AU136" s="1732"/>
      <c r="AV136" s="1256"/>
      <c r="AW136" s="1256"/>
      <c r="AX136" s="1256"/>
      <c r="AY136" s="1256"/>
      <c r="AZ136" s="1732"/>
      <c r="BA136" s="1256"/>
      <c r="BB136" s="1256"/>
      <c r="BC136" s="651"/>
      <c r="BD136" s="1256"/>
      <c r="BE136" s="1256"/>
      <c r="BF136" s="1256"/>
      <c r="BG136" s="1256"/>
      <c r="BH136" s="1256"/>
      <c r="BI136" s="1728"/>
      <c r="BJ136" s="673"/>
      <c r="BK136" s="673"/>
      <c r="BL136" s="673"/>
      <c r="BM136" s="673"/>
      <c r="BN136" s="1737">
        <v>11</v>
      </c>
    </row>
    <row s="10851" customFormat="1" customHeight="1" ht="11.549999999999999">
      <c r="A137" s="1087"/>
      <c r="B137" s="1732"/>
      <c r="C137" s="1732"/>
      <c r="D137" s="458"/>
      <c r="AO137" s="4889"/>
      <c r="AP137" s="4889"/>
      <c r="AQ137" s="4889"/>
      <c r="AS137" s="1256"/>
      <c r="AT137" s="1732"/>
      <c r="AU137" s="1732"/>
      <c r="AV137" s="1256"/>
      <c r="AW137" s="1256"/>
      <c r="AX137" s="1256"/>
      <c r="AY137" s="1256"/>
      <c r="AZ137" s="1732"/>
      <c r="BA137" s="1256"/>
      <c r="BB137" s="1256"/>
      <c r="BC137" s="651"/>
      <c r="BD137" s="1256"/>
      <c r="BE137" s="1256"/>
      <c r="BF137" s="1256"/>
      <c r="BG137" s="1256"/>
      <c r="BH137" s="1256"/>
      <c r="BI137" s="1728"/>
      <c r="BJ137" s="673"/>
      <c r="BK137" s="673"/>
      <c r="BL137" s="673"/>
      <c r="BM137" s="673"/>
      <c r="BN137" s="1737">
        <v>11</v>
      </c>
    </row>
    <row s="10851" customFormat="1" customHeight="1" ht="11.549999999999999">
      <c r="A138" s="1087"/>
      <c r="B138" s="1732"/>
      <c r="C138" s="1732"/>
      <c r="D138" s="458"/>
      <c r="AO138" s="4889"/>
      <c r="AP138" s="4889"/>
      <c r="AQ138" s="4889"/>
      <c r="AS138" s="1256"/>
      <c r="AT138" s="1732"/>
      <c r="AU138" s="1732"/>
      <c r="AV138" s="1256"/>
      <c r="AW138" s="1256"/>
      <c r="AX138" s="1256"/>
      <c r="AY138" s="1256"/>
      <c r="AZ138" s="1732"/>
      <c r="BA138" s="1256"/>
      <c r="BB138" s="1256"/>
      <c r="BC138" s="651"/>
      <c r="BD138" s="1256"/>
      <c r="BE138" s="1256"/>
      <c r="BF138" s="1256"/>
      <c r="BG138" s="1256"/>
      <c r="BH138" s="1256"/>
      <c r="BI138" s="1728"/>
      <c r="BJ138" s="673"/>
      <c r="BK138" s="673"/>
      <c r="BL138" s="673"/>
      <c r="BM138" s="673"/>
      <c r="BN138" s="1737">
        <v>11</v>
      </c>
    </row>
    <row s="10851" customFormat="1" customHeight="1" ht="11.549999999999999">
      <c r="A139" s="1087"/>
      <c r="B139" s="1732"/>
      <c r="C139" s="1732"/>
      <c r="D139" s="458"/>
      <c r="AO139" s="4889"/>
      <c r="AP139" s="4889"/>
      <c r="AQ139" s="4889"/>
      <c r="AS139" s="1256"/>
      <c r="AT139" s="1732"/>
      <c r="AU139" s="1732"/>
      <c r="AV139" s="1256"/>
      <c r="AW139" s="1256"/>
      <c r="AX139" s="1256"/>
      <c r="AY139" s="1256"/>
      <c r="AZ139" s="1732"/>
      <c r="BA139" s="1256"/>
      <c r="BB139" s="1256"/>
      <c r="BC139" s="651"/>
      <c r="BD139" s="1256"/>
      <c r="BE139" s="1256"/>
      <c r="BF139" s="1256"/>
      <c r="BG139" s="1256"/>
      <c r="BH139" s="1256"/>
      <c r="BI139" s="1728"/>
      <c r="BJ139" s="673"/>
      <c r="BK139" s="673"/>
      <c r="BL139" s="673"/>
      <c r="BM139" s="673"/>
      <c r="BN139" s="1737">
        <v>11</v>
      </c>
    </row>
    <row s="10851" customFormat="1" customHeight="1" ht="11.549999999999999">
      <c r="A140" s="1087"/>
      <c r="B140" s="1732"/>
      <c r="C140" s="1732"/>
      <c r="D140" s="458"/>
      <c r="AO140" s="4889"/>
      <c r="AP140" s="4889"/>
      <c r="AQ140" s="4889"/>
      <c r="AS140" s="1256"/>
      <c r="AT140" s="1732"/>
      <c r="AU140" s="1732"/>
      <c r="AV140" s="1256"/>
      <c r="AW140" s="1256"/>
      <c r="AX140" s="1256"/>
      <c r="AY140" s="1256"/>
      <c r="AZ140" s="1732"/>
      <c r="BA140" s="1256"/>
      <c r="BB140" s="1256"/>
      <c r="BC140" s="651"/>
      <c r="BD140" s="1256"/>
      <c r="BE140" s="1256"/>
      <c r="BF140" s="1256"/>
      <c r="BG140" s="1256"/>
      <c r="BH140" s="1256"/>
      <c r="BI140" s="1728"/>
      <c r="BJ140" s="673"/>
      <c r="BK140" s="673"/>
      <c r="BL140" s="673"/>
      <c r="BM140" s="673"/>
      <c r="BN140" s="1737">
        <v>11</v>
      </c>
    </row>
    <row s="10851" customFormat="1" customHeight="1" ht="11.549999999999999">
      <c r="A141" s="1087"/>
      <c r="B141" s="1732"/>
      <c r="C141" s="1732"/>
      <c r="D141" s="458"/>
      <c r="AO141" s="4889"/>
      <c r="AP141" s="4889"/>
      <c r="AQ141" s="4889"/>
      <c r="AS141" s="1256"/>
      <c r="AT141" s="1732"/>
      <c r="AU141" s="1732"/>
      <c r="AV141" s="1256"/>
      <c r="AW141" s="1256"/>
      <c r="AX141" s="1256"/>
      <c r="AY141" s="1256"/>
      <c r="AZ141" s="1732"/>
      <c r="BA141" s="1256"/>
      <c r="BB141" s="1256"/>
      <c r="BC141" s="651"/>
      <c r="BD141" s="1256"/>
      <c r="BE141" s="1256"/>
      <c r="BF141" s="1256"/>
      <c r="BG141" s="1256"/>
      <c r="BH141" s="1256"/>
      <c r="BI141" s="1728"/>
      <c r="BJ141" s="673"/>
      <c r="BK141" s="673"/>
      <c r="BL141" s="673"/>
      <c r="BM141" s="673"/>
      <c r="BN141" s="1737">
        <v>11</v>
      </c>
    </row>
    <row s="10851" customFormat="1" customHeight="1" ht="11.549999999999999">
      <c r="A142" s="1087"/>
      <c r="B142" s="1732"/>
      <c r="C142" s="1732"/>
      <c r="D142" s="458"/>
      <c r="AO142" s="4889"/>
      <c r="AP142" s="4889"/>
      <c r="AQ142" s="4889"/>
      <c r="AS142" s="1256"/>
      <c r="AT142" s="1732"/>
      <c r="AU142" s="1732"/>
      <c r="AV142" s="1256"/>
      <c r="AW142" s="1256"/>
      <c r="AX142" s="1256"/>
      <c r="AY142" s="1256"/>
      <c r="AZ142" s="1732"/>
      <c r="BA142" s="1256"/>
      <c r="BB142" s="1256"/>
      <c r="BC142" s="651"/>
      <c r="BD142" s="1256"/>
      <c r="BE142" s="1256"/>
      <c r="BF142" s="1256"/>
      <c r="BG142" s="1256"/>
      <c r="BH142" s="1256"/>
      <c r="BI142" s="1728"/>
      <c r="BJ142" s="673"/>
      <c r="BK142" s="673"/>
      <c r="BL142" s="673"/>
      <c r="BM142" s="673"/>
      <c r="BN142" s="1737">
        <v>11</v>
      </c>
    </row>
    <row s="10851" customFormat="1" customHeight="1" ht="11.549999999999999">
      <c r="A143" s="1087"/>
      <c r="B143" s="1732"/>
      <c r="C143" s="1732"/>
      <c r="D143" s="458"/>
      <c r="AO143" s="4889"/>
      <c r="AP143" s="4889"/>
      <c r="AQ143" s="4889"/>
      <c r="AS143" s="1256"/>
      <c r="AT143" s="1732"/>
      <c r="AU143" s="1732"/>
      <c r="AV143" s="1256"/>
      <c r="AW143" s="1256"/>
      <c r="AX143" s="1256"/>
      <c r="AY143" s="1256"/>
      <c r="AZ143" s="1732"/>
      <c r="BA143" s="1256"/>
      <c r="BB143" s="1256"/>
      <c r="BC143" s="651"/>
      <c r="BD143" s="1256"/>
      <c r="BE143" s="1256"/>
      <c r="BF143" s="1256"/>
      <c r="BG143" s="1256"/>
      <c r="BH143" s="1256"/>
      <c r="BI143" s="1728"/>
      <c r="BJ143" s="673"/>
      <c r="BK143" s="673"/>
      <c r="BL143" s="673"/>
      <c r="BM143" s="673"/>
      <c r="BN143" s="1737">
        <v>11</v>
      </c>
    </row>
    <row s="10851" customFormat="1" customHeight="1" ht="11.549999999999999">
      <c r="A144" s="1087"/>
      <c r="B144" s="1732"/>
      <c r="C144" s="1732"/>
      <c r="D144" s="458"/>
      <c r="AO144" s="4889"/>
      <c r="AP144" s="4889"/>
      <c r="AQ144" s="4889"/>
      <c r="AS144" s="1256"/>
      <c r="AT144" s="1732"/>
      <c r="AU144" s="1732"/>
      <c r="AV144" s="1256"/>
      <c r="AW144" s="1256"/>
      <c r="AX144" s="1256"/>
      <c r="AY144" s="1256"/>
      <c r="AZ144" s="1732"/>
      <c r="BA144" s="1256"/>
      <c r="BB144" s="1256"/>
      <c r="BC144" s="651"/>
      <c r="BD144" s="1256"/>
      <c r="BE144" s="1256"/>
      <c r="BF144" s="1256"/>
      <c r="BG144" s="1256"/>
      <c r="BH144" s="1256"/>
      <c r="BI144" s="1728"/>
      <c r="BJ144" s="673"/>
      <c r="BK144" s="673"/>
      <c r="BL144" s="673"/>
      <c r="BM144" s="673"/>
      <c r="BN144" s="1737">
        <v>11</v>
      </c>
    </row>
    <row s="10851" customFormat="1" customHeight="1" ht="11.549999999999999">
      <c r="A145" s="1087"/>
      <c r="B145" s="1732"/>
      <c r="C145" s="1732"/>
      <c r="D145" s="458"/>
      <c r="AO145" s="4889"/>
      <c r="AP145" s="4889"/>
      <c r="AQ145" s="4889"/>
      <c r="AS145" s="1256"/>
      <c r="AT145" s="1732"/>
      <c r="AU145" s="1732"/>
      <c r="AV145" s="1256"/>
      <c r="AW145" s="1256"/>
      <c r="AX145" s="1256"/>
      <c r="AY145" s="1256"/>
      <c r="AZ145" s="1732"/>
      <c r="BA145" s="1256"/>
      <c r="BB145" s="1256"/>
      <c r="BC145" s="651"/>
      <c r="BD145" s="1256"/>
      <c r="BE145" s="1256"/>
      <c r="BF145" s="1256"/>
      <c r="BG145" s="1256"/>
      <c r="BH145" s="1256"/>
      <c r="BI145" s="1728"/>
      <c r="BJ145" s="673"/>
      <c r="BK145" s="673"/>
      <c r="BL145" s="673"/>
      <c r="BM145" s="673"/>
      <c r="BN145" s="1737">
        <v>11</v>
      </c>
    </row>
    <row s="10851" customFormat="1" customHeight="1" ht="11.549999999999999">
      <c r="A146" s="1087"/>
      <c r="B146" s="1732"/>
      <c r="C146" s="1732"/>
      <c r="D146" s="458"/>
      <c r="AO146" s="4889"/>
      <c r="AP146" s="4889"/>
      <c r="AQ146" s="4889"/>
      <c r="AS146" s="1256"/>
      <c r="AT146" s="1732"/>
      <c r="AU146" s="1732"/>
      <c r="AV146" s="1256"/>
      <c r="AW146" s="1256"/>
      <c r="AX146" s="1256"/>
      <c r="AY146" s="1256"/>
      <c r="AZ146" s="1732"/>
      <c r="BA146" s="1256"/>
      <c r="BB146" s="1256"/>
      <c r="BC146" s="651"/>
      <c r="BD146" s="1256"/>
      <c r="BE146" s="1256"/>
      <c r="BF146" s="1256"/>
      <c r="BG146" s="1256"/>
      <c r="BH146" s="1256"/>
      <c r="BI146" s="1728"/>
      <c r="BJ146" s="673"/>
      <c r="BK146" s="673"/>
      <c r="BL146" s="673"/>
      <c r="BM146" s="673"/>
      <c r="BN146" s="1737">
        <v>11</v>
      </c>
    </row>
    <row s="10851" customFormat="1" customHeight="1" ht="11.549999999999999">
      <c r="A147" s="1087"/>
      <c r="B147" s="1732"/>
      <c r="C147" s="1732"/>
      <c r="D147" s="458"/>
      <c r="AO147" s="4889"/>
      <c r="AP147" s="4889"/>
      <c r="AQ147" s="4889"/>
      <c r="AS147" s="1256"/>
      <c r="AT147" s="1732"/>
      <c r="AU147" s="1732"/>
      <c r="AV147" s="1256"/>
      <c r="AW147" s="1256"/>
      <c r="AX147" s="1256"/>
      <c r="AY147" s="1256"/>
      <c r="AZ147" s="1732"/>
      <c r="BA147" s="1256"/>
      <c r="BB147" s="1256"/>
      <c r="BC147" s="651"/>
      <c r="BD147" s="1256"/>
      <c r="BE147" s="1256"/>
      <c r="BF147" s="1256"/>
      <c r="BG147" s="1256"/>
      <c r="BH147" s="1256"/>
      <c r="BI147" s="1728"/>
      <c r="BJ147" s="673"/>
      <c r="BK147" s="673"/>
      <c r="BL147" s="673"/>
      <c r="BM147" s="673"/>
      <c r="BN147" s="1737">
        <v>11</v>
      </c>
    </row>
    <row s="10851" customFormat="1" customHeight="1" ht="11.549999999999999">
      <c r="A148" s="1087"/>
      <c r="B148" s="1732"/>
      <c r="C148" s="1732"/>
      <c r="D148" s="458"/>
      <c r="AO148" s="4889"/>
      <c r="AP148" s="4889"/>
      <c r="AQ148" s="4889"/>
      <c r="AS148" s="1256"/>
      <c r="AT148" s="1732"/>
      <c r="AU148" s="1732"/>
      <c r="AV148" s="1256"/>
      <c r="AW148" s="1256"/>
      <c r="AX148" s="1256"/>
      <c r="AY148" s="1256"/>
      <c r="AZ148" s="1732"/>
      <c r="BA148" s="1256"/>
      <c r="BB148" s="1256"/>
      <c r="BC148" s="651"/>
      <c r="BD148" s="1256"/>
      <c r="BE148" s="1256"/>
      <c r="BF148" s="1256"/>
      <c r="BG148" s="1256"/>
      <c r="BH148" s="1256"/>
      <c r="BI148" s="1728"/>
      <c r="BJ148" s="673"/>
      <c r="BK148" s="673"/>
      <c r="BL148" s="673"/>
      <c r="BM148" s="673"/>
      <c r="BN148" s="1737">
        <v>11</v>
      </c>
    </row>
    <row s="10851" customFormat="1" customHeight="1" ht="11.549999999999999">
      <c r="A149" s="1087"/>
      <c r="B149" s="1732"/>
      <c r="C149" s="1732"/>
      <c r="D149" s="458"/>
      <c r="AO149" s="4889"/>
      <c r="AP149" s="4889"/>
      <c r="AQ149" s="4889"/>
      <c r="AS149" s="1256"/>
      <c r="AT149" s="1732"/>
      <c r="AU149" s="1732"/>
      <c r="AV149" s="1256"/>
      <c r="AW149" s="1256"/>
      <c r="AX149" s="1256"/>
      <c r="AY149" s="1256"/>
      <c r="AZ149" s="1732"/>
      <c r="BA149" s="1256"/>
      <c r="BB149" s="1256"/>
      <c r="BC149" s="651"/>
      <c r="BD149" s="1256"/>
      <c r="BE149" s="1256"/>
      <c r="BF149" s="1256"/>
      <c r="BG149" s="1256"/>
      <c r="BH149" s="1256"/>
      <c r="BI149" s="1728"/>
      <c r="BJ149" s="673"/>
      <c r="BK149" s="673"/>
      <c r="BL149" s="673"/>
      <c r="BM149" s="673"/>
      <c r="BN149" s="1737">
        <v>11</v>
      </c>
    </row>
    <row s="10851" customFormat="1" customHeight="1" ht="11.549999999999999">
      <c r="A150" s="1087"/>
      <c r="B150" s="1732"/>
      <c r="C150" s="1732"/>
      <c r="D150" s="458"/>
      <c r="AO150" s="4889"/>
      <c r="AP150" s="4889"/>
      <c r="AQ150" s="4889"/>
      <c r="AS150" s="1256"/>
      <c r="AT150" s="1732"/>
      <c r="AU150" s="1732"/>
      <c r="AV150" s="1256"/>
      <c r="AW150" s="1256"/>
      <c r="AX150" s="1256"/>
      <c r="AY150" s="1256"/>
      <c r="AZ150" s="1732"/>
      <c r="BA150" s="1256"/>
      <c r="BB150" s="1256"/>
      <c r="BC150" s="651"/>
      <c r="BD150" s="1256"/>
      <c r="BE150" s="1256"/>
      <c r="BF150" s="1256"/>
      <c r="BG150" s="1256"/>
      <c r="BH150" s="1256"/>
      <c r="BI150" s="1728"/>
      <c r="BJ150" s="673"/>
      <c r="BK150" s="673"/>
      <c r="BL150" s="673"/>
      <c r="BM150" s="673"/>
      <c r="BN150" s="1737">
        <v>11</v>
      </c>
    </row>
    <row s="10851" customFormat="1" customHeight="1" ht="11.549999999999999">
      <c r="A151" s="1087"/>
      <c r="B151" s="1732"/>
      <c r="C151" s="1732"/>
      <c r="D151" s="458"/>
      <c r="AO151" s="4889"/>
      <c r="AP151" s="4889"/>
      <c r="AQ151" s="4889"/>
      <c r="AS151" s="1256"/>
      <c r="AT151" s="1732"/>
      <c r="AU151" s="1732"/>
      <c r="AV151" s="1256"/>
      <c r="AW151" s="1256"/>
      <c r="AX151" s="1256"/>
      <c r="AY151" s="1256"/>
      <c r="AZ151" s="1732"/>
      <c r="BA151" s="1256"/>
      <c r="BB151" s="1256"/>
      <c r="BC151" s="651"/>
      <c r="BD151" s="1256"/>
      <c r="BE151" s="1256"/>
      <c r="BF151" s="1256"/>
      <c r="BG151" s="1256"/>
      <c r="BH151" s="1256"/>
      <c r="BI151" s="1728"/>
      <c r="BJ151" s="673"/>
      <c r="BK151" s="673"/>
      <c r="BL151" s="673"/>
      <c r="BM151" s="673"/>
      <c r="BN151" s="1737">
        <v>11</v>
      </c>
    </row>
    <row s="10851" customFormat="1" customHeight="1" ht="11.549999999999999">
      <c r="A152" s="1087"/>
      <c r="B152" s="1732"/>
      <c r="C152" s="1732"/>
      <c r="D152" s="458"/>
      <c r="AO152" s="4889"/>
      <c r="AP152" s="4889"/>
      <c r="AQ152" s="4889"/>
      <c r="AS152" s="1256"/>
      <c r="AT152" s="1732"/>
      <c r="AU152" s="1732"/>
      <c r="AV152" s="1256"/>
      <c r="AW152" s="1256"/>
      <c r="AX152" s="1256"/>
      <c r="AY152" s="1256"/>
      <c r="AZ152" s="1732"/>
      <c r="BA152" s="1256"/>
      <c r="BB152" s="1256"/>
      <c r="BC152" s="651"/>
      <c r="BD152" s="1256"/>
      <c r="BE152" s="1256"/>
      <c r="BF152" s="1256"/>
      <c r="BG152" s="1256"/>
      <c r="BH152" s="1256"/>
      <c r="BI152" s="1728"/>
      <c r="BJ152" s="673"/>
      <c r="BK152" s="673"/>
      <c r="BL152" s="673"/>
      <c r="BM152" s="673"/>
      <c r="BN152" s="1737">
        <v>11</v>
      </c>
    </row>
    <row s="10851" customFormat="1" customHeight="1" ht="11.549999999999999">
      <c r="A153" s="1087"/>
      <c r="B153" s="1732"/>
      <c r="C153" s="1732"/>
      <c r="D153" s="458"/>
      <c r="AO153" s="4889"/>
      <c r="AP153" s="4889"/>
      <c r="AQ153" s="4889"/>
      <c r="AS153" s="1256"/>
      <c r="AT153" s="1732"/>
      <c r="AU153" s="1732"/>
      <c r="AV153" s="1256"/>
      <c r="AW153" s="1256"/>
      <c r="AX153" s="1256"/>
      <c r="AY153" s="1256"/>
      <c r="AZ153" s="1732"/>
      <c r="BA153" s="1256"/>
      <c r="BB153" s="1256"/>
      <c r="BC153" s="651"/>
      <c r="BD153" s="1256"/>
      <c r="BE153" s="1256"/>
      <c r="BF153" s="1256"/>
      <c r="BG153" s="1256"/>
      <c r="BH153" s="1256"/>
      <c r="BI153" s="1728"/>
      <c r="BJ153" s="673"/>
      <c r="BK153" s="673"/>
      <c r="BL153" s="673"/>
      <c r="BM153" s="673"/>
      <c r="BN153" s="1737">
        <v>11</v>
      </c>
    </row>
    <row s="10851" customFormat="1" customHeight="1" ht="11.549999999999999">
      <c r="A154" s="1087"/>
      <c r="B154" s="1732"/>
      <c r="C154" s="1732"/>
      <c r="D154" s="458"/>
      <c r="AO154" s="4889"/>
      <c r="AP154" s="4889"/>
      <c r="AQ154" s="4889"/>
      <c r="AS154" s="1256"/>
      <c r="AT154" s="1732"/>
      <c r="AU154" s="1732"/>
      <c r="AV154" s="1256"/>
      <c r="AW154" s="1256"/>
      <c r="AX154" s="1256"/>
      <c r="AY154" s="1256"/>
      <c r="AZ154" s="1732"/>
      <c r="BA154" s="1256"/>
      <c r="BB154" s="1256"/>
      <c r="BC154" s="651"/>
      <c r="BD154" s="1256"/>
      <c r="BE154" s="1256"/>
      <c r="BF154" s="1256"/>
      <c r="BG154" s="1256"/>
      <c r="BH154" s="1256"/>
      <c r="BI154" s="1728"/>
      <c r="BJ154" s="673"/>
      <c r="BK154" s="673"/>
      <c r="BL154" s="673"/>
      <c r="BM154" s="673"/>
      <c r="BN154" s="1737">
        <v>11</v>
      </c>
    </row>
    <row s="10851" customFormat="1" customHeight="1" ht="11.549999999999999">
      <c r="A155" s="1087"/>
      <c r="B155" s="1732"/>
      <c r="C155" s="1732"/>
      <c r="D155" s="458"/>
      <c r="AO155" s="4889"/>
      <c r="AP155" s="4889"/>
      <c r="AQ155" s="4889"/>
      <c r="AS155" s="1256"/>
      <c r="AT155" s="1732"/>
      <c r="AU155" s="1732"/>
      <c r="AV155" s="1256"/>
      <c r="AW155" s="1256"/>
      <c r="AX155" s="1256"/>
      <c r="AY155" s="1256"/>
      <c r="AZ155" s="1732"/>
      <c r="BA155" s="1256"/>
      <c r="BB155" s="1256"/>
      <c r="BC155" s="651"/>
      <c r="BD155" s="1256"/>
      <c r="BE155" s="1256"/>
      <c r="BF155" s="1256"/>
      <c r="BG155" s="1256"/>
      <c r="BH155" s="1256"/>
      <c r="BI155" s="1728"/>
      <c r="BJ155" s="673"/>
      <c r="BK155" s="673"/>
      <c r="BL155" s="673"/>
      <c r="BM155" s="673"/>
      <c r="BN155" s="1737">
        <v>11</v>
      </c>
    </row>
    <row s="10851" customFormat="1" customHeight="1" ht="11.549999999999999">
      <c r="A156" s="1087"/>
      <c r="B156" s="1732"/>
      <c r="C156" s="1732"/>
      <c r="D156" s="458"/>
      <c r="AO156" s="4889"/>
      <c r="AP156" s="4889"/>
      <c r="AQ156" s="4889"/>
      <c r="AS156" s="1256"/>
      <c r="AT156" s="1732"/>
      <c r="AU156" s="1732"/>
      <c r="AV156" s="1256"/>
      <c r="AW156" s="1256"/>
      <c r="AX156" s="1256"/>
      <c r="AY156" s="1256"/>
      <c r="AZ156" s="1732"/>
      <c r="BA156" s="1256"/>
      <c r="BB156" s="1256"/>
      <c r="BC156" s="651"/>
      <c r="BD156" s="1256"/>
      <c r="BE156" s="1256"/>
      <c r="BF156" s="1256"/>
      <c r="BG156" s="1256"/>
      <c r="BH156" s="1256"/>
      <c r="BI156" s="1728"/>
      <c r="BJ156" s="673"/>
      <c r="BK156" s="673"/>
      <c r="BL156" s="673"/>
      <c r="BM156" s="673"/>
      <c r="BN156" s="1737">
        <v>11</v>
      </c>
    </row>
    <row s="10851" customFormat="1" customHeight="1" ht="11.549999999999999">
      <c r="A157" s="1087"/>
      <c r="B157" s="1732"/>
      <c r="C157" s="1732"/>
      <c r="D157" s="458"/>
      <c r="AO157" s="4889"/>
      <c r="AP157" s="4889"/>
      <c r="AQ157" s="4889"/>
      <c r="AS157" s="1256"/>
      <c r="AT157" s="1732"/>
      <c r="AU157" s="1732"/>
      <c r="AV157" s="1256"/>
      <c r="AW157" s="1256"/>
      <c r="AX157" s="1256"/>
      <c r="AY157" s="1256"/>
      <c r="AZ157" s="1732"/>
      <c r="BA157" s="1256"/>
      <c r="BB157" s="1256"/>
      <c r="BC157" s="651"/>
      <c r="BD157" s="1256"/>
      <c r="BE157" s="1256"/>
      <c r="BF157" s="1256"/>
      <c r="BG157" s="1256"/>
      <c r="BH157" s="1256"/>
      <c r="BI157" s="1728"/>
      <c r="BJ157" s="673"/>
      <c r="BK157" s="673"/>
      <c r="BL157" s="673"/>
      <c r="BM157" s="673"/>
      <c r="BN157" s="1737">
        <v>11</v>
      </c>
    </row>
    <row s="10851" customFormat="1" customHeight="1" ht="11.549999999999999">
      <c r="A158" s="1087"/>
      <c r="B158" s="1732"/>
      <c r="C158" s="1732"/>
      <c r="D158" s="458"/>
      <c r="AO158" s="4889"/>
      <c r="AP158" s="4889"/>
      <c r="AQ158" s="4889"/>
      <c r="AS158" s="1256"/>
      <c r="AT158" s="1732"/>
      <c r="AU158" s="1732"/>
      <c r="AV158" s="1256"/>
      <c r="AW158" s="1256"/>
      <c r="AX158" s="1256"/>
      <c r="AY158" s="1256"/>
      <c r="AZ158" s="1732"/>
      <c r="BA158" s="1256"/>
      <c r="BB158" s="1256"/>
      <c r="BC158" s="651"/>
      <c r="BD158" s="1256"/>
      <c r="BE158" s="1256"/>
      <c r="BF158" s="1256"/>
      <c r="BG158" s="1256"/>
      <c r="BH158" s="1256"/>
      <c r="BI158" s="1728"/>
      <c r="BJ158" s="673"/>
      <c r="BK158" s="673"/>
      <c r="BL158" s="673"/>
      <c r="BM158" s="673"/>
      <c r="BN158" s="1737">
        <v>11</v>
      </c>
    </row>
    <row s="10851" customFormat="1" customHeight="1" ht="11.549999999999999">
      <c r="A159" s="1087"/>
      <c r="B159" s="1732"/>
      <c r="C159" s="1732"/>
      <c r="D159" s="458"/>
      <c r="AO159" s="4889"/>
      <c r="AP159" s="4889"/>
      <c r="AQ159" s="4889"/>
      <c r="AS159" s="1256"/>
      <c r="AT159" s="1732"/>
      <c r="AU159" s="1732"/>
      <c r="AV159" s="1256"/>
      <c r="AW159" s="1256"/>
      <c r="AX159" s="1256"/>
      <c r="AY159" s="1256"/>
      <c r="AZ159" s="1732"/>
      <c r="BA159" s="1256"/>
      <c r="BB159" s="1256"/>
      <c r="BC159" s="651"/>
      <c r="BD159" s="1256"/>
      <c r="BE159" s="1256"/>
      <c r="BF159" s="1256"/>
      <c r="BG159" s="1256"/>
      <c r="BH159" s="1256"/>
      <c r="BI159" s="1728"/>
      <c r="BJ159" s="673"/>
      <c r="BK159" s="673"/>
      <c r="BL159" s="673"/>
      <c r="BM159" s="673"/>
      <c r="BN159" s="1737">
        <v>11</v>
      </c>
    </row>
    <row s="10851" customFormat="1" customHeight="1" ht="11.549999999999999">
      <c r="A160" s="1087"/>
      <c r="B160" s="1732"/>
      <c r="C160" s="1732"/>
      <c r="D160" s="458"/>
      <c r="AO160" s="4889"/>
      <c r="AP160" s="4889"/>
      <c r="AQ160" s="4889"/>
      <c r="AS160" s="1256"/>
      <c r="AT160" s="1732"/>
      <c r="AU160" s="1732"/>
      <c r="AV160" s="1256"/>
      <c r="AW160" s="1256"/>
      <c r="AX160" s="1256"/>
      <c r="AY160" s="1256"/>
      <c r="AZ160" s="1732"/>
      <c r="BA160" s="1256"/>
      <c r="BB160" s="1256"/>
      <c r="BC160" s="651"/>
      <c r="BD160" s="1256"/>
      <c r="BE160" s="1256"/>
      <c r="BF160" s="1256"/>
      <c r="BG160" s="1256"/>
      <c r="BH160" s="1256"/>
      <c r="BI160" s="1728"/>
      <c r="BJ160" s="673"/>
      <c r="BK160" s="673"/>
      <c r="BL160" s="673"/>
      <c r="BM160" s="673"/>
      <c r="BN160" s="1737">
        <v>11</v>
      </c>
    </row>
    <row s="10851" customFormat="1" customHeight="1" ht="11.549999999999999">
      <c r="A161" s="1087"/>
      <c r="B161" s="1732"/>
      <c r="C161" s="1732"/>
      <c r="D161" s="458"/>
      <c r="AO161" s="4889"/>
      <c r="AP161" s="4889"/>
      <c r="AQ161" s="4889"/>
      <c r="AS161" s="1256"/>
      <c r="AT161" s="1732"/>
      <c r="AU161" s="1732"/>
      <c r="AV161" s="1256"/>
      <c r="AW161" s="1256"/>
      <c r="AX161" s="1256"/>
      <c r="AY161" s="1256"/>
      <c r="AZ161" s="1732"/>
      <c r="BA161" s="1256"/>
      <c r="BB161" s="1256"/>
      <c r="BC161" s="651"/>
      <c r="BD161" s="1256"/>
      <c r="BE161" s="1256"/>
      <c r="BF161" s="1256"/>
      <c r="BG161" s="1256"/>
      <c r="BH161" s="1256"/>
      <c r="BI161" s="1728"/>
      <c r="BJ161" s="673"/>
      <c r="BK161" s="673"/>
      <c r="BL161" s="673"/>
      <c r="BM161" s="673"/>
      <c r="BN161" s="1737">
        <v>11</v>
      </c>
    </row>
    <row s="10851" customFormat="1" customHeight="1" ht="11.549999999999999">
      <c r="A162" s="1087"/>
      <c r="B162" s="1732"/>
      <c r="C162" s="1732"/>
      <c r="D162" s="458"/>
      <c r="AO162" s="4889"/>
      <c r="AP162" s="4889"/>
      <c r="AQ162" s="4889"/>
      <c r="AS162" s="1256"/>
      <c r="AT162" s="1732"/>
      <c r="AU162" s="1732"/>
      <c r="AV162" s="1256"/>
      <c r="AW162" s="1256"/>
      <c r="AX162" s="1256"/>
      <c r="AY162" s="1256"/>
      <c r="AZ162" s="1732"/>
      <c r="BA162" s="1256"/>
      <c r="BB162" s="1256"/>
      <c r="BC162" s="651"/>
      <c r="BD162" s="1256"/>
      <c r="BE162" s="1256"/>
      <c r="BF162" s="1256"/>
      <c r="BG162" s="1256"/>
      <c r="BH162" s="1256"/>
      <c r="BI162" s="1728"/>
      <c r="BJ162" s="673"/>
      <c r="BK162" s="673"/>
      <c r="BL162" s="673"/>
      <c r="BM162" s="673"/>
      <c r="BN162" s="1737">
        <v>11</v>
      </c>
    </row>
    <row s="10851" customFormat="1" customHeight="1" ht="11.549999999999999">
      <c r="A163" s="1087"/>
      <c r="B163" s="1732"/>
      <c r="C163" s="1732"/>
      <c r="D163" s="458"/>
      <c r="AO163" s="4889"/>
      <c r="AP163" s="4889"/>
      <c r="AQ163" s="4889"/>
      <c r="AS163" s="1256"/>
      <c r="AT163" s="1732"/>
      <c r="AU163" s="1732"/>
      <c r="AV163" s="1256"/>
      <c r="AW163" s="1256"/>
      <c r="AX163" s="1256"/>
      <c r="AY163" s="1256"/>
      <c r="AZ163" s="1732"/>
      <c r="BA163" s="1256"/>
      <c r="BB163" s="1256"/>
      <c r="BC163" s="651"/>
      <c r="BD163" s="1256"/>
      <c r="BE163" s="1256"/>
      <c r="BF163" s="1256"/>
      <c r="BG163" s="1256"/>
      <c r="BH163" s="1256"/>
      <c r="BI163" s="1728"/>
      <c r="BJ163" s="673"/>
      <c r="BK163" s="673"/>
      <c r="BL163" s="673"/>
      <c r="BM163" s="673"/>
      <c r="BN163" s="1737">
        <v>11</v>
      </c>
    </row>
    <row s="10851" customFormat="1" customHeight="1" ht="11.549999999999999">
      <c r="A164" s="1087"/>
      <c r="B164" s="1732"/>
      <c r="C164" s="1732"/>
      <c r="D164" s="458"/>
      <c r="AO164" s="4889"/>
      <c r="AP164" s="4889"/>
      <c r="AQ164" s="4889"/>
      <c r="AS164" s="1256"/>
      <c r="AT164" s="1732"/>
      <c r="AU164" s="1732"/>
      <c r="AV164" s="1256"/>
      <c r="AW164" s="1256"/>
      <c r="AX164" s="1256"/>
      <c r="AY164" s="1256"/>
      <c r="AZ164" s="1732"/>
      <c r="BA164" s="1256"/>
      <c r="BB164" s="1256"/>
      <c r="BC164" s="651"/>
      <c r="BD164" s="1256"/>
      <c r="BE164" s="1256"/>
      <c r="BF164" s="1256"/>
      <c r="BG164" s="1256"/>
      <c r="BH164" s="1256"/>
      <c r="BI164" s="1728"/>
      <c r="BJ164" s="673"/>
      <c r="BK164" s="673"/>
      <c r="BL164" s="673"/>
      <c r="BM164" s="673"/>
      <c r="BN164" s="1737">
        <v>11</v>
      </c>
    </row>
    <row s="10851" customFormat="1" customHeight="1" ht="11.549999999999999">
      <c r="A165" s="1087"/>
      <c r="B165" s="1732"/>
      <c r="C165" s="1732"/>
      <c r="D165" s="458"/>
      <c r="AO165" s="4889"/>
      <c r="AP165" s="4889"/>
      <c r="AQ165" s="4889"/>
      <c r="AS165" s="1256"/>
      <c r="AT165" s="1732"/>
      <c r="AU165" s="1732"/>
      <c r="AV165" s="1256"/>
      <c r="AW165" s="1256"/>
      <c r="AX165" s="1256"/>
      <c r="AY165" s="1256"/>
      <c r="AZ165" s="1732"/>
      <c r="BA165" s="1256"/>
      <c r="BB165" s="1256"/>
      <c r="BC165" s="651"/>
      <c r="BD165" s="1256"/>
      <c r="BE165" s="1256"/>
      <c r="BF165" s="1256"/>
      <c r="BG165" s="1256"/>
      <c r="BH165" s="1256"/>
      <c r="BI165" s="1728"/>
      <c r="BJ165" s="673"/>
      <c r="BK165" s="673"/>
      <c r="BL165" s="673"/>
      <c r="BM165" s="673"/>
      <c r="BN165" s="1737">
        <v>11</v>
      </c>
    </row>
    <row s="10851" customFormat="1" customHeight="1" ht="11.549999999999999">
      <c r="A166" s="1087"/>
      <c r="B166" s="1732"/>
      <c r="C166" s="1732"/>
      <c r="D166" s="458"/>
      <c r="AO166" s="4889"/>
      <c r="AP166" s="4889"/>
      <c r="AQ166" s="4889"/>
      <c r="AS166" s="1256"/>
      <c r="AT166" s="1732"/>
      <c r="AU166" s="1732"/>
      <c r="AV166" s="1256"/>
      <c r="AW166" s="1256"/>
      <c r="AX166" s="1256"/>
      <c r="AY166" s="1256"/>
      <c r="AZ166" s="1732"/>
      <c r="BA166" s="1256"/>
      <c r="BB166" s="1256"/>
      <c r="BC166" s="651"/>
      <c r="BD166" s="1256"/>
      <c r="BE166" s="1256"/>
      <c r="BF166" s="1256"/>
      <c r="BG166" s="1256"/>
      <c r="BH166" s="1256"/>
      <c r="BI166" s="1728"/>
      <c r="BJ166" s="673"/>
      <c r="BK166" s="673"/>
      <c r="BL166" s="673"/>
      <c r="BM166" s="673"/>
      <c r="BN166" s="1737">
        <v>11</v>
      </c>
    </row>
    <row s="10851" customFormat="1" customHeight="1" ht="11.549999999999999">
      <c r="A167" s="1087"/>
      <c r="B167" s="1732"/>
      <c r="C167" s="1732"/>
      <c r="D167" s="458"/>
      <c r="AO167" s="4889"/>
      <c r="AP167" s="4889"/>
      <c r="AQ167" s="4889"/>
      <c r="AS167" s="1256"/>
      <c r="AT167" s="1732"/>
      <c r="AU167" s="1732"/>
      <c r="AV167" s="1256"/>
      <c r="AW167" s="1256"/>
      <c r="AX167" s="1256"/>
      <c r="AY167" s="1256"/>
      <c r="AZ167" s="1732"/>
      <c r="BA167" s="1256"/>
      <c r="BB167" s="1256"/>
      <c r="BC167" s="651"/>
      <c r="BD167" s="1256"/>
      <c r="BE167" s="1256"/>
      <c r="BF167" s="1256"/>
      <c r="BG167" s="1256"/>
      <c r="BH167" s="1256"/>
      <c r="BI167" s="1728"/>
      <c r="BJ167" s="673"/>
      <c r="BK167" s="673"/>
      <c r="BL167" s="673"/>
      <c r="BM167" s="673"/>
      <c r="BN167" s="1737">
        <v>11</v>
      </c>
    </row>
    <row s="10851" customFormat="1" customHeight="1" ht="11.549999999999999">
      <c r="A168" s="1087"/>
      <c r="B168" s="1732"/>
      <c r="C168" s="1732"/>
      <c r="D168" s="458"/>
      <c r="AO168" s="4889"/>
      <c r="AP168" s="4889"/>
      <c r="AQ168" s="4889"/>
      <c r="AS168" s="1256"/>
      <c r="AT168" s="1732"/>
      <c r="AU168" s="1732"/>
      <c r="AV168" s="1256"/>
      <c r="AW168" s="1256"/>
      <c r="AX168" s="1256"/>
      <c r="AY168" s="1256"/>
      <c r="AZ168" s="1732"/>
      <c r="BA168" s="1256"/>
      <c r="BB168" s="1256"/>
      <c r="BC168" s="651"/>
      <c r="BD168" s="1256"/>
      <c r="BE168" s="1256"/>
      <c r="BF168" s="1256"/>
      <c r="BG168" s="1256"/>
      <c r="BH168" s="1256"/>
      <c r="BI168" s="1728"/>
      <c r="BJ168" s="673"/>
      <c r="BK168" s="673"/>
      <c r="BL168" s="673"/>
      <c r="BM168" s="673"/>
      <c r="BN168" s="1737">
        <v>11</v>
      </c>
    </row>
    <row s="10851" customFormat="1" customHeight="1" ht="11.549999999999999">
      <c r="A169" s="1087"/>
      <c r="B169" s="1732"/>
      <c r="C169" s="1732"/>
      <c r="D169" s="458"/>
      <c r="AO169" s="4889"/>
      <c r="AP169" s="4889"/>
      <c r="AQ169" s="4889"/>
      <c r="AS169" s="1256"/>
      <c r="AT169" s="1732"/>
      <c r="AU169" s="1732"/>
      <c r="AV169" s="1256"/>
      <c r="AW169" s="1256"/>
      <c r="AX169" s="1256"/>
      <c r="AY169" s="1256"/>
      <c r="AZ169" s="1732"/>
      <c r="BA169" s="1256"/>
      <c r="BB169" s="1256"/>
      <c r="BC169" s="651"/>
      <c r="BD169" s="1256"/>
      <c r="BE169" s="1256"/>
      <c r="BF169" s="1256"/>
      <c r="BG169" s="1256"/>
      <c r="BH169" s="1256"/>
      <c r="BI169" s="1728"/>
      <c r="BJ169" s="673"/>
      <c r="BK169" s="673"/>
      <c r="BL169" s="673"/>
      <c r="BM169" s="673"/>
      <c r="BN169" s="1737">
        <v>11</v>
      </c>
    </row>
    <row s="10851" customFormat="1" customHeight="1" ht="11.549999999999999">
      <c r="A170" s="1087"/>
      <c r="B170" s="1732"/>
      <c r="C170" s="1732"/>
      <c r="D170" s="458"/>
      <c r="AO170" s="4889"/>
      <c r="AP170" s="4889"/>
      <c r="AQ170" s="4889"/>
      <c r="AS170" s="1256"/>
      <c r="AT170" s="1732"/>
      <c r="AU170" s="1732"/>
      <c r="AV170" s="1256"/>
      <c r="AW170" s="1256"/>
      <c r="AX170" s="1256"/>
      <c r="AY170" s="1256"/>
      <c r="AZ170" s="1732"/>
      <c r="BA170" s="1256"/>
      <c r="BB170" s="1256"/>
      <c r="BC170" s="651"/>
      <c r="BD170" s="1256"/>
      <c r="BE170" s="1256"/>
      <c r="BF170" s="1256"/>
      <c r="BG170" s="1256"/>
      <c r="BH170" s="1256"/>
      <c r="BI170" s="1728"/>
      <c r="BJ170" s="673"/>
      <c r="BK170" s="673"/>
      <c r="BL170" s="673"/>
      <c r="BM170" s="673"/>
      <c r="BN170" s="1737">
        <v>11</v>
      </c>
    </row>
    <row s="10851" customFormat="1" customHeight="1" ht="11.549999999999999">
      <c r="A171" s="1087"/>
      <c r="B171" s="1732"/>
      <c r="C171" s="1732"/>
      <c r="D171" s="458"/>
      <c r="AO171" s="4889"/>
      <c r="AP171" s="4889"/>
      <c r="AQ171" s="4889"/>
      <c r="AS171" s="1256"/>
      <c r="AT171" s="1732"/>
      <c r="AU171" s="1732"/>
      <c r="AV171" s="1256"/>
      <c r="AW171" s="1256"/>
      <c r="AX171" s="1256"/>
      <c r="AY171" s="1256"/>
      <c r="AZ171" s="1732"/>
      <c r="BA171" s="1256"/>
      <c r="BB171" s="1256"/>
      <c r="BC171" s="651"/>
      <c r="BD171" s="1256"/>
      <c r="BE171" s="1256"/>
      <c r="BF171" s="1256"/>
      <c r="BG171" s="1256"/>
      <c r="BH171" s="1256"/>
      <c r="BI171" s="1728"/>
      <c r="BJ171" s="673"/>
      <c r="BK171" s="673"/>
      <c r="BL171" s="673"/>
      <c r="BM171" s="673"/>
      <c r="BN171" s="1737">
        <v>11</v>
      </c>
    </row>
    <row s="10851" customFormat="1" customHeight="1" ht="11.549999999999999">
      <c r="A172" s="1087"/>
      <c r="B172" s="1732"/>
      <c r="C172" s="1732"/>
      <c r="D172" s="458"/>
      <c r="AO172" s="4889"/>
      <c r="AP172" s="4889"/>
      <c r="AQ172" s="4889"/>
      <c r="AS172" s="1256"/>
      <c r="AT172" s="1732"/>
      <c r="AU172" s="1732"/>
      <c r="AV172" s="1256"/>
      <c r="AW172" s="1256"/>
      <c r="AX172" s="1256"/>
      <c r="AY172" s="1256"/>
      <c r="AZ172" s="1732"/>
      <c r="BA172" s="1256"/>
      <c r="BB172" s="1256"/>
      <c r="BC172" s="651"/>
      <c r="BD172" s="1256"/>
      <c r="BE172" s="1256"/>
      <c r="BF172" s="1256"/>
      <c r="BG172" s="1256"/>
      <c r="BH172" s="1256"/>
      <c r="BI172" s="1728"/>
      <c r="BJ172" s="673"/>
      <c r="BK172" s="673"/>
      <c r="BL172" s="673"/>
      <c r="BM172" s="673"/>
      <c r="BN172" s="1737">
        <v>11</v>
      </c>
    </row>
    <row s="10851" customFormat="1" customHeight="1" ht="11.549999999999999">
      <c r="A173" s="1087"/>
      <c r="B173" s="1732"/>
      <c r="C173" s="1732"/>
      <c r="D173" s="458"/>
      <c r="AO173" s="4889"/>
      <c r="AP173" s="4889"/>
      <c r="AQ173" s="4889"/>
      <c r="AS173" s="1256"/>
      <c r="AT173" s="1732"/>
      <c r="AU173" s="1732"/>
      <c r="AV173" s="1256"/>
      <c r="AW173" s="1256"/>
      <c r="AX173" s="1256"/>
      <c r="AY173" s="1256"/>
      <c r="AZ173" s="1732"/>
      <c r="BA173" s="1256"/>
      <c r="BB173" s="1256"/>
      <c r="BC173" s="651"/>
      <c r="BD173" s="1256"/>
      <c r="BE173" s="1256"/>
      <c r="BF173" s="1256"/>
      <c r="BG173" s="1256"/>
      <c r="BH173" s="1256"/>
      <c r="BI173" s="1728"/>
      <c r="BJ173" s="673"/>
      <c r="BK173" s="673"/>
      <c r="BL173" s="673"/>
      <c r="BM173" s="673"/>
      <c r="BN173" s="1737">
        <v>11</v>
      </c>
    </row>
    <row s="10851" customFormat="1" customHeight="1" ht="11.549999999999999">
      <c r="A174" s="1087"/>
      <c r="B174" s="1732"/>
      <c r="C174" s="1732"/>
      <c r="D174" s="458"/>
      <c r="AO174" s="4889"/>
      <c r="AP174" s="4889"/>
      <c r="AQ174" s="4889"/>
      <c r="AS174" s="1256"/>
      <c r="AT174" s="1732"/>
      <c r="AU174" s="1732"/>
      <c r="AV174" s="1256"/>
      <c r="AW174" s="1256"/>
      <c r="AX174" s="1256"/>
      <c r="AY174" s="1256"/>
      <c r="AZ174" s="1732"/>
      <c r="BA174" s="1256"/>
      <c r="BB174" s="1256"/>
      <c r="BC174" s="651"/>
      <c r="BD174" s="1256"/>
      <c r="BE174" s="1256"/>
      <c r="BF174" s="1256"/>
      <c r="BG174" s="1256"/>
      <c r="BH174" s="1256"/>
      <c r="BI174" s="1728"/>
      <c r="BJ174" s="673"/>
      <c r="BK174" s="673"/>
      <c r="BL174" s="673"/>
      <c r="BM174" s="673"/>
      <c r="BN174" s="1737">
        <v>11</v>
      </c>
    </row>
    <row s="10851" customFormat="1" customHeight="1" ht="11.549999999999999">
      <c r="A175" s="1087"/>
      <c r="B175" s="1732"/>
      <c r="C175" s="1732"/>
      <c r="D175" s="458"/>
      <c r="AO175" s="4889"/>
      <c r="AP175" s="4889"/>
      <c r="AQ175" s="4889"/>
      <c r="AS175" s="1256"/>
      <c r="AT175" s="1732"/>
      <c r="AU175" s="1732"/>
      <c r="AV175" s="1256"/>
      <c r="AW175" s="1256"/>
      <c r="AX175" s="1256"/>
      <c r="AY175" s="1256"/>
      <c r="AZ175" s="1732"/>
      <c r="BA175" s="1256"/>
      <c r="BB175" s="1256"/>
      <c r="BC175" s="651"/>
      <c r="BD175" s="1256"/>
      <c r="BE175" s="1256"/>
      <c r="BF175" s="1256"/>
      <c r="BG175" s="1256"/>
      <c r="BH175" s="1256"/>
      <c r="BI175" s="1728"/>
      <c r="BJ175" s="673"/>
      <c r="BK175" s="673"/>
      <c r="BL175" s="673"/>
      <c r="BM175" s="673"/>
      <c r="BN175" s="1737">
        <v>11</v>
      </c>
    </row>
    <row s="10851" customFormat="1" customHeight="1" ht="11.549999999999999">
      <c r="A176" s="1087"/>
      <c r="B176" s="1732"/>
      <c r="C176" s="1732"/>
      <c r="D176" s="458"/>
      <c r="AO176" s="4889"/>
      <c r="AP176" s="4889"/>
      <c r="AQ176" s="4889"/>
      <c r="AS176" s="1256"/>
      <c r="AT176" s="1732"/>
      <c r="AU176" s="1732"/>
      <c r="AV176" s="1256"/>
      <c r="AW176" s="1256"/>
      <c r="AX176" s="1256"/>
      <c r="AY176" s="1256"/>
      <c r="AZ176" s="1732"/>
      <c r="BA176" s="1256"/>
      <c r="BB176" s="1256"/>
      <c r="BC176" s="651"/>
      <c r="BD176" s="1256"/>
      <c r="BE176" s="1256"/>
      <c r="BF176" s="1256"/>
      <c r="BG176" s="1256"/>
      <c r="BH176" s="1256"/>
      <c r="BI176" s="1728"/>
      <c r="BJ176" s="673"/>
      <c r="BK176" s="673"/>
      <c r="BL176" s="673"/>
      <c r="BM176" s="673"/>
      <c r="BN176" s="1737">
        <v>11</v>
      </c>
    </row>
    <row s="10851" customFormat="1" customHeight="1" ht="11.549999999999999">
      <c r="A177" s="1087"/>
      <c r="B177" s="1732"/>
      <c r="C177" s="1732"/>
      <c r="D177" s="458"/>
      <c r="AO177" s="4889"/>
      <c r="AP177" s="4889"/>
      <c r="AQ177" s="4889"/>
      <c r="AS177" s="1256"/>
      <c r="AT177" s="1732"/>
      <c r="AU177" s="1732"/>
      <c r="AV177" s="1256"/>
      <c r="AW177" s="1256"/>
      <c r="AX177" s="1256"/>
      <c r="AY177" s="1256"/>
      <c r="AZ177" s="1732"/>
      <c r="BA177" s="1256"/>
      <c r="BB177" s="1256"/>
      <c r="BC177" s="651"/>
      <c r="BD177" s="1256"/>
      <c r="BE177" s="1256"/>
      <c r="BF177" s="1256"/>
      <c r="BG177" s="1256"/>
      <c r="BH177" s="1256"/>
      <c r="BI177" s="1728"/>
      <c r="BJ177" s="673"/>
      <c r="BK177" s="673"/>
      <c r="BL177" s="673"/>
      <c r="BM177" s="673"/>
      <c r="BN177" s="1737">
        <v>11</v>
      </c>
    </row>
    <row s="10851" customFormat="1" customHeight="1" ht="11.549999999999999">
      <c r="A178" s="1087"/>
      <c r="B178" s="1732"/>
      <c r="C178" s="1732"/>
      <c r="D178" s="458"/>
      <c r="AO178" s="4889"/>
      <c r="AP178" s="4889"/>
      <c r="AQ178" s="4889"/>
      <c r="AS178" s="1256"/>
      <c r="AT178" s="1732"/>
      <c r="AU178" s="1732"/>
      <c r="AV178" s="1256"/>
      <c r="AW178" s="1256"/>
      <c r="AX178" s="1256"/>
      <c r="AY178" s="1256"/>
      <c r="AZ178" s="1732"/>
      <c r="BA178" s="1256"/>
      <c r="BB178" s="1256"/>
      <c r="BC178" s="651"/>
      <c r="BD178" s="1256"/>
      <c r="BE178" s="1256"/>
      <c r="BF178" s="1256"/>
      <c r="BG178" s="1256"/>
      <c r="BH178" s="1256"/>
      <c r="BI178" s="1728"/>
      <c r="BJ178" s="673"/>
      <c r="BK178" s="673"/>
      <c r="BL178" s="673"/>
      <c r="BM178" s="673"/>
      <c r="BN178" s="1737">
        <v>11</v>
      </c>
    </row>
    <row s="10851" customFormat="1" customHeight="1" ht="11.549999999999999">
      <c r="A179" s="1087"/>
      <c r="B179" s="1732"/>
      <c r="C179" s="1732"/>
      <c r="D179" s="458"/>
      <c r="AO179" s="4889"/>
      <c r="AP179" s="4889"/>
      <c r="AQ179" s="4889"/>
      <c r="AS179" s="1256"/>
      <c r="AT179" s="1732"/>
      <c r="AU179" s="1732"/>
      <c r="AV179" s="1256"/>
      <c r="AW179" s="1256"/>
      <c r="AX179" s="1256"/>
      <c r="AY179" s="1256"/>
      <c r="AZ179" s="1732"/>
      <c r="BA179" s="1256"/>
      <c r="BB179" s="1256"/>
      <c r="BC179" s="651"/>
      <c r="BD179" s="1256"/>
      <c r="BE179" s="1256"/>
      <c r="BF179" s="1256"/>
      <c r="BG179" s="1256"/>
      <c r="BH179" s="1256"/>
      <c r="BI179" s="1728"/>
      <c r="BJ179" s="673"/>
      <c r="BK179" s="673"/>
      <c r="BL179" s="673"/>
      <c r="BM179" s="673"/>
      <c r="BN179" s="1737">
        <v>11</v>
      </c>
    </row>
    <row s="10851" customFormat="1" customHeight="1" ht="11.549999999999999">
      <c r="A180" s="1087"/>
      <c r="B180" s="1732"/>
      <c r="C180" s="1732"/>
      <c r="D180" s="458"/>
      <c r="AO180" s="4889"/>
      <c r="AP180" s="4889"/>
      <c r="AQ180" s="4889"/>
      <c r="AS180" s="1256"/>
      <c r="AT180" s="1732"/>
      <c r="AU180" s="1732"/>
      <c r="AV180" s="1256"/>
      <c r="AW180" s="1256"/>
      <c r="AX180" s="1256"/>
      <c r="AY180" s="1256"/>
      <c r="AZ180" s="1732"/>
      <c r="BA180" s="1256"/>
      <c r="BB180" s="1256"/>
      <c r="BC180" s="651"/>
      <c r="BD180" s="1256"/>
      <c r="BE180" s="1256"/>
      <c r="BF180" s="1256"/>
      <c r="BG180" s="1256"/>
      <c r="BH180" s="1256"/>
      <c r="BI180" s="1728"/>
      <c r="BJ180" s="673"/>
      <c r="BK180" s="673"/>
      <c r="BL180" s="673"/>
      <c r="BM180" s="673"/>
      <c r="BN180" s="1737">
        <v>11</v>
      </c>
    </row>
    <row s="10851" customFormat="1" customHeight="1" ht="11.549999999999999">
      <c r="A181" s="1087"/>
      <c r="B181" s="1732"/>
      <c r="C181" s="1732"/>
      <c r="D181" s="458"/>
      <c r="AO181" s="4889"/>
      <c r="AP181" s="4889"/>
      <c r="AQ181" s="4889"/>
      <c r="AS181" s="1256"/>
      <c r="AT181" s="1732"/>
      <c r="AU181" s="1732"/>
      <c r="AV181" s="1256"/>
      <c r="AW181" s="1256"/>
      <c r="AX181" s="1256"/>
      <c r="AY181" s="1256"/>
      <c r="AZ181" s="1732"/>
      <c r="BA181" s="1256"/>
      <c r="BB181" s="1256"/>
      <c r="BC181" s="651"/>
      <c r="BD181" s="1256"/>
      <c r="BE181" s="1256"/>
      <c r="BF181" s="1256"/>
      <c r="BG181" s="1256"/>
      <c r="BH181" s="1256"/>
      <c r="BI181" s="1728"/>
      <c r="BJ181" s="673"/>
      <c r="BK181" s="673"/>
      <c r="BL181" s="673"/>
      <c r="BM181" s="673"/>
      <c r="BN181" s="1737">
        <v>11</v>
      </c>
    </row>
    <row s="10851" customFormat="1" customHeight="1" ht="11.549999999999999">
      <c r="A182" s="1087"/>
      <c r="B182" s="1732"/>
      <c r="C182" s="1732"/>
      <c r="D182" s="458"/>
      <c r="AO182" s="4889"/>
      <c r="AP182" s="4889"/>
      <c r="AQ182" s="4889"/>
      <c r="AS182" s="1256"/>
      <c r="AT182" s="1732"/>
      <c r="AU182" s="1732"/>
      <c r="AV182" s="1256"/>
      <c r="AW182" s="1256"/>
      <c r="AX182" s="1256"/>
      <c r="AY182" s="1256"/>
      <c r="AZ182" s="1732"/>
      <c r="BA182" s="1256"/>
      <c r="BB182" s="1256"/>
      <c r="BC182" s="651"/>
      <c r="BD182" s="1256"/>
      <c r="BE182" s="1256"/>
      <c r="BF182" s="1256"/>
      <c r="BG182" s="1256"/>
      <c r="BH182" s="1256"/>
      <c r="BI182" s="1728"/>
      <c r="BJ182" s="673"/>
      <c r="BK182" s="673"/>
      <c r="BL182" s="673"/>
      <c r="BM182" s="673"/>
      <c r="BN182" s="1737">
        <v>11</v>
      </c>
    </row>
    <row s="10851" customFormat="1" customHeight="1" ht="11.549999999999999">
      <c r="A183" s="1087"/>
      <c r="B183" s="1732"/>
      <c r="C183" s="1732"/>
      <c r="D183" s="458"/>
      <c r="AO183" s="4889"/>
      <c r="AP183" s="4889"/>
      <c r="AQ183" s="4889"/>
      <c r="AS183" s="1256"/>
      <c r="AT183" s="1732"/>
      <c r="AU183" s="1732"/>
      <c r="AV183" s="1256"/>
      <c r="AW183" s="1256"/>
      <c r="AX183" s="1256"/>
      <c r="AY183" s="1256"/>
      <c r="AZ183" s="1732"/>
      <c r="BA183" s="1256"/>
      <c r="BB183" s="1256"/>
      <c r="BC183" s="651"/>
      <c r="BD183" s="1256"/>
      <c r="BE183" s="1256"/>
      <c r="BF183" s="1256"/>
      <c r="BG183" s="1256"/>
      <c r="BH183" s="1256"/>
      <c r="BI183" s="1728"/>
      <c r="BJ183" s="673"/>
      <c r="BK183" s="673"/>
      <c r="BL183" s="673"/>
      <c r="BM183" s="673"/>
      <c r="BN183" s="1737">
        <v>11</v>
      </c>
    </row>
    <row s="10851" customFormat="1" customHeight="1" ht="11.549999999999999">
      <c r="A184" s="1087"/>
      <c r="B184" s="1732"/>
      <c r="C184" s="1732"/>
      <c r="D184" s="458"/>
      <c r="AO184" s="4889"/>
      <c r="AP184" s="4889"/>
      <c r="AQ184" s="4889"/>
      <c r="AS184" s="1256"/>
      <c r="AT184" s="1732"/>
      <c r="AU184" s="1732"/>
      <c r="AV184" s="1256"/>
      <c r="AW184" s="1256"/>
      <c r="AX184" s="1256"/>
      <c r="AY184" s="1256"/>
      <c r="AZ184" s="1732"/>
      <c r="BA184" s="1256"/>
      <c r="BB184" s="1256"/>
      <c r="BC184" s="651"/>
      <c r="BD184" s="1256"/>
      <c r="BE184" s="1256"/>
      <c r="BF184" s="1256"/>
      <c r="BG184" s="1256"/>
      <c r="BH184" s="1256"/>
      <c r="BI184" s="1728"/>
      <c r="BJ184" s="673"/>
      <c r="BK184" s="673"/>
      <c r="BL184" s="673"/>
      <c r="BM184" s="673"/>
      <c r="BN184" s="1737">
        <v>11</v>
      </c>
    </row>
    <row s="10851" customFormat="1" customHeight="1" ht="11.549999999999999">
      <c r="A185" s="1087"/>
      <c r="B185" s="1732"/>
      <c r="C185" s="1732"/>
      <c r="D185" s="458"/>
      <c r="AO185" s="4889"/>
      <c r="AP185" s="4889"/>
      <c r="AQ185" s="4889"/>
      <c r="AS185" s="1256"/>
      <c r="AT185" s="1732"/>
      <c r="AU185" s="1732"/>
      <c r="AV185" s="1256"/>
      <c r="AW185" s="1256"/>
      <c r="AX185" s="1256"/>
      <c r="AY185" s="1256"/>
      <c r="AZ185" s="1732"/>
      <c r="BA185" s="1256"/>
      <c r="BB185" s="1256"/>
      <c r="BC185" s="651"/>
      <c r="BD185" s="1256"/>
      <c r="BE185" s="1256"/>
      <c r="BF185" s="1256"/>
      <c r="BG185" s="1256"/>
      <c r="BH185" s="1256"/>
      <c r="BI185" s="1728"/>
      <c r="BJ185" s="673"/>
      <c r="BK185" s="673"/>
      <c r="BL185" s="673"/>
      <c r="BM185" s="673"/>
      <c r="BN185" s="1737">
        <v>11</v>
      </c>
    </row>
    <row s="10851" customFormat="1" customHeight="1" ht="11.549999999999999">
      <c r="A186" s="1087"/>
      <c r="B186" s="1732"/>
      <c r="C186" s="1732"/>
      <c r="D186" s="458"/>
      <c r="AO186" s="4889"/>
      <c r="AP186" s="4889"/>
      <c r="AQ186" s="4889"/>
      <c r="AS186" s="1256"/>
      <c r="AT186" s="1732"/>
      <c r="AU186" s="1732"/>
      <c r="AV186" s="1256"/>
      <c r="AW186" s="1256"/>
      <c r="AX186" s="1256"/>
      <c r="AY186" s="1256"/>
      <c r="AZ186" s="1732"/>
      <c r="BA186" s="1256"/>
      <c r="BB186" s="1256"/>
      <c r="BC186" s="651"/>
      <c r="BD186" s="1256"/>
      <c r="BE186" s="1256"/>
      <c r="BF186" s="1256"/>
      <c r="BG186" s="1256"/>
      <c r="BH186" s="1256"/>
      <c r="BI186" s="1728"/>
      <c r="BJ186" s="673"/>
      <c r="BK186" s="673"/>
      <c r="BL186" s="673"/>
      <c r="BM186" s="673"/>
      <c r="BN186" s="1737">
        <v>11</v>
      </c>
    </row>
    <row s="10851" customFormat="1" customHeight="1" ht="11.549999999999999">
      <c r="A187" s="1087"/>
      <c r="B187" s="1732"/>
      <c r="C187" s="1732"/>
      <c r="D187" s="458"/>
      <c r="AO187" s="4889"/>
      <c r="AP187" s="4889"/>
      <c r="AQ187" s="4889"/>
      <c r="AS187" s="1256"/>
      <c r="AT187" s="1732"/>
      <c r="AU187" s="1732"/>
      <c r="AV187" s="1256"/>
      <c r="AW187" s="1256"/>
      <c r="AX187" s="1256"/>
      <c r="AY187" s="1256"/>
      <c r="AZ187" s="1732"/>
      <c r="BA187" s="1256"/>
      <c r="BB187" s="1256"/>
      <c r="BC187" s="651"/>
      <c r="BD187" s="1256"/>
      <c r="BE187" s="1256"/>
      <c r="BF187" s="1256"/>
      <c r="BG187" s="1256"/>
      <c r="BH187" s="1256"/>
      <c r="BI187" s="1728"/>
      <c r="BJ187" s="673"/>
      <c r="BK187" s="673"/>
      <c r="BL187" s="673"/>
      <c r="BM187" s="673"/>
      <c r="BN187" s="1737">
        <v>11</v>
      </c>
    </row>
    <row s="10851" customFormat="1" customHeight="1" ht="11.549999999999999">
      <c r="A188" s="1087"/>
      <c r="B188" s="1732"/>
      <c r="C188" s="1732"/>
      <c r="D188" s="458"/>
      <c r="AO188" s="4889"/>
      <c r="AP188" s="4889"/>
      <c r="AQ188" s="4889"/>
      <c r="AS188" s="1256"/>
      <c r="AT188" s="1732"/>
      <c r="AU188" s="1732"/>
      <c r="AV188" s="1256"/>
      <c r="AW188" s="1256"/>
      <c r="AX188" s="1256"/>
      <c r="AY188" s="1256"/>
      <c r="AZ188" s="1732"/>
      <c r="BA188" s="1256"/>
      <c r="BB188" s="1256"/>
      <c r="BC188" s="651"/>
      <c r="BD188" s="1256"/>
      <c r="BE188" s="1256"/>
      <c r="BF188" s="1256"/>
      <c r="BG188" s="1256"/>
      <c r="BH188" s="1256"/>
      <c r="BI188" s="1728"/>
      <c r="BJ188" s="673"/>
      <c r="BK188" s="673"/>
      <c r="BL188" s="673"/>
      <c r="BM188" s="673"/>
      <c r="BN188" s="1737">
        <v>11</v>
      </c>
    </row>
    <row s="10851" customFormat="1" customHeight="1" ht="11.549999999999999">
      <c r="A189" s="1087"/>
      <c r="B189" s="1732"/>
      <c r="C189" s="1732"/>
      <c r="D189" s="458"/>
      <c r="AO189" s="4889"/>
      <c r="AP189" s="4889"/>
      <c r="AQ189" s="4889"/>
      <c r="AS189" s="1256"/>
      <c r="AT189" s="1732"/>
      <c r="AU189" s="1732"/>
      <c r="AV189" s="1256"/>
      <c r="AW189" s="1256"/>
      <c r="AX189" s="1256"/>
      <c r="AY189" s="1256"/>
      <c r="AZ189" s="1732"/>
      <c r="BA189" s="1256"/>
      <c r="BB189" s="1256"/>
      <c r="BC189" s="651"/>
      <c r="BD189" s="1256"/>
      <c r="BE189" s="1256"/>
      <c r="BF189" s="1256"/>
      <c r="BG189" s="1256"/>
      <c r="BH189" s="1256"/>
      <c r="BI189" s="1728"/>
      <c r="BJ189" s="673"/>
      <c r="BK189" s="673"/>
      <c r="BL189" s="673"/>
      <c r="BM189" s="673"/>
      <c r="BN189" s="1737">
        <v>11</v>
      </c>
    </row>
    <row s="10851" customFormat="1" customHeight="1" ht="11.549999999999999">
      <c r="A190" s="1087"/>
      <c r="B190" s="1732"/>
      <c r="C190" s="1732"/>
      <c r="D190" s="458"/>
      <c r="AO190" s="4889"/>
      <c r="AP190" s="4889"/>
      <c r="AQ190" s="4889"/>
      <c r="AS190" s="1256"/>
      <c r="AT190" s="1732"/>
      <c r="AU190" s="1732"/>
      <c r="AV190" s="1256"/>
      <c r="AW190" s="1256"/>
      <c r="AX190" s="1256"/>
      <c r="AY190" s="1256"/>
      <c r="AZ190" s="1732"/>
      <c r="BA190" s="1256"/>
      <c r="BB190" s="1256"/>
      <c r="BC190" s="651"/>
      <c r="BD190" s="1256"/>
      <c r="BE190" s="1256"/>
      <c r="BF190" s="1256"/>
      <c r="BG190" s="1256"/>
      <c r="BH190" s="1256"/>
      <c r="BI190" s="1728"/>
      <c r="BJ190" s="673"/>
      <c r="BK190" s="673"/>
      <c r="BL190" s="673"/>
      <c r="BM190" s="673"/>
      <c r="BN190" s="1737">
        <v>11</v>
      </c>
    </row>
    <row s="10851" customFormat="1" customHeight="1" ht="11.549999999999999">
      <c r="A191" s="1087"/>
      <c r="B191" s="1732"/>
      <c r="C191" s="1732"/>
      <c r="D191" s="458"/>
      <c r="AO191" s="4889"/>
      <c r="AP191" s="4889"/>
      <c r="AQ191" s="4889"/>
      <c r="AS191" s="1256"/>
      <c r="AT191" s="1732"/>
      <c r="AU191" s="1732"/>
      <c r="AV191" s="1256"/>
      <c r="AW191" s="1256"/>
      <c r="AX191" s="1256"/>
      <c r="AY191" s="1256"/>
      <c r="AZ191" s="1732"/>
      <c r="BA191" s="1256"/>
      <c r="BB191" s="1256"/>
      <c r="BC191" s="651"/>
      <c r="BD191" s="1256"/>
      <c r="BE191" s="1256"/>
      <c r="BF191" s="1256"/>
      <c r="BG191" s="1256"/>
      <c r="BH191" s="1256"/>
      <c r="BI191" s="1728"/>
      <c r="BJ191" s="673"/>
      <c r="BK191" s="673"/>
      <c r="BL191" s="673"/>
      <c r="BM191" s="673"/>
      <c r="BN191" s="1737">
        <v>11</v>
      </c>
    </row>
    <row s="10851" customFormat="1" customHeight="1" ht="11.549999999999999">
      <c r="A192" s="1087"/>
      <c r="B192" s="1732"/>
      <c r="C192" s="1732"/>
      <c r="D192" s="458"/>
      <c r="AO192" s="4889"/>
      <c r="AP192" s="4889"/>
      <c r="AQ192" s="4889"/>
      <c r="AS192" s="1256"/>
      <c r="AT192" s="1732"/>
      <c r="AU192" s="1732"/>
      <c r="AV192" s="1256"/>
      <c r="AW192" s="1256"/>
      <c r="AX192" s="1256"/>
      <c r="AY192" s="1256"/>
      <c r="AZ192" s="1732"/>
      <c r="BA192" s="1256"/>
      <c r="BB192" s="1256"/>
      <c r="BC192" s="651"/>
      <c r="BD192" s="1256"/>
      <c r="BE192" s="1256"/>
      <c r="BF192" s="1256"/>
      <c r="BG192" s="1256"/>
      <c r="BH192" s="1256"/>
      <c r="BI192" s="1728"/>
      <c r="BJ192" s="673"/>
      <c r="BK192" s="673"/>
      <c r="BL192" s="673"/>
      <c r="BM192" s="673"/>
      <c r="BN192" s="1737">
        <v>11</v>
      </c>
    </row>
    <row s="10851" customFormat="1" customHeight="1" ht="11.549999999999999">
      <c r="A193" s="1087"/>
      <c r="B193" s="1732"/>
      <c r="C193" s="1732"/>
      <c r="D193" s="458"/>
      <c r="AO193" s="4889"/>
      <c r="AP193" s="4889"/>
      <c r="AQ193" s="4889"/>
      <c r="AS193" s="1256"/>
      <c r="AT193" s="1732"/>
      <c r="AU193" s="1732"/>
      <c r="AV193" s="1256"/>
      <c r="AW193" s="1256"/>
      <c r="AX193" s="1256"/>
      <c r="AY193" s="1256"/>
      <c r="AZ193" s="1732"/>
      <c r="BA193" s="1256"/>
      <c r="BB193" s="1256"/>
      <c r="BC193" s="651"/>
      <c r="BD193" s="1256"/>
      <c r="BE193" s="1256"/>
      <c r="BF193" s="1256"/>
      <c r="BG193" s="1256"/>
      <c r="BH193" s="1256"/>
      <c r="BI193" s="1728"/>
      <c r="BJ193" s="673"/>
      <c r="BK193" s="673"/>
      <c r="BL193" s="673"/>
      <c r="BM193" s="673"/>
      <c r="BN193" s="1737">
        <v>11</v>
      </c>
    </row>
    <row s="10851" customFormat="1" customHeight="1" ht="11.549999999999999">
      <c r="A194" s="1087"/>
      <c r="B194" s="1732"/>
      <c r="C194" s="1732"/>
      <c r="D194" s="458"/>
      <c r="AO194" s="4889"/>
      <c r="AP194" s="4889"/>
      <c r="AQ194" s="4889"/>
      <c r="AS194" s="1256"/>
      <c r="AT194" s="1732"/>
      <c r="AU194" s="1732"/>
      <c r="AV194" s="1256"/>
      <c r="AW194" s="1256"/>
      <c r="AX194" s="1256"/>
      <c r="AY194" s="1256"/>
      <c r="AZ194" s="1732"/>
      <c r="BA194" s="1256"/>
      <c r="BB194" s="1256"/>
      <c r="BC194" s="651"/>
      <c r="BD194" s="1256"/>
      <c r="BE194" s="1256"/>
      <c r="BF194" s="1256"/>
      <c r="BG194" s="1256"/>
      <c r="BH194" s="1256"/>
      <c r="BI194" s="1728"/>
      <c r="BJ194" s="673"/>
      <c r="BK194" s="673"/>
      <c r="BL194" s="673"/>
      <c r="BM194" s="673"/>
      <c r="BN194" s="1737">
        <v>11</v>
      </c>
    </row>
    <row s="10851" customFormat="1" customHeight="1" ht="11.549999999999999">
      <c r="A195" s="1087"/>
      <c r="B195" s="1732"/>
      <c r="C195" s="1732"/>
      <c r="D195" s="458"/>
      <c r="AO195" s="4889"/>
      <c r="AP195" s="4889"/>
      <c r="AQ195" s="4889"/>
      <c r="AS195" s="1256"/>
      <c r="AT195" s="1732"/>
      <c r="AU195" s="1732"/>
      <c r="AV195" s="1256"/>
      <c r="AW195" s="1256"/>
      <c r="AX195" s="1256"/>
      <c r="AY195" s="1256"/>
      <c r="AZ195" s="1732"/>
      <c r="BA195" s="1256"/>
      <c r="BB195" s="1256"/>
      <c r="BC195" s="651"/>
      <c r="BD195" s="1256"/>
      <c r="BE195" s="1256"/>
      <c r="BF195" s="1256"/>
      <c r="BG195" s="1256"/>
      <c r="BH195" s="1256"/>
      <c r="BI195" s="1728"/>
      <c r="BJ195" s="673"/>
      <c r="BK195" s="673"/>
      <c r="BL195" s="673"/>
      <c r="BM195" s="673"/>
      <c r="BN195" s="1737">
        <v>11</v>
      </c>
    </row>
    <row s="10851" customFormat="1" customHeight="1" ht="11.549999999999999">
      <c r="A196" s="1087"/>
      <c r="B196" s="1732"/>
      <c r="C196" s="1732"/>
      <c r="D196" s="458"/>
      <c r="AO196" s="4889"/>
      <c r="AP196" s="4889"/>
      <c r="AQ196" s="4889"/>
      <c r="AS196" s="1256"/>
      <c r="AT196" s="1732"/>
      <c r="AU196" s="1732"/>
      <c r="AV196" s="1256"/>
      <c r="AW196" s="1256"/>
      <c r="AX196" s="1256"/>
      <c r="AY196" s="1256"/>
      <c r="AZ196" s="1732"/>
      <c r="BA196" s="1256"/>
      <c r="BB196" s="1256"/>
      <c r="BC196" s="651"/>
      <c r="BD196" s="1256"/>
      <c r="BE196" s="1256"/>
      <c r="BF196" s="1256"/>
      <c r="BG196" s="1256"/>
      <c r="BH196" s="1256"/>
      <c r="BI196" s="1728"/>
      <c r="BJ196" s="673"/>
      <c r="BK196" s="673"/>
      <c r="BL196" s="673"/>
      <c r="BM196" s="673"/>
      <c r="BN196" s="1737">
        <v>11</v>
      </c>
    </row>
    <row s="10851" customFormat="1" customHeight="1" ht="11.549999999999999">
      <c r="A197" s="1087"/>
      <c r="B197" s="1732"/>
      <c r="C197" s="1732"/>
      <c r="D197" s="458"/>
      <c r="AO197" s="4889"/>
      <c r="AP197" s="4889"/>
      <c r="AQ197" s="4889"/>
      <c r="AS197" s="1256"/>
      <c r="AT197" s="1732"/>
      <c r="AU197" s="1732"/>
      <c r="AV197" s="1256"/>
      <c r="AW197" s="1256"/>
      <c r="AX197" s="1256"/>
      <c r="AY197" s="1256"/>
      <c r="AZ197" s="1732"/>
      <c r="BA197" s="1256"/>
      <c r="BB197" s="1256"/>
      <c r="BC197" s="651"/>
      <c r="BD197" s="1256"/>
      <c r="BE197" s="1256"/>
      <c r="BF197" s="1256"/>
      <c r="BG197" s="1256"/>
      <c r="BH197" s="1256"/>
      <c r="BI197" s="1728"/>
      <c r="BJ197" s="673"/>
      <c r="BK197" s="673"/>
      <c r="BL197" s="673"/>
      <c r="BM197" s="673"/>
      <c r="BN197" s="1737">
        <v>11</v>
      </c>
    </row>
    <row s="10851" customFormat="1" customHeight="1" ht="11.549999999999999">
      <c r="A198" s="1087"/>
      <c r="B198" s="1732"/>
      <c r="C198" s="1732"/>
      <c r="D198" s="458"/>
      <c r="AO198" s="4889"/>
      <c r="AP198" s="4889"/>
      <c r="AQ198" s="4889"/>
      <c r="AS198" s="1256"/>
      <c r="AT198" s="1732"/>
      <c r="AU198" s="1732"/>
      <c r="AV198" s="1256"/>
      <c r="AW198" s="1256"/>
      <c r="AX198" s="1256"/>
      <c r="AY198" s="1256"/>
      <c r="AZ198" s="1732"/>
      <c r="BA198" s="1256"/>
      <c r="BB198" s="1256"/>
      <c r="BC198" s="651"/>
      <c r="BD198" s="1256"/>
      <c r="BE198" s="1256"/>
      <c r="BF198" s="1256"/>
      <c r="BG198" s="1256"/>
      <c r="BH198" s="1256"/>
      <c r="BI198" s="1728"/>
      <c r="BJ198" s="673"/>
      <c r="BK198" s="673"/>
      <c r="BL198" s="673"/>
      <c r="BM198" s="673"/>
      <c r="BN198" s="1737">
        <v>11</v>
      </c>
    </row>
    <row s="10851" customFormat="1" customHeight="1" ht="11.549999999999999">
      <c r="A199" s="1087"/>
      <c r="B199" s="1732"/>
      <c r="C199" s="1732"/>
      <c r="D199" s="458"/>
      <c r="AO199" s="4889"/>
      <c r="AP199" s="4889"/>
      <c r="AQ199" s="4889"/>
      <c r="AS199" s="1256"/>
      <c r="AT199" s="1732"/>
      <c r="AU199" s="1732"/>
      <c r="AV199" s="1256"/>
      <c r="AW199" s="1256"/>
      <c r="AX199" s="1256"/>
      <c r="AY199" s="1256"/>
      <c r="AZ199" s="1732"/>
      <c r="BA199" s="1256"/>
      <c r="BB199" s="1256"/>
      <c r="BC199" s="651"/>
      <c r="BD199" s="1256"/>
      <c r="BE199" s="1256"/>
      <c r="BF199" s="1256"/>
      <c r="BG199" s="1256"/>
      <c r="BH199" s="1256"/>
      <c r="BI199" s="1728"/>
      <c r="BJ199" s="673"/>
      <c r="BK199" s="673"/>
      <c r="BL199" s="673"/>
      <c r="BM199" s="673"/>
      <c r="BN199" s="1737">
        <v>11</v>
      </c>
    </row>
    <row s="10851" customFormat="1" customHeight="1" ht="11.549999999999999">
      <c r="A200" s="1087"/>
      <c r="B200" s="1732"/>
      <c r="C200" s="1732"/>
      <c r="D200" s="458"/>
      <c r="AO200" s="4889"/>
      <c r="AP200" s="4889"/>
      <c r="AQ200" s="4889"/>
      <c r="AS200" s="1256"/>
      <c r="AT200" s="1732"/>
      <c r="AU200" s="1732"/>
      <c r="AV200" s="1256"/>
      <c r="AW200" s="1256"/>
      <c r="AX200" s="1256"/>
      <c r="AY200" s="1256"/>
      <c r="AZ200" s="1732"/>
      <c r="BA200" s="1256"/>
      <c r="BB200" s="1256"/>
      <c r="BC200" s="651"/>
      <c r="BD200" s="1256"/>
      <c r="BE200" s="1256"/>
      <c r="BF200" s="1256"/>
      <c r="BG200" s="1256"/>
      <c r="BH200" s="1256"/>
      <c r="BI200" s="1728"/>
      <c r="BJ200" s="673"/>
      <c r="BK200" s="673"/>
      <c r="BL200" s="673"/>
      <c r="BM200" s="673"/>
      <c r="BN200" s="1737">
        <v>11</v>
      </c>
    </row>
    <row customHeight="1" ht="11.549999999999999">
      <c r="AO201" s="4586"/>
      <c r="AP201" s="4586"/>
      <c r="AQ201" s="4586"/>
      <c r="BN201" s="1727">
        <v>11</v>
      </c>
    </row>
    <row customHeight="1" ht="11.549999999999999">
      <c r="AO202" s="4586"/>
      <c r="AP202" s="4586"/>
      <c r="AQ202" s="4586"/>
      <c r="BN202" s="1727">
        <v>11</v>
      </c>
    </row>
    <row customHeight="1" ht="11.549999999999999">
      <c r="AO203" s="4586"/>
      <c r="AP203" s="4586"/>
      <c r="AQ203" s="4586"/>
      <c r="BN203" s="1727">
        <v>11</v>
      </c>
    </row>
    <row customHeight="1" ht="11.549999999999999">
      <c r="A204" s="1090"/>
      <c r="B204" s="1727"/>
      <c r="D204" s="1727"/>
      <c r="AO204" s="4586"/>
      <c r="AP204" s="4586"/>
      <c r="AQ204" s="4586"/>
      <c r="AS204" s="1727"/>
      <c r="AV204" s="1727"/>
      <c r="AW204" s="1727"/>
      <c r="AX204" s="1727"/>
      <c r="AY204" s="1727"/>
      <c r="BA204" s="1727"/>
      <c r="BB204" s="1727"/>
      <c r="BC204" s="1727"/>
      <c r="BD204" s="1727"/>
      <c r="BE204" s="1727"/>
      <c r="BF204" s="1727"/>
      <c r="BG204" s="1727"/>
      <c r="BH204" s="1727"/>
      <c r="BI204" s="1727"/>
      <c r="BJ204" s="1727"/>
      <c r="BK204" s="1727"/>
      <c r="BL204" s="1727"/>
      <c r="BM204" s="1727"/>
      <c r="BN204" s="1727">
        <v>11</v>
      </c>
    </row>
    <row customHeight="1" ht="11.549999999999999">
      <c r="A205" s="1090"/>
      <c r="B205" s="1727"/>
      <c r="D205" s="1727"/>
      <c r="AO205" s="4586"/>
      <c r="AP205" s="4586"/>
      <c r="AQ205" s="4586"/>
      <c r="AS205" s="1727"/>
      <c r="AV205" s="1727"/>
      <c r="AW205" s="1727"/>
      <c r="AX205" s="1727"/>
      <c r="AY205" s="1727"/>
      <c r="BA205" s="1727"/>
      <c r="BB205" s="1727"/>
      <c r="BC205" s="1727"/>
      <c r="BD205" s="1727"/>
      <c r="BE205" s="1727"/>
      <c r="BF205" s="1727"/>
      <c r="BG205" s="1727"/>
      <c r="BH205" s="1727"/>
      <c r="BI205" s="1727"/>
      <c r="BJ205" s="1727"/>
      <c r="BK205" s="1727"/>
      <c r="BL205" s="1727"/>
      <c r="BM205" s="1727"/>
      <c r="BN205" s="1727">
        <v>11</v>
      </c>
    </row>
    <row customHeight="1" ht="11.549999999999999">
      <c r="A206" s="1090"/>
      <c r="B206" s="1727"/>
      <c r="D206" s="1727"/>
      <c r="AO206" s="4586"/>
      <c r="AP206" s="4586"/>
      <c r="AQ206" s="4586"/>
      <c r="AS206" s="1727"/>
      <c r="AV206" s="1727"/>
      <c r="AW206" s="1727"/>
      <c r="AX206" s="1727"/>
      <c r="AY206" s="1727"/>
      <c r="BA206" s="1727"/>
      <c r="BB206" s="1727"/>
      <c r="BC206" s="1727"/>
      <c r="BD206" s="1727"/>
      <c r="BE206" s="1727"/>
      <c r="BF206" s="1727"/>
      <c r="BG206" s="1727"/>
      <c r="BH206" s="1727"/>
      <c r="BI206" s="1727"/>
      <c r="BJ206" s="1727"/>
      <c r="BK206" s="1727"/>
      <c r="BL206" s="1727"/>
      <c r="BM206" s="1727"/>
      <c r="BN206" s="1727">
        <v>11</v>
      </c>
    </row>
    <row customHeight="1" ht="11.549999999999999">
      <c r="A207" s="1090"/>
      <c r="B207" s="1727"/>
      <c r="D207" s="1727"/>
      <c r="AO207" s="4586"/>
      <c r="AP207" s="4586"/>
      <c r="AQ207" s="4586"/>
      <c r="AS207" s="1727"/>
      <c r="AV207" s="1727"/>
      <c r="AW207" s="1727"/>
      <c r="AX207" s="1727"/>
      <c r="AY207" s="1727"/>
      <c r="BA207" s="1727"/>
      <c r="BB207" s="1727"/>
      <c r="BC207" s="1727"/>
      <c r="BD207" s="1727"/>
      <c r="BE207" s="1727"/>
      <c r="BF207" s="1727"/>
      <c r="BG207" s="1727"/>
      <c r="BH207" s="1727"/>
      <c r="BI207" s="1727"/>
      <c r="BJ207" s="1727"/>
      <c r="BK207" s="1727"/>
      <c r="BL207" s="1727"/>
      <c r="BM207" s="1727"/>
      <c r="BN207" s="1727">
        <v>11</v>
      </c>
    </row>
    <row customHeight="1" ht="11.549999999999999">
      <c r="A208" s="1090"/>
      <c r="B208" s="1727"/>
      <c r="D208" s="1727"/>
      <c r="AO208" s="4586"/>
      <c r="AP208" s="4586"/>
      <c r="AQ208" s="4586"/>
      <c r="AS208" s="1727"/>
      <c r="AV208" s="1727"/>
      <c r="AW208" s="1727"/>
      <c r="AX208" s="1727"/>
      <c r="AY208" s="1727"/>
      <c r="BA208" s="1727"/>
      <c r="BB208" s="1727"/>
      <c r="BC208" s="1727"/>
      <c r="BD208" s="1727"/>
      <c r="BE208" s="1727"/>
      <c r="BF208" s="1727"/>
      <c r="BG208" s="1727"/>
      <c r="BH208" s="1727"/>
      <c r="BI208" s="1727"/>
      <c r="BJ208" s="1727"/>
      <c r="BK208" s="1727"/>
      <c r="BL208" s="1727"/>
      <c r="BM208" s="1727"/>
      <c r="BN208" s="1727">
        <v>11</v>
      </c>
    </row>
    <row customHeight="1" ht="11.549999999999999">
      <c r="A209" s="1090"/>
      <c r="B209" s="1727"/>
      <c r="D209" s="1727"/>
      <c r="AO209" s="4586"/>
      <c r="AP209" s="4586"/>
      <c r="AQ209" s="4586"/>
      <c r="AS209" s="1727"/>
      <c r="AV209" s="1727"/>
      <c r="AW209" s="1727"/>
      <c r="AX209" s="1727"/>
      <c r="AY209" s="1727"/>
      <c r="BA209" s="1727"/>
      <c r="BB209" s="1727"/>
      <c r="BC209" s="1727"/>
      <c r="BD209" s="1727"/>
      <c r="BE209" s="1727"/>
      <c r="BF209" s="1727"/>
      <c r="BG209" s="1727"/>
      <c r="BH209" s="1727"/>
      <c r="BI209" s="1727"/>
      <c r="BJ209" s="1727"/>
      <c r="BK209" s="1727"/>
      <c r="BL209" s="1727"/>
      <c r="BM209" s="1727"/>
      <c r="BN209" s="1727">
        <v>11</v>
      </c>
    </row>
    <row customHeight="1" ht="11.549999999999999">
      <c r="A210" s="1090"/>
      <c r="B210" s="1727"/>
      <c r="D210" s="1727"/>
      <c r="AO210" s="4586"/>
      <c r="AP210" s="4586"/>
      <c r="AQ210" s="4586"/>
      <c r="AS210" s="1727"/>
      <c r="AV210" s="1727"/>
      <c r="AW210" s="1727"/>
      <c r="AX210" s="1727"/>
      <c r="AY210" s="1727"/>
      <c r="BA210" s="1727"/>
      <c r="BB210" s="1727"/>
      <c r="BC210" s="1727"/>
      <c r="BD210" s="1727"/>
      <c r="BE210" s="1727"/>
      <c r="BF210" s="1727"/>
      <c r="BG210" s="1727"/>
      <c r="BH210" s="1727"/>
      <c r="BI210" s="1727"/>
      <c r="BJ210" s="1727"/>
      <c r="BK210" s="1727"/>
      <c r="BL210" s="1727"/>
      <c r="BM210" s="1727"/>
      <c r="BN210" s="1727">
        <v>11</v>
      </c>
    </row>
    <row customHeight="1" ht="11.549999999999999">
      <c r="A211" s="1090"/>
      <c r="B211" s="1727"/>
      <c r="D211" s="1727"/>
      <c r="AO211" s="4586"/>
      <c r="AP211" s="4586"/>
      <c r="AQ211" s="4586"/>
      <c r="AS211" s="1727"/>
      <c r="AV211" s="1727"/>
      <c r="AW211" s="1727"/>
      <c r="AX211" s="1727"/>
      <c r="AY211" s="1727"/>
      <c r="BA211" s="1727"/>
      <c r="BB211" s="1727"/>
      <c r="BC211" s="1727"/>
      <c r="BD211" s="1727"/>
      <c r="BE211" s="1727"/>
      <c r="BF211" s="1727"/>
      <c r="BG211" s="1727"/>
      <c r="BH211" s="1727"/>
      <c r="BI211" s="1727"/>
      <c r="BJ211" s="1727"/>
      <c r="BK211" s="1727"/>
      <c r="BL211" s="1727"/>
      <c r="BM211" s="1727"/>
      <c r="BN211" s="1727">
        <v>11</v>
      </c>
    </row>
    <row customHeight="1" ht="11.549999999999999">
      <c r="A212" s="1090"/>
      <c r="B212" s="1727"/>
      <c r="D212" s="1727"/>
      <c r="AO212" s="4586"/>
      <c r="AP212" s="4586"/>
      <c r="AQ212" s="4586"/>
      <c r="AS212" s="1727"/>
      <c r="AV212" s="1727"/>
      <c r="AW212" s="1727"/>
      <c r="AX212" s="1727"/>
      <c r="AY212" s="1727"/>
      <c r="BA212" s="1727"/>
      <c r="BB212" s="1727"/>
      <c r="BC212" s="1727"/>
      <c r="BD212" s="1727"/>
      <c r="BE212" s="1727"/>
      <c r="BF212" s="1727"/>
      <c r="BG212" s="1727"/>
      <c r="BH212" s="1727"/>
      <c r="BI212" s="1727"/>
      <c r="BJ212" s="1727"/>
      <c r="BK212" s="1727"/>
      <c r="BL212" s="1727"/>
      <c r="BM212" s="1727"/>
      <c r="BN212" s="1727">
        <v>11</v>
      </c>
    </row>
    <row customHeight="1" ht="11.549999999999999">
      <c r="A213" s="1090"/>
      <c r="B213" s="1727"/>
      <c r="D213" s="1727"/>
      <c r="AO213" s="4586"/>
      <c r="AP213" s="4586"/>
      <c r="AQ213" s="4586"/>
      <c r="AS213" s="1727"/>
      <c r="AV213" s="1727"/>
      <c r="AW213" s="1727"/>
      <c r="AX213" s="1727"/>
      <c r="AY213" s="1727"/>
      <c r="BA213" s="1727"/>
      <c r="BB213" s="1727"/>
      <c r="BC213" s="1727"/>
      <c r="BD213" s="1727"/>
      <c r="BE213" s="1727"/>
      <c r="BF213" s="1727"/>
      <c r="BG213" s="1727"/>
      <c r="BH213" s="1727"/>
      <c r="BI213" s="1727"/>
      <c r="BJ213" s="1727"/>
      <c r="BK213" s="1727"/>
      <c r="BL213" s="1727"/>
      <c r="BM213" s="1727"/>
      <c r="BN213" s="1727">
        <v>11</v>
      </c>
    </row>
    <row customHeight="1" ht="11.549999999999999">
      <c r="A214" s="1090"/>
      <c r="B214" s="1727"/>
      <c r="D214" s="1727"/>
      <c r="AO214" s="4586"/>
      <c r="AP214" s="4586"/>
      <c r="AQ214" s="4586"/>
      <c r="AS214" s="1727"/>
      <c r="AV214" s="1727"/>
      <c r="AW214" s="1727"/>
      <c r="AX214" s="1727"/>
      <c r="AY214" s="1727"/>
      <c r="BA214" s="1727"/>
      <c r="BB214" s="1727"/>
      <c r="BC214" s="1727"/>
      <c r="BD214" s="1727"/>
      <c r="BE214" s="1727"/>
      <c r="BF214" s="1727"/>
      <c r="BG214" s="1727"/>
      <c r="BH214" s="1727"/>
      <c r="BI214" s="1727"/>
      <c r="BJ214" s="1727"/>
      <c r="BK214" s="1727"/>
      <c r="BL214" s="1727"/>
      <c r="BM214" s="1727"/>
      <c r="BN214" s="1727">
        <v>11</v>
      </c>
    </row>
    <row customHeight="1" ht="11.25" hidden="1">
      <c r="A215" s="1087" t="s">
        <v>82</v>
      </c>
      <c r="B215" s="1256">
        <v>0</v>
      </c>
      <c r="C215" s="1732">
        <v>0</v>
      </c>
      <c r="D215" s="1731">
        <v>3</v>
      </c>
      <c r="E215" s="1727">
        <v>7</v>
      </c>
      <c r="F215" s="1727">
        <v>54</v>
      </c>
      <c r="G215" s="1727">
        <v>10</v>
      </c>
      <c r="H215" s="1727">
        <v>0</v>
      </c>
      <c r="I215" s="1727">
        <v>40</v>
      </c>
      <c r="J215" s="1731">
        <v>0</v>
      </c>
      <c r="K215" s="1731">
        <v>0</v>
      </c>
      <c r="L215" s="1731">
        <v>0</v>
      </c>
      <c r="M215" s="1731">
        <v>0</v>
      </c>
      <c r="N215" s="1731">
        <v>0</v>
      </c>
      <c r="O215" s="1731">
        <v>0</v>
      </c>
      <c r="P215" s="1731">
        <v>0</v>
      </c>
      <c r="Q215" s="1731">
        <v>0</v>
      </c>
      <c r="R215" s="1731">
        <v>0</v>
      </c>
      <c r="S215" s="1731">
        <v>0</v>
      </c>
      <c r="T215" s="1731">
        <v>0</v>
      </c>
      <c r="U215" s="1731">
        <v>0</v>
      </c>
      <c r="V215" s="1731">
        <v>0</v>
      </c>
      <c r="W215" s="1731">
        <v>0</v>
      </c>
      <c r="X215" s="1731">
        <v>0</v>
      </c>
      <c r="Y215" s="1731">
        <v>0</v>
      </c>
      <c r="Z215" s="1731">
        <v>0</v>
      </c>
      <c r="AA215" s="1731">
        <v>0</v>
      </c>
      <c r="AB215" s="1731">
        <v>0</v>
      </c>
      <c r="AC215" s="1731">
        <v>0</v>
      </c>
      <c r="AD215" s="1731">
        <v>0</v>
      </c>
      <c r="AE215" s="1731">
        <v>0</v>
      </c>
      <c r="AF215" s="1731">
        <v>0</v>
      </c>
      <c r="AG215" s="1731">
        <v>0</v>
      </c>
      <c r="AH215" s="1731">
        <v>0</v>
      </c>
      <c r="AI215" s="1731">
        <v>0</v>
      </c>
      <c r="AJ215" s="1731">
        <v>0</v>
      </c>
      <c r="AK215" s="1731">
        <v>0</v>
      </c>
      <c r="AL215" s="1731">
        <v>0</v>
      </c>
      <c r="AM215" s="1731">
        <v>0</v>
      </c>
      <c r="AN215" s="1731">
        <v>0</v>
      </c>
      <c r="AO215" s="4586">
        <v>0</v>
      </c>
      <c r="AP215" s="4586">
        <v>0</v>
      </c>
      <c r="AQ215" s="4586">
        <v>0</v>
      </c>
      <c r="AR215" s="1727">
        <v>102</v>
      </c>
      <c r="AS215" s="1256">
        <v>9</v>
      </c>
      <c r="AT215" s="1732">
        <v>5</v>
      </c>
      <c r="AU215" s="1732">
        <v>3</v>
      </c>
      <c r="AV215" s="1256">
        <v>3</v>
      </c>
      <c r="AW215" s="1256">
        <v>3</v>
      </c>
      <c r="AX215" s="1256">
        <v>3</v>
      </c>
      <c r="AY215" s="1256">
        <v>3</v>
      </c>
      <c r="AZ215" s="1732">
        <v>10</v>
      </c>
      <c r="BA215" s="1256">
        <v>34</v>
      </c>
      <c r="BB215" s="1256">
        <v>9</v>
      </c>
      <c r="BC215" s="651">
        <v>8</v>
      </c>
      <c r="BD215" s="1256">
        <v>8</v>
      </c>
      <c r="BE215" s="1256">
        <v>8</v>
      </c>
      <c r="BF215" s="1256">
        <v>8</v>
      </c>
      <c r="BG215" s="1256">
        <v>8</v>
      </c>
      <c r="BH215" s="1256">
        <v>8</v>
      </c>
      <c r="BI215" s="1728">
        <v>8</v>
      </c>
      <c r="BJ215" s="1728">
        <v>8</v>
      </c>
      <c r="BK215" s="1728">
        <v>8</v>
      </c>
      <c r="BL215" s="1728">
        <v>8</v>
      </c>
      <c r="BM215" s="1728">
        <v>8</v>
      </c>
      <c r="BN215" s="1727">
        <v>11</v>
      </c>
    </row>
  </sheetData>
  <sheetProtection formatColumns="0" formatRows="0" autoFilter="0" sort="0" insertRows="0" insertColumns="1" deleteRows="0" deleteColumns="0"/>
  <mergeCells count="9">
    <mergeCell ref="F45:G45"/>
    <mergeCell ref="E6:I6"/>
    <mergeCell ref="E7:I7"/>
    <mergeCell ref="F10:G10"/>
    <mergeCell ref="AR10:AR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AQ35">
      <formula1>-9.99999999999999E+37</formula1>
      <formula2>9.99999999999999E+37</formula2>
    </dataValidation>
    <dataValidation type="decimal" allowBlank="1" showErrorMessage="1" errorTitle="Ошибка" error="Допускается ввод только действительных чисел!" sqref="H31:AQ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AQ36">
      <formula1>900</formula1>
    </dataValidation>
    <dataValidation type="decimal" allowBlank="1" showErrorMessage="1" errorTitle="Ошибка" error="Допускается ввод только неотрицательных чисел!" sqref="H32:AQ32 H2:AQ2 H15:AQ15 H17:AQ27 H37:AQ42 H30 I30 J30 K30 L30 M30 N30 O30 P30 Q30 R30 S30 T30 U30 V30 W30 X30 Y30 Z30 AA30 AB30 AC30 AD30 AE30 AF30 AG30 AH30 AI30 AJ30 AK30 AL30 AM30 AN30 AO30 AP30 AQ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Q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0518E-6CE3-F377-F40D-C18D6A71EDA3}" mc:Ignorable="x14ac xr xr2 xr3">
  <sheetPr>
    <tabColor theme="9" tint="-0.25"/>
  </sheetPr>
  <dimension ref="A1:CN102"/>
  <sheetViews>
    <sheetView topLeftCell="A1" showGridLines="0" zoomScale="90" workbookViewId="0">
      <selection activeCell="BZ24" sqref="BZ24"/>
    </sheetView>
  </sheetViews>
  <sheetFormatPr defaultColWidth="10.57421875" customHeight="1" defaultRowHeight="11.25"/>
  <cols>
    <col min="1" max="1" style="12083" width="9.140625" hidden="1" customWidth="1"/>
    <col min="2" max="2" style="10307" width="3.57421875" hidden="1" customWidth="1"/>
    <col min="3" max="3" style="10232" width="3.00390625" customWidth="1"/>
    <col min="4" max="4" style="10232" width="7.00390625" customWidth="1"/>
    <col min="5" max="5" style="10232" width="69.00390625" customWidth="1"/>
    <col min="6" max="6" style="10232" width="10.00390625" customWidth="1"/>
    <col min="7" max="8" style="10232" width="44.00390625" hidden="1" customWidth="1"/>
    <col min="9" max="9" style="10232" width="44.00390625" customWidth="1"/>
    <col min="10" max="10" style="10232" width="43.00390625" customWidth="1"/>
    <col min="11" max="36" style="10232" width="44.00390625" customWidth="1"/>
    <col min="37" max="37" style="10232" width="51.140625" customWidth="1"/>
    <col min="38" max="57" style="10232" width="0" customWidth="1"/>
    <col min="58" max="58" style="10232" width="43.8515625" customWidth="1"/>
    <col min="59" max="72" style="10232" width="44.00390625" customWidth="1"/>
    <col min="73" max="78" style="11667" width="44.00390625" customWidth="1"/>
    <col min="79" max="79" style="10232" width="73.00390625" customWidth="1"/>
    <col min="80" max="80" style="10232" width="3.00390625" customWidth="1"/>
    <col min="81" max="91" style="10232" width="10.00390625" customWidth="1"/>
    <col min="92" max="92" style="10232" width="10.57421875" hidden="1"/>
  </cols>
  <sheetData>
    <row s="10306" customFormat="1" customHeight="1" ht="22.5" hidden="1">
      <c r="A1" s="643"/>
      <c r="B1" s="618"/>
      <c r="G1" s="524">
        <v>4</v>
      </c>
      <c r="I1" s="524">
        <v>4</v>
      </c>
      <c r="K1" s="1462" t="s">
        <v>144</v>
      </c>
      <c r="M1" s="1462">
        <v>4</v>
      </c>
      <c r="O1" s="1462">
        <v>4</v>
      </c>
      <c r="Q1" s="1462">
        <v>4</v>
      </c>
      <c r="S1" s="1462">
        <v>4</v>
      </c>
      <c r="U1" s="1462">
        <v>4</v>
      </c>
      <c r="W1" s="1462">
        <v>4</v>
      </c>
      <c r="Y1" s="1462">
        <v>4</v>
      </c>
      <c r="AA1" s="1462">
        <v>4</v>
      </c>
      <c r="AC1" s="1462">
        <v>4</v>
      </c>
      <c r="AE1" s="1462">
        <v>4</v>
      </c>
      <c r="AG1" s="1462">
        <v>4</v>
      </c>
      <c r="AI1" s="1462">
        <v>4</v>
      </c>
      <c r="AK1" s="1462">
        <v>4</v>
      </c>
      <c r="AM1" s="1462">
        <v>4</v>
      </c>
      <c r="AO1" s="1462">
        <v>4</v>
      </c>
      <c r="AQ1" s="1462">
        <v>4</v>
      </c>
      <c r="AS1" s="1462">
        <v>4</v>
      </c>
      <c r="AU1" s="1462">
        <v>4</v>
      </c>
      <c r="AW1" s="1462">
        <v>4</v>
      </c>
      <c r="AY1" s="1462">
        <v>4</v>
      </c>
      <c r="BA1" s="1462">
        <v>4</v>
      </c>
      <c r="BC1" s="1462">
        <v>4</v>
      </c>
      <c r="BE1" s="1462">
        <v>4</v>
      </c>
      <c r="BG1" s="1462">
        <v>4</v>
      </c>
      <c r="BI1" s="1462">
        <v>4</v>
      </c>
      <c r="BK1" s="1462">
        <v>4</v>
      </c>
      <c r="BM1" s="1462">
        <v>4</v>
      </c>
      <c r="BO1" s="1462">
        <v>4</v>
      </c>
      <c r="BQ1" s="1462">
        <v>4</v>
      </c>
      <c r="BS1" s="1462">
        <v>4</v>
      </c>
      <c r="BU1" s="4608">
        <v>4</v>
      </c>
      <c r="BV1" s="4608"/>
      <c r="BW1" s="4608">
        <v>4</v>
      </c>
      <c r="BX1" s="4608"/>
      <c r="BY1" s="4608">
        <v>4</v>
      </c>
      <c r="BZ1" s="4608"/>
      <c r="CA1" s="524" t="s">
        <v>144</v>
      </c>
      <c r="CN1" s="524" t="s">
        <v>14</v>
      </c>
    </row>
    <row customHeight="1" ht="3">
      <c r="BU2" s="4586"/>
      <c r="BV2" s="4586"/>
      <c r="BW2" s="4586"/>
      <c r="BX2" s="4586"/>
      <c r="BY2" s="4586"/>
      <c r="BZ2" s="4586"/>
      <c r="CN2" s="612">
        <v>3</v>
      </c>
    </row>
    <row customHeight="1" ht="78.75">
      <c r="D3" s="29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972"/>
      <c r="F3" s="2973"/>
      <c r="BU3" s="4586"/>
      <c r="BV3" s="4586"/>
      <c r="BW3" s="4586"/>
      <c r="BX3" s="4586"/>
      <c r="BY3" s="4586"/>
      <c r="BZ3" s="4586"/>
      <c r="CN3" s="612">
        <v>75</v>
      </c>
    </row>
    <row s="10232" customFormat="1" customHeight="1" ht="21">
      <c r="A4" s="1051"/>
      <c r="B4" s="618"/>
      <c r="D4" s="3091" t="str">
        <f>IF(org=0,"Не определено",org)</f>
        <v>АО "ДГК"</v>
      </c>
      <c r="E4" s="3092"/>
      <c r="F4" s="3093"/>
      <c r="BU4" s="4586"/>
      <c r="BV4" s="4586"/>
      <c r="BW4" s="4586"/>
      <c r="BX4" s="4586"/>
      <c r="BY4" s="4586"/>
      <c r="BZ4" s="4586"/>
      <c r="CN4" s="863">
        <v>20</v>
      </c>
    </row>
    <row customHeight="1" ht="11.549999999999999">
      <c r="C5" s="616"/>
      <c r="D5" s="695"/>
      <c r="E5" s="695"/>
      <c r="F5" s="695"/>
      <c r="G5" s="695"/>
      <c r="H5" s="859"/>
      <c r="I5" s="695"/>
      <c r="J5" s="859"/>
      <c r="L5" s="859"/>
      <c r="N5" s="859"/>
      <c r="P5" s="859"/>
      <c r="R5" s="859"/>
      <c r="T5" s="859"/>
      <c r="V5" s="859"/>
      <c r="X5" s="859"/>
      <c r="Z5" s="859"/>
      <c r="AB5" s="859"/>
      <c r="AD5" s="859"/>
      <c r="AF5" s="859"/>
      <c r="AH5" s="859"/>
      <c r="AJ5" s="859"/>
      <c r="AL5" s="859"/>
      <c r="AN5" s="859"/>
      <c r="AP5" s="859"/>
      <c r="AR5" s="859"/>
      <c r="AT5" s="859"/>
      <c r="AV5" s="859"/>
      <c r="AX5" s="859"/>
      <c r="AZ5" s="859"/>
      <c r="BB5" s="859"/>
      <c r="BD5" s="859"/>
      <c r="BF5" s="859"/>
      <c r="BH5" s="859"/>
      <c r="BJ5" s="859"/>
      <c r="BL5" s="859"/>
      <c r="BN5" s="859"/>
      <c r="BP5" s="859"/>
      <c r="BR5" s="859"/>
      <c r="BT5" s="859"/>
      <c r="BU5" s="4586"/>
      <c r="BV5" s="5182"/>
      <c r="BW5" s="4586"/>
      <c r="BX5" s="5182"/>
      <c r="BY5" s="4586"/>
      <c r="BZ5" s="5182"/>
      <c r="CA5" s="695"/>
      <c r="CN5" s="612">
        <v>11</v>
      </c>
    </row>
    <row customHeight="1" ht="1.05">
      <c r="C6" s="616"/>
      <c r="D6" s="616"/>
      <c r="E6" s="629"/>
      <c r="F6" s="721"/>
      <c r="G6" s="1122"/>
      <c r="H6" s="1122"/>
      <c r="I6" s="1122" t="s">
        <v>150</v>
      </c>
      <c r="J6" s="1122"/>
      <c r="K6" s="1122" t="s">
        <v>154</v>
      </c>
      <c r="L6" s="1122"/>
      <c r="M6" s="1122" t="s">
        <v>157</v>
      </c>
      <c r="N6" s="1122"/>
      <c r="O6" s="1122" t="s">
        <v>159</v>
      </c>
      <c r="P6" s="1122"/>
      <c r="Q6" s="1122" t="s">
        <v>161</v>
      </c>
      <c r="R6" s="1122"/>
      <c r="S6" s="1122" t="s">
        <v>163</v>
      </c>
      <c r="T6" s="1122"/>
      <c r="U6" s="1122" t="s">
        <v>165</v>
      </c>
      <c r="V6" s="1122"/>
      <c r="W6" s="1122" t="s">
        <v>168</v>
      </c>
      <c r="X6" s="1122"/>
      <c r="Y6" s="1122" t="s">
        <v>171</v>
      </c>
      <c r="Z6" s="1122"/>
      <c r="AA6" s="1122" t="s">
        <v>173</v>
      </c>
      <c r="AB6" s="1122"/>
      <c r="AC6" s="1122" t="s">
        <v>175</v>
      </c>
      <c r="AD6" s="1122"/>
      <c r="AE6" s="1122" t="s">
        <v>177</v>
      </c>
      <c r="AF6" s="1122"/>
      <c r="AG6" s="1122" t="s">
        <v>179</v>
      </c>
      <c r="AH6" s="1122"/>
      <c r="AI6" s="1122" t="s">
        <v>181</v>
      </c>
      <c r="AJ6" s="1122"/>
      <c r="AK6" s="1122" t="s">
        <v>183</v>
      </c>
      <c r="AL6" s="1122"/>
      <c r="AM6" s="1122" t="s">
        <v>725</v>
      </c>
      <c r="AN6" s="1122"/>
      <c r="AO6" s="1122" t="s">
        <v>727</v>
      </c>
      <c r="AP6" s="1122"/>
      <c r="AQ6" s="1122" t="s">
        <v>729</v>
      </c>
      <c r="AR6" s="1122"/>
      <c r="AS6" s="1122" t="s">
        <v>731</v>
      </c>
      <c r="AT6" s="1122"/>
      <c r="AU6" s="1122" t="s">
        <v>733</v>
      </c>
      <c r="AV6" s="1122"/>
      <c r="AW6" s="1122" t="s">
        <v>735</v>
      </c>
      <c r="AX6" s="1122"/>
      <c r="AY6" s="1122" t="s">
        <v>737</v>
      </c>
      <c r="AZ6" s="1122"/>
      <c r="BA6" s="1122" t="s">
        <v>739</v>
      </c>
      <c r="BB6" s="1122"/>
      <c r="BC6" s="1122" t="s">
        <v>741</v>
      </c>
      <c r="BD6" s="1122"/>
      <c r="BE6" s="1122" t="s">
        <v>743</v>
      </c>
      <c r="BF6" s="1122"/>
      <c r="BG6" s="1122" t="s">
        <v>186</v>
      </c>
      <c r="BH6" s="1122"/>
      <c r="BI6" s="1122" t="s">
        <v>188</v>
      </c>
      <c r="BJ6" s="1122"/>
      <c r="BK6" s="1122" t="s">
        <v>190</v>
      </c>
      <c r="BL6" s="1122"/>
      <c r="BM6" s="1122" t="s">
        <v>192</v>
      </c>
      <c r="BN6" s="1122"/>
      <c r="BO6" s="1122" t="s">
        <v>194</v>
      </c>
      <c r="BP6" s="1122"/>
      <c r="BQ6" s="1122" t="s">
        <v>197</v>
      </c>
      <c r="BR6" s="1122"/>
      <c r="BS6" s="1122" t="s">
        <v>199</v>
      </c>
      <c r="BT6" s="1122"/>
      <c r="BU6" s="5184" t="s">
        <v>202</v>
      </c>
      <c r="BV6" s="5184"/>
      <c r="BW6" s="5184" t="s">
        <v>205</v>
      </c>
      <c r="BX6" s="5184"/>
      <c r="BY6" s="5184" t="s">
        <v>206</v>
      </c>
      <c r="BZ6" s="5184"/>
      <c r="CN6" s="612">
        <v>1</v>
      </c>
    </row>
    <row customHeight="1" ht="11.549999999999999">
      <c r="D7" s="818"/>
      <c r="E7" s="3204" t="s">
        <v>140</v>
      </c>
      <c r="F7" s="3205"/>
      <c r="G7" s="3227" t="str">
        <f>IF(G6="","",INDEX(DIFFERENTIATION_UNMERGE_VD,MATCH(G6,DIFFERENTIATION_ID_DIFF,0)))</f>
        <v/>
      </c>
      <c r="H7" s="3228"/>
      <c r="I7" s="322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3228"/>
      <c r="K7" s="3227"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v>
      </c>
      <c r="L7" s="3228"/>
      <c r="M7" s="3227"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v>
      </c>
      <c r="N7" s="3228"/>
      <c r="O7" s="3227" t="str">
        <f>IF(O6="","",INDEX(DIFFERENTIATION_UNMERGE_VD,MATCH(O6,DIFFERENTIATION_ID_DIFF,0)))</f>
        <v>Производство тепловой энергии. Комбинированная выработка с уст. мощностью производства электрической энергии 25 МВт и более</v>
      </c>
      <c r="P7" s="3228"/>
      <c r="Q7" s="3227" t="str">
        <f>IF(Q6="","",INDEX(DIFFERENTIATION_UNMERGE_VD,MATCH(Q6,DIFFERENTIATION_ID_DIFF,0)))</f>
        <v>Производство тепловой энергии. Комбинированная выработка с уст. мощностью производства электрической энергии 25 МВт и более</v>
      </c>
      <c r="R7" s="3228"/>
      <c r="S7" s="3227" t="str">
        <f>IF(S6="","",INDEX(DIFFERENTIATION_UNMERGE_VD,MATCH(S6,DIFFERENTIATION_ID_DIFF,0)))</f>
        <v>Производство тепловой энергии. Комбинированная выработка с уст. мощностью производства электрической энергии 25 МВт и более</v>
      </c>
      <c r="T7" s="3228"/>
      <c r="U7" s="3227" t="str">
        <f>IF(U6="","",INDEX(DIFFERENTIATION_UNMERGE_VD,MATCH(U6,DIFFERENTIATION_ID_DIFF,0)))</f>
        <v>Производство тепловой энергии. Комбинированная выработка с уст. мощностью производства электрической энергии 25 МВт и более</v>
      </c>
      <c r="V7" s="3228"/>
      <c r="W7" s="3227" t="str">
        <f>IF(W6="","",INDEX(DIFFERENTIATION_UNMERGE_VD,MATCH(W6,DIFFERENTIATION_ID_DIFF,0)))</f>
        <v>Производство. Теплоноситель</v>
      </c>
      <c r="X7" s="3228"/>
      <c r="Y7" s="3227" t="str">
        <f>IF(Y6="","",INDEX(DIFFERENTIATION_UNMERGE_VD,MATCH(Y6,DIFFERENTIATION_ID_DIFF,0)))</f>
        <v>Производство. Теплоноситель</v>
      </c>
      <c r="Z7" s="3228"/>
      <c r="AA7" s="3227" t="str">
        <f>IF(AA6="","",INDEX(DIFFERENTIATION_UNMERGE_VD,MATCH(AA6,DIFFERENTIATION_ID_DIFF,0)))</f>
        <v>Производство. Теплоноситель</v>
      </c>
      <c r="AB7" s="3228"/>
      <c r="AC7" s="3227" t="str">
        <f>IF(AC6="","",INDEX(DIFFERENTIATION_UNMERGE_VD,MATCH(AC6,DIFFERENTIATION_ID_DIFF,0)))</f>
        <v>Производство. Теплоноситель</v>
      </c>
      <c r="AD7" s="3228"/>
      <c r="AE7" s="3227" t="str">
        <f>IF(AE6="","",INDEX(DIFFERENTIATION_UNMERGE_VD,MATCH(AE6,DIFFERENTIATION_ID_DIFF,0)))</f>
        <v>Производство. Теплоноситель</v>
      </c>
      <c r="AF7" s="3228"/>
      <c r="AG7" s="3227" t="str">
        <f>IF(AG6="","",INDEX(DIFFERENTIATION_UNMERGE_VD,MATCH(AG6,DIFFERENTIATION_ID_DIFF,0)))</f>
        <v>Производство. Теплоноситель</v>
      </c>
      <c r="AH7" s="3228"/>
      <c r="AI7" s="3227" t="str">
        <f>IF(AI6="","",INDEX(DIFFERENTIATION_UNMERGE_VD,MATCH(AI6,DIFFERENTIATION_ID_DIFF,0)))</f>
        <v>Производство. Теплоноситель</v>
      </c>
      <c r="AJ7" s="3228"/>
      <c r="AK7" s="3227" t="str">
        <f>IF(AK6="","",INDEX(DIFFERENTIATION_UNMERGE_VD,MATCH(AK6,DIFFERENTIATION_ID_DIFF,0)))</f>
        <v>Производство тепловой энергии. Некомбинированная выработка</v>
      </c>
      <c r="AL7" s="3228"/>
      <c r="AM7" s="3227">
        <f>IF(AM6="","",INDEX(DIFFERENTIATION_UNMERGE_VD,MATCH(AM6,DIFFERENTIATION_ID_DIFF,0)))</f>
      </c>
      <c r="AN7" s="3228"/>
      <c r="AO7" s="3227">
        <f>IF(AO6="","",INDEX(DIFFERENTIATION_UNMERGE_VD,MATCH(AO6,DIFFERENTIATION_ID_DIFF,0)))</f>
      </c>
      <c r="AP7" s="3228"/>
      <c r="AQ7" s="3227">
        <f>IF(AQ6="","",INDEX(DIFFERENTIATION_UNMERGE_VD,MATCH(AQ6,DIFFERENTIATION_ID_DIFF,0)))</f>
      </c>
      <c r="AR7" s="3228"/>
      <c r="AS7" s="3227">
        <f>IF(AS6="","",INDEX(DIFFERENTIATION_UNMERGE_VD,MATCH(AS6,DIFFERENTIATION_ID_DIFF,0)))</f>
      </c>
      <c r="AT7" s="3228"/>
      <c r="AU7" s="3227">
        <f>IF(AU6="","",INDEX(DIFFERENTIATION_UNMERGE_VD,MATCH(AU6,DIFFERENTIATION_ID_DIFF,0)))</f>
      </c>
      <c r="AV7" s="3228"/>
      <c r="AW7" s="3227">
        <f>IF(AW6="","",INDEX(DIFFERENTIATION_UNMERGE_VD,MATCH(AW6,DIFFERENTIATION_ID_DIFF,0)))</f>
      </c>
      <c r="AX7" s="3228"/>
      <c r="AY7" s="3227">
        <f>IF(AY6="","",INDEX(DIFFERENTIATION_UNMERGE_VD,MATCH(AY6,DIFFERENTIATION_ID_DIFF,0)))</f>
      </c>
      <c r="AZ7" s="3228"/>
      <c r="BA7" s="3227">
        <f>IF(BA6="","",INDEX(DIFFERENTIATION_UNMERGE_VD,MATCH(BA6,DIFFERENTIATION_ID_DIFF,0)))</f>
      </c>
      <c r="BB7" s="3228"/>
      <c r="BC7" s="3227">
        <f>IF(BC6="","",INDEX(DIFFERENTIATION_UNMERGE_VD,MATCH(BC6,DIFFERENTIATION_ID_DIFF,0)))</f>
      </c>
      <c r="BD7" s="3228"/>
      <c r="BE7" s="3227">
        <f>IF(BE6="","",INDEX(DIFFERENTIATION_UNMERGE_VD,MATCH(BE6,DIFFERENTIATION_ID_DIFF,0)))</f>
      </c>
      <c r="BF7" s="3228"/>
      <c r="BG7" s="3227" t="str">
        <f>IF(BG6="","",INDEX(DIFFERENTIATION_UNMERGE_VD,MATCH(BG6,DIFFERENTIATION_ID_DIFF,0)))</f>
        <v>Производство тепловой энергии. Некомбинированная выработка</v>
      </c>
      <c r="BH7" s="3228"/>
      <c r="BI7" s="3227" t="str">
        <f>IF(BI6="","",INDEX(DIFFERENTIATION_UNMERGE_VD,MATCH(BI6,DIFFERENTIATION_ID_DIFF,0)))</f>
        <v>Производство тепловой энергии. Некомбинированная выработка</v>
      </c>
      <c r="BJ7" s="3228"/>
      <c r="BK7" s="3227" t="str">
        <f>IF(BK6="","",INDEX(DIFFERENTIATION_UNMERGE_VD,MATCH(BK6,DIFFERENTIATION_ID_DIFF,0)))</f>
        <v>Производство тепловой энергии. Некомбинированная выработка</v>
      </c>
      <c r="BL7" s="3228"/>
      <c r="BM7" s="3227" t="str">
        <f>IF(BM6="","",INDEX(DIFFERENTIATION_UNMERGE_VD,MATCH(BM6,DIFFERENTIATION_ID_DIFF,0)))</f>
        <v>Производство тепловой энергии. Некомбинированная выработка</v>
      </c>
      <c r="BN7" s="3228"/>
      <c r="BO7" s="3227" t="str">
        <f>IF(BO6="","",INDEX(DIFFERENTIATION_UNMERGE_VD,MATCH(BO6,DIFFERENTIATION_ID_DIFF,0)))</f>
        <v>Передача. Тепловая энергия; Передача. Теплоноситель; Сбыт. Тепловая энергия; Сбыт. Теплоноситель</v>
      </c>
      <c r="BP7" s="3228"/>
      <c r="BQ7" s="3227" t="str">
        <f>IF(BQ6="","",INDEX(DIFFERENTIATION_UNMERGE_VD,MATCH(BQ6,DIFFERENTIATION_ID_DIFF,0)))</f>
        <v>Передача. Тепловая энергия; Передача. Теплоноситель; Сбыт. Тепловая энергия; Сбыт. Теплоноситель</v>
      </c>
      <c r="BR7" s="3228"/>
      <c r="BS7" s="3227" t="str">
        <f>IF(BS6="","",INDEX(DIFFERENTIATION_UNMERGE_VD,MATCH(BS6,DIFFERENTIATION_ID_DIFF,0)))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Передача. Теплоноситель; Сбыт. Тепловая энергия; Сбыт. Теплоноситель</v>
      </c>
      <c r="BT7" s="3228"/>
      <c r="BU7" s="4634" t="str">
        <f>IF(BU6="","",INDEX(DIFFERENTIATION_UNMERGE_VD,MATCH(BU6,DIFFERENTIATION_ID_DIFF,0)))</f>
        <v>Производство тепловой энергии. Некомбинированная выработка; Передача. Тепловая энергия; Сбыт. Тепловая энергия</v>
      </c>
      <c r="BV7" s="5187"/>
      <c r="BW7" s="4634" t="str">
        <f>IF(BW6="","",INDEX(DIFFERENTIATION_UNMERGE_VD,MATCH(BW6,DIFFERENTIATION_ID_DIFF,0)))</f>
        <v>Производство тепловой энергии. Некомбинированная выработка; Передача. Тепловая энергия; Сбыт. Тепловая энергия</v>
      </c>
      <c r="BX7" s="5187"/>
      <c r="BY7" s="4634" t="str">
        <f>IF(BY6="","",INDEX(DIFFERENTIATION_UNMERGE_VD,MATCH(BY6,DIFFERENTIATION_ID_DIFF,0)))</f>
        <v>Подключение (технологическое присоединение) к системе теплоснабжения</v>
      </c>
      <c r="BZ7" s="5187"/>
      <c r="CA7" s="3047"/>
      <c r="CB7" s="616"/>
      <c r="CN7" s="612">
        <v>11</v>
      </c>
    </row>
    <row customHeight="1" ht="11.549999999999999">
      <c r="A8" s="811"/>
      <c r="D8" s="818"/>
      <c r="E8" s="3204" t="s">
        <v>649</v>
      </c>
      <c r="F8" s="3205"/>
      <c r="G8" s="3227" t="str">
        <f>IF(G6="","",INDEX(DIFFERENTIATION_UNMERGE_AREA,MATCH(G6,DIFFERENTIATION_ID_DIFF,0)))</f>
        <v/>
      </c>
      <c r="H8" s="3228"/>
      <c r="I8" s="3227" t="str">
        <f>IF(I6="","",INDEX(DIFFERENTIATION_UNMERGE_AREA,MATCH(I6,DIFFERENTIATION_ID_DIFF,0)))</f>
        <v>Территория 1</v>
      </c>
      <c r="J8" s="3228"/>
      <c r="K8" s="3227" t="str">
        <f>IF(K6="","",INDEX(DIFFERENTIATION_UNMERGE_AREA,MATCH(K6,DIFFERENTIATION_ID_DIFF,0)))</f>
        <v>Территория 1</v>
      </c>
      <c r="L8" s="3228"/>
      <c r="M8" s="3227" t="str">
        <f>IF(M6="","",INDEX(DIFFERENTIATION_UNMERGE_AREA,MATCH(M6,DIFFERENTIATION_ID_DIFF,0)))</f>
        <v>Территория 2</v>
      </c>
      <c r="N8" s="3228"/>
      <c r="O8" s="3227" t="str">
        <f>IF(O6="","",INDEX(DIFFERENTIATION_UNMERGE_AREA,MATCH(O6,DIFFERENTIATION_ID_DIFF,0)))</f>
        <v>Территория 2</v>
      </c>
      <c r="P8" s="3228"/>
      <c r="Q8" s="3227" t="str">
        <f>IF(Q6="","",INDEX(DIFFERENTIATION_UNMERGE_AREA,MATCH(Q6,DIFFERENTIATION_ID_DIFF,0)))</f>
        <v>Территория 3</v>
      </c>
      <c r="R8" s="3228"/>
      <c r="S8" s="3227" t="str">
        <f>IF(S6="","",INDEX(DIFFERENTIATION_UNMERGE_AREA,MATCH(S6,DIFFERENTIATION_ID_DIFF,0)))</f>
        <v>Территория 4</v>
      </c>
      <c r="T8" s="3228"/>
      <c r="U8" s="3227" t="str">
        <f>IF(U6="","",INDEX(DIFFERENTIATION_UNMERGE_AREA,MATCH(U6,DIFFERENTIATION_ID_DIFF,0)))</f>
        <v>Территория 5</v>
      </c>
      <c r="V8" s="3228"/>
      <c r="W8" s="3227" t="str">
        <f>IF(W6="","",INDEX(DIFFERENTIATION_UNMERGE_AREA,MATCH(W6,DIFFERENTIATION_ID_DIFF,0)))</f>
        <v>Территория 1</v>
      </c>
      <c r="X8" s="3228"/>
      <c r="Y8" s="3227" t="str">
        <f>IF(Y6="","",INDEX(DIFFERENTIATION_UNMERGE_AREA,MATCH(Y6,DIFFERENTIATION_ID_DIFF,0)))</f>
        <v>Территория 2</v>
      </c>
      <c r="Z8" s="3228"/>
      <c r="AA8" s="3227" t="str">
        <f>IF(AA6="","",INDEX(DIFFERENTIATION_UNMERGE_AREA,MATCH(AA6,DIFFERENTIATION_ID_DIFF,0)))</f>
        <v>Территория 3</v>
      </c>
      <c r="AB8" s="3228"/>
      <c r="AC8" s="3227" t="str">
        <f>IF(AC6="","",INDEX(DIFFERENTIATION_UNMERGE_AREA,MATCH(AC6,DIFFERENTIATION_ID_DIFF,0)))</f>
        <v>Территория 4</v>
      </c>
      <c r="AD8" s="3228"/>
      <c r="AE8" s="3227" t="str">
        <f>IF(AE6="","",INDEX(DIFFERENTIATION_UNMERGE_AREA,MATCH(AE6,DIFFERENTIATION_ID_DIFF,0)))</f>
        <v>Территория 5</v>
      </c>
      <c r="AF8" s="3228"/>
      <c r="AG8" s="3227" t="str">
        <f>IF(AG6="","",INDEX(DIFFERENTIATION_UNMERGE_AREA,MATCH(AG6,DIFFERENTIATION_ID_DIFF,0)))</f>
        <v>Территория 6</v>
      </c>
      <c r="AH8" s="3228"/>
      <c r="AI8" s="3227" t="str">
        <f>IF(AI6="","",INDEX(DIFFERENTIATION_UNMERGE_AREA,MATCH(AI6,DIFFERENTIATION_ID_DIFF,0)))</f>
        <v>Территория 7</v>
      </c>
      <c r="AJ8" s="3228"/>
      <c r="AK8" s="3227" t="str">
        <f>IF(AK6="","",INDEX(DIFFERENTIATION_UNMERGE_AREA,MATCH(AK6,DIFFERENTIATION_ID_DIFF,0)))</f>
        <v>без дифференциации</v>
      </c>
      <c r="AL8" s="3228"/>
      <c r="AM8" s="3227">
        <f>IF(AM6="","",INDEX(DIFFERENTIATION_UNMERGE_AREA,MATCH(AM6,DIFFERENTIATION_ID_DIFF,0)))</f>
      </c>
      <c r="AN8" s="3228"/>
      <c r="AO8" s="3227">
        <f>IF(AO6="","",INDEX(DIFFERENTIATION_UNMERGE_AREA,MATCH(AO6,DIFFERENTIATION_ID_DIFF,0)))</f>
      </c>
      <c r="AP8" s="3228"/>
      <c r="AQ8" s="3227">
        <f>IF(AQ6="","",INDEX(DIFFERENTIATION_UNMERGE_AREA,MATCH(AQ6,DIFFERENTIATION_ID_DIFF,0)))</f>
      </c>
      <c r="AR8" s="3228"/>
      <c r="AS8" s="3227">
        <f>IF(AS6="","",INDEX(DIFFERENTIATION_UNMERGE_AREA,MATCH(AS6,DIFFERENTIATION_ID_DIFF,0)))</f>
      </c>
      <c r="AT8" s="3228"/>
      <c r="AU8" s="3227">
        <f>IF(AU6="","",INDEX(DIFFERENTIATION_UNMERGE_AREA,MATCH(AU6,DIFFERENTIATION_ID_DIFF,0)))</f>
      </c>
      <c r="AV8" s="3228"/>
      <c r="AW8" s="3227">
        <f>IF(AW6="","",INDEX(DIFFERENTIATION_UNMERGE_AREA,MATCH(AW6,DIFFERENTIATION_ID_DIFF,0)))</f>
      </c>
      <c r="AX8" s="3228"/>
      <c r="AY8" s="3227">
        <f>IF(AY6="","",INDEX(DIFFERENTIATION_UNMERGE_AREA,MATCH(AY6,DIFFERENTIATION_ID_DIFF,0)))</f>
      </c>
      <c r="AZ8" s="3228"/>
      <c r="BA8" s="3227">
        <f>IF(BA6="","",INDEX(DIFFERENTIATION_UNMERGE_AREA,MATCH(BA6,DIFFERENTIATION_ID_DIFF,0)))</f>
      </c>
      <c r="BB8" s="3228"/>
      <c r="BC8" s="3227">
        <f>IF(BC6="","",INDEX(DIFFERENTIATION_UNMERGE_AREA,MATCH(BC6,DIFFERENTIATION_ID_DIFF,0)))</f>
      </c>
      <c r="BD8" s="3228"/>
      <c r="BE8" s="3227">
        <f>IF(BE6="","",INDEX(DIFFERENTIATION_UNMERGE_AREA,MATCH(BE6,DIFFERENTIATION_ID_DIFF,0)))</f>
      </c>
      <c r="BF8" s="3228"/>
      <c r="BG8" s="3227" t="str">
        <f>IF(BG6="","",INDEX(DIFFERENTIATION_UNMERGE_AREA,MATCH(BG6,DIFFERENTIATION_ID_DIFF,0)))</f>
        <v>без дифференциации</v>
      </c>
      <c r="BH8" s="3228"/>
      <c r="BI8" s="3227" t="str">
        <f>IF(BI6="","",INDEX(DIFFERENTIATION_UNMERGE_AREA,MATCH(BI6,DIFFERENTIATION_ID_DIFF,0)))</f>
        <v>без дифференциации</v>
      </c>
      <c r="BJ8" s="3228"/>
      <c r="BK8" s="3227" t="str">
        <f>IF(BK6="","",INDEX(DIFFERENTIATION_UNMERGE_AREA,MATCH(BK6,DIFFERENTIATION_ID_DIFF,0)))</f>
        <v>без дифференциации</v>
      </c>
      <c r="BL8" s="3228"/>
      <c r="BM8" s="3227" t="str">
        <f>IF(BM6="","",INDEX(DIFFERENTIATION_UNMERGE_AREA,MATCH(BM6,DIFFERENTIATION_ID_DIFF,0)))</f>
        <v>без дифференциации</v>
      </c>
      <c r="BN8" s="3228"/>
      <c r="BO8" s="3227" t="str">
        <f>IF(BO6="","",INDEX(DIFFERENTIATION_UNMERGE_AREA,MATCH(BO6,DIFFERENTIATION_ID_DIFF,0)))</f>
        <v>без дифференциации</v>
      </c>
      <c r="BP8" s="3228"/>
      <c r="BQ8" s="3227" t="str">
        <f>IF(BQ6="","",INDEX(DIFFERENTIATION_UNMERGE_AREA,MATCH(BQ6,DIFFERENTIATION_ID_DIFF,0)))</f>
        <v>без дифференциации</v>
      </c>
      <c r="BR8" s="3228"/>
      <c r="BS8" s="3227" t="str">
        <f>IF(BS6="","",INDEX(DIFFERENTIATION_UNMERGE_AREA,MATCH(BS6,DIFFERENTIATION_ID_DIFF,0)))</f>
        <v>Территория 7</v>
      </c>
      <c r="BT8" s="3228"/>
      <c r="BU8" s="4634" t="str">
        <f>IF(BU6="","",INDEX(DIFFERENTIATION_UNMERGE_AREA,MATCH(BU6,DIFFERENTIATION_ID_DIFF,0)))</f>
        <v>Территория 5</v>
      </c>
      <c r="BV8" s="5187"/>
      <c r="BW8" s="4634" t="str">
        <f>IF(BW6="","",INDEX(DIFFERENTIATION_UNMERGE_AREA,MATCH(BW6,DIFFERENTIATION_ID_DIFF,0)))</f>
        <v>Территория 8</v>
      </c>
      <c r="BX8" s="5187"/>
      <c r="BY8" s="4634" t="str">
        <f>IF(BY6="","",INDEX(DIFFERENTIATION_UNMERGE_AREA,MATCH(BY6,DIFFERENTIATION_ID_DIFF,0)))</f>
        <v>без дифференциации</v>
      </c>
      <c r="BZ8" s="5187"/>
      <c r="CA8" s="3052"/>
      <c r="CB8" s="616"/>
      <c r="CN8" s="612">
        <v>11</v>
      </c>
    </row>
    <row customHeight="1" ht="11.549999999999999">
      <c r="A9" s="811"/>
      <c r="D9" s="818"/>
      <c r="E9" s="3204" t="s">
        <v>650</v>
      </c>
      <c r="F9" s="3205"/>
      <c r="G9" s="3227" t="str">
        <f>IF(G6="","",INDEX(DIFFERENTIATION_UNMERGE_SYSTEM,MATCH(G6,DIFFERENTIATION_ID_DIFF,0)))</f>
        <v/>
      </c>
      <c r="H9" s="3228"/>
      <c r="I9" s="3227" t="str">
        <f>IF(I6="","",INDEX(DIFFERENTIATION_UNMERGE_SYSTEM,MATCH(I6,DIFFERENTIATION_ID_DIFF,0)))</f>
        <v>Хабаровская ТЭЦ - 1</v>
      </c>
      <c r="J9" s="3228"/>
      <c r="K9" s="3227" t="str">
        <f>IF(K6="","",INDEX(DIFFERENTIATION_UNMERGE_SYSTEM,MATCH(K6,DIFFERENTIATION_ID_DIFF,0)))</f>
        <v>Хабаровская ТЭЦ - 3</v>
      </c>
      <c r="L9" s="3228"/>
      <c r="M9" s="3227" t="str">
        <f>IF(M6="","",INDEX(DIFFERENTIATION_UNMERGE_SYSTEM,MATCH(M6,DIFFERENTIATION_ID_DIFF,0)))</f>
        <v>Комсомольская ТЭЦ - 2</v>
      </c>
      <c r="N9" s="3228"/>
      <c r="O9" s="3227" t="str">
        <f>IF(O6="","",INDEX(DIFFERENTIATION_UNMERGE_SYSTEM,MATCH(O6,DIFFERENTIATION_ID_DIFF,0)))</f>
        <v>Комсомольская ТЭЦ - 3</v>
      </c>
      <c r="P9" s="3228"/>
      <c r="Q9" s="3227" t="str">
        <f>IF(Q6="","",INDEX(DIFFERENTIATION_UNMERGE_SYSTEM,MATCH(Q6,DIFFERENTIATION_ID_DIFF,0)))</f>
        <v>Амурская ТЭЦ - 1</v>
      </c>
      <c r="R9" s="3228"/>
      <c r="S9" s="3227" t="str">
        <f>IF(S6="","",INDEX(DIFFERENTIATION_UNMERGE_SYSTEM,MATCH(S6,DIFFERENTIATION_ID_DIFF,0)))</f>
        <v>Майская ГРЭС</v>
      </c>
      <c r="T9" s="3228"/>
      <c r="U9" s="3227" t="str">
        <f>IF(U6="","",INDEX(DIFFERENTIATION_UNMERGE_SYSTEM,MATCH(U6,DIFFERENTIATION_ID_DIFF,0)))</f>
        <v>Николаевская ТЭЦ</v>
      </c>
      <c r="V9" s="3228"/>
      <c r="W9" s="3227" t="str">
        <f>IF(W6="","",INDEX(DIFFERENTIATION_UNMERGE_SYSTEM,MATCH(W6,DIFFERENTIATION_ID_DIFF,0)))</f>
        <v>г. Хабаровск, Хабаровский муниципальный район</v>
      </c>
      <c r="X9" s="3228"/>
      <c r="Y9" s="3227" t="str">
        <f>IF(Y6="","",INDEX(DIFFERENTIATION_UNMERGE_SYSTEM,MATCH(Y6,DIFFERENTIATION_ID_DIFF,0)))</f>
        <v>г. Комсомольск-на-Амуре</v>
      </c>
      <c r="Z9" s="3228"/>
      <c r="AA9" s="3227" t="str">
        <f>IF(AA6="","",INDEX(DIFFERENTIATION_UNMERGE_SYSTEM,MATCH(AA6,DIFFERENTIATION_ID_DIFF,0)))</f>
        <v>г. Амурск</v>
      </c>
      <c r="AB9" s="3228"/>
      <c r="AC9" s="3227" t="str">
        <f>IF(AC6="","",INDEX(DIFFERENTIATION_UNMERGE_SYSTEM,MATCH(AC6,DIFFERENTIATION_ID_DIFF,0)))</f>
        <v>п. Майский</v>
      </c>
      <c r="AD9" s="3228"/>
      <c r="AE9" s="3227" t="str">
        <f>IF(AE6="","",INDEX(DIFFERENTIATION_UNMERGE_SYSTEM,MATCH(AE6,DIFFERENTIATION_ID_DIFF,0)))</f>
        <v>г. Николаевск-на-Амуре</v>
      </c>
      <c r="AF9" s="3228"/>
      <c r="AG9" s="3227" t="str">
        <f>IF(AG6="","",INDEX(DIFFERENTIATION_UNMERGE_SYSTEM,MATCH(AG6,DIFFERENTIATION_ID_DIFF,0)))</f>
        <v>п. Чегдомын</v>
      </c>
      <c r="AH9" s="3228"/>
      <c r="AI9" s="3227" t="str">
        <f>IF(AI6="","",INDEX(DIFFERENTIATION_UNMERGE_SYSTEM,MATCH(AI6,DIFFERENTIATION_ID_DIFF,0)))</f>
        <v>г. Советская Гавань</v>
      </c>
      <c r="AJ9" s="3228"/>
      <c r="AK9" s="3227" t="str">
        <f>IF(AK6="","",INDEX(DIFFERENTIATION_UNMERGE_SYSTEM,MATCH(AK6,DIFFERENTIATION_ID_DIFF,0)))</f>
        <v>Хабаровская ТЭЦ-2</v>
      </c>
      <c r="AL9" s="3228"/>
      <c r="AM9" s="3227">
        <f>IF(AM6="","",INDEX(DIFFERENTIATION_UNMERGE_SYSTEM,MATCH(AM6,DIFFERENTIATION_ID_DIFF,0)))</f>
      </c>
      <c r="AN9" s="3228"/>
      <c r="AO9" s="3227">
        <f>IF(AO6="","",INDEX(DIFFERENTIATION_UNMERGE_SYSTEM,MATCH(AO6,DIFFERENTIATION_ID_DIFF,0)))</f>
      </c>
      <c r="AP9" s="3228"/>
      <c r="AQ9" s="3227">
        <f>IF(AQ6="","",INDEX(DIFFERENTIATION_UNMERGE_SYSTEM,MATCH(AQ6,DIFFERENTIATION_ID_DIFF,0)))</f>
      </c>
      <c r="AR9" s="3228"/>
      <c r="AS9" s="3227">
        <f>IF(AS6="","",INDEX(DIFFERENTIATION_UNMERGE_SYSTEM,MATCH(AS6,DIFFERENTIATION_ID_DIFF,0)))</f>
      </c>
      <c r="AT9" s="3228"/>
      <c r="AU9" s="3227">
        <f>IF(AU6="","",INDEX(DIFFERENTIATION_UNMERGE_SYSTEM,MATCH(AU6,DIFFERENTIATION_ID_DIFF,0)))</f>
      </c>
      <c r="AV9" s="3228"/>
      <c r="AW9" s="3227">
        <f>IF(AW6="","",INDEX(DIFFERENTIATION_UNMERGE_SYSTEM,MATCH(AW6,DIFFERENTIATION_ID_DIFF,0)))</f>
      </c>
      <c r="AX9" s="3228"/>
      <c r="AY9" s="3227">
        <f>IF(AY6="","",INDEX(DIFFERENTIATION_UNMERGE_SYSTEM,MATCH(AY6,DIFFERENTIATION_ID_DIFF,0)))</f>
      </c>
      <c r="AZ9" s="3228"/>
      <c r="BA9" s="3227">
        <f>IF(BA6="","",INDEX(DIFFERENTIATION_UNMERGE_SYSTEM,MATCH(BA6,DIFFERENTIATION_ID_DIFF,0)))</f>
      </c>
      <c r="BB9" s="3228"/>
      <c r="BC9" s="3227">
        <f>IF(BC6="","",INDEX(DIFFERENTIATION_UNMERGE_SYSTEM,MATCH(BC6,DIFFERENTIATION_ID_DIFF,0)))</f>
      </c>
      <c r="BD9" s="3228"/>
      <c r="BE9" s="3227">
        <f>IF(BE6="","",INDEX(DIFFERENTIATION_UNMERGE_SYSTEM,MATCH(BE6,DIFFERENTIATION_ID_DIFF,0)))</f>
      </c>
      <c r="BF9" s="3228"/>
      <c r="BG9" s="3227" t="str">
        <f>IF(BG6="","",INDEX(DIFFERENTIATION_UNMERGE_SYSTEM,MATCH(BG6,DIFFERENTIATION_ID_DIFF,0)))</f>
        <v>Некрасовская котельная</v>
      </c>
      <c r="BH9" s="3228"/>
      <c r="BI9" s="3227" t="str">
        <f>IF(BI6="","",INDEX(DIFFERENTIATION_UNMERGE_SYSTEM,MATCH(BI6,DIFFERENTIATION_ID_DIFF,0)))</f>
        <v>котельная "Дземги"</v>
      </c>
      <c r="BJ9" s="3228"/>
      <c r="BK9" s="3227" t="str">
        <f>IF(BK6="","",INDEX(DIFFERENTIATION_UNMERGE_SYSTEM,MATCH(BK6,DIFFERENTIATION_ID_DIFF,0)))</f>
        <v>Майская котельная</v>
      </c>
      <c r="BL9" s="3228"/>
      <c r="BM9" s="3227" t="str">
        <f>IF(BM6="","",INDEX(DIFFERENTIATION_UNMERGE_SYSTEM,MATCH(BM6,DIFFERENTIATION_ID_DIFF,0)))</f>
        <v>Ургальская котельная</v>
      </c>
      <c r="BN9" s="3228"/>
      <c r="BO9" s="3227" t="str">
        <f>IF(BO6="","",INDEX(DIFFERENTIATION_UNMERGE_SYSTEM,MATCH(BO6,DIFFERENTIATION_ID_DIFF,0)))</f>
        <v>Комсомольские тепловые сети</v>
      </c>
      <c r="BP9" s="3228"/>
      <c r="BQ9" s="3227" t="str">
        <f>IF(BQ6="","",INDEX(DIFFERENTIATION_UNMERGE_SYSTEM,MATCH(BQ6,DIFFERENTIATION_ID_DIFF,0)))</f>
        <v>Хабаровские тепловые сети</v>
      </c>
      <c r="BR9" s="3228"/>
      <c r="BS9" s="3227" t="str">
        <f>IF(BS6="","",INDEX(DIFFERENTIATION_UNMERGE_SYSTEM,MATCH(BS6,DIFFERENTIATION_ID_DIFF,0)))</f>
        <v>ТЭЦ в г. Советская Гавань</v>
      </c>
      <c r="BT9" s="3228"/>
      <c r="BU9" s="4634" t="str">
        <f>IF(BU6="","",INDEX(DIFFERENTIATION_UNMERGE_SYSTEM,MATCH(BU6,DIFFERENTIATION_ID_DIFF,0)))</f>
        <v>котельная "Аэропорт"</v>
      </c>
      <c r="BV9" s="5187"/>
      <c r="BW9" s="4634" t="str">
        <f>IF(BW6="","",INDEX(DIFFERENTIATION_UNMERGE_SYSTEM,MATCH(BW6,DIFFERENTIATION_ID_DIFF,0)))</f>
        <v>котельная в Волочаевском городке</v>
      </c>
      <c r="BX9" s="5187"/>
      <c r="BY9" s="4634" t="str">
        <f>IF(BY6="","",INDEX(DIFFERENTIATION_UNMERGE_SYSTEM,MATCH(BY6,DIFFERENTIATION_ID_DIFF,0)))</f>
        <v>без дифференциации</v>
      </c>
      <c r="BZ9" s="5187"/>
      <c r="CA9" s="3052"/>
      <c r="CB9" s="616"/>
      <c r="CN9" s="612">
        <v>11</v>
      </c>
    </row>
    <row s="10232" customFormat="1" customHeight="1" ht="11.549999999999999">
      <c r="A10" s="1121"/>
      <c r="B10" s="618"/>
      <c r="D10" s="2959" t="s">
        <v>385</v>
      </c>
      <c r="E10" s="2965"/>
      <c r="F10" s="2965"/>
      <c r="G10" s="2965"/>
      <c r="H10" s="2965"/>
      <c r="I10" s="2965"/>
      <c r="J10" s="2958"/>
      <c r="K10" s="2177"/>
      <c r="L10" s="2177"/>
      <c r="M10" s="2177"/>
      <c r="N10" s="2177"/>
      <c r="O10" s="2177"/>
      <c r="P10" s="2177"/>
      <c r="Q10" s="2177"/>
      <c r="R10" s="2177"/>
      <c r="S10" s="2177"/>
      <c r="T10" s="2177"/>
      <c r="U10" s="2177"/>
      <c r="V10" s="2177"/>
      <c r="W10" s="2177"/>
      <c r="X10" s="2177"/>
      <c r="Y10" s="2177"/>
      <c r="Z10" s="2177"/>
      <c r="AA10" s="2177"/>
      <c r="AB10" s="2177"/>
      <c r="AC10" s="2177"/>
      <c r="AD10" s="2177"/>
      <c r="AE10" s="2177"/>
      <c r="AF10" s="2177"/>
      <c r="AG10" s="2177"/>
      <c r="AH10" s="2177"/>
      <c r="AI10" s="2177"/>
      <c r="AJ10" s="2177"/>
      <c r="AK10" s="2177"/>
      <c r="AL10" s="2177"/>
      <c r="AM10" s="2177"/>
      <c r="AN10" s="2177"/>
      <c r="AO10" s="2177"/>
      <c r="AP10" s="2177"/>
      <c r="AQ10" s="2177"/>
      <c r="AR10" s="2177"/>
      <c r="AS10" s="2177"/>
      <c r="AT10" s="2177"/>
      <c r="AU10" s="2177"/>
      <c r="AV10" s="2177"/>
      <c r="AW10" s="2177"/>
      <c r="AX10" s="2177"/>
      <c r="AY10" s="2177"/>
      <c r="AZ10" s="2177"/>
      <c r="BA10" s="2177"/>
      <c r="BB10" s="2177"/>
      <c r="BC10" s="2177"/>
      <c r="BD10" s="2177"/>
      <c r="BE10" s="2177"/>
      <c r="BF10" s="2177"/>
      <c r="BG10" s="2177"/>
      <c r="BH10" s="2177"/>
      <c r="BI10" s="2177"/>
      <c r="BJ10" s="2177"/>
      <c r="BK10" s="2177"/>
      <c r="BL10" s="2177"/>
      <c r="BM10" s="2177"/>
      <c r="BN10" s="2177"/>
      <c r="BO10" s="2177"/>
      <c r="BP10" s="2177"/>
      <c r="BQ10" s="2177"/>
      <c r="BR10" s="2177"/>
      <c r="BS10" s="2177"/>
      <c r="BT10" s="2177"/>
      <c r="BU10" s="5191"/>
      <c r="BV10" s="5191"/>
      <c r="BW10" s="5191"/>
      <c r="BX10" s="5191"/>
      <c r="BY10" s="5191"/>
      <c r="BZ10" s="5191"/>
      <c r="CA10" s="3052"/>
      <c r="CB10" s="616"/>
      <c r="CN10" s="863">
        <v>11</v>
      </c>
    </row>
    <row s="10232" customFormat="1" customHeight="1" ht="24">
      <c r="A11" s="3114"/>
      <c r="B11" s="3114"/>
      <c r="C11" s="764"/>
      <c r="D11" s="810" t="s">
        <v>88</v>
      </c>
      <c r="E11" s="812" t="s">
        <v>965</v>
      </c>
      <c r="F11" s="812" t="s">
        <v>651</v>
      </c>
      <c r="G11" s="572" t="s">
        <v>388</v>
      </c>
      <c r="H11" s="572" t="s">
        <v>475</v>
      </c>
      <c r="I11" s="908" t="s">
        <v>388</v>
      </c>
      <c r="J11" s="909" t="s">
        <v>475</v>
      </c>
      <c r="K11" s="2179" t="s">
        <v>388</v>
      </c>
      <c r="L11" s="2179" t="s">
        <v>475</v>
      </c>
      <c r="M11" s="2179" t="s">
        <v>388</v>
      </c>
      <c r="N11" s="2179" t="s">
        <v>475</v>
      </c>
      <c r="O11" s="2179" t="s">
        <v>388</v>
      </c>
      <c r="P11" s="2179" t="s">
        <v>475</v>
      </c>
      <c r="Q11" s="2179" t="s">
        <v>388</v>
      </c>
      <c r="R11" s="2179" t="s">
        <v>475</v>
      </c>
      <c r="S11" s="2179" t="s">
        <v>388</v>
      </c>
      <c r="T11" s="2179" t="s">
        <v>475</v>
      </c>
      <c r="U11" s="2179" t="s">
        <v>388</v>
      </c>
      <c r="V11" s="2179" t="s">
        <v>475</v>
      </c>
      <c r="W11" s="2179" t="s">
        <v>388</v>
      </c>
      <c r="X11" s="2179" t="s">
        <v>475</v>
      </c>
      <c r="Y11" s="2179" t="s">
        <v>388</v>
      </c>
      <c r="Z11" s="2179" t="s">
        <v>475</v>
      </c>
      <c r="AA11" s="2179" t="s">
        <v>388</v>
      </c>
      <c r="AB11" s="2179" t="s">
        <v>475</v>
      </c>
      <c r="AC11" s="2179" t="s">
        <v>388</v>
      </c>
      <c r="AD11" s="2179" t="s">
        <v>475</v>
      </c>
      <c r="AE11" s="2179" t="s">
        <v>388</v>
      </c>
      <c r="AF11" s="2179" t="s">
        <v>475</v>
      </c>
      <c r="AG11" s="2179" t="s">
        <v>388</v>
      </c>
      <c r="AH11" s="2179" t="s">
        <v>475</v>
      </c>
      <c r="AI11" s="2179" t="s">
        <v>388</v>
      </c>
      <c r="AJ11" s="2179" t="s">
        <v>475</v>
      </c>
      <c r="AK11" s="2179" t="s">
        <v>388</v>
      </c>
      <c r="AL11" s="2179" t="s">
        <v>475</v>
      </c>
      <c r="AM11" s="2179" t="s">
        <v>388</v>
      </c>
      <c r="AN11" s="2179" t="s">
        <v>475</v>
      </c>
      <c r="AO11" s="2179" t="s">
        <v>388</v>
      </c>
      <c r="AP11" s="2179" t="s">
        <v>475</v>
      </c>
      <c r="AQ11" s="2179" t="s">
        <v>388</v>
      </c>
      <c r="AR11" s="2179" t="s">
        <v>475</v>
      </c>
      <c r="AS11" s="2179" t="s">
        <v>388</v>
      </c>
      <c r="AT11" s="2179" t="s">
        <v>475</v>
      </c>
      <c r="AU11" s="2179" t="s">
        <v>388</v>
      </c>
      <c r="AV11" s="2179" t="s">
        <v>475</v>
      </c>
      <c r="AW11" s="2179" t="s">
        <v>388</v>
      </c>
      <c r="AX11" s="2179" t="s">
        <v>475</v>
      </c>
      <c r="AY11" s="2179" t="s">
        <v>388</v>
      </c>
      <c r="AZ11" s="2179" t="s">
        <v>475</v>
      </c>
      <c r="BA11" s="2179" t="s">
        <v>388</v>
      </c>
      <c r="BB11" s="2179" t="s">
        <v>475</v>
      </c>
      <c r="BC11" s="2179" t="s">
        <v>388</v>
      </c>
      <c r="BD11" s="2179" t="s">
        <v>475</v>
      </c>
      <c r="BE11" s="2179" t="s">
        <v>388</v>
      </c>
      <c r="BF11" s="2179" t="s">
        <v>475</v>
      </c>
      <c r="BG11" s="2179" t="s">
        <v>388</v>
      </c>
      <c r="BH11" s="2179" t="s">
        <v>475</v>
      </c>
      <c r="BI11" s="2179" t="s">
        <v>388</v>
      </c>
      <c r="BJ11" s="2179" t="s">
        <v>475</v>
      </c>
      <c r="BK11" s="2179" t="s">
        <v>388</v>
      </c>
      <c r="BL11" s="2179" t="s">
        <v>475</v>
      </c>
      <c r="BM11" s="2179" t="s">
        <v>388</v>
      </c>
      <c r="BN11" s="2179" t="s">
        <v>475</v>
      </c>
      <c r="BO11" s="2179" t="s">
        <v>388</v>
      </c>
      <c r="BP11" s="2179" t="s">
        <v>475</v>
      </c>
      <c r="BQ11" s="2179" t="s">
        <v>388</v>
      </c>
      <c r="BR11" s="2179" t="s">
        <v>475</v>
      </c>
      <c r="BS11" s="2179" t="s">
        <v>388</v>
      </c>
      <c r="BT11" s="2179" t="s">
        <v>475</v>
      </c>
      <c r="BU11" s="4593" t="s">
        <v>388</v>
      </c>
      <c r="BV11" s="4593" t="s">
        <v>475</v>
      </c>
      <c r="BW11" s="4593" t="s">
        <v>388</v>
      </c>
      <c r="BX11" s="4593" t="s">
        <v>475</v>
      </c>
      <c r="BY11" s="4593" t="s">
        <v>388</v>
      </c>
      <c r="BZ11" s="4593" t="s">
        <v>475</v>
      </c>
      <c r="CA11" s="3101"/>
      <c r="CB11" s="765"/>
      <c r="CN11" s="616">
        <v>23</v>
      </c>
    </row>
    <row s="10307" customFormat="1" customHeight="1" ht="10.5">
      <c r="A12" s="1052"/>
      <c r="D12" s="1125" t="s">
        <v>144</v>
      </c>
      <c r="E12" s="1125" t="s">
        <v>102</v>
      </c>
      <c r="F12" s="1125" t="s">
        <v>90</v>
      </c>
      <c r="G12" s="1126" t="str">
        <f>G1&amp;".1"</f>
        <v>4.1</v>
      </c>
      <c r="H12" s="1126" t="str">
        <f>G1&amp;".2"</f>
        <v>4.2</v>
      </c>
      <c r="I12" s="1126" t="str">
        <f>I1&amp;".1"</f>
        <v>4.1</v>
      </c>
      <c r="J12" s="1126" t="str">
        <f>I1&amp;".2"</f>
        <v>4.2</v>
      </c>
      <c r="K12" s="2182" t="str">
        <f>K1&amp;".1"</f>
        <v>1.1</v>
      </c>
      <c r="L12" s="2182" t="str">
        <f>K1&amp;".2"</f>
        <v>1.2</v>
      </c>
      <c r="M12" s="2182" t="str">
        <f>M1&amp;".1"</f>
        <v>4.1</v>
      </c>
      <c r="N12" s="2182" t="str">
        <f>M1&amp;".2"</f>
        <v>4.2</v>
      </c>
      <c r="O12" s="2182" t="str">
        <f>O1&amp;".1"</f>
        <v>4.1</v>
      </c>
      <c r="P12" s="2182" t="str">
        <f>O1&amp;".2"</f>
        <v>4.2</v>
      </c>
      <c r="Q12" s="2182" t="str">
        <f>Q1&amp;".1"</f>
        <v>4.1</v>
      </c>
      <c r="R12" s="2182" t="str">
        <f>Q1&amp;".2"</f>
        <v>4.2</v>
      </c>
      <c r="S12" s="2182" t="str">
        <f>S1&amp;".1"</f>
        <v>4.1</v>
      </c>
      <c r="T12" s="2182" t="str">
        <f>S1&amp;".2"</f>
        <v>4.2</v>
      </c>
      <c r="U12" s="2182" t="str">
        <f>U1&amp;".1"</f>
        <v>4.1</v>
      </c>
      <c r="V12" s="2182" t="str">
        <f>U1&amp;".2"</f>
        <v>4.2</v>
      </c>
      <c r="W12" s="2182" t="str">
        <f>W1&amp;".1"</f>
        <v>4.1</v>
      </c>
      <c r="X12" s="2182" t="str">
        <f>W1&amp;".2"</f>
        <v>4.2</v>
      </c>
      <c r="Y12" s="2182" t="str">
        <f>Y1&amp;".1"</f>
        <v>4.1</v>
      </c>
      <c r="Z12" s="2182" t="str">
        <f>Y1&amp;".2"</f>
        <v>4.2</v>
      </c>
      <c r="AA12" s="2182" t="str">
        <f>AA1&amp;".1"</f>
        <v>4.1</v>
      </c>
      <c r="AB12" s="2182" t="str">
        <f>AA1&amp;".2"</f>
        <v>4.2</v>
      </c>
      <c r="AC12" s="2182" t="str">
        <f>AC1&amp;".1"</f>
        <v>4.1</v>
      </c>
      <c r="AD12" s="2182" t="str">
        <f>AC1&amp;".2"</f>
        <v>4.2</v>
      </c>
      <c r="AE12" s="2182" t="str">
        <f>AE1&amp;".1"</f>
        <v>4.1</v>
      </c>
      <c r="AF12" s="2182" t="str">
        <f>AE1&amp;".2"</f>
        <v>4.2</v>
      </c>
      <c r="AG12" s="2182" t="str">
        <f>AG1&amp;".1"</f>
        <v>4.1</v>
      </c>
      <c r="AH12" s="2182" t="str">
        <f>AG1&amp;".2"</f>
        <v>4.2</v>
      </c>
      <c r="AI12" s="2182" t="str">
        <f>AI1&amp;".1"</f>
        <v>4.1</v>
      </c>
      <c r="AJ12" s="2182" t="str">
        <f>AI1&amp;".2"</f>
        <v>4.2</v>
      </c>
      <c r="AK12" s="2182" t="str">
        <f>AK1&amp;".1"</f>
        <v>4.1</v>
      </c>
      <c r="AL12" s="2182" t="str">
        <f>AK1&amp;".2"</f>
        <v>4.2</v>
      </c>
      <c r="AM12" s="2182" t="str">
        <f>AM1&amp;".1"</f>
        <v>4.1</v>
      </c>
      <c r="AN12" s="2182" t="str">
        <f>AM1&amp;".2"</f>
        <v>4.2</v>
      </c>
      <c r="AO12" s="2182" t="str">
        <f>AO1&amp;".1"</f>
        <v>4.1</v>
      </c>
      <c r="AP12" s="2182" t="str">
        <f>AO1&amp;".2"</f>
        <v>4.2</v>
      </c>
      <c r="AQ12" s="2182" t="str">
        <f>AQ1&amp;".1"</f>
        <v>4.1</v>
      </c>
      <c r="AR12" s="2182" t="str">
        <f>AQ1&amp;".2"</f>
        <v>4.2</v>
      </c>
      <c r="AS12" s="2182" t="str">
        <f>AS1&amp;".1"</f>
        <v>4.1</v>
      </c>
      <c r="AT12" s="2182" t="str">
        <f>AS1&amp;".2"</f>
        <v>4.2</v>
      </c>
      <c r="AU12" s="2182" t="str">
        <f>AU1&amp;".1"</f>
        <v>4.1</v>
      </c>
      <c r="AV12" s="2182" t="str">
        <f>AU1&amp;".2"</f>
        <v>4.2</v>
      </c>
      <c r="AW12" s="2182" t="str">
        <f>AW1&amp;".1"</f>
        <v>4.1</v>
      </c>
      <c r="AX12" s="2182" t="str">
        <f>AW1&amp;".2"</f>
        <v>4.2</v>
      </c>
      <c r="AY12" s="2182" t="str">
        <f>AY1&amp;".1"</f>
        <v>4.1</v>
      </c>
      <c r="AZ12" s="2182" t="str">
        <f>AY1&amp;".2"</f>
        <v>4.2</v>
      </c>
      <c r="BA12" s="2182" t="str">
        <f>BA1&amp;".1"</f>
        <v>4.1</v>
      </c>
      <c r="BB12" s="2182" t="str">
        <f>BA1&amp;".2"</f>
        <v>4.2</v>
      </c>
      <c r="BC12" s="2182" t="str">
        <f>BC1&amp;".1"</f>
        <v>4.1</v>
      </c>
      <c r="BD12" s="2182" t="str">
        <f>BC1&amp;".2"</f>
        <v>4.2</v>
      </c>
      <c r="BE12" s="2182" t="str">
        <f>BE1&amp;".1"</f>
        <v>4.1</v>
      </c>
      <c r="BF12" s="2182" t="str">
        <f>BE1&amp;".2"</f>
        <v>4.2</v>
      </c>
      <c r="BG12" s="2182" t="str">
        <f>BG1&amp;".1"</f>
        <v>4.1</v>
      </c>
      <c r="BH12" s="2182" t="str">
        <f>BG1&amp;".2"</f>
        <v>4.2</v>
      </c>
      <c r="BI12" s="2182" t="str">
        <f>BI1&amp;".1"</f>
        <v>4.1</v>
      </c>
      <c r="BJ12" s="2182" t="str">
        <f>BI1&amp;".2"</f>
        <v>4.2</v>
      </c>
      <c r="BK12" s="2182" t="str">
        <f>BK1&amp;".1"</f>
        <v>4.1</v>
      </c>
      <c r="BL12" s="2182" t="str">
        <f>BK1&amp;".2"</f>
        <v>4.2</v>
      </c>
      <c r="BM12" s="2182" t="str">
        <f>BM1&amp;".1"</f>
        <v>4.1</v>
      </c>
      <c r="BN12" s="2182" t="str">
        <f>BM1&amp;".2"</f>
        <v>4.2</v>
      </c>
      <c r="BO12" s="2182" t="str">
        <f>BO1&amp;".1"</f>
        <v>4.1</v>
      </c>
      <c r="BP12" s="2182" t="str">
        <f>BO1&amp;".2"</f>
        <v>4.2</v>
      </c>
      <c r="BQ12" s="2182" t="str">
        <f>BQ1&amp;".1"</f>
        <v>4.1</v>
      </c>
      <c r="BR12" s="2182" t="str">
        <f>BQ1&amp;".2"</f>
        <v>4.2</v>
      </c>
      <c r="BS12" s="2182" t="str">
        <f>BS1&amp;".1"</f>
        <v>4.1</v>
      </c>
      <c r="BT12" s="2182" t="str">
        <f>BS1&amp;".2"</f>
        <v>4.2</v>
      </c>
      <c r="BU12" s="5201" t="str">
        <f>BU1&amp;".1"</f>
        <v>4.1</v>
      </c>
      <c r="BV12" s="5201" t="str">
        <f>BU1&amp;".2"</f>
        <v>4.2</v>
      </c>
      <c r="BW12" s="5201" t="str">
        <f>BW1&amp;".1"</f>
        <v>4.1</v>
      </c>
      <c r="BX12" s="5201" t="str">
        <f>BW1&amp;".2"</f>
        <v>4.2</v>
      </c>
      <c r="BY12" s="5201" t="str">
        <f>BY1&amp;".1"</f>
        <v>4.1</v>
      </c>
      <c r="BZ12" s="5201" t="str">
        <f>BY1&amp;".2"</f>
        <v>4.2</v>
      </c>
      <c r="CA12" s="1126"/>
      <c r="CN12" s="618">
        <v>10</v>
      </c>
    </row>
    <row customHeight="1" ht="22.5">
      <c r="A13" s="3229" t="s">
        <v>966</v>
      </c>
      <c r="D13" s="1053" t="s">
        <v>144</v>
      </c>
      <c r="E13" s="387" t="s">
        <v>967</v>
      </c>
      <c r="F13" s="767" t="s">
        <v>968</v>
      </c>
      <c r="G13" s="664"/>
      <c r="H13" s="768"/>
      <c r="I13" s="664">
        <v>0</v>
      </c>
      <c r="J13" s="768"/>
      <c r="K13" s="664">
        <v>0</v>
      </c>
      <c r="L13" s="769"/>
      <c r="M13" s="664">
        <v>0</v>
      </c>
      <c r="N13" s="769"/>
      <c r="O13" s="664">
        <v>0</v>
      </c>
      <c r="P13" s="769"/>
      <c r="Q13" s="664">
        <v>0</v>
      </c>
      <c r="R13" s="769"/>
      <c r="S13" s="664">
        <v>0</v>
      </c>
      <c r="T13" s="769"/>
      <c r="U13" s="664">
        <v>0</v>
      </c>
      <c r="V13" s="769"/>
      <c r="W13" s="664">
        <v>0</v>
      </c>
      <c r="X13" s="769"/>
      <c r="Y13" s="664">
        <v>0</v>
      </c>
      <c r="Z13" s="769"/>
      <c r="AA13" s="664">
        <v>0</v>
      </c>
      <c r="AB13" s="769"/>
      <c r="AC13" s="664">
        <v>0</v>
      </c>
      <c r="AD13" s="769"/>
      <c r="AE13" s="664">
        <v>0</v>
      </c>
      <c r="AF13" s="769"/>
      <c r="AG13" s="664">
        <v>0</v>
      </c>
      <c r="AH13" s="769"/>
      <c r="AI13" s="664">
        <v>0</v>
      </c>
      <c r="AJ13" s="769"/>
      <c r="AK13" s="664">
        <v>0</v>
      </c>
      <c r="AL13" s="769"/>
      <c r="AM13" s="664">
        <v>0</v>
      </c>
      <c r="AN13" s="769"/>
      <c r="AO13" s="664">
        <v>0</v>
      </c>
      <c r="AP13" s="769"/>
      <c r="AQ13" s="664">
        <v>0</v>
      </c>
      <c r="AR13" s="769"/>
      <c r="AS13" s="664">
        <v>0</v>
      </c>
      <c r="AT13" s="769"/>
      <c r="AU13" s="664">
        <v>0</v>
      </c>
      <c r="AV13" s="769"/>
      <c r="AW13" s="664">
        <v>0</v>
      </c>
      <c r="AX13" s="769"/>
      <c r="AY13" s="664">
        <v>0</v>
      </c>
      <c r="AZ13" s="769"/>
      <c r="BA13" s="664">
        <v>0</v>
      </c>
      <c r="BB13" s="769"/>
      <c r="BC13" s="664">
        <v>0</v>
      </c>
      <c r="BD13" s="769"/>
      <c r="BE13" s="664">
        <v>0</v>
      </c>
      <c r="BF13" s="769"/>
      <c r="BG13" s="664">
        <v>0</v>
      </c>
      <c r="BH13" s="769"/>
      <c r="BI13" s="664">
        <v>0</v>
      </c>
      <c r="BJ13" s="769"/>
      <c r="BK13" s="664">
        <v>0</v>
      </c>
      <c r="BL13" s="769"/>
      <c r="BM13" s="664">
        <v>0</v>
      </c>
      <c r="BN13" s="769"/>
      <c r="BO13" s="664">
        <v>0</v>
      </c>
      <c r="BP13" s="769"/>
      <c r="BQ13" s="664">
        <v>0</v>
      </c>
      <c r="BR13" s="769"/>
      <c r="BS13" s="664">
        <v>0.32</v>
      </c>
      <c r="BT13" s="769"/>
      <c r="BU13" s="4643">
        <v>0</v>
      </c>
      <c r="BV13" s="5000"/>
      <c r="BW13" s="4643">
        <v>0</v>
      </c>
      <c r="BX13" s="5000"/>
      <c r="BY13" s="4643">
        <v>0</v>
      </c>
      <c r="BZ13" s="5000"/>
      <c r="CA13" s="397" t="s">
        <v>969</v>
      </c>
      <c r="CB13" s="827"/>
      <c r="CN13" s="612">
        <v>0</v>
      </c>
    </row>
    <row customHeight="1" ht="22.5">
      <c r="A14" s="3229"/>
      <c r="D14" s="646" t="s">
        <v>102</v>
      </c>
      <c r="E14" s="387" t="s">
        <v>970</v>
      </c>
      <c r="F14" s="767" t="s">
        <v>971</v>
      </c>
      <c r="G14" s="664"/>
      <c r="H14" s="769"/>
      <c r="I14" s="664">
        <v>10</v>
      </c>
      <c r="J14" s="769"/>
      <c r="K14" s="664">
        <v>0</v>
      </c>
      <c r="L14" s="769"/>
      <c r="M14" s="664">
        <v>0</v>
      </c>
      <c r="N14" s="769"/>
      <c r="O14" s="664">
        <v>0</v>
      </c>
      <c r="P14" s="769"/>
      <c r="Q14" s="664">
        <v>0</v>
      </c>
      <c r="R14" s="769"/>
      <c r="S14" s="664">
        <v>0</v>
      </c>
      <c r="T14" s="769"/>
      <c r="U14" s="664">
        <v>0</v>
      </c>
      <c r="V14" s="769"/>
      <c r="W14" s="664">
        <v>0</v>
      </c>
      <c r="X14" s="769"/>
      <c r="Y14" s="664">
        <v>0</v>
      </c>
      <c r="Z14" s="769"/>
      <c r="AA14" s="664">
        <v>0</v>
      </c>
      <c r="AB14" s="769"/>
      <c r="AC14" s="664">
        <v>0</v>
      </c>
      <c r="AD14" s="769"/>
      <c r="AE14" s="664">
        <v>0</v>
      </c>
      <c r="AF14" s="769"/>
      <c r="AG14" s="664">
        <v>0</v>
      </c>
      <c r="AH14" s="769"/>
      <c r="AI14" s="664">
        <v>0</v>
      </c>
      <c r="AJ14" s="769"/>
      <c r="AK14" s="664">
        <v>0</v>
      </c>
      <c r="AL14" s="769"/>
      <c r="AM14" s="664">
        <v>0</v>
      </c>
      <c r="AN14" s="769"/>
      <c r="AO14" s="664">
        <v>0</v>
      </c>
      <c r="AP14" s="769"/>
      <c r="AQ14" s="664">
        <v>0</v>
      </c>
      <c r="AR14" s="769"/>
      <c r="AS14" s="664">
        <v>0</v>
      </c>
      <c r="AT14" s="769"/>
      <c r="AU14" s="664">
        <v>0</v>
      </c>
      <c r="AV14" s="769"/>
      <c r="AW14" s="664">
        <v>0</v>
      </c>
      <c r="AX14" s="769"/>
      <c r="AY14" s="664">
        <v>0</v>
      </c>
      <c r="AZ14" s="769"/>
      <c r="BA14" s="664">
        <v>0</v>
      </c>
      <c r="BB14" s="769"/>
      <c r="BC14" s="664">
        <v>0</v>
      </c>
      <c r="BD14" s="769"/>
      <c r="BE14" s="664">
        <v>0</v>
      </c>
      <c r="BF14" s="769"/>
      <c r="BG14" s="664">
        <v>0</v>
      </c>
      <c r="BH14" s="769"/>
      <c r="BI14" s="664">
        <v>0</v>
      </c>
      <c r="BJ14" s="769"/>
      <c r="BK14" s="664">
        <v>0</v>
      </c>
      <c r="BL14" s="769"/>
      <c r="BM14" s="664">
        <v>0</v>
      </c>
      <c r="BN14" s="769"/>
      <c r="BO14" s="664">
        <v>0</v>
      </c>
      <c r="BP14" s="769"/>
      <c r="BQ14" s="664">
        <v>0</v>
      </c>
      <c r="BR14" s="769"/>
      <c r="BS14" s="664">
        <v>0</v>
      </c>
      <c r="BT14" s="769"/>
      <c r="BU14" s="4643">
        <v>0</v>
      </c>
      <c r="BV14" s="5000"/>
      <c r="BW14" s="4643">
        <v>0</v>
      </c>
      <c r="BX14" s="5000"/>
      <c r="BY14" s="4643">
        <v>0</v>
      </c>
      <c r="BZ14" s="5000"/>
      <c r="CA14" s="397" t="s">
        <v>972</v>
      </c>
      <c r="CB14" s="827"/>
      <c r="CN14" s="612">
        <v>0</v>
      </c>
    </row>
    <row s="10232" customFormat="1" customHeight="1" ht="78.75">
      <c r="A15" s="3229"/>
      <c r="B15" s="618"/>
      <c r="D15" s="1053" t="s">
        <v>90</v>
      </c>
      <c r="E15" s="814" t="s">
        <v>973</v>
      </c>
      <c r="F15" s="1050" t="s">
        <v>391</v>
      </c>
      <c r="G15" s="1050" t="s">
        <v>391</v>
      </c>
      <c r="H15" s="216"/>
      <c r="I15" s="1050" t="s">
        <v>391</v>
      </c>
      <c r="J15" s="216"/>
      <c r="K15" s="2179" t="s">
        <v>391</v>
      </c>
      <c r="L15" s="2194"/>
      <c r="M15" s="2179" t="s">
        <v>391</v>
      </c>
      <c r="N15" s="2194"/>
      <c r="O15" s="2179" t="s">
        <v>391</v>
      </c>
      <c r="P15" s="2194"/>
      <c r="Q15" s="2179" t="s">
        <v>391</v>
      </c>
      <c r="R15" s="2194"/>
      <c r="S15" s="2179" t="s">
        <v>391</v>
      </c>
      <c r="T15" s="2194"/>
      <c r="U15" s="2179" t="s">
        <v>391</v>
      </c>
      <c r="V15" s="2194"/>
      <c r="W15" s="2179" t="s">
        <v>391</v>
      </c>
      <c r="X15" s="2194"/>
      <c r="Y15" s="2179" t="s">
        <v>391</v>
      </c>
      <c r="Z15" s="2194"/>
      <c r="AA15" s="2179" t="s">
        <v>391</v>
      </c>
      <c r="AB15" s="2194"/>
      <c r="AC15" s="2179" t="s">
        <v>391</v>
      </c>
      <c r="AD15" s="2194"/>
      <c r="AE15" s="2179" t="s">
        <v>391</v>
      </c>
      <c r="AF15" s="2194"/>
      <c r="AG15" s="2179" t="s">
        <v>391</v>
      </c>
      <c r="AH15" s="2194"/>
      <c r="AI15" s="2179" t="s">
        <v>391</v>
      </c>
      <c r="AJ15" s="2194"/>
      <c r="AK15" s="2179" t="s">
        <v>391</v>
      </c>
      <c r="AL15" s="2194"/>
      <c r="AM15" s="2179" t="s">
        <v>391</v>
      </c>
      <c r="AN15" s="2194"/>
      <c r="AO15" s="2179" t="s">
        <v>391</v>
      </c>
      <c r="AP15" s="2194"/>
      <c r="AQ15" s="2179" t="s">
        <v>391</v>
      </c>
      <c r="AR15" s="2194"/>
      <c r="AS15" s="2179" t="s">
        <v>391</v>
      </c>
      <c r="AT15" s="2194"/>
      <c r="AU15" s="2179" t="s">
        <v>391</v>
      </c>
      <c r="AV15" s="2194"/>
      <c r="AW15" s="2179" t="s">
        <v>391</v>
      </c>
      <c r="AX15" s="2194"/>
      <c r="AY15" s="2179" t="s">
        <v>391</v>
      </c>
      <c r="AZ15" s="2194"/>
      <c r="BA15" s="2179" t="s">
        <v>391</v>
      </c>
      <c r="BB15" s="2194"/>
      <c r="BC15" s="2179" t="s">
        <v>391</v>
      </c>
      <c r="BD15" s="2194"/>
      <c r="BE15" s="2179" t="s">
        <v>391</v>
      </c>
      <c r="BF15" s="2194"/>
      <c r="BG15" s="2179" t="s">
        <v>391</v>
      </c>
      <c r="BH15" s="2194"/>
      <c r="BI15" s="2179" t="s">
        <v>391</v>
      </c>
      <c r="BJ15" s="2194"/>
      <c r="BK15" s="2179" t="s">
        <v>391</v>
      </c>
      <c r="BL15" s="2194"/>
      <c r="BM15" s="2179" t="s">
        <v>391</v>
      </c>
      <c r="BN15" s="2194"/>
      <c r="BO15" s="2179" t="s">
        <v>391</v>
      </c>
      <c r="BP15" s="2194"/>
      <c r="BQ15" s="2179" t="s">
        <v>391</v>
      </c>
      <c r="BR15" s="2194"/>
      <c r="BS15" s="2179" t="s">
        <v>391</v>
      </c>
      <c r="BT15" s="2194"/>
      <c r="BU15" s="4593" t="s">
        <v>391</v>
      </c>
      <c r="BV15" s="5212"/>
      <c r="BW15" s="4593" t="s">
        <v>391</v>
      </c>
      <c r="BX15" s="5212"/>
      <c r="BY15" s="4593" t="s">
        <v>391</v>
      </c>
      <c r="BZ15" s="5212"/>
      <c r="CA15" s="397" t="s">
        <v>974</v>
      </c>
      <c r="CB15" s="827"/>
      <c r="CN15" s="863">
        <v>0</v>
      </c>
    </row>
    <row s="10232" customFormat="1" customHeight="1" ht="22.5">
      <c r="A16" s="3229"/>
      <c r="B16" s="618"/>
      <c r="D16" s="1053" t="s">
        <v>409</v>
      </c>
      <c r="E16" s="1054" t="s">
        <v>975</v>
      </c>
      <c r="F16" s="1050" t="s">
        <v>976</v>
      </c>
      <c r="G16" s="918"/>
      <c r="H16" s="216"/>
      <c r="I16" s="918"/>
      <c r="J16" s="216"/>
      <c r="K16" s="918"/>
      <c r="L16" s="2194"/>
      <c r="M16" s="918"/>
      <c r="N16" s="2194"/>
      <c r="O16" s="918"/>
      <c r="P16" s="2194"/>
      <c r="Q16" s="918"/>
      <c r="R16" s="2194"/>
      <c r="S16" s="918"/>
      <c r="T16" s="2194"/>
      <c r="U16" s="918"/>
      <c r="V16" s="2194"/>
      <c r="W16" s="918"/>
      <c r="X16" s="2194"/>
      <c r="Y16" s="918"/>
      <c r="Z16" s="2194"/>
      <c r="AA16" s="918"/>
      <c r="AB16" s="2194"/>
      <c r="AC16" s="918"/>
      <c r="AD16" s="2194"/>
      <c r="AE16" s="918"/>
      <c r="AF16" s="2194"/>
      <c r="AG16" s="918"/>
      <c r="AH16" s="2194"/>
      <c r="AI16" s="918"/>
      <c r="AJ16" s="2194"/>
      <c r="AK16" s="918"/>
      <c r="AL16" s="2194"/>
      <c r="AM16" s="918"/>
      <c r="AN16" s="2194"/>
      <c r="AO16" s="918"/>
      <c r="AP16" s="2194"/>
      <c r="AQ16" s="918"/>
      <c r="AR16" s="2194"/>
      <c r="AS16" s="918"/>
      <c r="AT16" s="2194"/>
      <c r="AU16" s="918"/>
      <c r="AV16" s="2194"/>
      <c r="AW16" s="918"/>
      <c r="AX16" s="2194"/>
      <c r="AY16" s="918"/>
      <c r="AZ16" s="2194"/>
      <c r="BA16" s="918"/>
      <c r="BB16" s="2194"/>
      <c r="BC16" s="918"/>
      <c r="BD16" s="2194"/>
      <c r="BE16" s="918"/>
      <c r="BF16" s="2194"/>
      <c r="BG16" s="918"/>
      <c r="BH16" s="2194"/>
      <c r="BI16" s="918"/>
      <c r="BJ16" s="2194"/>
      <c r="BK16" s="918"/>
      <c r="BL16" s="2194"/>
      <c r="BM16" s="918"/>
      <c r="BN16" s="2194"/>
      <c r="BO16" s="918"/>
      <c r="BP16" s="2194"/>
      <c r="BQ16" s="918"/>
      <c r="BR16" s="2194"/>
      <c r="BS16" s="918"/>
      <c r="BT16" s="2194"/>
      <c r="BU16" s="5214"/>
      <c r="BV16" s="5212"/>
      <c r="BW16" s="5214"/>
      <c r="BX16" s="5212"/>
      <c r="BY16" s="5214"/>
      <c r="BZ16" s="5212"/>
      <c r="CA16" s="397"/>
      <c r="CB16" s="827"/>
      <c r="CN16" s="863">
        <v>0</v>
      </c>
    </row>
    <row s="10232" customFormat="1" customHeight="1" ht="22.5">
      <c r="A17" s="3229"/>
      <c r="B17" s="618"/>
      <c r="D17" s="1053" t="s">
        <v>417</v>
      </c>
      <c r="E17" s="1054" t="s">
        <v>977</v>
      </c>
      <c r="F17" s="1050" t="s">
        <v>978</v>
      </c>
      <c r="G17" s="918"/>
      <c r="H17" s="216"/>
      <c r="I17" s="918"/>
      <c r="J17" s="216"/>
      <c r="K17" s="918"/>
      <c r="L17" s="2194"/>
      <c r="M17" s="918"/>
      <c r="N17" s="2194"/>
      <c r="O17" s="918"/>
      <c r="P17" s="2194"/>
      <c r="Q17" s="918"/>
      <c r="R17" s="2194"/>
      <c r="S17" s="918"/>
      <c r="T17" s="2194"/>
      <c r="U17" s="918"/>
      <c r="V17" s="2194"/>
      <c r="W17" s="918"/>
      <c r="X17" s="2194"/>
      <c r="Y17" s="918"/>
      <c r="Z17" s="2194"/>
      <c r="AA17" s="918"/>
      <c r="AB17" s="2194"/>
      <c r="AC17" s="918"/>
      <c r="AD17" s="2194"/>
      <c r="AE17" s="918"/>
      <c r="AF17" s="2194"/>
      <c r="AG17" s="918"/>
      <c r="AH17" s="2194"/>
      <c r="AI17" s="918"/>
      <c r="AJ17" s="2194"/>
      <c r="AK17" s="918"/>
      <c r="AL17" s="2194"/>
      <c r="AM17" s="918"/>
      <c r="AN17" s="2194"/>
      <c r="AO17" s="918"/>
      <c r="AP17" s="2194"/>
      <c r="AQ17" s="918"/>
      <c r="AR17" s="2194"/>
      <c r="AS17" s="918"/>
      <c r="AT17" s="2194"/>
      <c r="AU17" s="918"/>
      <c r="AV17" s="2194"/>
      <c r="AW17" s="918"/>
      <c r="AX17" s="2194"/>
      <c r="AY17" s="918"/>
      <c r="AZ17" s="2194"/>
      <c r="BA17" s="918"/>
      <c r="BB17" s="2194"/>
      <c r="BC17" s="918"/>
      <c r="BD17" s="2194"/>
      <c r="BE17" s="918"/>
      <c r="BF17" s="2194"/>
      <c r="BG17" s="918"/>
      <c r="BH17" s="2194"/>
      <c r="BI17" s="918"/>
      <c r="BJ17" s="2194"/>
      <c r="BK17" s="918"/>
      <c r="BL17" s="2194"/>
      <c r="BM17" s="918"/>
      <c r="BN17" s="2194"/>
      <c r="BO17" s="918"/>
      <c r="BP17" s="2194"/>
      <c r="BQ17" s="918"/>
      <c r="BR17" s="2194"/>
      <c r="BS17" s="918"/>
      <c r="BT17" s="2194"/>
      <c r="BU17" s="5214"/>
      <c r="BV17" s="5212"/>
      <c r="BW17" s="5214"/>
      <c r="BX17" s="5212"/>
      <c r="BY17" s="5214"/>
      <c r="BZ17" s="5212"/>
      <c r="CA17" s="397"/>
      <c r="CB17" s="827"/>
      <c r="CN17" s="863">
        <v>0</v>
      </c>
    </row>
    <row s="10232" customFormat="1" customHeight="1" ht="33.75">
      <c r="A18" s="3229"/>
      <c r="B18" s="618"/>
      <c r="D18" s="1053" t="s">
        <v>419</v>
      </c>
      <c r="E18" s="1054" t="s">
        <v>979</v>
      </c>
      <c r="F18" s="1050" t="s">
        <v>665</v>
      </c>
      <c r="G18" s="787"/>
      <c r="H18" s="216"/>
      <c r="I18" s="787"/>
      <c r="J18" s="216"/>
      <c r="K18" s="787"/>
      <c r="L18" s="2194"/>
      <c r="M18" s="787"/>
      <c r="N18" s="2194"/>
      <c r="O18" s="787"/>
      <c r="P18" s="2194"/>
      <c r="Q18" s="787"/>
      <c r="R18" s="2194"/>
      <c r="S18" s="787"/>
      <c r="T18" s="2194"/>
      <c r="U18" s="787"/>
      <c r="V18" s="2194"/>
      <c r="W18" s="787"/>
      <c r="X18" s="2194"/>
      <c r="Y18" s="787"/>
      <c r="Z18" s="2194"/>
      <c r="AA18" s="787"/>
      <c r="AB18" s="2194"/>
      <c r="AC18" s="787"/>
      <c r="AD18" s="2194"/>
      <c r="AE18" s="787"/>
      <c r="AF18" s="2194"/>
      <c r="AG18" s="787"/>
      <c r="AH18" s="2194"/>
      <c r="AI18" s="787"/>
      <c r="AJ18" s="2194"/>
      <c r="AK18" s="787"/>
      <c r="AL18" s="2194"/>
      <c r="AM18" s="787"/>
      <c r="AN18" s="2194"/>
      <c r="AO18" s="787"/>
      <c r="AP18" s="2194"/>
      <c r="AQ18" s="787"/>
      <c r="AR18" s="2194"/>
      <c r="AS18" s="787"/>
      <c r="AT18" s="2194"/>
      <c r="AU18" s="787"/>
      <c r="AV18" s="2194"/>
      <c r="AW18" s="787"/>
      <c r="AX18" s="2194"/>
      <c r="AY18" s="787"/>
      <c r="AZ18" s="2194"/>
      <c r="BA18" s="787"/>
      <c r="BB18" s="2194"/>
      <c r="BC18" s="787"/>
      <c r="BD18" s="2194"/>
      <c r="BE18" s="787"/>
      <c r="BF18" s="2194"/>
      <c r="BG18" s="787"/>
      <c r="BH18" s="2194"/>
      <c r="BI18" s="787"/>
      <c r="BJ18" s="2194"/>
      <c r="BK18" s="787"/>
      <c r="BL18" s="2194"/>
      <c r="BM18" s="787"/>
      <c r="BN18" s="2194"/>
      <c r="BO18" s="787"/>
      <c r="BP18" s="2194"/>
      <c r="BQ18" s="787"/>
      <c r="BR18" s="2194"/>
      <c r="BS18" s="787"/>
      <c r="BT18" s="2194"/>
      <c r="BU18" s="5216"/>
      <c r="BV18" s="5212"/>
      <c r="BW18" s="5216"/>
      <c r="BX18" s="5212"/>
      <c r="BY18" s="5216"/>
      <c r="BZ18" s="5212"/>
      <c r="CA18" s="397"/>
      <c r="CB18" s="827"/>
      <c r="CN18" s="863">
        <v>0</v>
      </c>
    </row>
    <row customHeight="1" ht="101.25">
      <c r="A19" s="3229"/>
      <c r="D19" s="1053" t="s">
        <v>91</v>
      </c>
      <c r="E19" s="387" t="s">
        <v>980</v>
      </c>
      <c r="F19" s="767" t="s">
        <v>631</v>
      </c>
      <c r="G19" s="770"/>
      <c r="H19" s="769"/>
      <c r="I19" s="5218" t="s">
        <v>981</v>
      </c>
      <c r="J19" s="769"/>
      <c r="K19" s="5218" t="s">
        <v>981</v>
      </c>
      <c r="L19" s="769"/>
      <c r="M19" s="5218" t="s">
        <v>981</v>
      </c>
      <c r="N19" s="769"/>
      <c r="O19" s="5218" t="s">
        <v>981</v>
      </c>
      <c r="P19" s="769"/>
      <c r="Q19" s="5218" t="s">
        <v>981</v>
      </c>
      <c r="R19" s="769"/>
      <c r="S19" s="5218" t="s">
        <v>981</v>
      </c>
      <c r="T19" s="769"/>
      <c r="U19" s="5218" t="s">
        <v>981</v>
      </c>
      <c r="V19" s="769"/>
      <c r="W19" s="5218" t="s">
        <v>982</v>
      </c>
      <c r="X19" s="769"/>
      <c r="Y19" s="5218" t="s">
        <v>982</v>
      </c>
      <c r="Z19" s="769"/>
      <c r="AA19" s="5218" t="s">
        <v>982</v>
      </c>
      <c r="AB19" s="769"/>
      <c r="AC19" s="5218" t="s">
        <v>982</v>
      </c>
      <c r="AD19" s="769"/>
      <c r="AE19" s="5218" t="s">
        <v>982</v>
      </c>
      <c r="AF19" s="769"/>
      <c r="AG19" s="5218" t="s">
        <v>982</v>
      </c>
      <c r="AH19" s="769"/>
      <c r="AI19" s="5218" t="s">
        <v>983</v>
      </c>
      <c r="AJ19" s="769"/>
      <c r="AK19" s="5218" t="s">
        <v>984</v>
      </c>
      <c r="AL19" s="769"/>
      <c r="AM19" s="5218" t="s">
        <v>983</v>
      </c>
      <c r="AN19" s="769"/>
      <c r="AO19" s="5218" t="s">
        <v>983</v>
      </c>
      <c r="AP19" s="769"/>
      <c r="AQ19" s="5218" t="s">
        <v>983</v>
      </c>
      <c r="AR19" s="769"/>
      <c r="AS19" s="5218" t="s">
        <v>983</v>
      </c>
      <c r="AT19" s="769"/>
      <c r="AU19" s="5218" t="s">
        <v>983</v>
      </c>
      <c r="AV19" s="769"/>
      <c r="AW19" s="5218" t="s">
        <v>983</v>
      </c>
      <c r="AX19" s="769"/>
      <c r="AY19" s="5218" t="s">
        <v>983</v>
      </c>
      <c r="AZ19" s="769"/>
      <c r="BA19" s="5218" t="s">
        <v>983</v>
      </c>
      <c r="BB19" s="769"/>
      <c r="BC19" s="5218" t="s">
        <v>983</v>
      </c>
      <c r="BD19" s="769"/>
      <c r="BE19" s="5218" t="s">
        <v>983</v>
      </c>
      <c r="BF19" s="769"/>
      <c r="BG19" s="5218" t="s">
        <v>984</v>
      </c>
      <c r="BH19" s="769"/>
      <c r="BI19" s="5218" t="s">
        <v>984</v>
      </c>
      <c r="BJ19" s="769"/>
      <c r="BK19" s="5218" t="s">
        <v>983</v>
      </c>
      <c r="BL19" s="769"/>
      <c r="BM19" s="5218" t="s">
        <v>984</v>
      </c>
      <c r="BN19" s="769"/>
      <c r="BO19" s="5218" t="s">
        <v>984</v>
      </c>
      <c r="BP19" s="769"/>
      <c r="BQ19" s="5218" t="s">
        <v>984</v>
      </c>
      <c r="BR19" s="769"/>
      <c r="BS19" s="5218" t="s">
        <v>985</v>
      </c>
      <c r="BT19" s="769"/>
      <c r="BU19" s="5218" t="s">
        <v>983</v>
      </c>
      <c r="BV19" s="5000"/>
      <c r="BW19" s="5218" t="s">
        <v>986</v>
      </c>
      <c r="BX19" s="5000"/>
      <c r="BY19" s="5218" t="s">
        <v>983</v>
      </c>
      <c r="BZ19" s="5000"/>
      <c r="CA19" s="397" t="s">
        <v>987</v>
      </c>
      <c r="CB19" s="827"/>
      <c r="CN19" s="612">
        <v>0</v>
      </c>
    </row>
    <row s="10232" customFormat="1" customHeight="1" ht="18.75">
      <c r="A20" s="3229"/>
      <c r="C20" s="1056"/>
      <c r="D20" s="1053" t="s">
        <v>899</v>
      </c>
      <c r="E20" s="1054" t="s">
        <v>988</v>
      </c>
      <c r="F20" s="1050" t="s">
        <v>391</v>
      </c>
      <c r="G20" s="1050" t="s">
        <v>391</v>
      </c>
      <c r="H20" s="1049" t="s">
        <v>391</v>
      </c>
      <c r="I20" s="1050" t="s">
        <v>391</v>
      </c>
      <c r="J20" s="1049" t="s">
        <v>391</v>
      </c>
      <c r="K20" s="2179" t="s">
        <v>391</v>
      </c>
      <c r="L20" s="2174" t="s">
        <v>391</v>
      </c>
      <c r="M20" s="2179" t="s">
        <v>391</v>
      </c>
      <c r="N20" s="2174" t="s">
        <v>391</v>
      </c>
      <c r="O20" s="2179" t="s">
        <v>391</v>
      </c>
      <c r="P20" s="2174" t="s">
        <v>391</v>
      </c>
      <c r="Q20" s="2179" t="s">
        <v>391</v>
      </c>
      <c r="R20" s="2174" t="s">
        <v>391</v>
      </c>
      <c r="S20" s="2179" t="s">
        <v>391</v>
      </c>
      <c r="T20" s="2174" t="s">
        <v>391</v>
      </c>
      <c r="U20" s="2179" t="s">
        <v>391</v>
      </c>
      <c r="V20" s="2174" t="s">
        <v>391</v>
      </c>
      <c r="W20" s="2179" t="s">
        <v>391</v>
      </c>
      <c r="X20" s="2174" t="s">
        <v>391</v>
      </c>
      <c r="Y20" s="2179" t="s">
        <v>391</v>
      </c>
      <c r="Z20" s="2174" t="s">
        <v>391</v>
      </c>
      <c r="AA20" s="2179" t="s">
        <v>391</v>
      </c>
      <c r="AB20" s="2174" t="s">
        <v>391</v>
      </c>
      <c r="AC20" s="2179" t="s">
        <v>391</v>
      </c>
      <c r="AD20" s="2174" t="s">
        <v>391</v>
      </c>
      <c r="AE20" s="2179" t="s">
        <v>391</v>
      </c>
      <c r="AF20" s="2174" t="s">
        <v>391</v>
      </c>
      <c r="AG20" s="2179" t="s">
        <v>391</v>
      </c>
      <c r="AH20" s="2174" t="s">
        <v>391</v>
      </c>
      <c r="AI20" s="2179" t="s">
        <v>391</v>
      </c>
      <c r="AJ20" s="2174" t="s">
        <v>391</v>
      </c>
      <c r="AK20" s="2179" t="s">
        <v>391</v>
      </c>
      <c r="AL20" s="2174" t="s">
        <v>391</v>
      </c>
      <c r="AM20" s="2179" t="s">
        <v>391</v>
      </c>
      <c r="AN20" s="2174" t="s">
        <v>391</v>
      </c>
      <c r="AO20" s="2179" t="s">
        <v>391</v>
      </c>
      <c r="AP20" s="2174" t="s">
        <v>391</v>
      </c>
      <c r="AQ20" s="2179" t="s">
        <v>391</v>
      </c>
      <c r="AR20" s="2174" t="s">
        <v>391</v>
      </c>
      <c r="AS20" s="2179" t="s">
        <v>391</v>
      </c>
      <c r="AT20" s="2174" t="s">
        <v>391</v>
      </c>
      <c r="AU20" s="2179" t="s">
        <v>391</v>
      </c>
      <c r="AV20" s="2174" t="s">
        <v>391</v>
      </c>
      <c r="AW20" s="2179" t="s">
        <v>391</v>
      </c>
      <c r="AX20" s="2174" t="s">
        <v>391</v>
      </c>
      <c r="AY20" s="2179" t="s">
        <v>391</v>
      </c>
      <c r="AZ20" s="2174" t="s">
        <v>391</v>
      </c>
      <c r="BA20" s="2179" t="s">
        <v>391</v>
      </c>
      <c r="BB20" s="2174" t="s">
        <v>391</v>
      </c>
      <c r="BC20" s="2179" t="s">
        <v>391</v>
      </c>
      <c r="BD20" s="2174" t="s">
        <v>391</v>
      </c>
      <c r="BE20" s="2179" t="s">
        <v>391</v>
      </c>
      <c r="BF20" s="2174" t="s">
        <v>391</v>
      </c>
      <c r="BG20" s="2179" t="s">
        <v>391</v>
      </c>
      <c r="BH20" s="2174" t="s">
        <v>391</v>
      </c>
      <c r="BI20" s="2179" t="s">
        <v>391</v>
      </c>
      <c r="BJ20" s="2174" t="s">
        <v>391</v>
      </c>
      <c r="BK20" s="2179" t="s">
        <v>391</v>
      </c>
      <c r="BL20" s="2174" t="s">
        <v>391</v>
      </c>
      <c r="BM20" s="2179" t="s">
        <v>391</v>
      </c>
      <c r="BN20" s="2174" t="s">
        <v>391</v>
      </c>
      <c r="BO20" s="2179" t="s">
        <v>391</v>
      </c>
      <c r="BP20" s="2174" t="s">
        <v>391</v>
      </c>
      <c r="BQ20" s="2179" t="s">
        <v>391</v>
      </c>
      <c r="BR20" s="2174" t="s">
        <v>391</v>
      </c>
      <c r="BS20" s="2179" t="s">
        <v>391</v>
      </c>
      <c r="BT20" s="2174" t="s">
        <v>391</v>
      </c>
      <c r="BU20" s="4593" t="s">
        <v>391</v>
      </c>
      <c r="BV20" s="5222" t="s">
        <v>391</v>
      </c>
      <c r="BW20" s="4593" t="s">
        <v>391</v>
      </c>
      <c r="BX20" s="5222" t="s">
        <v>391</v>
      </c>
      <c r="BY20" s="4593" t="s">
        <v>391</v>
      </c>
      <c r="BZ20" s="5222" t="s">
        <v>391</v>
      </c>
      <c r="CA20" s="1048"/>
      <c r="CB20" s="827"/>
      <c r="CM20" s="782"/>
      <c r="CN20" s="863">
        <v>0</v>
      </c>
    </row>
    <row s="10232" customFormat="1" customHeight="1" ht="33.75">
      <c r="A21" s="3229"/>
      <c r="C21" s="1056"/>
      <c r="D21" s="1053" t="s">
        <v>902</v>
      </c>
      <c r="E21" s="683" t="s">
        <v>989</v>
      </c>
      <c r="F21" s="1050" t="s">
        <v>990</v>
      </c>
      <c r="G21" s="787"/>
      <c r="H21" s="216"/>
      <c r="I21" s="787"/>
      <c r="J21" s="216"/>
      <c r="K21" s="787"/>
      <c r="L21" s="2194"/>
      <c r="M21" s="787"/>
      <c r="N21" s="2194"/>
      <c r="O21" s="787"/>
      <c r="P21" s="2194"/>
      <c r="Q21" s="787"/>
      <c r="R21" s="2194"/>
      <c r="S21" s="787"/>
      <c r="T21" s="2194"/>
      <c r="U21" s="787"/>
      <c r="V21" s="2194"/>
      <c r="W21" s="787"/>
      <c r="X21" s="2194"/>
      <c r="Y21" s="787"/>
      <c r="Z21" s="2194"/>
      <c r="AA21" s="787"/>
      <c r="AB21" s="2194"/>
      <c r="AC21" s="787"/>
      <c r="AD21" s="2194"/>
      <c r="AE21" s="787"/>
      <c r="AF21" s="2194"/>
      <c r="AG21" s="787"/>
      <c r="AH21" s="2194"/>
      <c r="AI21" s="787"/>
      <c r="AJ21" s="2194"/>
      <c r="AK21" s="787"/>
      <c r="AL21" s="2194"/>
      <c r="AM21" s="787"/>
      <c r="AN21" s="2194"/>
      <c r="AO21" s="787"/>
      <c r="AP21" s="2194"/>
      <c r="AQ21" s="787"/>
      <c r="AR21" s="2194"/>
      <c r="AS21" s="787"/>
      <c r="AT21" s="2194"/>
      <c r="AU21" s="787"/>
      <c r="AV21" s="2194"/>
      <c r="AW21" s="787"/>
      <c r="AX21" s="2194"/>
      <c r="AY21" s="787"/>
      <c r="AZ21" s="2194"/>
      <c r="BA21" s="787"/>
      <c r="BB21" s="2194"/>
      <c r="BC21" s="787"/>
      <c r="BD21" s="2194"/>
      <c r="BE21" s="787"/>
      <c r="BF21" s="2194"/>
      <c r="BG21" s="787"/>
      <c r="BH21" s="2194"/>
      <c r="BI21" s="787"/>
      <c r="BJ21" s="2194"/>
      <c r="BK21" s="787"/>
      <c r="BL21" s="2194"/>
      <c r="BM21" s="787"/>
      <c r="BN21" s="2194"/>
      <c r="BO21" s="787"/>
      <c r="BP21" s="2194"/>
      <c r="BQ21" s="787"/>
      <c r="BR21" s="2194"/>
      <c r="BS21" s="787"/>
      <c r="BT21" s="2194"/>
      <c r="BU21" s="5216"/>
      <c r="BV21" s="5212"/>
      <c r="BW21" s="5216"/>
      <c r="BX21" s="5212"/>
      <c r="BY21" s="5216"/>
      <c r="BZ21" s="5212"/>
      <c r="CA21" s="1048"/>
      <c r="CB21" s="827"/>
      <c r="CM21" s="782"/>
      <c r="CN21" s="863">
        <v>0</v>
      </c>
    </row>
    <row s="10232" customFormat="1" customHeight="1" ht="33.75">
      <c r="A22" s="3229"/>
      <c r="C22" s="1056"/>
      <c r="D22" s="1053" t="s">
        <v>905</v>
      </c>
      <c r="E22" s="683" t="s">
        <v>991</v>
      </c>
      <c r="F22" s="1050" t="s">
        <v>992</v>
      </c>
      <c r="G22" s="787"/>
      <c r="H22" s="216"/>
      <c r="I22" s="787"/>
      <c r="J22" s="216"/>
      <c r="K22" s="787"/>
      <c r="L22" s="2194"/>
      <c r="M22" s="787"/>
      <c r="N22" s="2194"/>
      <c r="O22" s="787"/>
      <c r="P22" s="2194"/>
      <c r="Q22" s="787"/>
      <c r="R22" s="2194"/>
      <c r="S22" s="787"/>
      <c r="T22" s="2194"/>
      <c r="U22" s="787"/>
      <c r="V22" s="2194"/>
      <c r="W22" s="787"/>
      <c r="X22" s="2194"/>
      <c r="Y22" s="787"/>
      <c r="Z22" s="2194"/>
      <c r="AA22" s="787"/>
      <c r="AB22" s="2194"/>
      <c r="AC22" s="787"/>
      <c r="AD22" s="2194"/>
      <c r="AE22" s="787"/>
      <c r="AF22" s="2194"/>
      <c r="AG22" s="787"/>
      <c r="AH22" s="2194"/>
      <c r="AI22" s="787"/>
      <c r="AJ22" s="2194"/>
      <c r="AK22" s="787"/>
      <c r="AL22" s="2194"/>
      <c r="AM22" s="787"/>
      <c r="AN22" s="2194"/>
      <c r="AO22" s="787"/>
      <c r="AP22" s="2194"/>
      <c r="AQ22" s="787"/>
      <c r="AR22" s="2194"/>
      <c r="AS22" s="787"/>
      <c r="AT22" s="2194"/>
      <c r="AU22" s="787"/>
      <c r="AV22" s="2194"/>
      <c r="AW22" s="787"/>
      <c r="AX22" s="2194"/>
      <c r="AY22" s="787"/>
      <c r="AZ22" s="2194"/>
      <c r="BA22" s="787"/>
      <c r="BB22" s="2194"/>
      <c r="BC22" s="787"/>
      <c r="BD22" s="2194"/>
      <c r="BE22" s="787"/>
      <c r="BF22" s="2194"/>
      <c r="BG22" s="787"/>
      <c r="BH22" s="2194"/>
      <c r="BI22" s="787"/>
      <c r="BJ22" s="2194"/>
      <c r="BK22" s="787"/>
      <c r="BL22" s="2194"/>
      <c r="BM22" s="787"/>
      <c r="BN22" s="2194"/>
      <c r="BO22" s="787"/>
      <c r="BP22" s="2194"/>
      <c r="BQ22" s="787"/>
      <c r="BR22" s="2194"/>
      <c r="BS22" s="787"/>
      <c r="BT22" s="2194"/>
      <c r="BU22" s="5216"/>
      <c r="BV22" s="5212"/>
      <c r="BW22" s="5216"/>
      <c r="BX22" s="5212"/>
      <c r="BY22" s="5216"/>
      <c r="BZ22" s="5212"/>
      <c r="CA22" s="1048"/>
      <c r="CB22" s="827"/>
      <c r="CM22" s="782"/>
      <c r="CN22" s="863">
        <v>0</v>
      </c>
    </row>
    <row s="10232" customFormat="1" customHeight="1" ht="22.5">
      <c r="A23" s="3229"/>
      <c r="C23" s="1056"/>
      <c r="D23" s="1053" t="s">
        <v>943</v>
      </c>
      <c r="E23" s="1054" t="s">
        <v>993</v>
      </c>
      <c r="F23" s="1050" t="s">
        <v>391</v>
      </c>
      <c r="G23" s="1050" t="s">
        <v>391</v>
      </c>
      <c r="H23" s="1049" t="s">
        <v>391</v>
      </c>
      <c r="I23" s="1050" t="s">
        <v>391</v>
      </c>
      <c r="J23" s="1049" t="s">
        <v>391</v>
      </c>
      <c r="K23" s="2179" t="s">
        <v>391</v>
      </c>
      <c r="L23" s="2174" t="s">
        <v>391</v>
      </c>
      <c r="M23" s="2179" t="s">
        <v>391</v>
      </c>
      <c r="N23" s="2174" t="s">
        <v>391</v>
      </c>
      <c r="O23" s="2179" t="s">
        <v>391</v>
      </c>
      <c r="P23" s="2174" t="s">
        <v>391</v>
      </c>
      <c r="Q23" s="2179" t="s">
        <v>391</v>
      </c>
      <c r="R23" s="2174" t="s">
        <v>391</v>
      </c>
      <c r="S23" s="2179" t="s">
        <v>391</v>
      </c>
      <c r="T23" s="2174" t="s">
        <v>391</v>
      </c>
      <c r="U23" s="2179" t="s">
        <v>391</v>
      </c>
      <c r="V23" s="2174" t="s">
        <v>391</v>
      </c>
      <c r="W23" s="2179" t="s">
        <v>391</v>
      </c>
      <c r="X23" s="2174" t="s">
        <v>391</v>
      </c>
      <c r="Y23" s="2179" t="s">
        <v>391</v>
      </c>
      <c r="Z23" s="2174" t="s">
        <v>391</v>
      </c>
      <c r="AA23" s="2179" t="s">
        <v>391</v>
      </c>
      <c r="AB23" s="2174" t="s">
        <v>391</v>
      </c>
      <c r="AC23" s="2179" t="s">
        <v>391</v>
      </c>
      <c r="AD23" s="2174" t="s">
        <v>391</v>
      </c>
      <c r="AE23" s="2179" t="s">
        <v>391</v>
      </c>
      <c r="AF23" s="2174" t="s">
        <v>391</v>
      </c>
      <c r="AG23" s="2179" t="s">
        <v>391</v>
      </c>
      <c r="AH23" s="2174" t="s">
        <v>391</v>
      </c>
      <c r="AI23" s="2179" t="s">
        <v>391</v>
      </c>
      <c r="AJ23" s="2174" t="s">
        <v>391</v>
      </c>
      <c r="AK23" s="2179" t="s">
        <v>391</v>
      </c>
      <c r="AL23" s="2174" t="s">
        <v>391</v>
      </c>
      <c r="AM23" s="2179" t="s">
        <v>391</v>
      </c>
      <c r="AN23" s="2174" t="s">
        <v>391</v>
      </c>
      <c r="AO23" s="2179" t="s">
        <v>391</v>
      </c>
      <c r="AP23" s="2174" t="s">
        <v>391</v>
      </c>
      <c r="AQ23" s="2179" t="s">
        <v>391</v>
      </c>
      <c r="AR23" s="2174" t="s">
        <v>391</v>
      </c>
      <c r="AS23" s="2179" t="s">
        <v>391</v>
      </c>
      <c r="AT23" s="2174" t="s">
        <v>391</v>
      </c>
      <c r="AU23" s="2179" t="s">
        <v>391</v>
      </c>
      <c r="AV23" s="2174" t="s">
        <v>391</v>
      </c>
      <c r="AW23" s="2179" t="s">
        <v>391</v>
      </c>
      <c r="AX23" s="2174" t="s">
        <v>391</v>
      </c>
      <c r="AY23" s="2179" t="s">
        <v>391</v>
      </c>
      <c r="AZ23" s="2174" t="s">
        <v>391</v>
      </c>
      <c r="BA23" s="2179" t="s">
        <v>391</v>
      </c>
      <c r="BB23" s="2174" t="s">
        <v>391</v>
      </c>
      <c r="BC23" s="2179" t="s">
        <v>391</v>
      </c>
      <c r="BD23" s="2174" t="s">
        <v>391</v>
      </c>
      <c r="BE23" s="2179" t="s">
        <v>391</v>
      </c>
      <c r="BF23" s="2174" t="s">
        <v>391</v>
      </c>
      <c r="BG23" s="2179" t="s">
        <v>391</v>
      </c>
      <c r="BH23" s="2174" t="s">
        <v>391</v>
      </c>
      <c r="BI23" s="2179" t="s">
        <v>391</v>
      </c>
      <c r="BJ23" s="2174" t="s">
        <v>391</v>
      </c>
      <c r="BK23" s="2179" t="s">
        <v>391</v>
      </c>
      <c r="BL23" s="2174" t="s">
        <v>391</v>
      </c>
      <c r="BM23" s="2179" t="s">
        <v>391</v>
      </c>
      <c r="BN23" s="2174" t="s">
        <v>391</v>
      </c>
      <c r="BO23" s="2179" t="s">
        <v>391</v>
      </c>
      <c r="BP23" s="2174" t="s">
        <v>391</v>
      </c>
      <c r="BQ23" s="2179" t="s">
        <v>391</v>
      </c>
      <c r="BR23" s="2174" t="s">
        <v>391</v>
      </c>
      <c r="BS23" s="2179" t="s">
        <v>391</v>
      </c>
      <c r="BT23" s="2174" t="s">
        <v>391</v>
      </c>
      <c r="BU23" s="4593" t="s">
        <v>391</v>
      </c>
      <c r="BV23" s="5222" t="s">
        <v>391</v>
      </c>
      <c r="BW23" s="4593" t="s">
        <v>391</v>
      </c>
      <c r="BX23" s="5222" t="s">
        <v>391</v>
      </c>
      <c r="BY23" s="4593" t="s">
        <v>391</v>
      </c>
      <c r="BZ23" s="5222" t="s">
        <v>391</v>
      </c>
      <c r="CA23" s="1048"/>
      <c r="CB23" s="827"/>
      <c r="CM23" s="782"/>
      <c r="CN23" s="863">
        <v>0</v>
      </c>
    </row>
    <row s="10232" customFormat="1" customHeight="1" ht="22.5">
      <c r="A24" s="3229"/>
      <c r="C24" s="1056"/>
      <c r="D24" s="1053" t="s">
        <v>994</v>
      </c>
      <c r="E24" s="683" t="s">
        <v>995</v>
      </c>
      <c r="F24" s="1050" t="s">
        <v>996</v>
      </c>
      <c r="G24" s="787"/>
      <c r="H24" s="793"/>
      <c r="I24" s="787">
        <v>148.3</v>
      </c>
      <c r="J24" s="793"/>
      <c r="K24" s="787">
        <v>147.5</v>
      </c>
      <c r="L24" s="2180"/>
      <c r="M24" s="787">
        <v>143.1</v>
      </c>
      <c r="N24" s="2180"/>
      <c r="O24" s="787">
        <v>137.5</v>
      </c>
      <c r="P24" s="2180"/>
      <c r="Q24" s="787">
        <v>152.2</v>
      </c>
      <c r="R24" s="2180"/>
      <c r="S24" s="787">
        <v>274.5</v>
      </c>
      <c r="T24" s="2180"/>
      <c r="U24" s="787">
        <v>161.5</v>
      </c>
      <c r="V24" s="2180"/>
      <c r="W24" s="787"/>
      <c r="X24" s="2180"/>
      <c r="Y24" s="787"/>
      <c r="Z24" s="2180"/>
      <c r="AA24" s="787"/>
      <c r="AB24" s="2180"/>
      <c r="AC24" s="787"/>
      <c r="AD24" s="2180"/>
      <c r="AE24" s="787"/>
      <c r="AF24" s="2180"/>
      <c r="AG24" s="787"/>
      <c r="AH24" s="2180"/>
      <c r="AI24" s="787"/>
      <c r="AJ24" s="2180"/>
      <c r="AK24" s="787">
        <v>158.6</v>
      </c>
      <c r="AL24" s="2180"/>
      <c r="AM24" s="787"/>
      <c r="AN24" s="2180"/>
      <c r="AO24" s="787"/>
      <c r="AP24" s="2180"/>
      <c r="AQ24" s="787"/>
      <c r="AR24" s="2180"/>
      <c r="AS24" s="787"/>
      <c r="AT24" s="2180"/>
      <c r="AU24" s="787"/>
      <c r="AV24" s="2180"/>
      <c r="AW24" s="787"/>
      <c r="AX24" s="2180"/>
      <c r="AY24" s="787"/>
      <c r="AZ24" s="2180"/>
      <c r="BA24" s="787"/>
      <c r="BB24" s="2180"/>
      <c r="BC24" s="787"/>
      <c r="BD24" s="2180"/>
      <c r="BE24" s="787"/>
      <c r="BF24" s="2180"/>
      <c r="BG24" s="787">
        <v>160.8</v>
      </c>
      <c r="BH24" s="2180"/>
      <c r="BI24" s="787">
        <v>160.9</v>
      </c>
      <c r="BJ24" s="2180"/>
      <c r="BK24" s="787"/>
      <c r="BL24" s="2180"/>
      <c r="BM24" s="787">
        <v>268.07</v>
      </c>
      <c r="BN24" s="2180"/>
      <c r="BO24" s="787"/>
      <c r="BP24" s="2180"/>
      <c r="BQ24" s="787"/>
      <c r="BR24" s="2180"/>
      <c r="BS24" s="787"/>
      <c r="BT24" s="2180"/>
      <c r="BU24" s="5216"/>
      <c r="BV24" s="5228"/>
      <c r="BW24" s="5216"/>
      <c r="BX24" s="5228"/>
      <c r="BY24" s="5216"/>
      <c r="BZ24" s="5228"/>
      <c r="CA24" s="1048"/>
      <c r="CB24" s="827"/>
      <c r="CM24" s="782"/>
      <c r="CN24" s="863">
        <v>0</v>
      </c>
    </row>
    <row s="10232" customFormat="1" customHeight="1" ht="22.5">
      <c r="A25" s="3229"/>
      <c r="C25" s="1056"/>
      <c r="D25" s="1053" t="s">
        <v>997</v>
      </c>
      <c r="E25" s="683" t="s">
        <v>998</v>
      </c>
      <c r="F25" s="1050" t="s">
        <v>391</v>
      </c>
      <c r="G25" s="1050" t="s">
        <v>391</v>
      </c>
      <c r="H25" s="1049" t="s">
        <v>391</v>
      </c>
      <c r="I25" s="1050" t="s">
        <v>391</v>
      </c>
      <c r="J25" s="1049" t="s">
        <v>391</v>
      </c>
      <c r="K25" s="2179" t="s">
        <v>391</v>
      </c>
      <c r="L25" s="2174" t="s">
        <v>391</v>
      </c>
      <c r="M25" s="2179" t="s">
        <v>391</v>
      </c>
      <c r="N25" s="2174" t="s">
        <v>391</v>
      </c>
      <c r="O25" s="2179" t="s">
        <v>391</v>
      </c>
      <c r="P25" s="2174" t="s">
        <v>391</v>
      </c>
      <c r="Q25" s="2179" t="s">
        <v>391</v>
      </c>
      <c r="R25" s="2174" t="s">
        <v>391</v>
      </c>
      <c r="S25" s="2179" t="s">
        <v>391</v>
      </c>
      <c r="T25" s="2174" t="s">
        <v>391</v>
      </c>
      <c r="U25" s="2179" t="s">
        <v>391</v>
      </c>
      <c r="V25" s="2174" t="s">
        <v>391</v>
      </c>
      <c r="W25" s="2179" t="s">
        <v>391</v>
      </c>
      <c r="X25" s="2174" t="s">
        <v>391</v>
      </c>
      <c r="Y25" s="2179" t="s">
        <v>391</v>
      </c>
      <c r="Z25" s="2174" t="s">
        <v>391</v>
      </c>
      <c r="AA25" s="2179" t="s">
        <v>391</v>
      </c>
      <c r="AB25" s="2174" t="s">
        <v>391</v>
      </c>
      <c r="AC25" s="2179" t="s">
        <v>391</v>
      </c>
      <c r="AD25" s="2174" t="s">
        <v>391</v>
      </c>
      <c r="AE25" s="2179" t="s">
        <v>391</v>
      </c>
      <c r="AF25" s="2174" t="s">
        <v>391</v>
      </c>
      <c r="AG25" s="2179" t="s">
        <v>391</v>
      </c>
      <c r="AH25" s="2174" t="s">
        <v>391</v>
      </c>
      <c r="AI25" s="2179" t="s">
        <v>391</v>
      </c>
      <c r="AJ25" s="2174" t="s">
        <v>391</v>
      </c>
      <c r="AK25" s="2179" t="s">
        <v>391</v>
      </c>
      <c r="AL25" s="2174" t="s">
        <v>391</v>
      </c>
      <c r="AM25" s="2179" t="s">
        <v>391</v>
      </c>
      <c r="AN25" s="2174" t="s">
        <v>391</v>
      </c>
      <c r="AO25" s="2179" t="s">
        <v>391</v>
      </c>
      <c r="AP25" s="2174" t="s">
        <v>391</v>
      </c>
      <c r="AQ25" s="2179" t="s">
        <v>391</v>
      </c>
      <c r="AR25" s="2174" t="s">
        <v>391</v>
      </c>
      <c r="AS25" s="2179" t="s">
        <v>391</v>
      </c>
      <c r="AT25" s="2174" t="s">
        <v>391</v>
      </c>
      <c r="AU25" s="2179" t="s">
        <v>391</v>
      </c>
      <c r="AV25" s="2174" t="s">
        <v>391</v>
      </c>
      <c r="AW25" s="2179" t="s">
        <v>391</v>
      </c>
      <c r="AX25" s="2174" t="s">
        <v>391</v>
      </c>
      <c r="AY25" s="2179" t="s">
        <v>391</v>
      </c>
      <c r="AZ25" s="2174" t="s">
        <v>391</v>
      </c>
      <c r="BA25" s="2179" t="s">
        <v>391</v>
      </c>
      <c r="BB25" s="2174" t="s">
        <v>391</v>
      </c>
      <c r="BC25" s="2179" t="s">
        <v>391</v>
      </c>
      <c r="BD25" s="2174" t="s">
        <v>391</v>
      </c>
      <c r="BE25" s="2179" t="s">
        <v>391</v>
      </c>
      <c r="BF25" s="2174" t="s">
        <v>391</v>
      </c>
      <c r="BG25" s="2179" t="s">
        <v>391</v>
      </c>
      <c r="BH25" s="2174" t="s">
        <v>391</v>
      </c>
      <c r="BI25" s="2179" t="s">
        <v>391</v>
      </c>
      <c r="BJ25" s="2174" t="s">
        <v>391</v>
      </c>
      <c r="BK25" s="2179" t="s">
        <v>391</v>
      </c>
      <c r="BL25" s="2174" t="s">
        <v>391</v>
      </c>
      <c r="BM25" s="2179" t="s">
        <v>391</v>
      </c>
      <c r="BN25" s="2174" t="s">
        <v>391</v>
      </c>
      <c r="BO25" s="2179" t="s">
        <v>391</v>
      </c>
      <c r="BP25" s="2174" t="s">
        <v>391</v>
      </c>
      <c r="BQ25" s="2179" t="s">
        <v>391</v>
      </c>
      <c r="BR25" s="2174" t="s">
        <v>391</v>
      </c>
      <c r="BS25" s="2179" t="s">
        <v>391</v>
      </c>
      <c r="BT25" s="2174" t="s">
        <v>391</v>
      </c>
      <c r="BU25" s="4593" t="s">
        <v>391</v>
      </c>
      <c r="BV25" s="5222" t="s">
        <v>391</v>
      </c>
      <c r="BW25" s="4593" t="s">
        <v>391</v>
      </c>
      <c r="BX25" s="5222" t="s">
        <v>391</v>
      </c>
      <c r="BY25" s="4593" t="s">
        <v>391</v>
      </c>
      <c r="BZ25" s="5222" t="s">
        <v>391</v>
      </c>
      <c r="CA25" s="1048"/>
      <c r="CB25" s="827"/>
      <c r="CM25" s="782"/>
      <c r="CN25" s="863">
        <v>0</v>
      </c>
    </row>
    <row s="10232" customFormat="1" customHeight="1" ht="18.75">
      <c r="A26" s="3229"/>
      <c r="C26" s="1056"/>
      <c r="D26" s="1053" t="s">
        <v>999</v>
      </c>
      <c r="E26" s="660" t="s">
        <v>1000</v>
      </c>
      <c r="F26" s="1050" t="s">
        <v>1001</v>
      </c>
      <c r="G26" s="787"/>
      <c r="H26" s="793"/>
      <c r="I26" s="787"/>
      <c r="J26" s="793"/>
      <c r="K26" s="787"/>
      <c r="L26" s="2180"/>
      <c r="M26" s="787"/>
      <c r="N26" s="2180"/>
      <c r="O26" s="787"/>
      <c r="P26" s="2180"/>
      <c r="Q26" s="787"/>
      <c r="R26" s="2180"/>
      <c r="S26" s="787"/>
      <c r="T26" s="2180"/>
      <c r="U26" s="787"/>
      <c r="V26" s="2180"/>
      <c r="W26" s="787"/>
      <c r="X26" s="2180"/>
      <c r="Y26" s="787"/>
      <c r="Z26" s="2180"/>
      <c r="AA26" s="787"/>
      <c r="AB26" s="2180"/>
      <c r="AC26" s="787"/>
      <c r="AD26" s="2180"/>
      <c r="AE26" s="787"/>
      <c r="AF26" s="2180"/>
      <c r="AG26" s="787"/>
      <c r="AH26" s="2180"/>
      <c r="AI26" s="787"/>
      <c r="AJ26" s="2180"/>
      <c r="AK26" s="787"/>
      <c r="AL26" s="2180"/>
      <c r="AM26" s="787"/>
      <c r="AN26" s="2180"/>
      <c r="AO26" s="787"/>
      <c r="AP26" s="2180"/>
      <c r="AQ26" s="787"/>
      <c r="AR26" s="2180"/>
      <c r="AS26" s="787"/>
      <c r="AT26" s="2180"/>
      <c r="AU26" s="787"/>
      <c r="AV26" s="2180"/>
      <c r="AW26" s="787"/>
      <c r="AX26" s="2180"/>
      <c r="AY26" s="787"/>
      <c r="AZ26" s="2180"/>
      <c r="BA26" s="787"/>
      <c r="BB26" s="2180"/>
      <c r="BC26" s="787"/>
      <c r="BD26" s="2180"/>
      <c r="BE26" s="787"/>
      <c r="BF26" s="2180"/>
      <c r="BG26" s="787"/>
      <c r="BH26" s="2180"/>
      <c r="BI26" s="787"/>
      <c r="BJ26" s="2180"/>
      <c r="BK26" s="787"/>
      <c r="BL26" s="2180"/>
      <c r="BM26" s="787"/>
      <c r="BN26" s="2180"/>
      <c r="BO26" s="787">
        <v>7.67</v>
      </c>
      <c r="BP26" s="2180"/>
      <c r="BQ26" s="787">
        <v>7.67</v>
      </c>
      <c r="BR26" s="2180"/>
      <c r="BS26" s="787"/>
      <c r="BT26" s="2180"/>
      <c r="BU26" s="5216"/>
      <c r="BV26" s="5228"/>
      <c r="BW26" s="5216"/>
      <c r="BX26" s="5228"/>
      <c r="BY26" s="5216"/>
      <c r="BZ26" s="5228"/>
      <c r="CA26" s="1048"/>
      <c r="CB26" s="827"/>
      <c r="CM26" s="782"/>
      <c r="CN26" s="863">
        <v>0</v>
      </c>
    </row>
    <row s="10232" customFormat="1" customHeight="1" ht="18.75">
      <c r="A27" s="3229"/>
      <c r="C27" s="1056"/>
      <c r="D27" s="1053" t="s">
        <v>1002</v>
      </c>
      <c r="E27" s="660" t="s">
        <v>1003</v>
      </c>
      <c r="F27" s="1050" t="s">
        <v>1004</v>
      </c>
      <c r="G27" s="787"/>
      <c r="H27" s="793"/>
      <c r="I27" s="787"/>
      <c r="J27" s="793"/>
      <c r="K27" s="787"/>
      <c r="L27" s="2180"/>
      <c r="M27" s="787"/>
      <c r="N27" s="2180"/>
      <c r="O27" s="787"/>
      <c r="P27" s="2180"/>
      <c r="Q27" s="787"/>
      <c r="R27" s="2180"/>
      <c r="S27" s="787"/>
      <c r="T27" s="2180"/>
      <c r="U27" s="787"/>
      <c r="V27" s="2180"/>
      <c r="W27" s="787">
        <v>44.76</v>
      </c>
      <c r="X27" s="2180"/>
      <c r="Y27" s="787">
        <v>46.33</v>
      </c>
      <c r="Z27" s="2180"/>
      <c r="AA27" s="787">
        <v>59.86</v>
      </c>
      <c r="AB27" s="2180"/>
      <c r="AC27" s="787">
        <v>0</v>
      </c>
      <c r="AD27" s="2180"/>
      <c r="AE27" s="787">
        <v>0</v>
      </c>
      <c r="AF27" s="2180"/>
      <c r="AG27" s="787">
        <v>8.43</v>
      </c>
      <c r="AH27" s="2180"/>
      <c r="AI27" s="787"/>
      <c r="AJ27" s="2180"/>
      <c r="AK27" s="787"/>
      <c r="AL27" s="2180"/>
      <c r="AM27" s="787"/>
      <c r="AN27" s="2180"/>
      <c r="AO27" s="787"/>
      <c r="AP27" s="2180"/>
      <c r="AQ27" s="787"/>
      <c r="AR27" s="2180"/>
      <c r="AS27" s="787"/>
      <c r="AT27" s="2180"/>
      <c r="AU27" s="787"/>
      <c r="AV27" s="2180"/>
      <c r="AW27" s="787"/>
      <c r="AX27" s="2180"/>
      <c r="AY27" s="787"/>
      <c r="AZ27" s="2180"/>
      <c r="BA27" s="787"/>
      <c r="BB27" s="2180"/>
      <c r="BC27" s="787"/>
      <c r="BD27" s="2180"/>
      <c r="BE27" s="787"/>
      <c r="BF27" s="2180"/>
      <c r="BG27" s="787"/>
      <c r="BH27" s="2180"/>
      <c r="BI27" s="787"/>
      <c r="BJ27" s="2180"/>
      <c r="BK27" s="787"/>
      <c r="BL27" s="2180"/>
      <c r="BM27" s="787"/>
      <c r="BN27" s="2180"/>
      <c r="BO27" s="787"/>
      <c r="BP27" s="2180"/>
      <c r="BQ27" s="787"/>
      <c r="BR27" s="2180"/>
      <c r="BS27" s="787"/>
      <c r="BT27" s="2180"/>
      <c r="BU27" s="5216"/>
      <c r="BV27" s="5228"/>
      <c r="BW27" s="5216"/>
      <c r="BX27" s="5228"/>
      <c r="BY27" s="5216"/>
      <c r="BZ27" s="5228"/>
      <c r="CA27" s="1048"/>
      <c r="CB27" s="827"/>
      <c r="CM27" s="782"/>
      <c r="CN27" s="863">
        <v>0</v>
      </c>
    </row>
    <row s="10232" customFormat="1" customHeight="1" ht="18.75">
      <c r="A28" s="3229"/>
      <c r="C28" s="1056"/>
      <c r="D28" s="1053" t="s">
        <v>1005</v>
      </c>
      <c r="E28" s="683" t="s">
        <v>1006</v>
      </c>
      <c r="F28" s="1050" t="s">
        <v>391</v>
      </c>
      <c r="G28" s="1050" t="s">
        <v>391</v>
      </c>
      <c r="H28" s="1049" t="s">
        <v>391</v>
      </c>
      <c r="I28" s="1050" t="s">
        <v>391</v>
      </c>
      <c r="J28" s="1049" t="s">
        <v>391</v>
      </c>
      <c r="K28" s="2179" t="s">
        <v>391</v>
      </c>
      <c r="L28" s="2174" t="s">
        <v>391</v>
      </c>
      <c r="M28" s="2179" t="s">
        <v>391</v>
      </c>
      <c r="N28" s="2174" t="s">
        <v>391</v>
      </c>
      <c r="O28" s="2179" t="s">
        <v>391</v>
      </c>
      <c r="P28" s="2174" t="s">
        <v>391</v>
      </c>
      <c r="Q28" s="2179" t="s">
        <v>391</v>
      </c>
      <c r="R28" s="2174" t="s">
        <v>391</v>
      </c>
      <c r="S28" s="2179" t="s">
        <v>391</v>
      </c>
      <c r="T28" s="2174" t="s">
        <v>391</v>
      </c>
      <c r="U28" s="2179" t="s">
        <v>391</v>
      </c>
      <c r="V28" s="2174" t="s">
        <v>391</v>
      </c>
      <c r="W28" s="2179" t="s">
        <v>391</v>
      </c>
      <c r="X28" s="2174" t="s">
        <v>391</v>
      </c>
      <c r="Y28" s="2179" t="s">
        <v>391</v>
      </c>
      <c r="Z28" s="2174" t="s">
        <v>391</v>
      </c>
      <c r="AA28" s="2179" t="s">
        <v>391</v>
      </c>
      <c r="AB28" s="2174" t="s">
        <v>391</v>
      </c>
      <c r="AC28" s="2179" t="s">
        <v>391</v>
      </c>
      <c r="AD28" s="2174" t="s">
        <v>391</v>
      </c>
      <c r="AE28" s="2179" t="s">
        <v>391</v>
      </c>
      <c r="AF28" s="2174" t="s">
        <v>391</v>
      </c>
      <c r="AG28" s="2179" t="s">
        <v>391</v>
      </c>
      <c r="AH28" s="2174" t="s">
        <v>391</v>
      </c>
      <c r="AI28" s="2179" t="s">
        <v>391</v>
      </c>
      <c r="AJ28" s="2174" t="s">
        <v>391</v>
      </c>
      <c r="AK28" s="2179" t="s">
        <v>391</v>
      </c>
      <c r="AL28" s="2174" t="s">
        <v>391</v>
      </c>
      <c r="AM28" s="2179" t="s">
        <v>391</v>
      </c>
      <c r="AN28" s="2174" t="s">
        <v>391</v>
      </c>
      <c r="AO28" s="2179" t="s">
        <v>391</v>
      </c>
      <c r="AP28" s="2174" t="s">
        <v>391</v>
      </c>
      <c r="AQ28" s="2179" t="s">
        <v>391</v>
      </c>
      <c r="AR28" s="2174" t="s">
        <v>391</v>
      </c>
      <c r="AS28" s="2179" t="s">
        <v>391</v>
      </c>
      <c r="AT28" s="2174" t="s">
        <v>391</v>
      </c>
      <c r="AU28" s="2179" t="s">
        <v>391</v>
      </c>
      <c r="AV28" s="2174" t="s">
        <v>391</v>
      </c>
      <c r="AW28" s="2179" t="s">
        <v>391</v>
      </c>
      <c r="AX28" s="2174" t="s">
        <v>391</v>
      </c>
      <c r="AY28" s="2179" t="s">
        <v>391</v>
      </c>
      <c r="AZ28" s="2174" t="s">
        <v>391</v>
      </c>
      <c r="BA28" s="2179" t="s">
        <v>391</v>
      </c>
      <c r="BB28" s="2174" t="s">
        <v>391</v>
      </c>
      <c r="BC28" s="2179" t="s">
        <v>391</v>
      </c>
      <c r="BD28" s="2174" t="s">
        <v>391</v>
      </c>
      <c r="BE28" s="2179" t="s">
        <v>391</v>
      </c>
      <c r="BF28" s="2174" t="s">
        <v>391</v>
      </c>
      <c r="BG28" s="2179" t="s">
        <v>391</v>
      </c>
      <c r="BH28" s="2174" t="s">
        <v>391</v>
      </c>
      <c r="BI28" s="2179" t="s">
        <v>391</v>
      </c>
      <c r="BJ28" s="2174" t="s">
        <v>391</v>
      </c>
      <c r="BK28" s="2179" t="s">
        <v>391</v>
      </c>
      <c r="BL28" s="2174" t="s">
        <v>391</v>
      </c>
      <c r="BM28" s="2179" t="s">
        <v>391</v>
      </c>
      <c r="BN28" s="2174" t="s">
        <v>391</v>
      </c>
      <c r="BO28" s="2179" t="s">
        <v>391</v>
      </c>
      <c r="BP28" s="2174" t="s">
        <v>391</v>
      </c>
      <c r="BQ28" s="2179" t="s">
        <v>391</v>
      </c>
      <c r="BR28" s="2174" t="s">
        <v>391</v>
      </c>
      <c r="BS28" s="2179" t="s">
        <v>391</v>
      </c>
      <c r="BT28" s="2174" t="s">
        <v>391</v>
      </c>
      <c r="BU28" s="4593" t="s">
        <v>391</v>
      </c>
      <c r="BV28" s="5222" t="s">
        <v>391</v>
      </c>
      <c r="BW28" s="4593" t="s">
        <v>391</v>
      </c>
      <c r="BX28" s="5222" t="s">
        <v>391</v>
      </c>
      <c r="BY28" s="4593" t="s">
        <v>391</v>
      </c>
      <c r="BZ28" s="5222" t="s">
        <v>391</v>
      </c>
      <c r="CA28" s="1048"/>
      <c r="CB28" s="827"/>
      <c r="CM28" s="782"/>
      <c r="CN28" s="863">
        <v>0</v>
      </c>
    </row>
    <row s="10232" customFormat="1" customHeight="1" ht="18.75">
      <c r="A29" s="3229"/>
      <c r="C29" s="1056"/>
      <c r="D29" s="1053" t="s">
        <v>1007</v>
      </c>
      <c r="E29" s="660" t="s">
        <v>1000</v>
      </c>
      <c r="F29" s="1050" t="s">
        <v>1008</v>
      </c>
      <c r="G29" s="787"/>
      <c r="H29" s="793"/>
      <c r="I29" s="787"/>
      <c r="J29" s="793"/>
      <c r="K29" s="787"/>
      <c r="L29" s="2180"/>
      <c r="M29" s="787"/>
      <c r="N29" s="2180"/>
      <c r="O29" s="787"/>
      <c r="P29" s="2180"/>
      <c r="Q29" s="787"/>
      <c r="R29" s="2180"/>
      <c r="S29" s="787"/>
      <c r="T29" s="2180"/>
      <c r="U29" s="787"/>
      <c r="V29" s="2180"/>
      <c r="W29" s="787"/>
      <c r="X29" s="2180"/>
      <c r="Y29" s="787"/>
      <c r="Z29" s="2180"/>
      <c r="AA29" s="787"/>
      <c r="AB29" s="2180"/>
      <c r="AC29" s="787"/>
      <c r="AD29" s="2180"/>
      <c r="AE29" s="787"/>
      <c r="AF29" s="2180"/>
      <c r="AG29" s="787"/>
      <c r="AH29" s="2180"/>
      <c r="AI29" s="787"/>
      <c r="AJ29" s="2180"/>
      <c r="AK29" s="787"/>
      <c r="AL29" s="2180"/>
      <c r="AM29" s="787"/>
      <c r="AN29" s="2180"/>
      <c r="AO29" s="787"/>
      <c r="AP29" s="2180"/>
      <c r="AQ29" s="787"/>
      <c r="AR29" s="2180"/>
      <c r="AS29" s="787"/>
      <c r="AT29" s="2180"/>
      <c r="AU29" s="787"/>
      <c r="AV29" s="2180"/>
      <c r="AW29" s="787"/>
      <c r="AX29" s="2180"/>
      <c r="AY29" s="787"/>
      <c r="AZ29" s="2180"/>
      <c r="BA29" s="787"/>
      <c r="BB29" s="2180"/>
      <c r="BC29" s="787"/>
      <c r="BD29" s="2180"/>
      <c r="BE29" s="787"/>
      <c r="BF29" s="2180"/>
      <c r="BG29" s="787"/>
      <c r="BH29" s="2180"/>
      <c r="BI29" s="787"/>
      <c r="BJ29" s="2180"/>
      <c r="BK29" s="787"/>
      <c r="BL29" s="2180"/>
      <c r="BM29" s="787"/>
      <c r="BN29" s="2180"/>
      <c r="BO29" s="787">
        <v>1782</v>
      </c>
      <c r="BP29" s="2180"/>
      <c r="BQ29" s="787">
        <v>1782</v>
      </c>
      <c r="BR29" s="2180"/>
      <c r="BS29" s="787"/>
      <c r="BT29" s="2180"/>
      <c r="BU29" s="5216"/>
      <c r="BV29" s="5228"/>
      <c r="BW29" s="5216"/>
      <c r="BX29" s="5228"/>
      <c r="BY29" s="5216"/>
      <c r="BZ29" s="5228"/>
      <c r="CA29" s="1048"/>
      <c r="CB29" s="827"/>
      <c r="CM29" s="782"/>
      <c r="CN29" s="863">
        <v>0</v>
      </c>
    </row>
    <row s="10232" customFormat="1" customHeight="1" ht="18.75">
      <c r="A30" s="3229"/>
      <c r="C30" s="1056"/>
      <c r="D30" s="1053" t="s">
        <v>1009</v>
      </c>
      <c r="E30" s="660" t="s">
        <v>1010</v>
      </c>
      <c r="F30" s="1050" t="s">
        <v>1011</v>
      </c>
      <c r="G30" s="787"/>
      <c r="H30" s="793"/>
      <c r="I30" s="787"/>
      <c r="J30" s="793"/>
      <c r="K30" s="787"/>
      <c r="L30" s="2180"/>
      <c r="M30" s="787"/>
      <c r="N30" s="2180"/>
      <c r="O30" s="787"/>
      <c r="P30" s="2180"/>
      <c r="Q30" s="787"/>
      <c r="R30" s="2180"/>
      <c r="S30" s="787"/>
      <c r="T30" s="2180"/>
      <c r="U30" s="787"/>
      <c r="V30" s="2180"/>
      <c r="W30" s="787">
        <v>6474.92</v>
      </c>
      <c r="X30" s="2180"/>
      <c r="Y30" s="787">
        <v>3503.66</v>
      </c>
      <c r="Z30" s="2180"/>
      <c r="AA30" s="787">
        <v>708.87</v>
      </c>
      <c r="AB30" s="2180"/>
      <c r="AC30" s="787">
        <v>0</v>
      </c>
      <c r="AD30" s="2180"/>
      <c r="AE30" s="787">
        <v>0</v>
      </c>
      <c r="AF30" s="2180"/>
      <c r="AG30" s="787">
        <v>2.82</v>
      </c>
      <c r="AH30" s="2180"/>
      <c r="AI30" s="787"/>
      <c r="AJ30" s="2180"/>
      <c r="AK30" s="787"/>
      <c r="AL30" s="2180"/>
      <c r="AM30" s="787"/>
      <c r="AN30" s="2180"/>
      <c r="AO30" s="787"/>
      <c r="AP30" s="2180"/>
      <c r="AQ30" s="787"/>
      <c r="AR30" s="2180"/>
      <c r="AS30" s="787"/>
      <c r="AT30" s="2180"/>
      <c r="AU30" s="787"/>
      <c r="AV30" s="2180"/>
      <c r="AW30" s="787"/>
      <c r="AX30" s="2180"/>
      <c r="AY30" s="787"/>
      <c r="AZ30" s="2180"/>
      <c r="BA30" s="787"/>
      <c r="BB30" s="2180"/>
      <c r="BC30" s="787"/>
      <c r="BD30" s="2180"/>
      <c r="BE30" s="787"/>
      <c r="BF30" s="2180"/>
      <c r="BG30" s="787"/>
      <c r="BH30" s="2180"/>
      <c r="BI30" s="787"/>
      <c r="BJ30" s="2180"/>
      <c r="BK30" s="787"/>
      <c r="BL30" s="2180"/>
      <c r="BM30" s="787"/>
      <c r="BN30" s="2180"/>
      <c r="BO30" s="787"/>
      <c r="BP30" s="2180"/>
      <c r="BQ30" s="787"/>
      <c r="BR30" s="2180"/>
      <c r="BS30" s="787"/>
      <c r="BT30" s="2180"/>
      <c r="BU30" s="5216"/>
      <c r="BV30" s="5228"/>
      <c r="BW30" s="5216"/>
      <c r="BX30" s="5228"/>
      <c r="BY30" s="5216"/>
      <c r="BZ30" s="5228"/>
      <c r="CA30" s="1048"/>
      <c r="CB30" s="827"/>
      <c r="CM30" s="782"/>
      <c r="CN30" s="863">
        <v>0</v>
      </c>
    </row>
    <row customHeight="1" ht="126.75">
      <c r="A31" s="3229"/>
      <c r="D31" s="1053" t="s">
        <v>121</v>
      </c>
      <c r="E31" s="387" t="s">
        <v>1012</v>
      </c>
      <c r="F31" s="767" t="s">
        <v>643</v>
      </c>
      <c r="G31" s="664"/>
      <c r="H31" s="769"/>
      <c r="I31" s="664">
        <v>100</v>
      </c>
      <c r="J31" s="769"/>
      <c r="K31" s="664">
        <v>100</v>
      </c>
      <c r="L31" s="769"/>
      <c r="M31" s="664">
        <v>100</v>
      </c>
      <c r="N31" s="769"/>
      <c r="O31" s="664">
        <v>100</v>
      </c>
      <c r="P31" s="769"/>
      <c r="Q31" s="664">
        <v>100</v>
      </c>
      <c r="R31" s="769"/>
      <c r="S31" s="664">
        <v>100</v>
      </c>
      <c r="T31" s="769"/>
      <c r="U31" s="664">
        <v>100</v>
      </c>
      <c r="V31" s="769"/>
      <c r="W31" s="664">
        <v>100</v>
      </c>
      <c r="X31" s="769"/>
      <c r="Y31" s="664">
        <v>100</v>
      </c>
      <c r="Z31" s="769"/>
      <c r="AA31" s="664">
        <v>100</v>
      </c>
      <c r="AB31" s="769"/>
      <c r="AC31" s="664">
        <v>100</v>
      </c>
      <c r="AD31" s="769"/>
      <c r="AE31" s="664">
        <v>100</v>
      </c>
      <c r="AF31" s="769"/>
      <c r="AG31" s="664">
        <v>100</v>
      </c>
      <c r="AH31" s="769"/>
      <c r="AI31" s="664">
        <v>100</v>
      </c>
      <c r="AJ31" s="769"/>
      <c r="AK31" s="664">
        <v>100</v>
      </c>
      <c r="AL31" s="769"/>
      <c r="AM31" s="664">
        <v>100</v>
      </c>
      <c r="AN31" s="769"/>
      <c r="AO31" s="664">
        <v>100</v>
      </c>
      <c r="AP31" s="769"/>
      <c r="AQ31" s="664">
        <v>100</v>
      </c>
      <c r="AR31" s="769"/>
      <c r="AS31" s="664">
        <v>100</v>
      </c>
      <c r="AT31" s="769"/>
      <c r="AU31" s="664">
        <v>100</v>
      </c>
      <c r="AV31" s="769"/>
      <c r="AW31" s="664">
        <v>100</v>
      </c>
      <c r="AX31" s="769"/>
      <c r="AY31" s="664">
        <v>100</v>
      </c>
      <c r="AZ31" s="769"/>
      <c r="BA31" s="664">
        <v>100</v>
      </c>
      <c r="BB31" s="769"/>
      <c r="BC31" s="664">
        <v>100</v>
      </c>
      <c r="BD31" s="769"/>
      <c r="BE31" s="664">
        <v>100</v>
      </c>
      <c r="BF31" s="769"/>
      <c r="BG31" s="664">
        <v>100</v>
      </c>
      <c r="BH31" s="769"/>
      <c r="BI31" s="664">
        <v>100</v>
      </c>
      <c r="BJ31" s="769"/>
      <c r="BK31" s="664">
        <v>100</v>
      </c>
      <c r="BL31" s="769"/>
      <c r="BM31" s="664">
        <v>100</v>
      </c>
      <c r="BN31" s="769"/>
      <c r="BO31" s="664">
        <v>100</v>
      </c>
      <c r="BP31" s="769"/>
      <c r="BQ31" s="664">
        <v>100</v>
      </c>
      <c r="BR31" s="769"/>
      <c r="BS31" s="664">
        <v>100</v>
      </c>
      <c r="BT31" s="769"/>
      <c r="BU31" s="4643">
        <v>100</v>
      </c>
      <c r="BV31" s="5000"/>
      <c r="BW31" s="4643">
        <v>100</v>
      </c>
      <c r="BX31" s="5000"/>
      <c r="BY31" s="4643">
        <v>100</v>
      </c>
      <c r="BZ31" s="5000"/>
      <c r="CA31" s="397" t="s">
        <v>1013</v>
      </c>
      <c r="CB31" s="827"/>
      <c r="CN31" s="612">
        <v>0</v>
      </c>
    </row>
    <row customHeight="1" ht="56.25">
      <c r="A32" s="3229"/>
      <c r="D32" s="1053" t="s">
        <v>92</v>
      </c>
      <c r="E32" s="387" t="s">
        <v>1014</v>
      </c>
      <c r="F32" s="646" t="s">
        <v>978</v>
      </c>
      <c r="G32" s="664"/>
      <c r="H32" s="769"/>
      <c r="I32" s="664">
        <v>3</v>
      </c>
      <c r="J32" s="769"/>
      <c r="K32" s="664">
        <v>3</v>
      </c>
      <c r="L32" s="769"/>
      <c r="M32" s="664">
        <v>3</v>
      </c>
      <c r="N32" s="769"/>
      <c r="O32" s="664">
        <v>3</v>
      </c>
      <c r="P32" s="769"/>
      <c r="Q32" s="664">
        <v>3</v>
      </c>
      <c r="R32" s="769"/>
      <c r="S32" s="664">
        <v>3</v>
      </c>
      <c r="T32" s="769"/>
      <c r="U32" s="664">
        <v>3</v>
      </c>
      <c r="V32" s="769"/>
      <c r="W32" s="664">
        <v>3</v>
      </c>
      <c r="X32" s="769"/>
      <c r="Y32" s="664">
        <v>3</v>
      </c>
      <c r="Z32" s="769"/>
      <c r="AA32" s="664">
        <v>3</v>
      </c>
      <c r="AB32" s="769"/>
      <c r="AC32" s="664">
        <v>3</v>
      </c>
      <c r="AD32" s="769"/>
      <c r="AE32" s="664">
        <v>3</v>
      </c>
      <c r="AF32" s="769"/>
      <c r="AG32" s="664">
        <v>3</v>
      </c>
      <c r="AH32" s="769"/>
      <c r="AI32" s="664">
        <v>3</v>
      </c>
      <c r="AJ32" s="769"/>
      <c r="AK32" s="664">
        <v>3</v>
      </c>
      <c r="AL32" s="769"/>
      <c r="AM32" s="664">
        <v>3</v>
      </c>
      <c r="AN32" s="769"/>
      <c r="AO32" s="664">
        <v>3</v>
      </c>
      <c r="AP32" s="769"/>
      <c r="AQ32" s="664">
        <v>3</v>
      </c>
      <c r="AR32" s="769"/>
      <c r="AS32" s="664">
        <v>3</v>
      </c>
      <c r="AT32" s="769"/>
      <c r="AU32" s="664">
        <v>3</v>
      </c>
      <c r="AV32" s="769"/>
      <c r="AW32" s="664">
        <v>3</v>
      </c>
      <c r="AX32" s="769"/>
      <c r="AY32" s="664">
        <v>3</v>
      </c>
      <c r="AZ32" s="769"/>
      <c r="BA32" s="664">
        <v>3</v>
      </c>
      <c r="BB32" s="769"/>
      <c r="BC32" s="664">
        <v>3</v>
      </c>
      <c r="BD32" s="769"/>
      <c r="BE32" s="664">
        <v>3</v>
      </c>
      <c r="BF32" s="769"/>
      <c r="BG32" s="664">
        <v>3</v>
      </c>
      <c r="BH32" s="769"/>
      <c r="BI32" s="664">
        <v>3</v>
      </c>
      <c r="BJ32" s="769"/>
      <c r="BK32" s="664">
        <v>3</v>
      </c>
      <c r="BL32" s="769"/>
      <c r="BM32" s="664">
        <v>3</v>
      </c>
      <c r="BN32" s="769"/>
      <c r="BO32" s="664">
        <v>3</v>
      </c>
      <c r="BP32" s="769"/>
      <c r="BQ32" s="664">
        <v>3</v>
      </c>
      <c r="BR32" s="769"/>
      <c r="BS32" s="664">
        <v>3</v>
      </c>
      <c r="BT32" s="769"/>
      <c r="BU32" s="4643">
        <v>3</v>
      </c>
      <c r="BV32" s="5000"/>
      <c r="BW32" s="4643">
        <v>3</v>
      </c>
      <c r="BX32" s="5000"/>
      <c r="BY32" s="4643">
        <v>3</v>
      </c>
      <c r="BZ32" s="5000"/>
      <c r="CA32" s="397" t="s">
        <v>1015</v>
      </c>
      <c r="CB32" s="827"/>
      <c r="CN32" s="612">
        <v>0</v>
      </c>
    </row>
    <row customHeight="1" ht="11.25">
      <c r="A33" s="3229"/>
      <c r="E33" s="771"/>
      <c r="F33" s="289"/>
      <c r="G33" s="289"/>
      <c r="H33" s="289"/>
      <c r="I33" s="289"/>
      <c r="J33" s="289"/>
      <c r="K33" s="1164"/>
      <c r="L33" s="1164"/>
      <c r="M33" s="1164"/>
      <c r="N33" s="1164"/>
      <c r="O33" s="1164"/>
      <c r="P33" s="1164"/>
      <c r="Q33" s="1164"/>
      <c r="R33" s="1164"/>
      <c r="S33" s="1164"/>
      <c r="T33" s="1164"/>
      <c r="U33" s="1164"/>
      <c r="V33" s="1164"/>
      <c r="W33" s="1164"/>
      <c r="X33" s="1164"/>
      <c r="Y33" s="1164"/>
      <c r="Z33" s="1164"/>
      <c r="AA33" s="1164"/>
      <c r="AB33" s="1164"/>
      <c r="AC33" s="1164"/>
      <c r="AD33" s="1164"/>
      <c r="AE33" s="1164"/>
      <c r="AF33" s="1164"/>
      <c r="AG33" s="1164"/>
      <c r="AH33" s="1164"/>
      <c r="AI33" s="1164"/>
      <c r="AJ33" s="1164"/>
      <c r="AK33" s="1164"/>
      <c r="AL33" s="1164"/>
      <c r="AM33" s="1164"/>
      <c r="AN33" s="1164"/>
      <c r="AO33" s="1164"/>
      <c r="AP33" s="1164"/>
      <c r="AQ33" s="1164"/>
      <c r="AR33" s="1164"/>
      <c r="AS33" s="1164"/>
      <c r="AT33" s="1164"/>
      <c r="AU33" s="1164"/>
      <c r="AV33" s="1164"/>
      <c r="AW33" s="1164"/>
      <c r="AX33" s="1164"/>
      <c r="AY33" s="1164"/>
      <c r="AZ33" s="1164"/>
      <c r="BA33" s="1164"/>
      <c r="BB33" s="1164"/>
      <c r="BC33" s="1164"/>
      <c r="BD33" s="1164"/>
      <c r="BE33" s="1164"/>
      <c r="BF33" s="1164"/>
      <c r="BG33" s="1164"/>
      <c r="BH33" s="1164"/>
      <c r="BI33" s="1164"/>
      <c r="BJ33" s="1164"/>
      <c r="BK33" s="1164"/>
      <c r="BL33" s="1164"/>
      <c r="BM33" s="1164"/>
      <c r="BN33" s="1164"/>
      <c r="BO33" s="1164"/>
      <c r="BP33" s="1164"/>
      <c r="BQ33" s="1164"/>
      <c r="BR33" s="1164"/>
      <c r="BS33" s="1164"/>
      <c r="BT33" s="1164"/>
      <c r="BU33" s="5229"/>
      <c r="BV33" s="5229"/>
      <c r="BW33" s="5229"/>
      <c r="BX33" s="5229"/>
      <c r="BY33" s="5229"/>
      <c r="BZ33" s="5229"/>
      <c r="CA33" s="289"/>
      <c r="CN33" s="612">
        <v>0</v>
      </c>
    </row>
    <row customHeight="1" ht="12.75">
      <c r="A34" s="3229"/>
      <c r="D34" s="176">
        <v>1</v>
      </c>
      <c r="E34" s="443" t="s">
        <v>1016</v>
      </c>
      <c r="BU34" s="4586"/>
      <c r="BV34" s="4586"/>
      <c r="BW34" s="4586"/>
      <c r="BX34" s="4586"/>
      <c r="BY34" s="4586"/>
      <c r="BZ34" s="4586"/>
      <c r="CN34" s="612">
        <v>0</v>
      </c>
    </row>
    <row customHeight="1" ht="11.25">
      <c r="A35" s="3229"/>
      <c r="D35" s="476"/>
      <c r="E35" s="443" t="s">
        <v>1017</v>
      </c>
      <c r="BU35" s="4586"/>
      <c r="BV35" s="4586"/>
      <c r="BW35" s="4586"/>
      <c r="BX35" s="4586"/>
      <c r="BY35" s="4586"/>
      <c r="BZ35" s="4586"/>
      <c r="CN35" s="612">
        <v>0</v>
      </c>
    </row>
    <row s="10232" customFormat="1" customHeight="1" ht="11.549999999999999">
      <c r="A36" s="1133"/>
      <c r="B36" s="625"/>
      <c r="D36" s="1134"/>
      <c r="E36" s="1135"/>
      <c r="BU36" s="4586"/>
      <c r="BV36" s="4586"/>
      <c r="BW36" s="4586"/>
      <c r="BX36" s="4586"/>
      <c r="BY36" s="4586"/>
      <c r="BZ36" s="4586"/>
      <c r="CN36" s="616">
        <v>11</v>
      </c>
    </row>
    <row s="10232" customFormat="1" customHeight="1" ht="22.5" hidden="1">
      <c r="A37" s="3229" t="s">
        <v>1018</v>
      </c>
      <c r="B37" s="618"/>
      <c r="D37" s="1053">
        <v>1</v>
      </c>
      <c r="E37" s="814" t="s">
        <v>1019</v>
      </c>
      <c r="F37" s="767" t="s">
        <v>968</v>
      </c>
      <c r="G37" s="664"/>
      <c r="H37" s="626"/>
      <c r="I37" s="664"/>
      <c r="J37" s="626"/>
      <c r="K37" s="664"/>
      <c r="L37" s="626"/>
      <c r="M37" s="664"/>
      <c r="N37" s="626"/>
      <c r="O37" s="664"/>
      <c r="P37" s="626"/>
      <c r="Q37" s="664"/>
      <c r="R37" s="626"/>
      <c r="S37" s="664"/>
      <c r="T37" s="626"/>
      <c r="U37" s="664"/>
      <c r="V37" s="626"/>
      <c r="W37" s="664"/>
      <c r="X37" s="626"/>
      <c r="Y37" s="664"/>
      <c r="Z37" s="626"/>
      <c r="AA37" s="664"/>
      <c r="AB37" s="626"/>
      <c r="AC37" s="664"/>
      <c r="AD37" s="626"/>
      <c r="AE37" s="664"/>
      <c r="AF37" s="626"/>
      <c r="AG37" s="664"/>
      <c r="AH37" s="626"/>
      <c r="AI37" s="664"/>
      <c r="AJ37" s="626"/>
      <c r="AK37" s="664"/>
      <c r="AL37" s="626"/>
      <c r="AM37" s="664"/>
      <c r="AN37" s="626"/>
      <c r="AO37" s="664"/>
      <c r="AP37" s="626"/>
      <c r="AQ37" s="664"/>
      <c r="AR37" s="626"/>
      <c r="AS37" s="664"/>
      <c r="AT37" s="626"/>
      <c r="AU37" s="664"/>
      <c r="AV37" s="626"/>
      <c r="AW37" s="664"/>
      <c r="AX37" s="626"/>
      <c r="AY37" s="664"/>
      <c r="AZ37" s="626"/>
      <c r="BA37" s="664"/>
      <c r="BB37" s="626"/>
      <c r="BC37" s="664"/>
      <c r="BD37" s="626"/>
      <c r="BE37" s="664"/>
      <c r="BF37" s="626"/>
      <c r="BG37" s="664"/>
      <c r="BH37" s="626"/>
      <c r="BI37" s="664"/>
      <c r="BJ37" s="626"/>
      <c r="BK37" s="664"/>
      <c r="BL37" s="626"/>
      <c r="BM37" s="664"/>
      <c r="BN37" s="626"/>
      <c r="BO37" s="664"/>
      <c r="BP37" s="626"/>
      <c r="BQ37" s="664"/>
      <c r="BR37" s="626"/>
      <c r="BS37" s="664"/>
      <c r="BT37" s="626"/>
      <c r="BU37" s="4643"/>
      <c r="BV37" s="5235"/>
      <c r="BW37" s="4643"/>
      <c r="BX37" s="5235"/>
      <c r="BY37" s="4643"/>
      <c r="BZ37" s="5235"/>
      <c r="CA37" s="397" t="s">
        <v>1020</v>
      </c>
      <c r="CN37" s="863">
        <v>0</v>
      </c>
    </row>
    <row s="10232" customFormat="1" customHeight="1" ht="22.5" hidden="1">
      <c r="A38" s="3229"/>
      <c r="B38" s="618"/>
      <c r="D38" s="776" t="s">
        <v>102</v>
      </c>
      <c r="E38" s="1132" t="s">
        <v>1021</v>
      </c>
      <c r="F38" s="1136" t="s">
        <v>631</v>
      </c>
      <c r="G38" s="1136" t="s">
        <v>631</v>
      </c>
      <c r="H38" s="1130"/>
      <c r="I38" s="1136" t="s">
        <v>631</v>
      </c>
      <c r="J38" s="1130"/>
      <c r="K38" s="1136" t="s">
        <v>631</v>
      </c>
      <c r="L38" s="1130"/>
      <c r="M38" s="1136" t="s">
        <v>631</v>
      </c>
      <c r="N38" s="1130"/>
      <c r="O38" s="1136" t="s">
        <v>631</v>
      </c>
      <c r="P38" s="1130"/>
      <c r="Q38" s="1136" t="s">
        <v>631</v>
      </c>
      <c r="R38" s="1130"/>
      <c r="S38" s="1136" t="s">
        <v>631</v>
      </c>
      <c r="T38" s="1130"/>
      <c r="U38" s="1136" t="s">
        <v>631</v>
      </c>
      <c r="V38" s="1130"/>
      <c r="W38" s="1136" t="s">
        <v>631</v>
      </c>
      <c r="X38" s="1130"/>
      <c r="Y38" s="1136" t="s">
        <v>631</v>
      </c>
      <c r="Z38" s="1130"/>
      <c r="AA38" s="1136" t="s">
        <v>631</v>
      </c>
      <c r="AB38" s="1130"/>
      <c r="AC38" s="1136" t="s">
        <v>631</v>
      </c>
      <c r="AD38" s="1130"/>
      <c r="AE38" s="1136" t="s">
        <v>631</v>
      </c>
      <c r="AF38" s="1130"/>
      <c r="AG38" s="1136" t="s">
        <v>631</v>
      </c>
      <c r="AH38" s="1130"/>
      <c r="AI38" s="1136" t="s">
        <v>631</v>
      </c>
      <c r="AJ38" s="1130"/>
      <c r="AK38" s="1136" t="s">
        <v>631</v>
      </c>
      <c r="AL38" s="1130"/>
      <c r="AM38" s="1136" t="s">
        <v>631</v>
      </c>
      <c r="AN38" s="1130"/>
      <c r="AO38" s="1136" t="s">
        <v>631</v>
      </c>
      <c r="AP38" s="1130"/>
      <c r="AQ38" s="1136" t="s">
        <v>631</v>
      </c>
      <c r="AR38" s="1130"/>
      <c r="AS38" s="1136" t="s">
        <v>631</v>
      </c>
      <c r="AT38" s="1130"/>
      <c r="AU38" s="1136" t="s">
        <v>631</v>
      </c>
      <c r="AV38" s="1130"/>
      <c r="AW38" s="1136" t="s">
        <v>631</v>
      </c>
      <c r="AX38" s="1130"/>
      <c r="AY38" s="1136" t="s">
        <v>631</v>
      </c>
      <c r="AZ38" s="1130"/>
      <c r="BA38" s="1136" t="s">
        <v>631</v>
      </c>
      <c r="BB38" s="1130"/>
      <c r="BC38" s="1136" t="s">
        <v>631</v>
      </c>
      <c r="BD38" s="1130"/>
      <c r="BE38" s="1136" t="s">
        <v>631</v>
      </c>
      <c r="BF38" s="1130"/>
      <c r="BG38" s="1136" t="s">
        <v>631</v>
      </c>
      <c r="BH38" s="1130"/>
      <c r="BI38" s="1136" t="s">
        <v>631</v>
      </c>
      <c r="BJ38" s="1130"/>
      <c r="BK38" s="1136" t="s">
        <v>631</v>
      </c>
      <c r="BL38" s="1130"/>
      <c r="BM38" s="1136" t="s">
        <v>631</v>
      </c>
      <c r="BN38" s="1130"/>
      <c r="BO38" s="1136" t="s">
        <v>631</v>
      </c>
      <c r="BP38" s="1130"/>
      <c r="BQ38" s="1136" t="s">
        <v>631</v>
      </c>
      <c r="BR38" s="1130"/>
      <c r="BS38" s="1136" t="s">
        <v>631</v>
      </c>
      <c r="BT38" s="1130"/>
      <c r="BU38" s="5240" t="s">
        <v>631</v>
      </c>
      <c r="BV38" s="5241"/>
      <c r="BW38" s="5240" t="s">
        <v>631</v>
      </c>
      <c r="BX38" s="5241"/>
      <c r="BY38" s="5240" t="s">
        <v>631</v>
      </c>
      <c r="BZ38" s="5241"/>
      <c r="CA38" s="1131"/>
      <c r="CN38" s="863">
        <v>0</v>
      </c>
    </row>
    <row s="10232" customFormat="1" customHeight="1" ht="33.75" hidden="1">
      <c r="A39" s="3229"/>
      <c r="B39" s="618"/>
      <c r="D39" s="772" t="s">
        <v>851</v>
      </c>
      <c r="E39" s="830" t="s">
        <v>1022</v>
      </c>
      <c r="F39" s="767" t="s">
        <v>1023</v>
      </c>
      <c r="G39" s="775"/>
      <c r="H39" s="1123"/>
      <c r="I39" s="775"/>
      <c r="J39" s="1123"/>
      <c r="K39" s="1265"/>
      <c r="L39" s="1123"/>
      <c r="M39" s="1265"/>
      <c r="N39" s="1123"/>
      <c r="O39" s="1265"/>
      <c r="P39" s="1123"/>
      <c r="Q39" s="1265"/>
      <c r="R39" s="1123"/>
      <c r="S39" s="1265"/>
      <c r="T39" s="1123"/>
      <c r="U39" s="1265"/>
      <c r="V39" s="1123"/>
      <c r="W39" s="1265"/>
      <c r="X39" s="1123"/>
      <c r="Y39" s="1265"/>
      <c r="Z39" s="1123"/>
      <c r="AA39" s="1265"/>
      <c r="AB39" s="1123"/>
      <c r="AC39" s="1265"/>
      <c r="AD39" s="1123"/>
      <c r="AE39" s="1265"/>
      <c r="AF39" s="1123"/>
      <c r="AG39" s="1265"/>
      <c r="AH39" s="1123"/>
      <c r="AI39" s="1265"/>
      <c r="AJ39" s="1123"/>
      <c r="AK39" s="1265"/>
      <c r="AL39" s="1123"/>
      <c r="AM39" s="1265"/>
      <c r="AN39" s="1123"/>
      <c r="AO39" s="1265"/>
      <c r="AP39" s="1123"/>
      <c r="AQ39" s="1265"/>
      <c r="AR39" s="1123"/>
      <c r="AS39" s="1265"/>
      <c r="AT39" s="1123"/>
      <c r="AU39" s="1265"/>
      <c r="AV39" s="1123"/>
      <c r="AW39" s="1265"/>
      <c r="AX39" s="1123"/>
      <c r="AY39" s="1265"/>
      <c r="AZ39" s="1123"/>
      <c r="BA39" s="1265"/>
      <c r="BB39" s="1123"/>
      <c r="BC39" s="1265"/>
      <c r="BD39" s="1123"/>
      <c r="BE39" s="1265"/>
      <c r="BF39" s="1123"/>
      <c r="BG39" s="1265"/>
      <c r="BH39" s="1123"/>
      <c r="BI39" s="1265"/>
      <c r="BJ39" s="1123"/>
      <c r="BK39" s="1265"/>
      <c r="BL39" s="1123"/>
      <c r="BM39" s="1265"/>
      <c r="BN39" s="1123"/>
      <c r="BO39" s="1265"/>
      <c r="BP39" s="1123"/>
      <c r="BQ39" s="1265"/>
      <c r="BR39" s="1123"/>
      <c r="BS39" s="1265"/>
      <c r="BT39" s="1123"/>
      <c r="BU39" s="5247"/>
      <c r="BV39" s="5248"/>
      <c r="BW39" s="5247"/>
      <c r="BX39" s="5248"/>
      <c r="BY39" s="5247"/>
      <c r="BZ39" s="5248"/>
      <c r="CA39" s="397" t="s">
        <v>1024</v>
      </c>
      <c r="CN39" s="863">
        <v>0</v>
      </c>
    </row>
    <row s="10232" customFormat="1" customHeight="1" ht="33.75" hidden="1">
      <c r="A40" s="3229"/>
      <c r="B40" s="618"/>
      <c r="D40" s="772" t="s">
        <v>854</v>
      </c>
      <c r="E40" s="830" t="s">
        <v>1025</v>
      </c>
      <c r="F40" s="1127" t="s">
        <v>1026</v>
      </c>
      <c r="G40" s="848"/>
      <c r="H40" s="1123"/>
      <c r="I40" s="848"/>
      <c r="J40" s="1123"/>
      <c r="K40" s="848"/>
      <c r="L40" s="1123"/>
      <c r="M40" s="848"/>
      <c r="N40" s="1123"/>
      <c r="O40" s="848"/>
      <c r="P40" s="1123"/>
      <c r="Q40" s="848"/>
      <c r="R40" s="1123"/>
      <c r="S40" s="848"/>
      <c r="T40" s="1123"/>
      <c r="U40" s="848"/>
      <c r="V40" s="1123"/>
      <c r="W40" s="848"/>
      <c r="X40" s="1123"/>
      <c r="Y40" s="848"/>
      <c r="Z40" s="1123"/>
      <c r="AA40" s="848"/>
      <c r="AB40" s="1123"/>
      <c r="AC40" s="848"/>
      <c r="AD40" s="1123"/>
      <c r="AE40" s="848"/>
      <c r="AF40" s="1123"/>
      <c r="AG40" s="848"/>
      <c r="AH40" s="1123"/>
      <c r="AI40" s="848"/>
      <c r="AJ40" s="1123"/>
      <c r="AK40" s="848"/>
      <c r="AL40" s="1123"/>
      <c r="AM40" s="848"/>
      <c r="AN40" s="1123"/>
      <c r="AO40" s="848"/>
      <c r="AP40" s="1123"/>
      <c r="AQ40" s="848"/>
      <c r="AR40" s="1123"/>
      <c r="AS40" s="848"/>
      <c r="AT40" s="1123"/>
      <c r="AU40" s="848"/>
      <c r="AV40" s="1123"/>
      <c r="AW40" s="848"/>
      <c r="AX40" s="1123"/>
      <c r="AY40" s="848"/>
      <c r="AZ40" s="1123"/>
      <c r="BA40" s="848"/>
      <c r="BB40" s="1123"/>
      <c r="BC40" s="848"/>
      <c r="BD40" s="1123"/>
      <c r="BE40" s="848"/>
      <c r="BF40" s="1123"/>
      <c r="BG40" s="848"/>
      <c r="BH40" s="1123"/>
      <c r="BI40" s="848"/>
      <c r="BJ40" s="1123"/>
      <c r="BK40" s="848"/>
      <c r="BL40" s="1123"/>
      <c r="BM40" s="848"/>
      <c r="BN40" s="1123"/>
      <c r="BO40" s="848"/>
      <c r="BP40" s="1123"/>
      <c r="BQ40" s="848"/>
      <c r="BR40" s="1123"/>
      <c r="BS40" s="848"/>
      <c r="BT40" s="1123"/>
      <c r="BU40" s="5251"/>
      <c r="BV40" s="5248"/>
      <c r="BW40" s="5251"/>
      <c r="BX40" s="5248"/>
      <c r="BY40" s="5251"/>
      <c r="BZ40" s="5248"/>
      <c r="CA40" s="397" t="s">
        <v>1027</v>
      </c>
      <c r="CN40" s="863">
        <v>0</v>
      </c>
    </row>
    <row s="10232" customFormat="1" customHeight="1" ht="22.5" hidden="1">
      <c r="A41" s="3229"/>
      <c r="B41" s="618"/>
      <c r="D41" s="772" t="s">
        <v>90</v>
      </c>
      <c r="E41" s="829" t="s">
        <v>1028</v>
      </c>
      <c r="F41" s="767" t="s">
        <v>631</v>
      </c>
      <c r="G41" s="767" t="s">
        <v>631</v>
      </c>
      <c r="H41" s="1124"/>
      <c r="I41" s="767" t="s">
        <v>631</v>
      </c>
      <c r="J41" s="1124"/>
      <c r="K41" s="2168" t="s">
        <v>631</v>
      </c>
      <c r="L41" s="1124"/>
      <c r="M41" s="2168" t="s">
        <v>631</v>
      </c>
      <c r="N41" s="1124"/>
      <c r="O41" s="2168" t="s">
        <v>631</v>
      </c>
      <c r="P41" s="1124"/>
      <c r="Q41" s="2168" t="s">
        <v>631</v>
      </c>
      <c r="R41" s="1124"/>
      <c r="S41" s="2168" t="s">
        <v>631</v>
      </c>
      <c r="T41" s="1124"/>
      <c r="U41" s="2168" t="s">
        <v>631</v>
      </c>
      <c r="V41" s="1124"/>
      <c r="W41" s="2168" t="s">
        <v>631</v>
      </c>
      <c r="X41" s="1124"/>
      <c r="Y41" s="2168" t="s">
        <v>631</v>
      </c>
      <c r="Z41" s="1124"/>
      <c r="AA41" s="2168" t="s">
        <v>631</v>
      </c>
      <c r="AB41" s="1124"/>
      <c r="AC41" s="2168" t="s">
        <v>631</v>
      </c>
      <c r="AD41" s="1124"/>
      <c r="AE41" s="2168" t="s">
        <v>631</v>
      </c>
      <c r="AF41" s="1124"/>
      <c r="AG41" s="2168" t="s">
        <v>631</v>
      </c>
      <c r="AH41" s="1124"/>
      <c r="AI41" s="2168" t="s">
        <v>631</v>
      </c>
      <c r="AJ41" s="1124"/>
      <c r="AK41" s="2168" t="s">
        <v>631</v>
      </c>
      <c r="AL41" s="1124"/>
      <c r="AM41" s="2168" t="s">
        <v>631</v>
      </c>
      <c r="AN41" s="1124"/>
      <c r="AO41" s="2168" t="s">
        <v>631</v>
      </c>
      <c r="AP41" s="1124"/>
      <c r="AQ41" s="2168" t="s">
        <v>631</v>
      </c>
      <c r="AR41" s="1124"/>
      <c r="AS41" s="2168" t="s">
        <v>631</v>
      </c>
      <c r="AT41" s="1124"/>
      <c r="AU41" s="2168" t="s">
        <v>631</v>
      </c>
      <c r="AV41" s="1124"/>
      <c r="AW41" s="2168" t="s">
        <v>631</v>
      </c>
      <c r="AX41" s="1124"/>
      <c r="AY41" s="2168" t="s">
        <v>631</v>
      </c>
      <c r="AZ41" s="1124"/>
      <c r="BA41" s="2168" t="s">
        <v>631</v>
      </c>
      <c r="BB41" s="1124"/>
      <c r="BC41" s="2168" t="s">
        <v>631</v>
      </c>
      <c r="BD41" s="1124"/>
      <c r="BE41" s="2168" t="s">
        <v>631</v>
      </c>
      <c r="BF41" s="1124"/>
      <c r="BG41" s="2168" t="s">
        <v>631</v>
      </c>
      <c r="BH41" s="1124"/>
      <c r="BI41" s="2168" t="s">
        <v>631</v>
      </c>
      <c r="BJ41" s="1124"/>
      <c r="BK41" s="2168" t="s">
        <v>631</v>
      </c>
      <c r="BL41" s="1124"/>
      <c r="BM41" s="2168" t="s">
        <v>631</v>
      </c>
      <c r="BN41" s="1124"/>
      <c r="BO41" s="2168" t="s">
        <v>631</v>
      </c>
      <c r="BP41" s="1124"/>
      <c r="BQ41" s="2168" t="s">
        <v>631</v>
      </c>
      <c r="BR41" s="1124"/>
      <c r="BS41" s="2168" t="s">
        <v>631</v>
      </c>
      <c r="BT41" s="1124"/>
      <c r="BU41" s="5255" t="s">
        <v>631</v>
      </c>
      <c r="BV41" s="5256"/>
      <c r="BW41" s="5255" t="s">
        <v>631</v>
      </c>
      <c r="BX41" s="5256"/>
      <c r="BY41" s="5255" t="s">
        <v>631</v>
      </c>
      <c r="BZ41" s="5256"/>
      <c r="CA41" s="410"/>
      <c r="CN41" s="863">
        <v>0</v>
      </c>
    </row>
    <row s="10232" customFormat="1" customHeight="1" ht="45" hidden="1">
      <c r="A42" s="3229"/>
      <c r="B42" s="618"/>
      <c r="D42" s="772" t="s">
        <v>409</v>
      </c>
      <c r="E42" s="830" t="s">
        <v>1029</v>
      </c>
      <c r="F42" s="767" t="s">
        <v>643</v>
      </c>
      <c r="G42" s="664"/>
      <c r="H42" s="1124"/>
      <c r="I42" s="664"/>
      <c r="J42" s="1124"/>
      <c r="K42" s="664"/>
      <c r="L42" s="1124"/>
      <c r="M42" s="664"/>
      <c r="N42" s="1124"/>
      <c r="O42" s="664"/>
      <c r="P42" s="1124"/>
      <c r="Q42" s="664"/>
      <c r="R42" s="1124"/>
      <c r="S42" s="664"/>
      <c r="T42" s="1124"/>
      <c r="U42" s="664"/>
      <c r="V42" s="1124"/>
      <c r="W42" s="664"/>
      <c r="X42" s="1124"/>
      <c r="Y42" s="664"/>
      <c r="Z42" s="1124"/>
      <c r="AA42" s="664"/>
      <c r="AB42" s="1124"/>
      <c r="AC42" s="664"/>
      <c r="AD42" s="1124"/>
      <c r="AE42" s="664"/>
      <c r="AF42" s="1124"/>
      <c r="AG42" s="664"/>
      <c r="AH42" s="1124"/>
      <c r="AI42" s="664"/>
      <c r="AJ42" s="1124"/>
      <c r="AK42" s="664"/>
      <c r="AL42" s="1124"/>
      <c r="AM42" s="664"/>
      <c r="AN42" s="1124"/>
      <c r="AO42" s="664"/>
      <c r="AP42" s="1124"/>
      <c r="AQ42" s="664"/>
      <c r="AR42" s="1124"/>
      <c r="AS42" s="664"/>
      <c r="AT42" s="1124"/>
      <c r="AU42" s="664"/>
      <c r="AV42" s="1124"/>
      <c r="AW42" s="664"/>
      <c r="AX42" s="1124"/>
      <c r="AY42" s="664"/>
      <c r="AZ42" s="1124"/>
      <c r="BA42" s="664"/>
      <c r="BB42" s="1124"/>
      <c r="BC42" s="664"/>
      <c r="BD42" s="1124"/>
      <c r="BE42" s="664"/>
      <c r="BF42" s="1124"/>
      <c r="BG42" s="664"/>
      <c r="BH42" s="1124"/>
      <c r="BI42" s="664"/>
      <c r="BJ42" s="1124"/>
      <c r="BK42" s="664"/>
      <c r="BL42" s="1124"/>
      <c r="BM42" s="664"/>
      <c r="BN42" s="1124"/>
      <c r="BO42" s="664"/>
      <c r="BP42" s="1124"/>
      <c r="BQ42" s="664"/>
      <c r="BR42" s="1124"/>
      <c r="BS42" s="664"/>
      <c r="BT42" s="1124"/>
      <c r="BU42" s="4643"/>
      <c r="BV42" s="5256"/>
      <c r="BW42" s="4643"/>
      <c r="BX42" s="5256"/>
      <c r="BY42" s="4643"/>
      <c r="BZ42" s="5256"/>
      <c r="CA42" s="410" t="s">
        <v>1030</v>
      </c>
      <c r="CN42" s="863">
        <v>0</v>
      </c>
    </row>
    <row s="10232" customFormat="1" customHeight="1" ht="45" hidden="1">
      <c r="A43" s="3229"/>
      <c r="B43" s="618"/>
      <c r="D43" s="772" t="s">
        <v>417</v>
      </c>
      <c r="E43" s="774" t="s">
        <v>1031</v>
      </c>
      <c r="F43" s="1128" t="s">
        <v>643</v>
      </c>
      <c r="G43" s="849"/>
      <c r="H43" s="1123"/>
      <c r="I43" s="849"/>
      <c r="J43" s="1123"/>
      <c r="K43" s="849"/>
      <c r="L43" s="1123"/>
      <c r="M43" s="849"/>
      <c r="N43" s="1123"/>
      <c r="O43" s="849"/>
      <c r="P43" s="1123"/>
      <c r="Q43" s="849"/>
      <c r="R43" s="1123"/>
      <c r="S43" s="849"/>
      <c r="T43" s="1123"/>
      <c r="U43" s="849"/>
      <c r="V43" s="1123"/>
      <c r="W43" s="849"/>
      <c r="X43" s="1123"/>
      <c r="Y43" s="849"/>
      <c r="Z43" s="1123"/>
      <c r="AA43" s="849"/>
      <c r="AB43" s="1123"/>
      <c r="AC43" s="849"/>
      <c r="AD43" s="1123"/>
      <c r="AE43" s="849"/>
      <c r="AF43" s="1123"/>
      <c r="AG43" s="849"/>
      <c r="AH43" s="1123"/>
      <c r="AI43" s="849"/>
      <c r="AJ43" s="1123"/>
      <c r="AK43" s="849"/>
      <c r="AL43" s="1123"/>
      <c r="AM43" s="849"/>
      <c r="AN43" s="1123"/>
      <c r="AO43" s="849"/>
      <c r="AP43" s="1123"/>
      <c r="AQ43" s="849"/>
      <c r="AR43" s="1123"/>
      <c r="AS43" s="849"/>
      <c r="AT43" s="1123"/>
      <c r="AU43" s="849"/>
      <c r="AV43" s="1123"/>
      <c r="AW43" s="849"/>
      <c r="AX43" s="1123"/>
      <c r="AY43" s="849"/>
      <c r="AZ43" s="1123"/>
      <c r="BA43" s="849"/>
      <c r="BB43" s="1123"/>
      <c r="BC43" s="849"/>
      <c r="BD43" s="1123"/>
      <c r="BE43" s="849"/>
      <c r="BF43" s="1123"/>
      <c r="BG43" s="849"/>
      <c r="BH43" s="1123"/>
      <c r="BI43" s="849"/>
      <c r="BJ43" s="1123"/>
      <c r="BK43" s="849"/>
      <c r="BL43" s="1123"/>
      <c r="BM43" s="849"/>
      <c r="BN43" s="1123"/>
      <c r="BO43" s="849"/>
      <c r="BP43" s="1123"/>
      <c r="BQ43" s="849"/>
      <c r="BR43" s="1123"/>
      <c r="BS43" s="849"/>
      <c r="BT43" s="1123"/>
      <c r="BU43" s="5259"/>
      <c r="BV43" s="5248"/>
      <c r="BW43" s="5259"/>
      <c r="BX43" s="5248"/>
      <c r="BY43" s="5259"/>
      <c r="BZ43" s="5248"/>
      <c r="CA43" s="410" t="s">
        <v>1032</v>
      </c>
      <c r="CN43" s="863">
        <v>0</v>
      </c>
    </row>
    <row s="10232" customFormat="1" customHeight="1" ht="11.25" hidden="1">
      <c r="A44" s="3229"/>
      <c r="B44" s="618"/>
      <c r="D44" s="772" t="s">
        <v>91</v>
      </c>
      <c r="E44" s="773" t="s">
        <v>1033</v>
      </c>
      <c r="F44" s="767" t="s">
        <v>1023</v>
      </c>
      <c r="G44" s="775"/>
      <c r="H44" s="1123"/>
      <c r="I44" s="775"/>
      <c r="J44" s="1123"/>
      <c r="K44" s="1265"/>
      <c r="L44" s="1123"/>
      <c r="M44" s="1265"/>
      <c r="N44" s="1123"/>
      <c r="O44" s="1265"/>
      <c r="P44" s="1123"/>
      <c r="Q44" s="1265"/>
      <c r="R44" s="1123"/>
      <c r="S44" s="1265"/>
      <c r="T44" s="1123"/>
      <c r="U44" s="1265"/>
      <c r="V44" s="1123"/>
      <c r="W44" s="1265"/>
      <c r="X44" s="1123"/>
      <c r="Y44" s="1265"/>
      <c r="Z44" s="1123"/>
      <c r="AA44" s="1265"/>
      <c r="AB44" s="1123"/>
      <c r="AC44" s="1265"/>
      <c r="AD44" s="1123"/>
      <c r="AE44" s="1265"/>
      <c r="AF44" s="1123"/>
      <c r="AG44" s="1265"/>
      <c r="AH44" s="1123"/>
      <c r="AI44" s="1265"/>
      <c r="AJ44" s="1123"/>
      <c r="AK44" s="1265"/>
      <c r="AL44" s="1123"/>
      <c r="AM44" s="1265"/>
      <c r="AN44" s="1123"/>
      <c r="AO44" s="1265"/>
      <c r="AP44" s="1123"/>
      <c r="AQ44" s="1265"/>
      <c r="AR44" s="1123"/>
      <c r="AS44" s="1265"/>
      <c r="AT44" s="1123"/>
      <c r="AU44" s="1265"/>
      <c r="AV44" s="1123"/>
      <c r="AW44" s="1265"/>
      <c r="AX44" s="1123"/>
      <c r="AY44" s="1265"/>
      <c r="AZ44" s="1123"/>
      <c r="BA44" s="1265"/>
      <c r="BB44" s="1123"/>
      <c r="BC44" s="1265"/>
      <c r="BD44" s="1123"/>
      <c r="BE44" s="1265"/>
      <c r="BF44" s="1123"/>
      <c r="BG44" s="1265"/>
      <c r="BH44" s="1123"/>
      <c r="BI44" s="1265"/>
      <c r="BJ44" s="1123"/>
      <c r="BK44" s="1265"/>
      <c r="BL44" s="1123"/>
      <c r="BM44" s="1265"/>
      <c r="BN44" s="1123"/>
      <c r="BO44" s="1265"/>
      <c r="BP44" s="1123"/>
      <c r="BQ44" s="1265"/>
      <c r="BR44" s="1123"/>
      <c r="BS44" s="1265"/>
      <c r="BT44" s="1123"/>
      <c r="BU44" s="5247"/>
      <c r="BV44" s="5248"/>
      <c r="BW44" s="5247"/>
      <c r="BX44" s="5248"/>
      <c r="BY44" s="5247"/>
      <c r="BZ44" s="5248"/>
      <c r="CA44" s="397"/>
      <c r="CN44" s="863">
        <v>0</v>
      </c>
    </row>
    <row s="10232" customFormat="1" customHeight="1" ht="11.25" hidden="1">
      <c r="A45" s="3229"/>
      <c r="B45" s="618"/>
      <c r="D45" s="772" t="s">
        <v>899</v>
      </c>
      <c r="E45" s="774" t="s">
        <v>1034</v>
      </c>
      <c r="F45" s="767" t="s">
        <v>1023</v>
      </c>
      <c r="G45" s="775"/>
      <c r="H45" s="1123"/>
      <c r="I45" s="775"/>
      <c r="J45" s="1123"/>
      <c r="K45" s="1265"/>
      <c r="L45" s="1123"/>
      <c r="M45" s="1265"/>
      <c r="N45" s="1123"/>
      <c r="O45" s="1265"/>
      <c r="P45" s="1123"/>
      <c r="Q45" s="1265"/>
      <c r="R45" s="1123"/>
      <c r="S45" s="1265"/>
      <c r="T45" s="1123"/>
      <c r="U45" s="1265"/>
      <c r="V45" s="1123"/>
      <c r="W45" s="1265"/>
      <c r="X45" s="1123"/>
      <c r="Y45" s="1265"/>
      <c r="Z45" s="1123"/>
      <c r="AA45" s="1265"/>
      <c r="AB45" s="1123"/>
      <c r="AC45" s="1265"/>
      <c r="AD45" s="1123"/>
      <c r="AE45" s="1265"/>
      <c r="AF45" s="1123"/>
      <c r="AG45" s="1265"/>
      <c r="AH45" s="1123"/>
      <c r="AI45" s="1265"/>
      <c r="AJ45" s="1123"/>
      <c r="AK45" s="1265"/>
      <c r="AL45" s="1123"/>
      <c r="AM45" s="1265"/>
      <c r="AN45" s="1123"/>
      <c r="AO45" s="1265"/>
      <c r="AP45" s="1123"/>
      <c r="AQ45" s="1265"/>
      <c r="AR45" s="1123"/>
      <c r="AS45" s="1265"/>
      <c r="AT45" s="1123"/>
      <c r="AU45" s="1265"/>
      <c r="AV45" s="1123"/>
      <c r="AW45" s="1265"/>
      <c r="AX45" s="1123"/>
      <c r="AY45" s="1265"/>
      <c r="AZ45" s="1123"/>
      <c r="BA45" s="1265"/>
      <c r="BB45" s="1123"/>
      <c r="BC45" s="1265"/>
      <c r="BD45" s="1123"/>
      <c r="BE45" s="1265"/>
      <c r="BF45" s="1123"/>
      <c r="BG45" s="1265"/>
      <c r="BH45" s="1123"/>
      <c r="BI45" s="1265"/>
      <c r="BJ45" s="1123"/>
      <c r="BK45" s="1265"/>
      <c r="BL45" s="1123"/>
      <c r="BM45" s="1265"/>
      <c r="BN45" s="1123"/>
      <c r="BO45" s="1265"/>
      <c r="BP45" s="1123"/>
      <c r="BQ45" s="1265"/>
      <c r="BR45" s="1123"/>
      <c r="BS45" s="1265"/>
      <c r="BT45" s="1123"/>
      <c r="BU45" s="5247"/>
      <c r="BV45" s="5248"/>
      <c r="BW45" s="5247"/>
      <c r="BX45" s="5248"/>
      <c r="BY45" s="5247"/>
      <c r="BZ45" s="5248"/>
      <c r="CA45" s="397"/>
      <c r="CN45" s="863">
        <v>0</v>
      </c>
    </row>
    <row s="10232" customFormat="1" customHeight="1" ht="11.25" hidden="1">
      <c r="A46" s="3229"/>
      <c r="B46" s="618"/>
      <c r="D46" s="772" t="s">
        <v>943</v>
      </c>
      <c r="E46" s="774" t="s">
        <v>1035</v>
      </c>
      <c r="F46" s="767" t="s">
        <v>1023</v>
      </c>
      <c r="G46" s="775"/>
      <c r="H46" s="1123"/>
      <c r="I46" s="775"/>
      <c r="J46" s="1123"/>
      <c r="K46" s="1265"/>
      <c r="L46" s="1123"/>
      <c r="M46" s="1265"/>
      <c r="N46" s="1123"/>
      <c r="O46" s="1265"/>
      <c r="P46" s="1123"/>
      <c r="Q46" s="1265"/>
      <c r="R46" s="1123"/>
      <c r="S46" s="1265"/>
      <c r="T46" s="1123"/>
      <c r="U46" s="1265"/>
      <c r="V46" s="1123"/>
      <c r="W46" s="1265"/>
      <c r="X46" s="1123"/>
      <c r="Y46" s="1265"/>
      <c r="Z46" s="1123"/>
      <c r="AA46" s="1265"/>
      <c r="AB46" s="1123"/>
      <c r="AC46" s="1265"/>
      <c r="AD46" s="1123"/>
      <c r="AE46" s="1265"/>
      <c r="AF46" s="1123"/>
      <c r="AG46" s="1265"/>
      <c r="AH46" s="1123"/>
      <c r="AI46" s="1265"/>
      <c r="AJ46" s="1123"/>
      <c r="AK46" s="1265"/>
      <c r="AL46" s="1123"/>
      <c r="AM46" s="1265"/>
      <c r="AN46" s="1123"/>
      <c r="AO46" s="1265"/>
      <c r="AP46" s="1123"/>
      <c r="AQ46" s="1265"/>
      <c r="AR46" s="1123"/>
      <c r="AS46" s="1265"/>
      <c r="AT46" s="1123"/>
      <c r="AU46" s="1265"/>
      <c r="AV46" s="1123"/>
      <c r="AW46" s="1265"/>
      <c r="AX46" s="1123"/>
      <c r="AY46" s="1265"/>
      <c r="AZ46" s="1123"/>
      <c r="BA46" s="1265"/>
      <c r="BB46" s="1123"/>
      <c r="BC46" s="1265"/>
      <c r="BD46" s="1123"/>
      <c r="BE46" s="1265"/>
      <c r="BF46" s="1123"/>
      <c r="BG46" s="1265"/>
      <c r="BH46" s="1123"/>
      <c r="BI46" s="1265"/>
      <c r="BJ46" s="1123"/>
      <c r="BK46" s="1265"/>
      <c r="BL46" s="1123"/>
      <c r="BM46" s="1265"/>
      <c r="BN46" s="1123"/>
      <c r="BO46" s="1265"/>
      <c r="BP46" s="1123"/>
      <c r="BQ46" s="1265"/>
      <c r="BR46" s="1123"/>
      <c r="BS46" s="1265"/>
      <c r="BT46" s="1123"/>
      <c r="BU46" s="5247"/>
      <c r="BV46" s="5248"/>
      <c r="BW46" s="5247"/>
      <c r="BX46" s="5248"/>
      <c r="BY46" s="5247"/>
      <c r="BZ46" s="5248"/>
      <c r="CA46" s="397"/>
      <c r="CN46" s="863">
        <v>0</v>
      </c>
    </row>
    <row s="10232" customFormat="1" customHeight="1" ht="11.25" hidden="1">
      <c r="A47" s="3229"/>
      <c r="B47" s="618"/>
      <c r="D47" s="772" t="s">
        <v>946</v>
      </c>
      <c r="E47" s="774" t="s">
        <v>1036</v>
      </c>
      <c r="F47" s="767" t="s">
        <v>1023</v>
      </c>
      <c r="G47" s="775"/>
      <c r="H47" s="1123"/>
      <c r="I47" s="775"/>
      <c r="J47" s="1123"/>
      <c r="K47" s="1265"/>
      <c r="L47" s="1123"/>
      <c r="M47" s="1265"/>
      <c r="N47" s="1123"/>
      <c r="O47" s="1265"/>
      <c r="P47" s="1123"/>
      <c r="Q47" s="1265"/>
      <c r="R47" s="1123"/>
      <c r="S47" s="1265"/>
      <c r="T47" s="1123"/>
      <c r="U47" s="1265"/>
      <c r="V47" s="1123"/>
      <c r="W47" s="1265"/>
      <c r="X47" s="1123"/>
      <c r="Y47" s="1265"/>
      <c r="Z47" s="1123"/>
      <c r="AA47" s="1265"/>
      <c r="AB47" s="1123"/>
      <c r="AC47" s="1265"/>
      <c r="AD47" s="1123"/>
      <c r="AE47" s="1265"/>
      <c r="AF47" s="1123"/>
      <c r="AG47" s="1265"/>
      <c r="AH47" s="1123"/>
      <c r="AI47" s="1265"/>
      <c r="AJ47" s="1123"/>
      <c r="AK47" s="1265"/>
      <c r="AL47" s="1123"/>
      <c r="AM47" s="1265"/>
      <c r="AN47" s="1123"/>
      <c r="AO47" s="1265"/>
      <c r="AP47" s="1123"/>
      <c r="AQ47" s="1265"/>
      <c r="AR47" s="1123"/>
      <c r="AS47" s="1265"/>
      <c r="AT47" s="1123"/>
      <c r="AU47" s="1265"/>
      <c r="AV47" s="1123"/>
      <c r="AW47" s="1265"/>
      <c r="AX47" s="1123"/>
      <c r="AY47" s="1265"/>
      <c r="AZ47" s="1123"/>
      <c r="BA47" s="1265"/>
      <c r="BB47" s="1123"/>
      <c r="BC47" s="1265"/>
      <c r="BD47" s="1123"/>
      <c r="BE47" s="1265"/>
      <c r="BF47" s="1123"/>
      <c r="BG47" s="1265"/>
      <c r="BH47" s="1123"/>
      <c r="BI47" s="1265"/>
      <c r="BJ47" s="1123"/>
      <c r="BK47" s="1265"/>
      <c r="BL47" s="1123"/>
      <c r="BM47" s="1265"/>
      <c r="BN47" s="1123"/>
      <c r="BO47" s="1265"/>
      <c r="BP47" s="1123"/>
      <c r="BQ47" s="1265"/>
      <c r="BR47" s="1123"/>
      <c r="BS47" s="1265"/>
      <c r="BT47" s="1123"/>
      <c r="BU47" s="5247"/>
      <c r="BV47" s="5248"/>
      <c r="BW47" s="5247"/>
      <c r="BX47" s="5248"/>
      <c r="BY47" s="5247"/>
      <c r="BZ47" s="5248"/>
      <c r="CA47" s="397"/>
      <c r="CN47" s="863">
        <v>0</v>
      </c>
    </row>
    <row s="10232" customFormat="1" customHeight="1" ht="11.25" hidden="1">
      <c r="A48" s="3229"/>
      <c r="B48" s="618"/>
      <c r="D48" s="772" t="s">
        <v>1037</v>
      </c>
      <c r="E48" s="778" t="s">
        <v>1038</v>
      </c>
      <c r="F48" s="767" t="s">
        <v>1023</v>
      </c>
      <c r="G48" s="775"/>
      <c r="H48" s="1123"/>
      <c r="I48" s="775"/>
      <c r="J48" s="1123"/>
      <c r="K48" s="1265"/>
      <c r="L48" s="1123"/>
      <c r="M48" s="1265"/>
      <c r="N48" s="1123"/>
      <c r="O48" s="1265"/>
      <c r="P48" s="1123"/>
      <c r="Q48" s="1265"/>
      <c r="R48" s="1123"/>
      <c r="S48" s="1265"/>
      <c r="T48" s="1123"/>
      <c r="U48" s="1265"/>
      <c r="V48" s="1123"/>
      <c r="W48" s="1265"/>
      <c r="X48" s="1123"/>
      <c r="Y48" s="1265"/>
      <c r="Z48" s="1123"/>
      <c r="AA48" s="1265"/>
      <c r="AB48" s="1123"/>
      <c r="AC48" s="1265"/>
      <c r="AD48" s="1123"/>
      <c r="AE48" s="1265"/>
      <c r="AF48" s="1123"/>
      <c r="AG48" s="1265"/>
      <c r="AH48" s="1123"/>
      <c r="AI48" s="1265"/>
      <c r="AJ48" s="1123"/>
      <c r="AK48" s="1265"/>
      <c r="AL48" s="1123"/>
      <c r="AM48" s="1265"/>
      <c r="AN48" s="1123"/>
      <c r="AO48" s="1265"/>
      <c r="AP48" s="1123"/>
      <c r="AQ48" s="1265"/>
      <c r="AR48" s="1123"/>
      <c r="AS48" s="1265"/>
      <c r="AT48" s="1123"/>
      <c r="AU48" s="1265"/>
      <c r="AV48" s="1123"/>
      <c r="AW48" s="1265"/>
      <c r="AX48" s="1123"/>
      <c r="AY48" s="1265"/>
      <c r="AZ48" s="1123"/>
      <c r="BA48" s="1265"/>
      <c r="BB48" s="1123"/>
      <c r="BC48" s="1265"/>
      <c r="BD48" s="1123"/>
      <c r="BE48" s="1265"/>
      <c r="BF48" s="1123"/>
      <c r="BG48" s="1265"/>
      <c r="BH48" s="1123"/>
      <c r="BI48" s="1265"/>
      <c r="BJ48" s="1123"/>
      <c r="BK48" s="1265"/>
      <c r="BL48" s="1123"/>
      <c r="BM48" s="1265"/>
      <c r="BN48" s="1123"/>
      <c r="BO48" s="1265"/>
      <c r="BP48" s="1123"/>
      <c r="BQ48" s="1265"/>
      <c r="BR48" s="1123"/>
      <c r="BS48" s="1265"/>
      <c r="BT48" s="1123"/>
      <c r="BU48" s="5247"/>
      <c r="BV48" s="5248"/>
      <c r="BW48" s="5247"/>
      <c r="BX48" s="5248"/>
      <c r="BY48" s="5247"/>
      <c r="BZ48" s="5248"/>
      <c r="CA48" s="397"/>
      <c r="CN48" s="863">
        <v>0</v>
      </c>
    </row>
    <row s="10232" customFormat="1" customHeight="1" ht="11.25" hidden="1">
      <c r="A49" s="3229"/>
      <c r="B49" s="618"/>
      <c r="D49" s="772" t="s">
        <v>1039</v>
      </c>
      <c r="E49" s="778" t="s">
        <v>1040</v>
      </c>
      <c r="F49" s="767" t="s">
        <v>1023</v>
      </c>
      <c r="G49" s="775"/>
      <c r="H49" s="1123"/>
      <c r="I49" s="775"/>
      <c r="J49" s="1123"/>
      <c r="K49" s="1265"/>
      <c r="L49" s="1123"/>
      <c r="M49" s="1265"/>
      <c r="N49" s="1123"/>
      <c r="O49" s="1265"/>
      <c r="P49" s="1123"/>
      <c r="Q49" s="1265"/>
      <c r="R49" s="1123"/>
      <c r="S49" s="1265"/>
      <c r="T49" s="1123"/>
      <c r="U49" s="1265"/>
      <c r="V49" s="1123"/>
      <c r="W49" s="1265"/>
      <c r="X49" s="1123"/>
      <c r="Y49" s="1265"/>
      <c r="Z49" s="1123"/>
      <c r="AA49" s="1265"/>
      <c r="AB49" s="1123"/>
      <c r="AC49" s="1265"/>
      <c r="AD49" s="1123"/>
      <c r="AE49" s="1265"/>
      <c r="AF49" s="1123"/>
      <c r="AG49" s="1265"/>
      <c r="AH49" s="1123"/>
      <c r="AI49" s="1265"/>
      <c r="AJ49" s="1123"/>
      <c r="AK49" s="1265"/>
      <c r="AL49" s="1123"/>
      <c r="AM49" s="1265"/>
      <c r="AN49" s="1123"/>
      <c r="AO49" s="1265"/>
      <c r="AP49" s="1123"/>
      <c r="AQ49" s="1265"/>
      <c r="AR49" s="1123"/>
      <c r="AS49" s="1265"/>
      <c r="AT49" s="1123"/>
      <c r="AU49" s="1265"/>
      <c r="AV49" s="1123"/>
      <c r="AW49" s="1265"/>
      <c r="AX49" s="1123"/>
      <c r="AY49" s="1265"/>
      <c r="AZ49" s="1123"/>
      <c r="BA49" s="1265"/>
      <c r="BB49" s="1123"/>
      <c r="BC49" s="1265"/>
      <c r="BD49" s="1123"/>
      <c r="BE49" s="1265"/>
      <c r="BF49" s="1123"/>
      <c r="BG49" s="1265"/>
      <c r="BH49" s="1123"/>
      <c r="BI49" s="1265"/>
      <c r="BJ49" s="1123"/>
      <c r="BK49" s="1265"/>
      <c r="BL49" s="1123"/>
      <c r="BM49" s="1265"/>
      <c r="BN49" s="1123"/>
      <c r="BO49" s="1265"/>
      <c r="BP49" s="1123"/>
      <c r="BQ49" s="1265"/>
      <c r="BR49" s="1123"/>
      <c r="BS49" s="1265"/>
      <c r="BT49" s="1123"/>
      <c r="BU49" s="5247"/>
      <c r="BV49" s="5248"/>
      <c r="BW49" s="5247"/>
      <c r="BX49" s="5248"/>
      <c r="BY49" s="5247"/>
      <c r="BZ49" s="5248"/>
      <c r="CA49" s="397"/>
      <c r="CN49" s="863">
        <v>0</v>
      </c>
    </row>
    <row s="10232" customFormat="1" customHeight="1" ht="11.25" hidden="1">
      <c r="A50" s="3229"/>
      <c r="B50" s="618"/>
      <c r="D50" s="772" t="s">
        <v>1041</v>
      </c>
      <c r="E50" s="774" t="s">
        <v>1042</v>
      </c>
      <c r="F50" s="767" t="s">
        <v>1023</v>
      </c>
      <c r="G50" s="775"/>
      <c r="H50" s="1123"/>
      <c r="I50" s="775"/>
      <c r="J50" s="1123"/>
      <c r="K50" s="1265"/>
      <c r="L50" s="1123"/>
      <c r="M50" s="1265"/>
      <c r="N50" s="1123"/>
      <c r="O50" s="1265"/>
      <c r="P50" s="1123"/>
      <c r="Q50" s="1265"/>
      <c r="R50" s="1123"/>
      <c r="S50" s="1265"/>
      <c r="T50" s="1123"/>
      <c r="U50" s="1265"/>
      <c r="V50" s="1123"/>
      <c r="W50" s="1265"/>
      <c r="X50" s="1123"/>
      <c r="Y50" s="1265"/>
      <c r="Z50" s="1123"/>
      <c r="AA50" s="1265"/>
      <c r="AB50" s="1123"/>
      <c r="AC50" s="1265"/>
      <c r="AD50" s="1123"/>
      <c r="AE50" s="1265"/>
      <c r="AF50" s="1123"/>
      <c r="AG50" s="1265"/>
      <c r="AH50" s="1123"/>
      <c r="AI50" s="1265"/>
      <c r="AJ50" s="1123"/>
      <c r="AK50" s="1265"/>
      <c r="AL50" s="1123"/>
      <c r="AM50" s="1265"/>
      <c r="AN50" s="1123"/>
      <c r="AO50" s="1265"/>
      <c r="AP50" s="1123"/>
      <c r="AQ50" s="1265"/>
      <c r="AR50" s="1123"/>
      <c r="AS50" s="1265"/>
      <c r="AT50" s="1123"/>
      <c r="AU50" s="1265"/>
      <c r="AV50" s="1123"/>
      <c r="AW50" s="1265"/>
      <c r="AX50" s="1123"/>
      <c r="AY50" s="1265"/>
      <c r="AZ50" s="1123"/>
      <c r="BA50" s="1265"/>
      <c r="BB50" s="1123"/>
      <c r="BC50" s="1265"/>
      <c r="BD50" s="1123"/>
      <c r="BE50" s="1265"/>
      <c r="BF50" s="1123"/>
      <c r="BG50" s="1265"/>
      <c r="BH50" s="1123"/>
      <c r="BI50" s="1265"/>
      <c r="BJ50" s="1123"/>
      <c r="BK50" s="1265"/>
      <c r="BL50" s="1123"/>
      <c r="BM50" s="1265"/>
      <c r="BN50" s="1123"/>
      <c r="BO50" s="1265"/>
      <c r="BP50" s="1123"/>
      <c r="BQ50" s="1265"/>
      <c r="BR50" s="1123"/>
      <c r="BS50" s="1265"/>
      <c r="BT50" s="1123"/>
      <c r="BU50" s="5247"/>
      <c r="BV50" s="5248"/>
      <c r="BW50" s="5247"/>
      <c r="BX50" s="5248"/>
      <c r="BY50" s="5247"/>
      <c r="BZ50" s="5248"/>
      <c r="CA50" s="397"/>
      <c r="CN50" s="863">
        <v>0</v>
      </c>
    </row>
    <row s="10232" customFormat="1" customHeight="1" ht="11.25" hidden="1">
      <c r="A51" s="3229"/>
      <c r="B51" s="618"/>
      <c r="D51" s="772" t="s">
        <v>1043</v>
      </c>
      <c r="E51" s="774" t="s">
        <v>1044</v>
      </c>
      <c r="F51" s="767" t="s">
        <v>1023</v>
      </c>
      <c r="G51" s="775"/>
      <c r="H51" s="1123"/>
      <c r="I51" s="775"/>
      <c r="J51" s="1123"/>
      <c r="K51" s="1265"/>
      <c r="L51" s="1123"/>
      <c r="M51" s="1265"/>
      <c r="N51" s="1123"/>
      <c r="O51" s="1265"/>
      <c r="P51" s="1123"/>
      <c r="Q51" s="1265"/>
      <c r="R51" s="1123"/>
      <c r="S51" s="1265"/>
      <c r="T51" s="1123"/>
      <c r="U51" s="1265"/>
      <c r="V51" s="1123"/>
      <c r="W51" s="1265"/>
      <c r="X51" s="1123"/>
      <c r="Y51" s="1265"/>
      <c r="Z51" s="1123"/>
      <c r="AA51" s="1265"/>
      <c r="AB51" s="1123"/>
      <c r="AC51" s="1265"/>
      <c r="AD51" s="1123"/>
      <c r="AE51" s="1265"/>
      <c r="AF51" s="1123"/>
      <c r="AG51" s="1265"/>
      <c r="AH51" s="1123"/>
      <c r="AI51" s="1265"/>
      <c r="AJ51" s="1123"/>
      <c r="AK51" s="1265"/>
      <c r="AL51" s="1123"/>
      <c r="AM51" s="1265"/>
      <c r="AN51" s="1123"/>
      <c r="AO51" s="1265"/>
      <c r="AP51" s="1123"/>
      <c r="AQ51" s="1265"/>
      <c r="AR51" s="1123"/>
      <c r="AS51" s="1265"/>
      <c r="AT51" s="1123"/>
      <c r="AU51" s="1265"/>
      <c r="AV51" s="1123"/>
      <c r="AW51" s="1265"/>
      <c r="AX51" s="1123"/>
      <c r="AY51" s="1265"/>
      <c r="AZ51" s="1123"/>
      <c r="BA51" s="1265"/>
      <c r="BB51" s="1123"/>
      <c r="BC51" s="1265"/>
      <c r="BD51" s="1123"/>
      <c r="BE51" s="1265"/>
      <c r="BF51" s="1123"/>
      <c r="BG51" s="1265"/>
      <c r="BH51" s="1123"/>
      <c r="BI51" s="1265"/>
      <c r="BJ51" s="1123"/>
      <c r="BK51" s="1265"/>
      <c r="BL51" s="1123"/>
      <c r="BM51" s="1265"/>
      <c r="BN51" s="1123"/>
      <c r="BO51" s="1265"/>
      <c r="BP51" s="1123"/>
      <c r="BQ51" s="1265"/>
      <c r="BR51" s="1123"/>
      <c r="BS51" s="1265"/>
      <c r="BT51" s="1123"/>
      <c r="BU51" s="5247"/>
      <c r="BV51" s="5248"/>
      <c r="BW51" s="5247"/>
      <c r="BX51" s="5248"/>
      <c r="BY51" s="5247"/>
      <c r="BZ51" s="5248"/>
      <c r="CA51" s="397"/>
      <c r="CN51" s="863">
        <v>0</v>
      </c>
    </row>
    <row s="10232" customFormat="1" customHeight="1" ht="45" hidden="1">
      <c r="A52" s="3229"/>
      <c r="B52" s="618"/>
      <c r="D52" s="772" t="s">
        <v>121</v>
      </c>
      <c r="E52" s="773" t="s">
        <v>1045</v>
      </c>
      <c r="F52" s="767" t="s">
        <v>1023</v>
      </c>
      <c r="G52" s="775"/>
      <c r="H52" s="1123"/>
      <c r="I52" s="775"/>
      <c r="J52" s="1123"/>
      <c r="K52" s="1265"/>
      <c r="L52" s="1123"/>
      <c r="M52" s="1265"/>
      <c r="N52" s="1123"/>
      <c r="O52" s="1265"/>
      <c r="P52" s="1123"/>
      <c r="Q52" s="1265"/>
      <c r="R52" s="1123"/>
      <c r="S52" s="1265"/>
      <c r="T52" s="1123"/>
      <c r="U52" s="1265"/>
      <c r="V52" s="1123"/>
      <c r="W52" s="1265"/>
      <c r="X52" s="1123"/>
      <c r="Y52" s="1265"/>
      <c r="Z52" s="1123"/>
      <c r="AA52" s="1265"/>
      <c r="AB52" s="1123"/>
      <c r="AC52" s="1265"/>
      <c r="AD52" s="1123"/>
      <c r="AE52" s="1265"/>
      <c r="AF52" s="1123"/>
      <c r="AG52" s="1265"/>
      <c r="AH52" s="1123"/>
      <c r="AI52" s="1265"/>
      <c r="AJ52" s="1123"/>
      <c r="AK52" s="1265"/>
      <c r="AL52" s="1123"/>
      <c r="AM52" s="1265"/>
      <c r="AN52" s="1123"/>
      <c r="AO52" s="1265"/>
      <c r="AP52" s="1123"/>
      <c r="AQ52" s="1265"/>
      <c r="AR52" s="1123"/>
      <c r="AS52" s="1265"/>
      <c r="AT52" s="1123"/>
      <c r="AU52" s="1265"/>
      <c r="AV52" s="1123"/>
      <c r="AW52" s="1265"/>
      <c r="AX52" s="1123"/>
      <c r="AY52" s="1265"/>
      <c r="AZ52" s="1123"/>
      <c r="BA52" s="1265"/>
      <c r="BB52" s="1123"/>
      <c r="BC52" s="1265"/>
      <c r="BD52" s="1123"/>
      <c r="BE52" s="1265"/>
      <c r="BF52" s="1123"/>
      <c r="BG52" s="1265"/>
      <c r="BH52" s="1123"/>
      <c r="BI52" s="1265"/>
      <c r="BJ52" s="1123"/>
      <c r="BK52" s="1265"/>
      <c r="BL52" s="1123"/>
      <c r="BM52" s="1265"/>
      <c r="BN52" s="1123"/>
      <c r="BO52" s="1265"/>
      <c r="BP52" s="1123"/>
      <c r="BQ52" s="1265"/>
      <c r="BR52" s="1123"/>
      <c r="BS52" s="1265"/>
      <c r="BT52" s="1123"/>
      <c r="BU52" s="5247"/>
      <c r="BV52" s="5248"/>
      <c r="BW52" s="5247"/>
      <c r="BX52" s="5248"/>
      <c r="BY52" s="5247"/>
      <c r="BZ52" s="5248"/>
      <c r="CA52" s="397"/>
      <c r="CN52" s="863">
        <v>0</v>
      </c>
    </row>
    <row s="10232" customFormat="1" customHeight="1" ht="11.25" hidden="1">
      <c r="A53" s="3229"/>
      <c r="B53" s="618"/>
      <c r="D53" s="772" t="s">
        <v>398</v>
      </c>
      <c r="E53" s="774" t="s">
        <v>1034</v>
      </c>
      <c r="F53" s="767" t="s">
        <v>1023</v>
      </c>
      <c r="G53" s="775"/>
      <c r="H53" s="1123"/>
      <c r="I53" s="775"/>
      <c r="J53" s="1123"/>
      <c r="K53" s="1265"/>
      <c r="L53" s="1123"/>
      <c r="M53" s="1265"/>
      <c r="N53" s="1123"/>
      <c r="O53" s="1265"/>
      <c r="P53" s="1123"/>
      <c r="Q53" s="1265"/>
      <c r="R53" s="1123"/>
      <c r="S53" s="1265"/>
      <c r="T53" s="1123"/>
      <c r="U53" s="1265"/>
      <c r="V53" s="1123"/>
      <c r="W53" s="1265"/>
      <c r="X53" s="1123"/>
      <c r="Y53" s="1265"/>
      <c r="Z53" s="1123"/>
      <c r="AA53" s="1265"/>
      <c r="AB53" s="1123"/>
      <c r="AC53" s="1265"/>
      <c r="AD53" s="1123"/>
      <c r="AE53" s="1265"/>
      <c r="AF53" s="1123"/>
      <c r="AG53" s="1265"/>
      <c r="AH53" s="1123"/>
      <c r="AI53" s="1265"/>
      <c r="AJ53" s="1123"/>
      <c r="AK53" s="1265"/>
      <c r="AL53" s="1123"/>
      <c r="AM53" s="1265"/>
      <c r="AN53" s="1123"/>
      <c r="AO53" s="1265"/>
      <c r="AP53" s="1123"/>
      <c r="AQ53" s="1265"/>
      <c r="AR53" s="1123"/>
      <c r="AS53" s="1265"/>
      <c r="AT53" s="1123"/>
      <c r="AU53" s="1265"/>
      <c r="AV53" s="1123"/>
      <c r="AW53" s="1265"/>
      <c r="AX53" s="1123"/>
      <c r="AY53" s="1265"/>
      <c r="AZ53" s="1123"/>
      <c r="BA53" s="1265"/>
      <c r="BB53" s="1123"/>
      <c r="BC53" s="1265"/>
      <c r="BD53" s="1123"/>
      <c r="BE53" s="1265"/>
      <c r="BF53" s="1123"/>
      <c r="BG53" s="1265"/>
      <c r="BH53" s="1123"/>
      <c r="BI53" s="1265"/>
      <c r="BJ53" s="1123"/>
      <c r="BK53" s="1265"/>
      <c r="BL53" s="1123"/>
      <c r="BM53" s="1265"/>
      <c r="BN53" s="1123"/>
      <c r="BO53" s="1265"/>
      <c r="BP53" s="1123"/>
      <c r="BQ53" s="1265"/>
      <c r="BR53" s="1123"/>
      <c r="BS53" s="1265"/>
      <c r="BT53" s="1123"/>
      <c r="BU53" s="5247"/>
      <c r="BV53" s="5248"/>
      <c r="BW53" s="5247"/>
      <c r="BX53" s="5248"/>
      <c r="BY53" s="5247"/>
      <c r="BZ53" s="5248"/>
      <c r="CA53" s="397"/>
      <c r="CN53" s="863">
        <v>0</v>
      </c>
    </row>
    <row s="10232" customFormat="1" customHeight="1" ht="11.25" hidden="1">
      <c r="A54" s="3229"/>
      <c r="B54" s="618"/>
      <c r="D54" s="772" t="s">
        <v>1046</v>
      </c>
      <c r="E54" s="774" t="s">
        <v>1035</v>
      </c>
      <c r="F54" s="767" t="s">
        <v>1023</v>
      </c>
      <c r="G54" s="775"/>
      <c r="H54" s="1123"/>
      <c r="I54" s="775"/>
      <c r="J54" s="1123"/>
      <c r="K54" s="1265"/>
      <c r="L54" s="1123"/>
      <c r="M54" s="1265"/>
      <c r="N54" s="1123"/>
      <c r="O54" s="1265"/>
      <c r="P54" s="1123"/>
      <c r="Q54" s="1265"/>
      <c r="R54" s="1123"/>
      <c r="S54" s="1265"/>
      <c r="T54" s="1123"/>
      <c r="U54" s="1265"/>
      <c r="V54" s="1123"/>
      <c r="W54" s="1265"/>
      <c r="X54" s="1123"/>
      <c r="Y54" s="1265"/>
      <c r="Z54" s="1123"/>
      <c r="AA54" s="1265"/>
      <c r="AB54" s="1123"/>
      <c r="AC54" s="1265"/>
      <c r="AD54" s="1123"/>
      <c r="AE54" s="1265"/>
      <c r="AF54" s="1123"/>
      <c r="AG54" s="1265"/>
      <c r="AH54" s="1123"/>
      <c r="AI54" s="1265"/>
      <c r="AJ54" s="1123"/>
      <c r="AK54" s="1265"/>
      <c r="AL54" s="1123"/>
      <c r="AM54" s="1265"/>
      <c r="AN54" s="1123"/>
      <c r="AO54" s="1265"/>
      <c r="AP54" s="1123"/>
      <c r="AQ54" s="1265"/>
      <c r="AR54" s="1123"/>
      <c r="AS54" s="1265"/>
      <c r="AT54" s="1123"/>
      <c r="AU54" s="1265"/>
      <c r="AV54" s="1123"/>
      <c r="AW54" s="1265"/>
      <c r="AX54" s="1123"/>
      <c r="AY54" s="1265"/>
      <c r="AZ54" s="1123"/>
      <c r="BA54" s="1265"/>
      <c r="BB54" s="1123"/>
      <c r="BC54" s="1265"/>
      <c r="BD54" s="1123"/>
      <c r="BE54" s="1265"/>
      <c r="BF54" s="1123"/>
      <c r="BG54" s="1265"/>
      <c r="BH54" s="1123"/>
      <c r="BI54" s="1265"/>
      <c r="BJ54" s="1123"/>
      <c r="BK54" s="1265"/>
      <c r="BL54" s="1123"/>
      <c r="BM54" s="1265"/>
      <c r="BN54" s="1123"/>
      <c r="BO54" s="1265"/>
      <c r="BP54" s="1123"/>
      <c r="BQ54" s="1265"/>
      <c r="BR54" s="1123"/>
      <c r="BS54" s="1265"/>
      <c r="BT54" s="1123"/>
      <c r="BU54" s="5247"/>
      <c r="BV54" s="5248"/>
      <c r="BW54" s="5247"/>
      <c r="BX54" s="5248"/>
      <c r="BY54" s="5247"/>
      <c r="BZ54" s="5248"/>
      <c r="CA54" s="397"/>
      <c r="CN54" s="863">
        <v>0</v>
      </c>
    </row>
    <row s="10232" customFormat="1" customHeight="1" ht="11.25" hidden="1">
      <c r="A55" s="3229"/>
      <c r="B55" s="618"/>
      <c r="D55" s="772" t="s">
        <v>1047</v>
      </c>
      <c r="E55" s="774" t="s">
        <v>1036</v>
      </c>
      <c r="F55" s="767" t="s">
        <v>1023</v>
      </c>
      <c r="G55" s="775"/>
      <c r="H55" s="1123"/>
      <c r="I55" s="775"/>
      <c r="J55" s="1123"/>
      <c r="K55" s="1265"/>
      <c r="L55" s="1123"/>
      <c r="M55" s="1265"/>
      <c r="N55" s="1123"/>
      <c r="O55" s="1265"/>
      <c r="P55" s="1123"/>
      <c r="Q55" s="1265"/>
      <c r="R55" s="1123"/>
      <c r="S55" s="1265"/>
      <c r="T55" s="1123"/>
      <c r="U55" s="1265"/>
      <c r="V55" s="1123"/>
      <c r="W55" s="1265"/>
      <c r="X55" s="1123"/>
      <c r="Y55" s="1265"/>
      <c r="Z55" s="1123"/>
      <c r="AA55" s="1265"/>
      <c r="AB55" s="1123"/>
      <c r="AC55" s="1265"/>
      <c r="AD55" s="1123"/>
      <c r="AE55" s="1265"/>
      <c r="AF55" s="1123"/>
      <c r="AG55" s="1265"/>
      <c r="AH55" s="1123"/>
      <c r="AI55" s="1265"/>
      <c r="AJ55" s="1123"/>
      <c r="AK55" s="1265"/>
      <c r="AL55" s="1123"/>
      <c r="AM55" s="1265"/>
      <c r="AN55" s="1123"/>
      <c r="AO55" s="1265"/>
      <c r="AP55" s="1123"/>
      <c r="AQ55" s="1265"/>
      <c r="AR55" s="1123"/>
      <c r="AS55" s="1265"/>
      <c r="AT55" s="1123"/>
      <c r="AU55" s="1265"/>
      <c r="AV55" s="1123"/>
      <c r="AW55" s="1265"/>
      <c r="AX55" s="1123"/>
      <c r="AY55" s="1265"/>
      <c r="AZ55" s="1123"/>
      <c r="BA55" s="1265"/>
      <c r="BB55" s="1123"/>
      <c r="BC55" s="1265"/>
      <c r="BD55" s="1123"/>
      <c r="BE55" s="1265"/>
      <c r="BF55" s="1123"/>
      <c r="BG55" s="1265"/>
      <c r="BH55" s="1123"/>
      <c r="BI55" s="1265"/>
      <c r="BJ55" s="1123"/>
      <c r="BK55" s="1265"/>
      <c r="BL55" s="1123"/>
      <c r="BM55" s="1265"/>
      <c r="BN55" s="1123"/>
      <c r="BO55" s="1265"/>
      <c r="BP55" s="1123"/>
      <c r="BQ55" s="1265"/>
      <c r="BR55" s="1123"/>
      <c r="BS55" s="1265"/>
      <c r="BT55" s="1123"/>
      <c r="BU55" s="5247"/>
      <c r="BV55" s="5248"/>
      <c r="BW55" s="5247"/>
      <c r="BX55" s="5248"/>
      <c r="BY55" s="5247"/>
      <c r="BZ55" s="5248"/>
      <c r="CA55" s="397"/>
      <c r="CN55" s="863">
        <v>0</v>
      </c>
    </row>
    <row s="10232" customFormat="1" customHeight="1" ht="11.25" hidden="1">
      <c r="A56" s="3229"/>
      <c r="B56" s="618"/>
      <c r="D56" s="772" t="s">
        <v>1048</v>
      </c>
      <c r="E56" s="778" t="s">
        <v>1038</v>
      </c>
      <c r="F56" s="767" t="s">
        <v>1023</v>
      </c>
      <c r="G56" s="775"/>
      <c r="H56" s="1123"/>
      <c r="I56" s="775"/>
      <c r="J56" s="1123"/>
      <c r="K56" s="1265"/>
      <c r="L56" s="1123"/>
      <c r="M56" s="1265"/>
      <c r="N56" s="1123"/>
      <c r="O56" s="1265"/>
      <c r="P56" s="1123"/>
      <c r="Q56" s="1265"/>
      <c r="R56" s="1123"/>
      <c r="S56" s="1265"/>
      <c r="T56" s="1123"/>
      <c r="U56" s="1265"/>
      <c r="V56" s="1123"/>
      <c r="W56" s="1265"/>
      <c r="X56" s="1123"/>
      <c r="Y56" s="1265"/>
      <c r="Z56" s="1123"/>
      <c r="AA56" s="1265"/>
      <c r="AB56" s="1123"/>
      <c r="AC56" s="1265"/>
      <c r="AD56" s="1123"/>
      <c r="AE56" s="1265"/>
      <c r="AF56" s="1123"/>
      <c r="AG56" s="1265"/>
      <c r="AH56" s="1123"/>
      <c r="AI56" s="1265"/>
      <c r="AJ56" s="1123"/>
      <c r="AK56" s="1265"/>
      <c r="AL56" s="1123"/>
      <c r="AM56" s="1265"/>
      <c r="AN56" s="1123"/>
      <c r="AO56" s="1265"/>
      <c r="AP56" s="1123"/>
      <c r="AQ56" s="1265"/>
      <c r="AR56" s="1123"/>
      <c r="AS56" s="1265"/>
      <c r="AT56" s="1123"/>
      <c r="AU56" s="1265"/>
      <c r="AV56" s="1123"/>
      <c r="AW56" s="1265"/>
      <c r="AX56" s="1123"/>
      <c r="AY56" s="1265"/>
      <c r="AZ56" s="1123"/>
      <c r="BA56" s="1265"/>
      <c r="BB56" s="1123"/>
      <c r="BC56" s="1265"/>
      <c r="BD56" s="1123"/>
      <c r="BE56" s="1265"/>
      <c r="BF56" s="1123"/>
      <c r="BG56" s="1265"/>
      <c r="BH56" s="1123"/>
      <c r="BI56" s="1265"/>
      <c r="BJ56" s="1123"/>
      <c r="BK56" s="1265"/>
      <c r="BL56" s="1123"/>
      <c r="BM56" s="1265"/>
      <c r="BN56" s="1123"/>
      <c r="BO56" s="1265"/>
      <c r="BP56" s="1123"/>
      <c r="BQ56" s="1265"/>
      <c r="BR56" s="1123"/>
      <c r="BS56" s="1265"/>
      <c r="BT56" s="1123"/>
      <c r="BU56" s="5247"/>
      <c r="BV56" s="5248"/>
      <c r="BW56" s="5247"/>
      <c r="BX56" s="5248"/>
      <c r="BY56" s="5247"/>
      <c r="BZ56" s="5248"/>
      <c r="CA56" s="397"/>
      <c r="CN56" s="863">
        <v>0</v>
      </c>
    </row>
    <row s="10232" customFormat="1" customHeight="1" ht="11.25" hidden="1">
      <c r="A57" s="3229"/>
      <c r="B57" s="618"/>
      <c r="D57" s="772" t="s">
        <v>1049</v>
      </c>
      <c r="E57" s="778" t="s">
        <v>1040</v>
      </c>
      <c r="F57" s="767" t="s">
        <v>1023</v>
      </c>
      <c r="G57" s="775"/>
      <c r="H57" s="1123"/>
      <c r="I57" s="775"/>
      <c r="J57" s="1123"/>
      <c r="K57" s="1265"/>
      <c r="L57" s="1123"/>
      <c r="M57" s="1265"/>
      <c r="N57" s="1123"/>
      <c r="O57" s="1265"/>
      <c r="P57" s="1123"/>
      <c r="Q57" s="1265"/>
      <c r="R57" s="1123"/>
      <c r="S57" s="1265"/>
      <c r="T57" s="1123"/>
      <c r="U57" s="1265"/>
      <c r="V57" s="1123"/>
      <c r="W57" s="1265"/>
      <c r="X57" s="1123"/>
      <c r="Y57" s="1265"/>
      <c r="Z57" s="1123"/>
      <c r="AA57" s="1265"/>
      <c r="AB57" s="1123"/>
      <c r="AC57" s="1265"/>
      <c r="AD57" s="1123"/>
      <c r="AE57" s="1265"/>
      <c r="AF57" s="1123"/>
      <c r="AG57" s="1265"/>
      <c r="AH57" s="1123"/>
      <c r="AI57" s="1265"/>
      <c r="AJ57" s="1123"/>
      <c r="AK57" s="1265"/>
      <c r="AL57" s="1123"/>
      <c r="AM57" s="1265"/>
      <c r="AN57" s="1123"/>
      <c r="AO57" s="1265"/>
      <c r="AP57" s="1123"/>
      <c r="AQ57" s="1265"/>
      <c r="AR57" s="1123"/>
      <c r="AS57" s="1265"/>
      <c r="AT57" s="1123"/>
      <c r="AU57" s="1265"/>
      <c r="AV57" s="1123"/>
      <c r="AW57" s="1265"/>
      <c r="AX57" s="1123"/>
      <c r="AY57" s="1265"/>
      <c r="AZ57" s="1123"/>
      <c r="BA57" s="1265"/>
      <c r="BB57" s="1123"/>
      <c r="BC57" s="1265"/>
      <c r="BD57" s="1123"/>
      <c r="BE57" s="1265"/>
      <c r="BF57" s="1123"/>
      <c r="BG57" s="1265"/>
      <c r="BH57" s="1123"/>
      <c r="BI57" s="1265"/>
      <c r="BJ57" s="1123"/>
      <c r="BK57" s="1265"/>
      <c r="BL57" s="1123"/>
      <c r="BM57" s="1265"/>
      <c r="BN57" s="1123"/>
      <c r="BO57" s="1265"/>
      <c r="BP57" s="1123"/>
      <c r="BQ57" s="1265"/>
      <c r="BR57" s="1123"/>
      <c r="BS57" s="1265"/>
      <c r="BT57" s="1123"/>
      <c r="BU57" s="5247"/>
      <c r="BV57" s="5248"/>
      <c r="BW57" s="5247"/>
      <c r="BX57" s="5248"/>
      <c r="BY57" s="5247"/>
      <c r="BZ57" s="5248"/>
      <c r="CA57" s="397"/>
      <c r="CN57" s="863">
        <v>0</v>
      </c>
    </row>
    <row s="10232" customFormat="1" customHeight="1" ht="11.25" hidden="1">
      <c r="A58" s="3229"/>
      <c r="B58" s="618"/>
      <c r="D58" s="772" t="s">
        <v>1050</v>
      </c>
      <c r="E58" s="774" t="s">
        <v>1042</v>
      </c>
      <c r="F58" s="767" t="s">
        <v>1023</v>
      </c>
      <c r="G58" s="775"/>
      <c r="H58" s="1123"/>
      <c r="I58" s="775"/>
      <c r="J58" s="1123"/>
      <c r="K58" s="1265"/>
      <c r="L58" s="1123"/>
      <c r="M58" s="1265"/>
      <c r="N58" s="1123"/>
      <c r="O58" s="1265"/>
      <c r="P58" s="1123"/>
      <c r="Q58" s="1265"/>
      <c r="R58" s="1123"/>
      <c r="S58" s="1265"/>
      <c r="T58" s="1123"/>
      <c r="U58" s="1265"/>
      <c r="V58" s="1123"/>
      <c r="W58" s="1265"/>
      <c r="X58" s="1123"/>
      <c r="Y58" s="1265"/>
      <c r="Z58" s="1123"/>
      <c r="AA58" s="1265"/>
      <c r="AB58" s="1123"/>
      <c r="AC58" s="1265"/>
      <c r="AD58" s="1123"/>
      <c r="AE58" s="1265"/>
      <c r="AF58" s="1123"/>
      <c r="AG58" s="1265"/>
      <c r="AH58" s="1123"/>
      <c r="AI58" s="1265"/>
      <c r="AJ58" s="1123"/>
      <c r="AK58" s="1265"/>
      <c r="AL58" s="1123"/>
      <c r="AM58" s="1265"/>
      <c r="AN58" s="1123"/>
      <c r="AO58" s="1265"/>
      <c r="AP58" s="1123"/>
      <c r="AQ58" s="1265"/>
      <c r="AR58" s="1123"/>
      <c r="AS58" s="1265"/>
      <c r="AT58" s="1123"/>
      <c r="AU58" s="1265"/>
      <c r="AV58" s="1123"/>
      <c r="AW58" s="1265"/>
      <c r="AX58" s="1123"/>
      <c r="AY58" s="1265"/>
      <c r="AZ58" s="1123"/>
      <c r="BA58" s="1265"/>
      <c r="BB58" s="1123"/>
      <c r="BC58" s="1265"/>
      <c r="BD58" s="1123"/>
      <c r="BE58" s="1265"/>
      <c r="BF58" s="1123"/>
      <c r="BG58" s="1265"/>
      <c r="BH58" s="1123"/>
      <c r="BI58" s="1265"/>
      <c r="BJ58" s="1123"/>
      <c r="BK58" s="1265"/>
      <c r="BL58" s="1123"/>
      <c r="BM58" s="1265"/>
      <c r="BN58" s="1123"/>
      <c r="BO58" s="1265"/>
      <c r="BP58" s="1123"/>
      <c r="BQ58" s="1265"/>
      <c r="BR58" s="1123"/>
      <c r="BS58" s="1265"/>
      <c r="BT58" s="1123"/>
      <c r="BU58" s="5247"/>
      <c r="BV58" s="5248"/>
      <c r="BW58" s="5247"/>
      <c r="BX58" s="5248"/>
      <c r="BY58" s="5247"/>
      <c r="BZ58" s="5248"/>
      <c r="CA58" s="397"/>
      <c r="CN58" s="863">
        <v>0</v>
      </c>
    </row>
    <row s="10232" customFormat="1" customHeight="1" ht="11.25" hidden="1">
      <c r="A59" s="3229"/>
      <c r="B59" s="618"/>
      <c r="D59" s="772" t="s">
        <v>1051</v>
      </c>
      <c r="E59" s="774" t="s">
        <v>1044</v>
      </c>
      <c r="F59" s="767" t="s">
        <v>1023</v>
      </c>
      <c r="G59" s="775"/>
      <c r="H59" s="1123"/>
      <c r="I59" s="775"/>
      <c r="J59" s="1123"/>
      <c r="K59" s="1265"/>
      <c r="L59" s="1123"/>
      <c r="M59" s="1265"/>
      <c r="N59" s="1123"/>
      <c r="O59" s="1265"/>
      <c r="P59" s="1123"/>
      <c r="Q59" s="1265"/>
      <c r="R59" s="1123"/>
      <c r="S59" s="1265"/>
      <c r="T59" s="1123"/>
      <c r="U59" s="1265"/>
      <c r="V59" s="1123"/>
      <c r="W59" s="1265"/>
      <c r="X59" s="1123"/>
      <c r="Y59" s="1265"/>
      <c r="Z59" s="1123"/>
      <c r="AA59" s="1265"/>
      <c r="AB59" s="1123"/>
      <c r="AC59" s="1265"/>
      <c r="AD59" s="1123"/>
      <c r="AE59" s="1265"/>
      <c r="AF59" s="1123"/>
      <c r="AG59" s="1265"/>
      <c r="AH59" s="1123"/>
      <c r="AI59" s="1265"/>
      <c r="AJ59" s="1123"/>
      <c r="AK59" s="1265"/>
      <c r="AL59" s="1123"/>
      <c r="AM59" s="1265"/>
      <c r="AN59" s="1123"/>
      <c r="AO59" s="1265"/>
      <c r="AP59" s="1123"/>
      <c r="AQ59" s="1265"/>
      <c r="AR59" s="1123"/>
      <c r="AS59" s="1265"/>
      <c r="AT59" s="1123"/>
      <c r="AU59" s="1265"/>
      <c r="AV59" s="1123"/>
      <c r="AW59" s="1265"/>
      <c r="AX59" s="1123"/>
      <c r="AY59" s="1265"/>
      <c r="AZ59" s="1123"/>
      <c r="BA59" s="1265"/>
      <c r="BB59" s="1123"/>
      <c r="BC59" s="1265"/>
      <c r="BD59" s="1123"/>
      <c r="BE59" s="1265"/>
      <c r="BF59" s="1123"/>
      <c r="BG59" s="1265"/>
      <c r="BH59" s="1123"/>
      <c r="BI59" s="1265"/>
      <c r="BJ59" s="1123"/>
      <c r="BK59" s="1265"/>
      <c r="BL59" s="1123"/>
      <c r="BM59" s="1265"/>
      <c r="BN59" s="1123"/>
      <c r="BO59" s="1265"/>
      <c r="BP59" s="1123"/>
      <c r="BQ59" s="1265"/>
      <c r="BR59" s="1123"/>
      <c r="BS59" s="1265"/>
      <c r="BT59" s="1123"/>
      <c r="BU59" s="5247"/>
      <c r="BV59" s="5248"/>
      <c r="BW59" s="5247"/>
      <c r="BX59" s="5248"/>
      <c r="BY59" s="5247"/>
      <c r="BZ59" s="5248"/>
      <c r="CA59" s="397"/>
      <c r="CN59" s="863">
        <v>0</v>
      </c>
    </row>
    <row s="10232" customFormat="1" customHeight="1" ht="33.75" hidden="1">
      <c r="A60" s="3229"/>
      <c r="B60" s="618"/>
      <c r="D60" s="772" t="s">
        <v>92</v>
      </c>
      <c r="E60" s="773" t="s">
        <v>1052</v>
      </c>
      <c r="F60" s="828" t="s">
        <v>643</v>
      </c>
      <c r="G60" s="849"/>
      <c r="H60" s="1123"/>
      <c r="I60" s="849"/>
      <c r="J60" s="1123"/>
      <c r="K60" s="849"/>
      <c r="L60" s="1123"/>
      <c r="M60" s="849"/>
      <c r="N60" s="1123"/>
      <c r="O60" s="849"/>
      <c r="P60" s="1123"/>
      <c r="Q60" s="849"/>
      <c r="R60" s="1123"/>
      <c r="S60" s="849"/>
      <c r="T60" s="1123"/>
      <c r="U60" s="849"/>
      <c r="V60" s="1123"/>
      <c r="W60" s="849"/>
      <c r="X60" s="1123"/>
      <c r="Y60" s="849"/>
      <c r="Z60" s="1123"/>
      <c r="AA60" s="849"/>
      <c r="AB60" s="1123"/>
      <c r="AC60" s="849"/>
      <c r="AD60" s="1123"/>
      <c r="AE60" s="849"/>
      <c r="AF60" s="1123"/>
      <c r="AG60" s="849"/>
      <c r="AH60" s="1123"/>
      <c r="AI60" s="849"/>
      <c r="AJ60" s="1123"/>
      <c r="AK60" s="849"/>
      <c r="AL60" s="1123"/>
      <c r="AM60" s="849"/>
      <c r="AN60" s="1123"/>
      <c r="AO60" s="849"/>
      <c r="AP60" s="1123"/>
      <c r="AQ60" s="849"/>
      <c r="AR60" s="1123"/>
      <c r="AS60" s="849"/>
      <c r="AT60" s="1123"/>
      <c r="AU60" s="849"/>
      <c r="AV60" s="1123"/>
      <c r="AW60" s="849"/>
      <c r="AX60" s="1123"/>
      <c r="AY60" s="849"/>
      <c r="AZ60" s="1123"/>
      <c r="BA60" s="849"/>
      <c r="BB60" s="1123"/>
      <c r="BC60" s="849"/>
      <c r="BD60" s="1123"/>
      <c r="BE60" s="849"/>
      <c r="BF60" s="1123"/>
      <c r="BG60" s="849"/>
      <c r="BH60" s="1123"/>
      <c r="BI60" s="849"/>
      <c r="BJ60" s="1123"/>
      <c r="BK60" s="849"/>
      <c r="BL60" s="1123"/>
      <c r="BM60" s="849"/>
      <c r="BN60" s="1123"/>
      <c r="BO60" s="849"/>
      <c r="BP60" s="1123"/>
      <c r="BQ60" s="849"/>
      <c r="BR60" s="1123"/>
      <c r="BS60" s="849"/>
      <c r="BT60" s="1123"/>
      <c r="BU60" s="5259"/>
      <c r="BV60" s="5248"/>
      <c r="BW60" s="5259"/>
      <c r="BX60" s="5248"/>
      <c r="BY60" s="5259"/>
      <c r="BZ60" s="5248"/>
      <c r="CA60" s="410" t="s">
        <v>1053</v>
      </c>
      <c r="CN60" s="863">
        <v>0</v>
      </c>
    </row>
    <row s="10232" customFormat="1" customHeight="1" ht="33.75" hidden="1">
      <c r="A61" s="3229"/>
      <c r="B61" s="618"/>
      <c r="D61" s="772" t="s">
        <v>93</v>
      </c>
      <c r="E61" s="773" t="s">
        <v>1054</v>
      </c>
      <c r="F61" s="833" t="s">
        <v>978</v>
      </c>
      <c r="G61" s="775"/>
      <c r="H61" s="1123"/>
      <c r="I61" s="775"/>
      <c r="J61" s="1123"/>
      <c r="K61" s="1265"/>
      <c r="L61" s="1123"/>
      <c r="M61" s="1265"/>
      <c r="N61" s="1123"/>
      <c r="O61" s="1265"/>
      <c r="P61" s="1123"/>
      <c r="Q61" s="1265"/>
      <c r="R61" s="1123"/>
      <c r="S61" s="1265"/>
      <c r="T61" s="1123"/>
      <c r="U61" s="1265"/>
      <c r="V61" s="1123"/>
      <c r="W61" s="1265"/>
      <c r="X61" s="1123"/>
      <c r="Y61" s="1265"/>
      <c r="Z61" s="1123"/>
      <c r="AA61" s="1265"/>
      <c r="AB61" s="1123"/>
      <c r="AC61" s="1265"/>
      <c r="AD61" s="1123"/>
      <c r="AE61" s="1265"/>
      <c r="AF61" s="1123"/>
      <c r="AG61" s="1265"/>
      <c r="AH61" s="1123"/>
      <c r="AI61" s="1265"/>
      <c r="AJ61" s="1123"/>
      <c r="AK61" s="1265"/>
      <c r="AL61" s="1123"/>
      <c r="AM61" s="1265"/>
      <c r="AN61" s="1123"/>
      <c r="AO61" s="1265"/>
      <c r="AP61" s="1123"/>
      <c r="AQ61" s="1265"/>
      <c r="AR61" s="1123"/>
      <c r="AS61" s="1265"/>
      <c r="AT61" s="1123"/>
      <c r="AU61" s="1265"/>
      <c r="AV61" s="1123"/>
      <c r="AW61" s="1265"/>
      <c r="AX61" s="1123"/>
      <c r="AY61" s="1265"/>
      <c r="AZ61" s="1123"/>
      <c r="BA61" s="1265"/>
      <c r="BB61" s="1123"/>
      <c r="BC61" s="1265"/>
      <c r="BD61" s="1123"/>
      <c r="BE61" s="1265"/>
      <c r="BF61" s="1123"/>
      <c r="BG61" s="1265"/>
      <c r="BH61" s="1123"/>
      <c r="BI61" s="1265"/>
      <c r="BJ61" s="1123"/>
      <c r="BK61" s="1265"/>
      <c r="BL61" s="1123"/>
      <c r="BM61" s="1265"/>
      <c r="BN61" s="1123"/>
      <c r="BO61" s="1265"/>
      <c r="BP61" s="1123"/>
      <c r="BQ61" s="1265"/>
      <c r="BR61" s="1123"/>
      <c r="BS61" s="1265"/>
      <c r="BT61" s="1123"/>
      <c r="BU61" s="5247"/>
      <c r="BV61" s="5248"/>
      <c r="BW61" s="5247"/>
      <c r="BX61" s="5248"/>
      <c r="BY61" s="5247"/>
      <c r="BZ61" s="5248"/>
      <c r="CA61" s="397"/>
      <c r="CN61" s="863">
        <v>0</v>
      </c>
    </row>
    <row s="10232" customFormat="1" customHeight="1" ht="22.5" hidden="1">
      <c r="A62" s="3229"/>
      <c r="B62" s="618" t="s">
        <v>674</v>
      </c>
      <c r="D62" s="772" t="s">
        <v>136</v>
      </c>
      <c r="E62" s="773" t="s">
        <v>1055</v>
      </c>
      <c r="F62" s="833" t="s">
        <v>391</v>
      </c>
      <c r="G62" s="489"/>
      <c r="H62" s="1123"/>
      <c r="I62" s="489"/>
      <c r="J62" s="1123"/>
      <c r="K62" s="1260"/>
      <c r="L62" s="1123"/>
      <c r="M62" s="1260"/>
      <c r="N62" s="1123"/>
      <c r="O62" s="1260"/>
      <c r="P62" s="1123"/>
      <c r="Q62" s="1260"/>
      <c r="R62" s="1123"/>
      <c r="S62" s="1260"/>
      <c r="T62" s="1123"/>
      <c r="U62" s="1260"/>
      <c r="V62" s="1123"/>
      <c r="W62" s="1260"/>
      <c r="X62" s="1123"/>
      <c r="Y62" s="1260"/>
      <c r="Z62" s="1123"/>
      <c r="AA62" s="1260"/>
      <c r="AB62" s="1123"/>
      <c r="AC62" s="1260"/>
      <c r="AD62" s="1123"/>
      <c r="AE62" s="1260"/>
      <c r="AF62" s="1123"/>
      <c r="AG62" s="1260"/>
      <c r="AH62" s="1123"/>
      <c r="AI62" s="1260"/>
      <c r="AJ62" s="1123"/>
      <c r="AK62" s="1260"/>
      <c r="AL62" s="1123"/>
      <c r="AM62" s="1260"/>
      <c r="AN62" s="1123"/>
      <c r="AO62" s="1260"/>
      <c r="AP62" s="1123"/>
      <c r="AQ62" s="1260"/>
      <c r="AR62" s="1123"/>
      <c r="AS62" s="1260"/>
      <c r="AT62" s="1123"/>
      <c r="AU62" s="1260"/>
      <c r="AV62" s="1123"/>
      <c r="AW62" s="1260"/>
      <c r="AX62" s="1123"/>
      <c r="AY62" s="1260"/>
      <c r="AZ62" s="1123"/>
      <c r="BA62" s="1260"/>
      <c r="BB62" s="1123"/>
      <c r="BC62" s="1260"/>
      <c r="BD62" s="1123"/>
      <c r="BE62" s="1260"/>
      <c r="BF62" s="1123"/>
      <c r="BG62" s="1260"/>
      <c r="BH62" s="1123"/>
      <c r="BI62" s="1260"/>
      <c r="BJ62" s="1123"/>
      <c r="BK62" s="1260"/>
      <c r="BL62" s="1123"/>
      <c r="BM62" s="1260"/>
      <c r="BN62" s="1123"/>
      <c r="BO62" s="1260"/>
      <c r="BP62" s="1123"/>
      <c r="BQ62" s="1260"/>
      <c r="BR62" s="1123"/>
      <c r="BS62" s="1260"/>
      <c r="BT62" s="1123"/>
      <c r="BU62" s="5265"/>
      <c r="BV62" s="5248"/>
      <c r="BW62" s="5265"/>
      <c r="BX62" s="5248"/>
      <c r="BY62" s="5265"/>
      <c r="BZ62" s="5248"/>
      <c r="CA62" s="397" t="s">
        <v>771</v>
      </c>
      <c r="CN62" s="863">
        <v>0</v>
      </c>
    </row>
    <row s="10232" customFormat="1" customHeight="1" ht="45" hidden="1">
      <c r="A63" s="3229"/>
      <c r="B63" s="618" t="s">
        <v>674</v>
      </c>
      <c r="D63" s="772" t="s">
        <v>1056</v>
      </c>
      <c r="E63" s="774" t="s">
        <v>1057</v>
      </c>
      <c r="F63" s="828" t="s">
        <v>391</v>
      </c>
      <c r="G63" s="489"/>
      <c r="H63" s="1123"/>
      <c r="I63" s="489"/>
      <c r="J63" s="1123"/>
      <c r="K63" s="1260"/>
      <c r="L63" s="1123"/>
      <c r="M63" s="1260"/>
      <c r="N63" s="1123"/>
      <c r="O63" s="1260"/>
      <c r="P63" s="1123"/>
      <c r="Q63" s="1260"/>
      <c r="R63" s="1123"/>
      <c r="S63" s="1260"/>
      <c r="T63" s="1123"/>
      <c r="U63" s="1260"/>
      <c r="V63" s="1123"/>
      <c r="W63" s="1260"/>
      <c r="X63" s="1123"/>
      <c r="Y63" s="1260"/>
      <c r="Z63" s="1123"/>
      <c r="AA63" s="1260"/>
      <c r="AB63" s="1123"/>
      <c r="AC63" s="1260"/>
      <c r="AD63" s="1123"/>
      <c r="AE63" s="1260"/>
      <c r="AF63" s="1123"/>
      <c r="AG63" s="1260"/>
      <c r="AH63" s="1123"/>
      <c r="AI63" s="1260"/>
      <c r="AJ63" s="1123"/>
      <c r="AK63" s="1260"/>
      <c r="AL63" s="1123"/>
      <c r="AM63" s="1260"/>
      <c r="AN63" s="1123"/>
      <c r="AO63" s="1260"/>
      <c r="AP63" s="1123"/>
      <c r="AQ63" s="1260"/>
      <c r="AR63" s="1123"/>
      <c r="AS63" s="1260"/>
      <c r="AT63" s="1123"/>
      <c r="AU63" s="1260"/>
      <c r="AV63" s="1123"/>
      <c r="AW63" s="1260"/>
      <c r="AX63" s="1123"/>
      <c r="AY63" s="1260"/>
      <c r="AZ63" s="1123"/>
      <c r="BA63" s="1260"/>
      <c r="BB63" s="1123"/>
      <c r="BC63" s="1260"/>
      <c r="BD63" s="1123"/>
      <c r="BE63" s="1260"/>
      <c r="BF63" s="1123"/>
      <c r="BG63" s="1260"/>
      <c r="BH63" s="1123"/>
      <c r="BI63" s="1260"/>
      <c r="BJ63" s="1123"/>
      <c r="BK63" s="1260"/>
      <c r="BL63" s="1123"/>
      <c r="BM63" s="1260"/>
      <c r="BN63" s="1123"/>
      <c r="BO63" s="1260"/>
      <c r="BP63" s="1123"/>
      <c r="BQ63" s="1260"/>
      <c r="BR63" s="1123"/>
      <c r="BS63" s="1260"/>
      <c r="BT63" s="1123"/>
      <c r="BU63" s="5265"/>
      <c r="BV63" s="5248"/>
      <c r="BW63" s="5265"/>
      <c r="BX63" s="5248"/>
      <c r="BY63" s="5265"/>
      <c r="BZ63" s="5248"/>
      <c r="CA63" s="397" t="s">
        <v>771</v>
      </c>
      <c r="CN63" s="863">
        <v>0</v>
      </c>
    </row>
    <row s="10232" customFormat="1" customHeight="1" ht="11.549999999999999">
      <c r="A64" s="1133"/>
      <c r="B64" s="625"/>
      <c r="D64" s="1134"/>
      <c r="E64" s="1135"/>
      <c r="BU64" s="4586"/>
      <c r="BV64" s="4586"/>
      <c r="BW64" s="4586"/>
      <c r="BX64" s="4586"/>
      <c r="BY64" s="4586"/>
      <c r="BZ64" s="4586"/>
      <c r="CN64" s="616">
        <v>11</v>
      </c>
    </row>
    <row s="10232" customFormat="1" customHeight="1" ht="22.5" hidden="1">
      <c r="A65" s="3229" t="s">
        <v>1058</v>
      </c>
      <c r="B65" s="618"/>
      <c r="D65" s="772">
        <v>1</v>
      </c>
      <c r="E65" s="851" t="s">
        <v>1059</v>
      </c>
      <c r="F65" s="847" t="s">
        <v>968</v>
      </c>
      <c r="G65" s="848"/>
      <c r="H65" s="1129"/>
      <c r="I65" s="848"/>
      <c r="J65" s="1129"/>
      <c r="K65" s="848"/>
      <c r="L65" s="1129"/>
      <c r="M65" s="848"/>
      <c r="N65" s="1129"/>
      <c r="O65" s="848"/>
      <c r="P65" s="1129"/>
      <c r="Q65" s="848"/>
      <c r="R65" s="1129"/>
      <c r="S65" s="848"/>
      <c r="T65" s="1129"/>
      <c r="U65" s="848"/>
      <c r="V65" s="1129"/>
      <c r="W65" s="848"/>
      <c r="X65" s="1129"/>
      <c r="Y65" s="848"/>
      <c r="Z65" s="1129"/>
      <c r="AA65" s="848"/>
      <c r="AB65" s="1129"/>
      <c r="AC65" s="848"/>
      <c r="AD65" s="1129"/>
      <c r="AE65" s="848"/>
      <c r="AF65" s="1129"/>
      <c r="AG65" s="848"/>
      <c r="AH65" s="1129"/>
      <c r="AI65" s="848"/>
      <c r="AJ65" s="1129"/>
      <c r="AK65" s="848"/>
      <c r="AL65" s="1129"/>
      <c r="AM65" s="848"/>
      <c r="AN65" s="1129"/>
      <c r="AO65" s="848"/>
      <c r="AP65" s="1129"/>
      <c r="AQ65" s="848"/>
      <c r="AR65" s="1129"/>
      <c r="AS65" s="848"/>
      <c r="AT65" s="1129"/>
      <c r="AU65" s="848"/>
      <c r="AV65" s="1129"/>
      <c r="AW65" s="848"/>
      <c r="AX65" s="1129"/>
      <c r="AY65" s="848"/>
      <c r="AZ65" s="1129"/>
      <c r="BA65" s="848"/>
      <c r="BB65" s="1129"/>
      <c r="BC65" s="848"/>
      <c r="BD65" s="1129"/>
      <c r="BE65" s="848"/>
      <c r="BF65" s="1129"/>
      <c r="BG65" s="848"/>
      <c r="BH65" s="1129"/>
      <c r="BI65" s="848"/>
      <c r="BJ65" s="1129"/>
      <c r="BK65" s="848"/>
      <c r="BL65" s="1129"/>
      <c r="BM65" s="848"/>
      <c r="BN65" s="1129"/>
      <c r="BO65" s="848"/>
      <c r="BP65" s="1129"/>
      <c r="BQ65" s="848"/>
      <c r="BR65" s="1129"/>
      <c r="BS65" s="848"/>
      <c r="BT65" s="1129"/>
      <c r="BU65" s="5251"/>
      <c r="BV65" s="5269"/>
      <c r="BW65" s="5251"/>
      <c r="BX65" s="5269"/>
      <c r="BY65" s="5251"/>
      <c r="BZ65" s="5269"/>
      <c r="CA65" s="409" t="s">
        <v>1060</v>
      </c>
      <c r="CN65" s="863">
        <v>0</v>
      </c>
    </row>
    <row s="10232" customFormat="1" customHeight="1" ht="56.25" hidden="1">
      <c r="A66" s="3229"/>
      <c r="B66" s="618"/>
      <c r="D66" s="850" t="s">
        <v>102</v>
      </c>
      <c r="E66" s="814" t="s">
        <v>1061</v>
      </c>
      <c r="F66" s="767" t="s">
        <v>631</v>
      </c>
      <c r="G66" s="767" t="s">
        <v>631</v>
      </c>
      <c r="H66" s="626"/>
      <c r="I66" s="767" t="s">
        <v>631</v>
      </c>
      <c r="J66" s="626"/>
      <c r="K66" s="2168" t="s">
        <v>631</v>
      </c>
      <c r="L66" s="626"/>
      <c r="M66" s="2168" t="s">
        <v>631</v>
      </c>
      <c r="N66" s="626"/>
      <c r="O66" s="2168" t="s">
        <v>631</v>
      </c>
      <c r="P66" s="626"/>
      <c r="Q66" s="2168" t="s">
        <v>631</v>
      </c>
      <c r="R66" s="626"/>
      <c r="S66" s="2168" t="s">
        <v>631</v>
      </c>
      <c r="T66" s="626"/>
      <c r="U66" s="2168" t="s">
        <v>631</v>
      </c>
      <c r="V66" s="626"/>
      <c r="W66" s="2168" t="s">
        <v>631</v>
      </c>
      <c r="X66" s="626"/>
      <c r="Y66" s="2168" t="s">
        <v>631</v>
      </c>
      <c r="Z66" s="626"/>
      <c r="AA66" s="2168" t="s">
        <v>631</v>
      </c>
      <c r="AB66" s="626"/>
      <c r="AC66" s="2168" t="s">
        <v>631</v>
      </c>
      <c r="AD66" s="626"/>
      <c r="AE66" s="2168" t="s">
        <v>631</v>
      </c>
      <c r="AF66" s="626"/>
      <c r="AG66" s="2168" t="s">
        <v>631</v>
      </c>
      <c r="AH66" s="626"/>
      <c r="AI66" s="2168" t="s">
        <v>631</v>
      </c>
      <c r="AJ66" s="626"/>
      <c r="AK66" s="2168" t="s">
        <v>631</v>
      </c>
      <c r="AL66" s="626"/>
      <c r="AM66" s="2168" t="s">
        <v>631</v>
      </c>
      <c r="AN66" s="626"/>
      <c r="AO66" s="2168" t="s">
        <v>631</v>
      </c>
      <c r="AP66" s="626"/>
      <c r="AQ66" s="2168" t="s">
        <v>631</v>
      </c>
      <c r="AR66" s="626"/>
      <c r="AS66" s="2168" t="s">
        <v>631</v>
      </c>
      <c r="AT66" s="626"/>
      <c r="AU66" s="2168" t="s">
        <v>631</v>
      </c>
      <c r="AV66" s="626"/>
      <c r="AW66" s="2168" t="s">
        <v>631</v>
      </c>
      <c r="AX66" s="626"/>
      <c r="AY66" s="2168" t="s">
        <v>631</v>
      </c>
      <c r="AZ66" s="626"/>
      <c r="BA66" s="2168" t="s">
        <v>631</v>
      </c>
      <c r="BB66" s="626"/>
      <c r="BC66" s="2168" t="s">
        <v>631</v>
      </c>
      <c r="BD66" s="626"/>
      <c r="BE66" s="2168" t="s">
        <v>631</v>
      </c>
      <c r="BF66" s="626"/>
      <c r="BG66" s="2168" t="s">
        <v>631</v>
      </c>
      <c r="BH66" s="626"/>
      <c r="BI66" s="2168" t="s">
        <v>631</v>
      </c>
      <c r="BJ66" s="626"/>
      <c r="BK66" s="2168" t="s">
        <v>631</v>
      </c>
      <c r="BL66" s="626"/>
      <c r="BM66" s="2168" t="s">
        <v>631</v>
      </c>
      <c r="BN66" s="626"/>
      <c r="BO66" s="2168" t="s">
        <v>631</v>
      </c>
      <c r="BP66" s="626"/>
      <c r="BQ66" s="2168" t="s">
        <v>631</v>
      </c>
      <c r="BR66" s="626"/>
      <c r="BS66" s="2168" t="s">
        <v>631</v>
      </c>
      <c r="BT66" s="626"/>
      <c r="BU66" s="5255" t="s">
        <v>631</v>
      </c>
      <c r="BV66" s="5235"/>
      <c r="BW66" s="5255" t="s">
        <v>631</v>
      </c>
      <c r="BX66" s="5235"/>
      <c r="BY66" s="5255" t="s">
        <v>631</v>
      </c>
      <c r="BZ66" s="5235"/>
      <c r="CA66" s="397"/>
      <c r="CN66" s="863">
        <v>0</v>
      </c>
    </row>
    <row s="10232" customFormat="1" customHeight="1" ht="33.75" hidden="1">
      <c r="A67" s="3229"/>
      <c r="B67" s="618"/>
      <c r="D67" s="850" t="s">
        <v>848</v>
      </c>
      <c r="E67" s="1054" t="s">
        <v>1062</v>
      </c>
      <c r="F67" s="767" t="s">
        <v>1026</v>
      </c>
      <c r="G67" s="834"/>
      <c r="H67" s="626"/>
      <c r="I67" s="834"/>
      <c r="J67" s="626"/>
      <c r="K67" s="834"/>
      <c r="L67" s="626"/>
      <c r="M67" s="834"/>
      <c r="N67" s="626"/>
      <c r="O67" s="834"/>
      <c r="P67" s="626"/>
      <c r="Q67" s="834"/>
      <c r="R67" s="626"/>
      <c r="S67" s="834"/>
      <c r="T67" s="626"/>
      <c r="U67" s="834"/>
      <c r="V67" s="626"/>
      <c r="W67" s="834"/>
      <c r="X67" s="626"/>
      <c r="Y67" s="834"/>
      <c r="Z67" s="626"/>
      <c r="AA67" s="834"/>
      <c r="AB67" s="626"/>
      <c r="AC67" s="834"/>
      <c r="AD67" s="626"/>
      <c r="AE67" s="834"/>
      <c r="AF67" s="626"/>
      <c r="AG67" s="834"/>
      <c r="AH67" s="626"/>
      <c r="AI67" s="834"/>
      <c r="AJ67" s="626"/>
      <c r="AK67" s="834"/>
      <c r="AL67" s="626"/>
      <c r="AM67" s="834"/>
      <c r="AN67" s="626"/>
      <c r="AO67" s="834"/>
      <c r="AP67" s="626"/>
      <c r="AQ67" s="834"/>
      <c r="AR67" s="626"/>
      <c r="AS67" s="834"/>
      <c r="AT67" s="626"/>
      <c r="AU67" s="834"/>
      <c r="AV67" s="626"/>
      <c r="AW67" s="834"/>
      <c r="AX67" s="626"/>
      <c r="AY67" s="834"/>
      <c r="AZ67" s="626"/>
      <c r="BA67" s="834"/>
      <c r="BB67" s="626"/>
      <c r="BC67" s="834"/>
      <c r="BD67" s="626"/>
      <c r="BE67" s="834"/>
      <c r="BF67" s="626"/>
      <c r="BG67" s="834"/>
      <c r="BH67" s="626"/>
      <c r="BI67" s="834"/>
      <c r="BJ67" s="626"/>
      <c r="BK67" s="834"/>
      <c r="BL67" s="626"/>
      <c r="BM67" s="834"/>
      <c r="BN67" s="626"/>
      <c r="BO67" s="834"/>
      <c r="BP67" s="626"/>
      <c r="BQ67" s="834"/>
      <c r="BR67" s="626"/>
      <c r="BS67" s="834"/>
      <c r="BT67" s="626"/>
      <c r="BU67" s="5045"/>
      <c r="BV67" s="5235"/>
      <c r="BW67" s="5045"/>
      <c r="BX67" s="5235"/>
      <c r="BY67" s="5045"/>
      <c r="BZ67" s="5235"/>
      <c r="CA67" s="397"/>
      <c r="CN67" s="863">
        <v>0</v>
      </c>
    </row>
    <row s="10232" customFormat="1" customHeight="1" ht="22.5" hidden="1">
      <c r="A68" s="3229"/>
      <c r="B68" s="618"/>
      <c r="D68" s="850" t="s">
        <v>392</v>
      </c>
      <c r="E68" s="1054" t="s">
        <v>1063</v>
      </c>
      <c r="F68" s="767" t="s">
        <v>1026</v>
      </c>
      <c r="G68" s="834"/>
      <c r="H68" s="626"/>
      <c r="I68" s="834"/>
      <c r="J68" s="626"/>
      <c r="K68" s="834"/>
      <c r="L68" s="626"/>
      <c r="M68" s="834"/>
      <c r="N68" s="626"/>
      <c r="O68" s="834"/>
      <c r="P68" s="626"/>
      <c r="Q68" s="834"/>
      <c r="R68" s="626"/>
      <c r="S68" s="834"/>
      <c r="T68" s="626"/>
      <c r="U68" s="834"/>
      <c r="V68" s="626"/>
      <c r="W68" s="834"/>
      <c r="X68" s="626"/>
      <c r="Y68" s="834"/>
      <c r="Z68" s="626"/>
      <c r="AA68" s="834"/>
      <c r="AB68" s="626"/>
      <c r="AC68" s="834"/>
      <c r="AD68" s="626"/>
      <c r="AE68" s="834"/>
      <c r="AF68" s="626"/>
      <c r="AG68" s="834"/>
      <c r="AH68" s="626"/>
      <c r="AI68" s="834"/>
      <c r="AJ68" s="626"/>
      <c r="AK68" s="834"/>
      <c r="AL68" s="626"/>
      <c r="AM68" s="834"/>
      <c r="AN68" s="626"/>
      <c r="AO68" s="834"/>
      <c r="AP68" s="626"/>
      <c r="AQ68" s="834"/>
      <c r="AR68" s="626"/>
      <c r="AS68" s="834"/>
      <c r="AT68" s="626"/>
      <c r="AU68" s="834"/>
      <c r="AV68" s="626"/>
      <c r="AW68" s="834"/>
      <c r="AX68" s="626"/>
      <c r="AY68" s="834"/>
      <c r="AZ68" s="626"/>
      <c r="BA68" s="834"/>
      <c r="BB68" s="626"/>
      <c r="BC68" s="834"/>
      <c r="BD68" s="626"/>
      <c r="BE68" s="834"/>
      <c r="BF68" s="626"/>
      <c r="BG68" s="834"/>
      <c r="BH68" s="626"/>
      <c r="BI68" s="834"/>
      <c r="BJ68" s="626"/>
      <c r="BK68" s="834"/>
      <c r="BL68" s="626"/>
      <c r="BM68" s="834"/>
      <c r="BN68" s="626"/>
      <c r="BO68" s="834"/>
      <c r="BP68" s="626"/>
      <c r="BQ68" s="834"/>
      <c r="BR68" s="626"/>
      <c r="BS68" s="834"/>
      <c r="BT68" s="626"/>
      <c r="BU68" s="5045"/>
      <c r="BV68" s="5235"/>
      <c r="BW68" s="5045"/>
      <c r="BX68" s="5235"/>
      <c r="BY68" s="5045"/>
      <c r="BZ68" s="5235"/>
      <c r="CA68" s="397"/>
      <c r="CN68" s="863">
        <v>0</v>
      </c>
    </row>
    <row s="10232" customFormat="1" customHeight="1" ht="22.5" hidden="1">
      <c r="A69" s="3229"/>
      <c r="B69" s="618"/>
      <c r="D69" s="850" t="s">
        <v>395</v>
      </c>
      <c r="E69" s="1054" t="s">
        <v>1064</v>
      </c>
      <c r="F69" s="828" t="s">
        <v>643</v>
      </c>
      <c r="G69" s="849"/>
      <c r="H69" s="626"/>
      <c r="I69" s="849"/>
      <c r="J69" s="626"/>
      <c r="K69" s="849"/>
      <c r="L69" s="626"/>
      <c r="M69" s="849"/>
      <c r="N69" s="626"/>
      <c r="O69" s="849"/>
      <c r="P69" s="626"/>
      <c r="Q69" s="849"/>
      <c r="R69" s="626"/>
      <c r="S69" s="849"/>
      <c r="T69" s="626"/>
      <c r="U69" s="849"/>
      <c r="V69" s="626"/>
      <c r="W69" s="849"/>
      <c r="X69" s="626"/>
      <c r="Y69" s="849"/>
      <c r="Z69" s="626"/>
      <c r="AA69" s="849"/>
      <c r="AB69" s="626"/>
      <c r="AC69" s="849"/>
      <c r="AD69" s="626"/>
      <c r="AE69" s="849"/>
      <c r="AF69" s="626"/>
      <c r="AG69" s="849"/>
      <c r="AH69" s="626"/>
      <c r="AI69" s="849"/>
      <c r="AJ69" s="626"/>
      <c r="AK69" s="849"/>
      <c r="AL69" s="626"/>
      <c r="AM69" s="849"/>
      <c r="AN69" s="626"/>
      <c r="AO69" s="849"/>
      <c r="AP69" s="626"/>
      <c r="AQ69" s="849"/>
      <c r="AR69" s="626"/>
      <c r="AS69" s="849"/>
      <c r="AT69" s="626"/>
      <c r="AU69" s="849"/>
      <c r="AV69" s="626"/>
      <c r="AW69" s="849"/>
      <c r="AX69" s="626"/>
      <c r="AY69" s="849"/>
      <c r="AZ69" s="626"/>
      <c r="BA69" s="849"/>
      <c r="BB69" s="626"/>
      <c r="BC69" s="849"/>
      <c r="BD69" s="626"/>
      <c r="BE69" s="849"/>
      <c r="BF69" s="626"/>
      <c r="BG69" s="849"/>
      <c r="BH69" s="626"/>
      <c r="BI69" s="849"/>
      <c r="BJ69" s="626"/>
      <c r="BK69" s="849"/>
      <c r="BL69" s="626"/>
      <c r="BM69" s="849"/>
      <c r="BN69" s="626"/>
      <c r="BO69" s="849"/>
      <c r="BP69" s="626"/>
      <c r="BQ69" s="849"/>
      <c r="BR69" s="626"/>
      <c r="BS69" s="849"/>
      <c r="BT69" s="626"/>
      <c r="BU69" s="5259"/>
      <c r="BV69" s="5235"/>
      <c r="BW69" s="5259"/>
      <c r="BX69" s="5235"/>
      <c r="BY69" s="5259"/>
      <c r="BZ69" s="5235"/>
      <c r="CA69" s="397"/>
      <c r="CN69" s="863">
        <v>0</v>
      </c>
    </row>
    <row s="10232" customFormat="1" customHeight="1" ht="22.5" hidden="1">
      <c r="A70" s="3229"/>
      <c r="B70" s="618"/>
      <c r="D70" s="850" t="s">
        <v>868</v>
      </c>
      <c r="E70" s="1054" t="s">
        <v>1065</v>
      </c>
      <c r="F70" s="828" t="s">
        <v>643</v>
      </c>
      <c r="G70" s="849"/>
      <c r="H70" s="626"/>
      <c r="I70" s="849"/>
      <c r="J70" s="626"/>
      <c r="K70" s="849"/>
      <c r="L70" s="626"/>
      <c r="M70" s="849"/>
      <c r="N70" s="626"/>
      <c r="O70" s="849"/>
      <c r="P70" s="626"/>
      <c r="Q70" s="849"/>
      <c r="R70" s="626"/>
      <c r="S70" s="849"/>
      <c r="T70" s="626"/>
      <c r="U70" s="849"/>
      <c r="V70" s="626"/>
      <c r="W70" s="849"/>
      <c r="X70" s="626"/>
      <c r="Y70" s="849"/>
      <c r="Z70" s="626"/>
      <c r="AA70" s="849"/>
      <c r="AB70" s="626"/>
      <c r="AC70" s="849"/>
      <c r="AD70" s="626"/>
      <c r="AE70" s="849"/>
      <c r="AF70" s="626"/>
      <c r="AG70" s="849"/>
      <c r="AH70" s="626"/>
      <c r="AI70" s="849"/>
      <c r="AJ70" s="626"/>
      <c r="AK70" s="849"/>
      <c r="AL70" s="626"/>
      <c r="AM70" s="849"/>
      <c r="AN70" s="626"/>
      <c r="AO70" s="849"/>
      <c r="AP70" s="626"/>
      <c r="AQ70" s="849"/>
      <c r="AR70" s="626"/>
      <c r="AS70" s="849"/>
      <c r="AT70" s="626"/>
      <c r="AU70" s="849"/>
      <c r="AV70" s="626"/>
      <c r="AW70" s="849"/>
      <c r="AX70" s="626"/>
      <c r="AY70" s="849"/>
      <c r="AZ70" s="626"/>
      <c r="BA70" s="849"/>
      <c r="BB70" s="626"/>
      <c r="BC70" s="849"/>
      <c r="BD70" s="626"/>
      <c r="BE70" s="849"/>
      <c r="BF70" s="626"/>
      <c r="BG70" s="849"/>
      <c r="BH70" s="626"/>
      <c r="BI70" s="849"/>
      <c r="BJ70" s="626"/>
      <c r="BK70" s="849"/>
      <c r="BL70" s="626"/>
      <c r="BM70" s="849"/>
      <c r="BN70" s="626"/>
      <c r="BO70" s="849"/>
      <c r="BP70" s="626"/>
      <c r="BQ70" s="849"/>
      <c r="BR70" s="626"/>
      <c r="BS70" s="849"/>
      <c r="BT70" s="626"/>
      <c r="BU70" s="5259"/>
      <c r="BV70" s="5235"/>
      <c r="BW70" s="5259"/>
      <c r="BX70" s="5235"/>
      <c r="BY70" s="5259"/>
      <c r="BZ70" s="5235"/>
      <c r="CA70" s="397"/>
      <c r="CN70" s="863">
        <v>0</v>
      </c>
    </row>
    <row s="10232" customFormat="1" customHeight="1" ht="22.5" hidden="1">
      <c r="A71" s="3229"/>
      <c r="B71" s="618"/>
      <c r="D71" s="772" t="s">
        <v>90</v>
      </c>
      <c r="E71" s="773" t="s">
        <v>1066</v>
      </c>
      <c r="F71" s="767" t="s">
        <v>1026</v>
      </c>
      <c r="G71" s="664"/>
      <c r="H71" s="1130"/>
      <c r="I71" s="664"/>
      <c r="J71" s="1130"/>
      <c r="K71" s="664"/>
      <c r="L71" s="1130"/>
      <c r="M71" s="664"/>
      <c r="N71" s="1130"/>
      <c r="O71" s="664"/>
      <c r="P71" s="1130"/>
      <c r="Q71" s="664"/>
      <c r="R71" s="1130"/>
      <c r="S71" s="664"/>
      <c r="T71" s="1130"/>
      <c r="U71" s="664"/>
      <c r="V71" s="1130"/>
      <c r="W71" s="664"/>
      <c r="X71" s="1130"/>
      <c r="Y71" s="664"/>
      <c r="Z71" s="1130"/>
      <c r="AA71" s="664"/>
      <c r="AB71" s="1130"/>
      <c r="AC71" s="664"/>
      <c r="AD71" s="1130"/>
      <c r="AE71" s="664"/>
      <c r="AF71" s="1130"/>
      <c r="AG71" s="664"/>
      <c r="AH71" s="1130"/>
      <c r="AI71" s="664"/>
      <c r="AJ71" s="1130"/>
      <c r="AK71" s="664"/>
      <c r="AL71" s="1130"/>
      <c r="AM71" s="664"/>
      <c r="AN71" s="1130"/>
      <c r="AO71" s="664"/>
      <c r="AP71" s="1130"/>
      <c r="AQ71" s="664"/>
      <c r="AR71" s="1130"/>
      <c r="AS71" s="664"/>
      <c r="AT71" s="1130"/>
      <c r="AU71" s="664"/>
      <c r="AV71" s="1130"/>
      <c r="AW71" s="664"/>
      <c r="AX71" s="1130"/>
      <c r="AY71" s="664"/>
      <c r="AZ71" s="1130"/>
      <c r="BA71" s="664"/>
      <c r="BB71" s="1130"/>
      <c r="BC71" s="664"/>
      <c r="BD71" s="1130"/>
      <c r="BE71" s="664"/>
      <c r="BF71" s="1130"/>
      <c r="BG71" s="664"/>
      <c r="BH71" s="1130"/>
      <c r="BI71" s="664"/>
      <c r="BJ71" s="1130"/>
      <c r="BK71" s="664"/>
      <c r="BL71" s="1130"/>
      <c r="BM71" s="664"/>
      <c r="BN71" s="1130"/>
      <c r="BO71" s="664"/>
      <c r="BP71" s="1130"/>
      <c r="BQ71" s="664"/>
      <c r="BR71" s="1130"/>
      <c r="BS71" s="664"/>
      <c r="BT71" s="1130"/>
      <c r="BU71" s="4643"/>
      <c r="BV71" s="5241"/>
      <c r="BW71" s="4643"/>
      <c r="BX71" s="5241"/>
      <c r="BY71" s="4643"/>
      <c r="BZ71" s="5241"/>
      <c r="CA71" s="410"/>
      <c r="CN71" s="863">
        <v>0</v>
      </c>
    </row>
    <row s="10232" customFormat="1" customHeight="1" ht="56.25" hidden="1">
      <c r="A72" s="3229"/>
      <c r="B72" s="618"/>
      <c r="D72" s="772" t="s">
        <v>91</v>
      </c>
      <c r="E72" s="773" t="s">
        <v>1067</v>
      </c>
      <c r="F72" s="828" t="s">
        <v>643</v>
      </c>
      <c r="G72" s="849"/>
      <c r="H72" s="1123"/>
      <c r="I72" s="849"/>
      <c r="J72" s="1123"/>
      <c r="K72" s="849"/>
      <c r="L72" s="1123"/>
      <c r="M72" s="849"/>
      <c r="N72" s="1123"/>
      <c r="O72" s="849"/>
      <c r="P72" s="1123"/>
      <c r="Q72" s="849"/>
      <c r="R72" s="1123"/>
      <c r="S72" s="849"/>
      <c r="T72" s="1123"/>
      <c r="U72" s="849"/>
      <c r="V72" s="1123"/>
      <c r="W72" s="849"/>
      <c r="X72" s="1123"/>
      <c r="Y72" s="849"/>
      <c r="Z72" s="1123"/>
      <c r="AA72" s="849"/>
      <c r="AB72" s="1123"/>
      <c r="AC72" s="849"/>
      <c r="AD72" s="1123"/>
      <c r="AE72" s="849"/>
      <c r="AF72" s="1123"/>
      <c r="AG72" s="849"/>
      <c r="AH72" s="1123"/>
      <c r="AI72" s="849"/>
      <c r="AJ72" s="1123"/>
      <c r="AK72" s="849"/>
      <c r="AL72" s="1123"/>
      <c r="AM72" s="849"/>
      <c r="AN72" s="1123"/>
      <c r="AO72" s="849"/>
      <c r="AP72" s="1123"/>
      <c r="AQ72" s="849"/>
      <c r="AR72" s="1123"/>
      <c r="AS72" s="849"/>
      <c r="AT72" s="1123"/>
      <c r="AU72" s="849"/>
      <c r="AV72" s="1123"/>
      <c r="AW72" s="849"/>
      <c r="AX72" s="1123"/>
      <c r="AY72" s="849"/>
      <c r="AZ72" s="1123"/>
      <c r="BA72" s="849"/>
      <c r="BB72" s="1123"/>
      <c r="BC72" s="849"/>
      <c r="BD72" s="1123"/>
      <c r="BE72" s="849"/>
      <c r="BF72" s="1123"/>
      <c r="BG72" s="849"/>
      <c r="BH72" s="1123"/>
      <c r="BI72" s="849"/>
      <c r="BJ72" s="1123"/>
      <c r="BK72" s="849"/>
      <c r="BL72" s="1123"/>
      <c r="BM72" s="849"/>
      <c r="BN72" s="1123"/>
      <c r="BO72" s="849"/>
      <c r="BP72" s="1123"/>
      <c r="BQ72" s="849"/>
      <c r="BR72" s="1123"/>
      <c r="BS72" s="849"/>
      <c r="BT72" s="1123"/>
      <c r="BU72" s="5259"/>
      <c r="BV72" s="5248"/>
      <c r="BW72" s="5259"/>
      <c r="BX72" s="5248"/>
      <c r="BY72" s="5259"/>
      <c r="BZ72" s="5248"/>
      <c r="CA72" s="410"/>
      <c r="CN72" s="863">
        <v>0</v>
      </c>
    </row>
    <row s="10232" customFormat="1" customHeight="1" ht="33.75" hidden="1">
      <c r="A73" s="3229"/>
      <c r="B73" s="618"/>
      <c r="D73" s="772" t="s">
        <v>121</v>
      </c>
      <c r="E73" s="773" t="s">
        <v>1068</v>
      </c>
      <c r="F73" s="833" t="s">
        <v>978</v>
      </c>
      <c r="G73" s="775"/>
      <c r="H73" s="1123"/>
      <c r="I73" s="775"/>
      <c r="J73" s="1123"/>
      <c r="K73" s="1265"/>
      <c r="L73" s="1123"/>
      <c r="M73" s="1265"/>
      <c r="N73" s="1123"/>
      <c r="O73" s="1265"/>
      <c r="P73" s="1123"/>
      <c r="Q73" s="1265"/>
      <c r="R73" s="1123"/>
      <c r="S73" s="1265"/>
      <c r="T73" s="1123"/>
      <c r="U73" s="1265"/>
      <c r="V73" s="1123"/>
      <c r="W73" s="1265"/>
      <c r="X73" s="1123"/>
      <c r="Y73" s="1265"/>
      <c r="Z73" s="1123"/>
      <c r="AA73" s="1265"/>
      <c r="AB73" s="1123"/>
      <c r="AC73" s="1265"/>
      <c r="AD73" s="1123"/>
      <c r="AE73" s="1265"/>
      <c r="AF73" s="1123"/>
      <c r="AG73" s="1265"/>
      <c r="AH73" s="1123"/>
      <c r="AI73" s="1265"/>
      <c r="AJ73" s="1123"/>
      <c r="AK73" s="1265"/>
      <c r="AL73" s="1123"/>
      <c r="AM73" s="1265"/>
      <c r="AN73" s="1123"/>
      <c r="AO73" s="1265"/>
      <c r="AP73" s="1123"/>
      <c r="AQ73" s="1265"/>
      <c r="AR73" s="1123"/>
      <c r="AS73" s="1265"/>
      <c r="AT73" s="1123"/>
      <c r="AU73" s="1265"/>
      <c r="AV73" s="1123"/>
      <c r="AW73" s="1265"/>
      <c r="AX73" s="1123"/>
      <c r="AY73" s="1265"/>
      <c r="AZ73" s="1123"/>
      <c r="BA73" s="1265"/>
      <c r="BB73" s="1123"/>
      <c r="BC73" s="1265"/>
      <c r="BD73" s="1123"/>
      <c r="BE73" s="1265"/>
      <c r="BF73" s="1123"/>
      <c r="BG73" s="1265"/>
      <c r="BH73" s="1123"/>
      <c r="BI73" s="1265"/>
      <c r="BJ73" s="1123"/>
      <c r="BK73" s="1265"/>
      <c r="BL73" s="1123"/>
      <c r="BM73" s="1265"/>
      <c r="BN73" s="1123"/>
      <c r="BO73" s="1265"/>
      <c r="BP73" s="1123"/>
      <c r="BQ73" s="1265"/>
      <c r="BR73" s="1123"/>
      <c r="BS73" s="1265"/>
      <c r="BT73" s="1123"/>
      <c r="BU73" s="5247"/>
      <c r="BV73" s="5248"/>
      <c r="BW73" s="5247"/>
      <c r="BX73" s="5248"/>
      <c r="BY73" s="5247"/>
      <c r="BZ73" s="5248"/>
      <c r="CA73" s="397"/>
      <c r="CN73" s="863">
        <v>0</v>
      </c>
    </row>
    <row s="10232" customFormat="1" customHeight="1" ht="22.5" hidden="1">
      <c r="A74" s="3229"/>
      <c r="B74" s="618" t="s">
        <v>674</v>
      </c>
      <c r="D74" s="772" t="s">
        <v>92</v>
      </c>
      <c r="E74" s="773" t="s">
        <v>1069</v>
      </c>
      <c r="F74" s="833" t="s">
        <v>391</v>
      </c>
      <c r="G74" s="489"/>
      <c r="H74" s="1123"/>
      <c r="I74" s="489"/>
      <c r="J74" s="1123"/>
      <c r="K74" s="1260"/>
      <c r="L74" s="1123"/>
      <c r="M74" s="1260"/>
      <c r="N74" s="1123"/>
      <c r="O74" s="1260"/>
      <c r="P74" s="1123"/>
      <c r="Q74" s="1260"/>
      <c r="R74" s="1123"/>
      <c r="S74" s="1260"/>
      <c r="T74" s="1123"/>
      <c r="U74" s="1260"/>
      <c r="V74" s="1123"/>
      <c r="W74" s="1260"/>
      <c r="X74" s="1123"/>
      <c r="Y74" s="1260"/>
      <c r="Z74" s="1123"/>
      <c r="AA74" s="1260"/>
      <c r="AB74" s="1123"/>
      <c r="AC74" s="1260"/>
      <c r="AD74" s="1123"/>
      <c r="AE74" s="1260"/>
      <c r="AF74" s="1123"/>
      <c r="AG74" s="1260"/>
      <c r="AH74" s="1123"/>
      <c r="AI74" s="1260"/>
      <c r="AJ74" s="1123"/>
      <c r="AK74" s="1260"/>
      <c r="AL74" s="1123"/>
      <c r="AM74" s="1260"/>
      <c r="AN74" s="1123"/>
      <c r="AO74" s="1260"/>
      <c r="AP74" s="1123"/>
      <c r="AQ74" s="1260"/>
      <c r="AR74" s="1123"/>
      <c r="AS74" s="1260"/>
      <c r="AT74" s="1123"/>
      <c r="AU74" s="1260"/>
      <c r="AV74" s="1123"/>
      <c r="AW74" s="1260"/>
      <c r="AX74" s="1123"/>
      <c r="AY74" s="1260"/>
      <c r="AZ74" s="1123"/>
      <c r="BA74" s="1260"/>
      <c r="BB74" s="1123"/>
      <c r="BC74" s="1260"/>
      <c r="BD74" s="1123"/>
      <c r="BE74" s="1260"/>
      <c r="BF74" s="1123"/>
      <c r="BG74" s="1260"/>
      <c r="BH74" s="1123"/>
      <c r="BI74" s="1260"/>
      <c r="BJ74" s="1123"/>
      <c r="BK74" s="1260"/>
      <c r="BL74" s="1123"/>
      <c r="BM74" s="1260"/>
      <c r="BN74" s="1123"/>
      <c r="BO74" s="1260"/>
      <c r="BP74" s="1123"/>
      <c r="BQ74" s="1260"/>
      <c r="BR74" s="1123"/>
      <c r="BS74" s="1260"/>
      <c r="BT74" s="1123"/>
      <c r="BU74" s="5265"/>
      <c r="BV74" s="5248"/>
      <c r="BW74" s="5265"/>
      <c r="BX74" s="5248"/>
      <c r="BY74" s="5265"/>
      <c r="BZ74" s="5248"/>
      <c r="CA74" s="397" t="s">
        <v>771</v>
      </c>
      <c r="CN74" s="863">
        <v>0</v>
      </c>
    </row>
    <row s="10232" customFormat="1" customHeight="1" ht="45" hidden="1">
      <c r="A75" s="3229"/>
      <c r="B75" s="618" t="s">
        <v>674</v>
      </c>
      <c r="D75" s="772" t="s">
        <v>792</v>
      </c>
      <c r="E75" s="774" t="s">
        <v>1070</v>
      </c>
      <c r="F75" s="828" t="s">
        <v>391</v>
      </c>
      <c r="G75" s="489"/>
      <c r="H75" s="1123"/>
      <c r="I75" s="489"/>
      <c r="J75" s="1123"/>
      <c r="K75" s="1260"/>
      <c r="L75" s="1123"/>
      <c r="M75" s="1260"/>
      <c r="N75" s="1123"/>
      <c r="O75" s="1260"/>
      <c r="P75" s="1123"/>
      <c r="Q75" s="1260"/>
      <c r="R75" s="1123"/>
      <c r="S75" s="1260"/>
      <c r="T75" s="1123"/>
      <c r="U75" s="1260"/>
      <c r="V75" s="1123"/>
      <c r="W75" s="1260"/>
      <c r="X75" s="1123"/>
      <c r="Y75" s="1260"/>
      <c r="Z75" s="1123"/>
      <c r="AA75" s="1260"/>
      <c r="AB75" s="1123"/>
      <c r="AC75" s="1260"/>
      <c r="AD75" s="1123"/>
      <c r="AE75" s="1260"/>
      <c r="AF75" s="1123"/>
      <c r="AG75" s="1260"/>
      <c r="AH75" s="1123"/>
      <c r="AI75" s="1260"/>
      <c r="AJ75" s="1123"/>
      <c r="AK75" s="1260"/>
      <c r="AL75" s="1123"/>
      <c r="AM75" s="1260"/>
      <c r="AN75" s="1123"/>
      <c r="AO75" s="1260"/>
      <c r="AP75" s="1123"/>
      <c r="AQ75" s="1260"/>
      <c r="AR75" s="1123"/>
      <c r="AS75" s="1260"/>
      <c r="AT75" s="1123"/>
      <c r="AU75" s="1260"/>
      <c r="AV75" s="1123"/>
      <c r="AW75" s="1260"/>
      <c r="AX75" s="1123"/>
      <c r="AY75" s="1260"/>
      <c r="AZ75" s="1123"/>
      <c r="BA75" s="1260"/>
      <c r="BB75" s="1123"/>
      <c r="BC75" s="1260"/>
      <c r="BD75" s="1123"/>
      <c r="BE75" s="1260"/>
      <c r="BF75" s="1123"/>
      <c r="BG75" s="1260"/>
      <c r="BH75" s="1123"/>
      <c r="BI75" s="1260"/>
      <c r="BJ75" s="1123"/>
      <c r="BK75" s="1260"/>
      <c r="BL75" s="1123"/>
      <c r="BM75" s="1260"/>
      <c r="BN75" s="1123"/>
      <c r="BO75" s="1260"/>
      <c r="BP75" s="1123"/>
      <c r="BQ75" s="1260"/>
      <c r="BR75" s="1123"/>
      <c r="BS75" s="1260"/>
      <c r="BT75" s="1123"/>
      <c r="BU75" s="5265"/>
      <c r="BV75" s="5248"/>
      <c r="BW75" s="5265"/>
      <c r="BX75" s="5248"/>
      <c r="BY75" s="5265"/>
      <c r="BZ75" s="5248"/>
      <c r="CA75" s="397" t="s">
        <v>771</v>
      </c>
      <c r="CN75" s="863">
        <v>0</v>
      </c>
    </row>
    <row s="10232" customFormat="1" customHeight="1" ht="11.549999999999999">
      <c r="A76" s="1133"/>
      <c r="B76" s="625"/>
      <c r="D76" s="1134"/>
      <c r="E76" s="1135"/>
      <c r="BU76" s="4586"/>
      <c r="BV76" s="4586"/>
      <c r="BW76" s="4586"/>
      <c r="BX76" s="4586"/>
      <c r="BY76" s="4586"/>
      <c r="BZ76" s="4586"/>
      <c r="CN76" s="616">
        <v>11</v>
      </c>
    </row>
    <row s="10232" customFormat="1" customHeight="1" ht="11.25" hidden="1">
      <c r="A77" s="3229" t="s">
        <v>1071</v>
      </c>
      <c r="B77" s="618"/>
      <c r="D77" s="772">
        <v>1</v>
      </c>
      <c r="E77" s="773" t="s">
        <v>1072</v>
      </c>
      <c r="F77" s="828" t="s">
        <v>968</v>
      </c>
      <c r="G77" s="831"/>
      <c r="H77" s="1123"/>
      <c r="I77" s="831"/>
      <c r="J77" s="1123"/>
      <c r="K77" s="831"/>
      <c r="L77" s="1123"/>
      <c r="M77" s="831"/>
      <c r="N77" s="1123"/>
      <c r="O77" s="831"/>
      <c r="P77" s="1123"/>
      <c r="Q77" s="831"/>
      <c r="R77" s="1123"/>
      <c r="S77" s="831"/>
      <c r="T77" s="1123"/>
      <c r="U77" s="831"/>
      <c r="V77" s="1123"/>
      <c r="W77" s="831"/>
      <c r="X77" s="1123"/>
      <c r="Y77" s="831"/>
      <c r="Z77" s="1123"/>
      <c r="AA77" s="831"/>
      <c r="AB77" s="1123"/>
      <c r="AC77" s="831"/>
      <c r="AD77" s="1123"/>
      <c r="AE77" s="831"/>
      <c r="AF77" s="1123"/>
      <c r="AG77" s="831"/>
      <c r="AH77" s="1123"/>
      <c r="AI77" s="831"/>
      <c r="AJ77" s="1123"/>
      <c r="AK77" s="831"/>
      <c r="AL77" s="1123"/>
      <c r="AM77" s="831"/>
      <c r="AN77" s="1123"/>
      <c r="AO77" s="831"/>
      <c r="AP77" s="1123"/>
      <c r="AQ77" s="831"/>
      <c r="AR77" s="1123"/>
      <c r="AS77" s="831"/>
      <c r="AT77" s="1123"/>
      <c r="AU77" s="831"/>
      <c r="AV77" s="1123"/>
      <c r="AW77" s="831"/>
      <c r="AX77" s="1123"/>
      <c r="AY77" s="831"/>
      <c r="AZ77" s="1123"/>
      <c r="BA77" s="831"/>
      <c r="BB77" s="1123"/>
      <c r="BC77" s="831"/>
      <c r="BD77" s="1123"/>
      <c r="BE77" s="831"/>
      <c r="BF77" s="1123"/>
      <c r="BG77" s="831"/>
      <c r="BH77" s="1123"/>
      <c r="BI77" s="831"/>
      <c r="BJ77" s="1123"/>
      <c r="BK77" s="831"/>
      <c r="BL77" s="1123"/>
      <c r="BM77" s="831"/>
      <c r="BN77" s="1123"/>
      <c r="BO77" s="831"/>
      <c r="BP77" s="1123"/>
      <c r="BQ77" s="831"/>
      <c r="BR77" s="1123"/>
      <c r="BS77" s="831"/>
      <c r="BT77" s="1123"/>
      <c r="BU77" s="5272"/>
      <c r="BV77" s="5248"/>
      <c r="BW77" s="5272"/>
      <c r="BX77" s="5248"/>
      <c r="BY77" s="5272"/>
      <c r="BZ77" s="5248"/>
      <c r="CA77" s="397" t="s">
        <v>1073</v>
      </c>
      <c r="CN77" s="863">
        <v>0</v>
      </c>
    </row>
    <row s="10232" customFormat="1" customHeight="1" ht="11.25" hidden="1">
      <c r="A78" s="3229"/>
      <c r="B78" s="618"/>
      <c r="D78" s="772" t="s">
        <v>102</v>
      </c>
      <c r="E78" s="773" t="s">
        <v>1074</v>
      </c>
      <c r="F78" s="828" t="s">
        <v>968</v>
      </c>
      <c r="G78" s="831"/>
      <c r="H78" s="1123"/>
      <c r="I78" s="831"/>
      <c r="J78" s="1123"/>
      <c r="K78" s="831"/>
      <c r="L78" s="1123"/>
      <c r="M78" s="831"/>
      <c r="N78" s="1123"/>
      <c r="O78" s="831"/>
      <c r="P78" s="1123"/>
      <c r="Q78" s="831"/>
      <c r="R78" s="1123"/>
      <c r="S78" s="831"/>
      <c r="T78" s="1123"/>
      <c r="U78" s="831"/>
      <c r="V78" s="1123"/>
      <c r="W78" s="831"/>
      <c r="X78" s="1123"/>
      <c r="Y78" s="831"/>
      <c r="Z78" s="1123"/>
      <c r="AA78" s="831"/>
      <c r="AB78" s="1123"/>
      <c r="AC78" s="831"/>
      <c r="AD78" s="1123"/>
      <c r="AE78" s="831"/>
      <c r="AF78" s="1123"/>
      <c r="AG78" s="831"/>
      <c r="AH78" s="1123"/>
      <c r="AI78" s="831"/>
      <c r="AJ78" s="1123"/>
      <c r="AK78" s="831"/>
      <c r="AL78" s="1123"/>
      <c r="AM78" s="831"/>
      <c r="AN78" s="1123"/>
      <c r="AO78" s="831"/>
      <c r="AP78" s="1123"/>
      <c r="AQ78" s="831"/>
      <c r="AR78" s="1123"/>
      <c r="AS78" s="831"/>
      <c r="AT78" s="1123"/>
      <c r="AU78" s="831"/>
      <c r="AV78" s="1123"/>
      <c r="AW78" s="831"/>
      <c r="AX78" s="1123"/>
      <c r="AY78" s="831"/>
      <c r="AZ78" s="1123"/>
      <c r="BA78" s="831"/>
      <c r="BB78" s="1123"/>
      <c r="BC78" s="831"/>
      <c r="BD78" s="1123"/>
      <c r="BE78" s="831"/>
      <c r="BF78" s="1123"/>
      <c r="BG78" s="831"/>
      <c r="BH78" s="1123"/>
      <c r="BI78" s="831"/>
      <c r="BJ78" s="1123"/>
      <c r="BK78" s="831"/>
      <c r="BL78" s="1123"/>
      <c r="BM78" s="831"/>
      <c r="BN78" s="1123"/>
      <c r="BO78" s="831"/>
      <c r="BP78" s="1123"/>
      <c r="BQ78" s="831"/>
      <c r="BR78" s="1123"/>
      <c r="BS78" s="831"/>
      <c r="BT78" s="1123"/>
      <c r="BU78" s="5272"/>
      <c r="BV78" s="5248"/>
      <c r="BW78" s="5272"/>
      <c r="BX78" s="5248"/>
      <c r="BY78" s="5272"/>
      <c r="BZ78" s="5248"/>
      <c r="CA78" s="397" t="s">
        <v>1075</v>
      </c>
      <c r="CN78" s="863">
        <v>0</v>
      </c>
    </row>
    <row s="10232" customFormat="1" customHeight="1" ht="22.5" hidden="1">
      <c r="A79" s="3229"/>
      <c r="B79" s="618"/>
      <c r="D79" s="772" t="s">
        <v>90</v>
      </c>
      <c r="E79" s="829" t="s">
        <v>1076</v>
      </c>
      <c r="F79" s="767" t="s">
        <v>1023</v>
      </c>
      <c r="G79" s="831"/>
      <c r="H79" s="1123"/>
      <c r="I79" s="831"/>
      <c r="J79" s="1123"/>
      <c r="K79" s="831"/>
      <c r="L79" s="1123"/>
      <c r="M79" s="831"/>
      <c r="N79" s="1123"/>
      <c r="O79" s="831"/>
      <c r="P79" s="1123"/>
      <c r="Q79" s="831"/>
      <c r="R79" s="1123"/>
      <c r="S79" s="831"/>
      <c r="T79" s="1123"/>
      <c r="U79" s="831"/>
      <c r="V79" s="1123"/>
      <c r="W79" s="831"/>
      <c r="X79" s="1123"/>
      <c r="Y79" s="831"/>
      <c r="Z79" s="1123"/>
      <c r="AA79" s="831"/>
      <c r="AB79" s="1123"/>
      <c r="AC79" s="831"/>
      <c r="AD79" s="1123"/>
      <c r="AE79" s="831"/>
      <c r="AF79" s="1123"/>
      <c r="AG79" s="831"/>
      <c r="AH79" s="1123"/>
      <c r="AI79" s="831"/>
      <c r="AJ79" s="1123"/>
      <c r="AK79" s="831"/>
      <c r="AL79" s="1123"/>
      <c r="AM79" s="831"/>
      <c r="AN79" s="1123"/>
      <c r="AO79" s="831"/>
      <c r="AP79" s="1123"/>
      <c r="AQ79" s="831"/>
      <c r="AR79" s="1123"/>
      <c r="AS79" s="831"/>
      <c r="AT79" s="1123"/>
      <c r="AU79" s="831"/>
      <c r="AV79" s="1123"/>
      <c r="AW79" s="831"/>
      <c r="AX79" s="1123"/>
      <c r="AY79" s="831"/>
      <c r="AZ79" s="1123"/>
      <c r="BA79" s="831"/>
      <c r="BB79" s="1123"/>
      <c r="BC79" s="831"/>
      <c r="BD79" s="1123"/>
      <c r="BE79" s="831"/>
      <c r="BF79" s="1123"/>
      <c r="BG79" s="831"/>
      <c r="BH79" s="1123"/>
      <c r="BI79" s="831"/>
      <c r="BJ79" s="1123"/>
      <c r="BK79" s="831"/>
      <c r="BL79" s="1123"/>
      <c r="BM79" s="831"/>
      <c r="BN79" s="1123"/>
      <c r="BO79" s="831"/>
      <c r="BP79" s="1123"/>
      <c r="BQ79" s="831"/>
      <c r="BR79" s="1123"/>
      <c r="BS79" s="831"/>
      <c r="BT79" s="1123"/>
      <c r="BU79" s="5272"/>
      <c r="BV79" s="5248"/>
      <c r="BW79" s="5272"/>
      <c r="BX79" s="5248"/>
      <c r="BY79" s="5272"/>
      <c r="BZ79" s="5248"/>
      <c r="CA79" s="397" t="s">
        <v>1077</v>
      </c>
      <c r="CN79" s="863">
        <v>0</v>
      </c>
    </row>
    <row s="10232" customFormat="1" customHeight="1" ht="11.25" hidden="1">
      <c r="A80" s="3229"/>
      <c r="B80" s="618"/>
      <c r="D80" s="772" t="s">
        <v>409</v>
      </c>
      <c r="E80" s="830" t="s">
        <v>1078</v>
      </c>
      <c r="F80" s="767" t="s">
        <v>1023</v>
      </c>
      <c r="G80" s="831"/>
      <c r="H80" s="1123"/>
      <c r="I80" s="831"/>
      <c r="J80" s="1123"/>
      <c r="K80" s="831"/>
      <c r="L80" s="1123"/>
      <c r="M80" s="831"/>
      <c r="N80" s="1123"/>
      <c r="O80" s="831"/>
      <c r="P80" s="1123"/>
      <c r="Q80" s="831"/>
      <c r="R80" s="1123"/>
      <c r="S80" s="831"/>
      <c r="T80" s="1123"/>
      <c r="U80" s="831"/>
      <c r="V80" s="1123"/>
      <c r="W80" s="831"/>
      <c r="X80" s="1123"/>
      <c r="Y80" s="831"/>
      <c r="Z80" s="1123"/>
      <c r="AA80" s="831"/>
      <c r="AB80" s="1123"/>
      <c r="AC80" s="831"/>
      <c r="AD80" s="1123"/>
      <c r="AE80" s="831"/>
      <c r="AF80" s="1123"/>
      <c r="AG80" s="831"/>
      <c r="AH80" s="1123"/>
      <c r="AI80" s="831"/>
      <c r="AJ80" s="1123"/>
      <c r="AK80" s="831"/>
      <c r="AL80" s="1123"/>
      <c r="AM80" s="831"/>
      <c r="AN80" s="1123"/>
      <c r="AO80" s="831"/>
      <c r="AP80" s="1123"/>
      <c r="AQ80" s="831"/>
      <c r="AR80" s="1123"/>
      <c r="AS80" s="831"/>
      <c r="AT80" s="1123"/>
      <c r="AU80" s="831"/>
      <c r="AV80" s="1123"/>
      <c r="AW80" s="831"/>
      <c r="AX80" s="1123"/>
      <c r="AY80" s="831"/>
      <c r="AZ80" s="1123"/>
      <c r="BA80" s="831"/>
      <c r="BB80" s="1123"/>
      <c r="BC80" s="831"/>
      <c r="BD80" s="1123"/>
      <c r="BE80" s="831"/>
      <c r="BF80" s="1123"/>
      <c r="BG80" s="831"/>
      <c r="BH80" s="1123"/>
      <c r="BI80" s="831"/>
      <c r="BJ80" s="1123"/>
      <c r="BK80" s="831"/>
      <c r="BL80" s="1123"/>
      <c r="BM80" s="831"/>
      <c r="BN80" s="1123"/>
      <c r="BO80" s="831"/>
      <c r="BP80" s="1123"/>
      <c r="BQ80" s="831"/>
      <c r="BR80" s="1123"/>
      <c r="BS80" s="831"/>
      <c r="BT80" s="1123"/>
      <c r="BU80" s="5272"/>
      <c r="BV80" s="5248"/>
      <c r="BW80" s="5272"/>
      <c r="BX80" s="5248"/>
      <c r="BY80" s="5272"/>
      <c r="BZ80" s="5248"/>
      <c r="CA80" s="397"/>
      <c r="CN80" s="863">
        <v>0</v>
      </c>
    </row>
    <row s="10232" customFormat="1" customHeight="1" ht="11.25" hidden="1">
      <c r="A81" s="3229"/>
      <c r="B81" s="618"/>
      <c r="D81" s="772" t="s">
        <v>417</v>
      </c>
      <c r="E81" s="830" t="s">
        <v>1079</v>
      </c>
      <c r="F81" s="767" t="s">
        <v>1023</v>
      </c>
      <c r="G81" s="831"/>
      <c r="H81" s="1123"/>
      <c r="I81" s="831"/>
      <c r="J81" s="1123"/>
      <c r="K81" s="831"/>
      <c r="L81" s="1123"/>
      <c r="M81" s="831"/>
      <c r="N81" s="1123"/>
      <c r="O81" s="831"/>
      <c r="P81" s="1123"/>
      <c r="Q81" s="831"/>
      <c r="R81" s="1123"/>
      <c r="S81" s="831"/>
      <c r="T81" s="1123"/>
      <c r="U81" s="831"/>
      <c r="V81" s="1123"/>
      <c r="W81" s="831"/>
      <c r="X81" s="1123"/>
      <c r="Y81" s="831"/>
      <c r="Z81" s="1123"/>
      <c r="AA81" s="831"/>
      <c r="AB81" s="1123"/>
      <c r="AC81" s="831"/>
      <c r="AD81" s="1123"/>
      <c r="AE81" s="831"/>
      <c r="AF81" s="1123"/>
      <c r="AG81" s="831"/>
      <c r="AH81" s="1123"/>
      <c r="AI81" s="831"/>
      <c r="AJ81" s="1123"/>
      <c r="AK81" s="831"/>
      <c r="AL81" s="1123"/>
      <c r="AM81" s="831"/>
      <c r="AN81" s="1123"/>
      <c r="AO81" s="831"/>
      <c r="AP81" s="1123"/>
      <c r="AQ81" s="831"/>
      <c r="AR81" s="1123"/>
      <c r="AS81" s="831"/>
      <c r="AT81" s="1123"/>
      <c r="AU81" s="831"/>
      <c r="AV81" s="1123"/>
      <c r="AW81" s="831"/>
      <c r="AX81" s="1123"/>
      <c r="AY81" s="831"/>
      <c r="AZ81" s="1123"/>
      <c r="BA81" s="831"/>
      <c r="BB81" s="1123"/>
      <c r="BC81" s="831"/>
      <c r="BD81" s="1123"/>
      <c r="BE81" s="831"/>
      <c r="BF81" s="1123"/>
      <c r="BG81" s="831"/>
      <c r="BH81" s="1123"/>
      <c r="BI81" s="831"/>
      <c r="BJ81" s="1123"/>
      <c r="BK81" s="831"/>
      <c r="BL81" s="1123"/>
      <c r="BM81" s="831"/>
      <c r="BN81" s="1123"/>
      <c r="BO81" s="831"/>
      <c r="BP81" s="1123"/>
      <c r="BQ81" s="831"/>
      <c r="BR81" s="1123"/>
      <c r="BS81" s="831"/>
      <c r="BT81" s="1123"/>
      <c r="BU81" s="5272"/>
      <c r="BV81" s="5248"/>
      <c r="BW81" s="5272"/>
      <c r="BX81" s="5248"/>
      <c r="BY81" s="5272"/>
      <c r="BZ81" s="5248"/>
      <c r="CA81" s="397"/>
      <c r="CN81" s="863">
        <v>0</v>
      </c>
    </row>
    <row s="10232" customFormat="1" customHeight="1" ht="11.25" hidden="1">
      <c r="A82" s="3229"/>
      <c r="B82" s="618"/>
      <c r="D82" s="772" t="s">
        <v>419</v>
      </c>
      <c r="E82" s="830" t="s">
        <v>1080</v>
      </c>
      <c r="F82" s="767" t="s">
        <v>1023</v>
      </c>
      <c r="G82" s="831"/>
      <c r="H82" s="1123"/>
      <c r="I82" s="831"/>
      <c r="J82" s="1123"/>
      <c r="K82" s="831"/>
      <c r="L82" s="1123"/>
      <c r="M82" s="831"/>
      <c r="N82" s="1123"/>
      <c r="O82" s="831"/>
      <c r="P82" s="1123"/>
      <c r="Q82" s="831"/>
      <c r="R82" s="1123"/>
      <c r="S82" s="831"/>
      <c r="T82" s="1123"/>
      <c r="U82" s="831"/>
      <c r="V82" s="1123"/>
      <c r="W82" s="831"/>
      <c r="X82" s="1123"/>
      <c r="Y82" s="831"/>
      <c r="Z82" s="1123"/>
      <c r="AA82" s="831"/>
      <c r="AB82" s="1123"/>
      <c r="AC82" s="831"/>
      <c r="AD82" s="1123"/>
      <c r="AE82" s="831"/>
      <c r="AF82" s="1123"/>
      <c r="AG82" s="831"/>
      <c r="AH82" s="1123"/>
      <c r="AI82" s="831"/>
      <c r="AJ82" s="1123"/>
      <c r="AK82" s="831"/>
      <c r="AL82" s="1123"/>
      <c r="AM82" s="831"/>
      <c r="AN82" s="1123"/>
      <c r="AO82" s="831"/>
      <c r="AP82" s="1123"/>
      <c r="AQ82" s="831"/>
      <c r="AR82" s="1123"/>
      <c r="AS82" s="831"/>
      <c r="AT82" s="1123"/>
      <c r="AU82" s="831"/>
      <c r="AV82" s="1123"/>
      <c r="AW82" s="831"/>
      <c r="AX82" s="1123"/>
      <c r="AY82" s="831"/>
      <c r="AZ82" s="1123"/>
      <c r="BA82" s="831"/>
      <c r="BB82" s="1123"/>
      <c r="BC82" s="831"/>
      <c r="BD82" s="1123"/>
      <c r="BE82" s="831"/>
      <c r="BF82" s="1123"/>
      <c r="BG82" s="831"/>
      <c r="BH82" s="1123"/>
      <c r="BI82" s="831"/>
      <c r="BJ82" s="1123"/>
      <c r="BK82" s="831"/>
      <c r="BL82" s="1123"/>
      <c r="BM82" s="831"/>
      <c r="BN82" s="1123"/>
      <c r="BO82" s="831"/>
      <c r="BP82" s="1123"/>
      <c r="BQ82" s="831"/>
      <c r="BR82" s="1123"/>
      <c r="BS82" s="831"/>
      <c r="BT82" s="1123"/>
      <c r="BU82" s="5272"/>
      <c r="BV82" s="5248"/>
      <c r="BW82" s="5272"/>
      <c r="BX82" s="5248"/>
      <c r="BY82" s="5272"/>
      <c r="BZ82" s="5248"/>
      <c r="CA82" s="397"/>
      <c r="CN82" s="863">
        <v>0</v>
      </c>
    </row>
    <row s="10232" customFormat="1" customHeight="1" ht="11.25" hidden="1">
      <c r="A83" s="3229"/>
      <c r="B83" s="618"/>
      <c r="D83" s="772" t="s">
        <v>421</v>
      </c>
      <c r="E83" s="830" t="s">
        <v>1081</v>
      </c>
      <c r="F83" s="767" t="s">
        <v>1023</v>
      </c>
      <c r="G83" s="831"/>
      <c r="H83" s="1123"/>
      <c r="I83" s="831"/>
      <c r="J83" s="1123"/>
      <c r="K83" s="831"/>
      <c r="L83" s="1123"/>
      <c r="M83" s="831"/>
      <c r="N83" s="1123"/>
      <c r="O83" s="831"/>
      <c r="P83" s="1123"/>
      <c r="Q83" s="831"/>
      <c r="R83" s="1123"/>
      <c r="S83" s="831"/>
      <c r="T83" s="1123"/>
      <c r="U83" s="831"/>
      <c r="V83" s="1123"/>
      <c r="W83" s="831"/>
      <c r="X83" s="1123"/>
      <c r="Y83" s="831"/>
      <c r="Z83" s="1123"/>
      <c r="AA83" s="831"/>
      <c r="AB83" s="1123"/>
      <c r="AC83" s="831"/>
      <c r="AD83" s="1123"/>
      <c r="AE83" s="831"/>
      <c r="AF83" s="1123"/>
      <c r="AG83" s="831"/>
      <c r="AH83" s="1123"/>
      <c r="AI83" s="831"/>
      <c r="AJ83" s="1123"/>
      <c r="AK83" s="831"/>
      <c r="AL83" s="1123"/>
      <c r="AM83" s="831"/>
      <c r="AN83" s="1123"/>
      <c r="AO83" s="831"/>
      <c r="AP83" s="1123"/>
      <c r="AQ83" s="831"/>
      <c r="AR83" s="1123"/>
      <c r="AS83" s="831"/>
      <c r="AT83" s="1123"/>
      <c r="AU83" s="831"/>
      <c r="AV83" s="1123"/>
      <c r="AW83" s="831"/>
      <c r="AX83" s="1123"/>
      <c r="AY83" s="831"/>
      <c r="AZ83" s="1123"/>
      <c r="BA83" s="831"/>
      <c r="BB83" s="1123"/>
      <c r="BC83" s="831"/>
      <c r="BD83" s="1123"/>
      <c r="BE83" s="831"/>
      <c r="BF83" s="1123"/>
      <c r="BG83" s="831"/>
      <c r="BH83" s="1123"/>
      <c r="BI83" s="831"/>
      <c r="BJ83" s="1123"/>
      <c r="BK83" s="831"/>
      <c r="BL83" s="1123"/>
      <c r="BM83" s="831"/>
      <c r="BN83" s="1123"/>
      <c r="BO83" s="831"/>
      <c r="BP83" s="1123"/>
      <c r="BQ83" s="831"/>
      <c r="BR83" s="1123"/>
      <c r="BS83" s="831"/>
      <c r="BT83" s="1123"/>
      <c r="BU83" s="5272"/>
      <c r="BV83" s="5248"/>
      <c r="BW83" s="5272"/>
      <c r="BX83" s="5248"/>
      <c r="BY83" s="5272"/>
      <c r="BZ83" s="5248"/>
      <c r="CA83" s="397"/>
      <c r="CN83" s="863">
        <v>0</v>
      </c>
    </row>
    <row s="10232" customFormat="1" customHeight="1" ht="11.25" hidden="1">
      <c r="A84" s="3229"/>
      <c r="B84" s="618"/>
      <c r="D84" s="772" t="s">
        <v>1082</v>
      </c>
      <c r="E84" s="830" t="s">
        <v>1083</v>
      </c>
      <c r="F84" s="767" t="s">
        <v>1023</v>
      </c>
      <c r="G84" s="831"/>
      <c r="H84" s="1123"/>
      <c r="I84" s="831"/>
      <c r="J84" s="1123"/>
      <c r="K84" s="831"/>
      <c r="L84" s="1123"/>
      <c r="M84" s="831"/>
      <c r="N84" s="1123"/>
      <c r="O84" s="831"/>
      <c r="P84" s="1123"/>
      <c r="Q84" s="831"/>
      <c r="R84" s="1123"/>
      <c r="S84" s="831"/>
      <c r="T84" s="1123"/>
      <c r="U84" s="831"/>
      <c r="V84" s="1123"/>
      <c r="W84" s="831"/>
      <c r="X84" s="1123"/>
      <c r="Y84" s="831"/>
      <c r="Z84" s="1123"/>
      <c r="AA84" s="831"/>
      <c r="AB84" s="1123"/>
      <c r="AC84" s="831"/>
      <c r="AD84" s="1123"/>
      <c r="AE84" s="831"/>
      <c r="AF84" s="1123"/>
      <c r="AG84" s="831"/>
      <c r="AH84" s="1123"/>
      <c r="AI84" s="831"/>
      <c r="AJ84" s="1123"/>
      <c r="AK84" s="831"/>
      <c r="AL84" s="1123"/>
      <c r="AM84" s="831"/>
      <c r="AN84" s="1123"/>
      <c r="AO84" s="831"/>
      <c r="AP84" s="1123"/>
      <c r="AQ84" s="831"/>
      <c r="AR84" s="1123"/>
      <c r="AS84" s="831"/>
      <c r="AT84" s="1123"/>
      <c r="AU84" s="831"/>
      <c r="AV84" s="1123"/>
      <c r="AW84" s="831"/>
      <c r="AX84" s="1123"/>
      <c r="AY84" s="831"/>
      <c r="AZ84" s="1123"/>
      <c r="BA84" s="831"/>
      <c r="BB84" s="1123"/>
      <c r="BC84" s="831"/>
      <c r="BD84" s="1123"/>
      <c r="BE84" s="831"/>
      <c r="BF84" s="1123"/>
      <c r="BG84" s="831"/>
      <c r="BH84" s="1123"/>
      <c r="BI84" s="831"/>
      <c r="BJ84" s="1123"/>
      <c r="BK84" s="831"/>
      <c r="BL84" s="1123"/>
      <c r="BM84" s="831"/>
      <c r="BN84" s="1123"/>
      <c r="BO84" s="831"/>
      <c r="BP84" s="1123"/>
      <c r="BQ84" s="831"/>
      <c r="BR84" s="1123"/>
      <c r="BS84" s="831"/>
      <c r="BT84" s="1123"/>
      <c r="BU84" s="5272"/>
      <c r="BV84" s="5248"/>
      <c r="BW84" s="5272"/>
      <c r="BX84" s="5248"/>
      <c r="BY84" s="5272"/>
      <c r="BZ84" s="5248"/>
      <c r="CA84" s="397"/>
      <c r="CN84" s="863">
        <v>0</v>
      </c>
    </row>
    <row s="10232" customFormat="1" customHeight="1" ht="11.25" hidden="1">
      <c r="A85" s="3229"/>
      <c r="B85" s="618"/>
      <c r="D85" s="772" t="s">
        <v>1084</v>
      </c>
      <c r="E85" s="830" t="s">
        <v>1085</v>
      </c>
      <c r="F85" s="767" t="s">
        <v>1023</v>
      </c>
      <c r="G85" s="831"/>
      <c r="H85" s="1123"/>
      <c r="I85" s="831"/>
      <c r="J85" s="1123"/>
      <c r="K85" s="831"/>
      <c r="L85" s="1123"/>
      <c r="M85" s="831"/>
      <c r="N85" s="1123"/>
      <c r="O85" s="831"/>
      <c r="P85" s="1123"/>
      <c r="Q85" s="831"/>
      <c r="R85" s="1123"/>
      <c r="S85" s="831"/>
      <c r="T85" s="1123"/>
      <c r="U85" s="831"/>
      <c r="V85" s="1123"/>
      <c r="W85" s="831"/>
      <c r="X85" s="1123"/>
      <c r="Y85" s="831"/>
      <c r="Z85" s="1123"/>
      <c r="AA85" s="831"/>
      <c r="AB85" s="1123"/>
      <c r="AC85" s="831"/>
      <c r="AD85" s="1123"/>
      <c r="AE85" s="831"/>
      <c r="AF85" s="1123"/>
      <c r="AG85" s="831"/>
      <c r="AH85" s="1123"/>
      <c r="AI85" s="831"/>
      <c r="AJ85" s="1123"/>
      <c r="AK85" s="831"/>
      <c r="AL85" s="1123"/>
      <c r="AM85" s="831"/>
      <c r="AN85" s="1123"/>
      <c r="AO85" s="831"/>
      <c r="AP85" s="1123"/>
      <c r="AQ85" s="831"/>
      <c r="AR85" s="1123"/>
      <c r="AS85" s="831"/>
      <c r="AT85" s="1123"/>
      <c r="AU85" s="831"/>
      <c r="AV85" s="1123"/>
      <c r="AW85" s="831"/>
      <c r="AX85" s="1123"/>
      <c r="AY85" s="831"/>
      <c r="AZ85" s="1123"/>
      <c r="BA85" s="831"/>
      <c r="BB85" s="1123"/>
      <c r="BC85" s="831"/>
      <c r="BD85" s="1123"/>
      <c r="BE85" s="831"/>
      <c r="BF85" s="1123"/>
      <c r="BG85" s="831"/>
      <c r="BH85" s="1123"/>
      <c r="BI85" s="831"/>
      <c r="BJ85" s="1123"/>
      <c r="BK85" s="831"/>
      <c r="BL85" s="1123"/>
      <c r="BM85" s="831"/>
      <c r="BN85" s="1123"/>
      <c r="BO85" s="831"/>
      <c r="BP85" s="1123"/>
      <c r="BQ85" s="831"/>
      <c r="BR85" s="1123"/>
      <c r="BS85" s="831"/>
      <c r="BT85" s="1123"/>
      <c r="BU85" s="5272"/>
      <c r="BV85" s="5248"/>
      <c r="BW85" s="5272"/>
      <c r="BX85" s="5248"/>
      <c r="BY85" s="5272"/>
      <c r="BZ85" s="5248"/>
      <c r="CA85" s="397"/>
      <c r="CN85" s="863">
        <v>0</v>
      </c>
    </row>
    <row s="10232" customFormat="1" customHeight="1" ht="11.25" hidden="1">
      <c r="A86" s="3229"/>
      <c r="B86" s="618"/>
      <c r="D86" s="772" t="s">
        <v>1086</v>
      </c>
      <c r="E86" s="830" t="s">
        <v>1087</v>
      </c>
      <c r="F86" s="767" t="s">
        <v>1023</v>
      </c>
      <c r="G86" s="831"/>
      <c r="H86" s="1123"/>
      <c r="I86" s="831"/>
      <c r="J86" s="1123"/>
      <c r="K86" s="831"/>
      <c r="L86" s="1123"/>
      <c r="M86" s="831"/>
      <c r="N86" s="1123"/>
      <c r="O86" s="831"/>
      <c r="P86" s="1123"/>
      <c r="Q86" s="831"/>
      <c r="R86" s="1123"/>
      <c r="S86" s="831"/>
      <c r="T86" s="1123"/>
      <c r="U86" s="831"/>
      <c r="V86" s="1123"/>
      <c r="W86" s="831"/>
      <c r="X86" s="1123"/>
      <c r="Y86" s="831"/>
      <c r="Z86" s="1123"/>
      <c r="AA86" s="831"/>
      <c r="AB86" s="1123"/>
      <c r="AC86" s="831"/>
      <c r="AD86" s="1123"/>
      <c r="AE86" s="831"/>
      <c r="AF86" s="1123"/>
      <c r="AG86" s="831"/>
      <c r="AH86" s="1123"/>
      <c r="AI86" s="831"/>
      <c r="AJ86" s="1123"/>
      <c r="AK86" s="831"/>
      <c r="AL86" s="1123"/>
      <c r="AM86" s="831"/>
      <c r="AN86" s="1123"/>
      <c r="AO86" s="831"/>
      <c r="AP86" s="1123"/>
      <c r="AQ86" s="831"/>
      <c r="AR86" s="1123"/>
      <c r="AS86" s="831"/>
      <c r="AT86" s="1123"/>
      <c r="AU86" s="831"/>
      <c r="AV86" s="1123"/>
      <c r="AW86" s="831"/>
      <c r="AX86" s="1123"/>
      <c r="AY86" s="831"/>
      <c r="AZ86" s="1123"/>
      <c r="BA86" s="831"/>
      <c r="BB86" s="1123"/>
      <c r="BC86" s="831"/>
      <c r="BD86" s="1123"/>
      <c r="BE86" s="831"/>
      <c r="BF86" s="1123"/>
      <c r="BG86" s="831"/>
      <c r="BH86" s="1123"/>
      <c r="BI86" s="831"/>
      <c r="BJ86" s="1123"/>
      <c r="BK86" s="831"/>
      <c r="BL86" s="1123"/>
      <c r="BM86" s="831"/>
      <c r="BN86" s="1123"/>
      <c r="BO86" s="831"/>
      <c r="BP86" s="1123"/>
      <c r="BQ86" s="831"/>
      <c r="BR86" s="1123"/>
      <c r="BS86" s="831"/>
      <c r="BT86" s="1123"/>
      <c r="BU86" s="5272"/>
      <c r="BV86" s="5248"/>
      <c r="BW86" s="5272"/>
      <c r="BX86" s="5248"/>
      <c r="BY86" s="5272"/>
      <c r="BZ86" s="5248"/>
      <c r="CA86" s="397"/>
      <c r="CN86" s="863">
        <v>0</v>
      </c>
    </row>
    <row s="10232" customFormat="1" customHeight="1" ht="45" hidden="1">
      <c r="A87" s="3229"/>
      <c r="B87" s="618"/>
      <c r="D87" s="772" t="s">
        <v>91</v>
      </c>
      <c r="E87" s="773" t="s">
        <v>1088</v>
      </c>
      <c r="F87" s="767" t="s">
        <v>1023</v>
      </c>
      <c r="G87" s="831"/>
      <c r="H87" s="1123"/>
      <c r="I87" s="831"/>
      <c r="J87" s="1123"/>
      <c r="K87" s="831"/>
      <c r="L87" s="1123"/>
      <c r="M87" s="831"/>
      <c r="N87" s="1123"/>
      <c r="O87" s="831"/>
      <c r="P87" s="1123"/>
      <c r="Q87" s="831"/>
      <c r="R87" s="1123"/>
      <c r="S87" s="831"/>
      <c r="T87" s="1123"/>
      <c r="U87" s="831"/>
      <c r="V87" s="1123"/>
      <c r="W87" s="831"/>
      <c r="X87" s="1123"/>
      <c r="Y87" s="831"/>
      <c r="Z87" s="1123"/>
      <c r="AA87" s="831"/>
      <c r="AB87" s="1123"/>
      <c r="AC87" s="831"/>
      <c r="AD87" s="1123"/>
      <c r="AE87" s="831"/>
      <c r="AF87" s="1123"/>
      <c r="AG87" s="831"/>
      <c r="AH87" s="1123"/>
      <c r="AI87" s="831"/>
      <c r="AJ87" s="1123"/>
      <c r="AK87" s="831"/>
      <c r="AL87" s="1123"/>
      <c r="AM87" s="831"/>
      <c r="AN87" s="1123"/>
      <c r="AO87" s="831"/>
      <c r="AP87" s="1123"/>
      <c r="AQ87" s="831"/>
      <c r="AR87" s="1123"/>
      <c r="AS87" s="831"/>
      <c r="AT87" s="1123"/>
      <c r="AU87" s="831"/>
      <c r="AV87" s="1123"/>
      <c r="AW87" s="831"/>
      <c r="AX87" s="1123"/>
      <c r="AY87" s="831"/>
      <c r="AZ87" s="1123"/>
      <c r="BA87" s="831"/>
      <c r="BB87" s="1123"/>
      <c r="BC87" s="831"/>
      <c r="BD87" s="1123"/>
      <c r="BE87" s="831"/>
      <c r="BF87" s="1123"/>
      <c r="BG87" s="831"/>
      <c r="BH87" s="1123"/>
      <c r="BI87" s="831"/>
      <c r="BJ87" s="1123"/>
      <c r="BK87" s="831"/>
      <c r="BL87" s="1123"/>
      <c r="BM87" s="831"/>
      <c r="BN87" s="1123"/>
      <c r="BO87" s="831"/>
      <c r="BP87" s="1123"/>
      <c r="BQ87" s="831"/>
      <c r="BR87" s="1123"/>
      <c r="BS87" s="831"/>
      <c r="BT87" s="1123"/>
      <c r="BU87" s="5272"/>
      <c r="BV87" s="5248"/>
      <c r="BW87" s="5272"/>
      <c r="BX87" s="5248"/>
      <c r="BY87" s="5272"/>
      <c r="BZ87" s="5248"/>
      <c r="CA87" s="397" t="s">
        <v>1089</v>
      </c>
      <c r="CN87" s="863">
        <v>0</v>
      </c>
    </row>
    <row s="10232" customFormat="1" customHeight="1" ht="11.25" hidden="1">
      <c r="A88" s="3229"/>
      <c r="B88" s="618"/>
      <c r="D88" s="772" t="s">
        <v>899</v>
      </c>
      <c r="E88" s="830" t="s">
        <v>1078</v>
      </c>
      <c r="F88" s="767" t="s">
        <v>1023</v>
      </c>
      <c r="G88" s="831"/>
      <c r="H88" s="1123"/>
      <c r="I88" s="831"/>
      <c r="J88" s="1123"/>
      <c r="K88" s="831"/>
      <c r="L88" s="1123"/>
      <c r="M88" s="831"/>
      <c r="N88" s="1123"/>
      <c r="O88" s="831"/>
      <c r="P88" s="1123"/>
      <c r="Q88" s="831"/>
      <c r="R88" s="1123"/>
      <c r="S88" s="831"/>
      <c r="T88" s="1123"/>
      <c r="U88" s="831"/>
      <c r="V88" s="1123"/>
      <c r="W88" s="831"/>
      <c r="X88" s="1123"/>
      <c r="Y88" s="831"/>
      <c r="Z88" s="1123"/>
      <c r="AA88" s="831"/>
      <c r="AB88" s="1123"/>
      <c r="AC88" s="831"/>
      <c r="AD88" s="1123"/>
      <c r="AE88" s="831"/>
      <c r="AF88" s="1123"/>
      <c r="AG88" s="831"/>
      <c r="AH88" s="1123"/>
      <c r="AI88" s="831"/>
      <c r="AJ88" s="1123"/>
      <c r="AK88" s="831"/>
      <c r="AL88" s="1123"/>
      <c r="AM88" s="831"/>
      <c r="AN88" s="1123"/>
      <c r="AO88" s="831"/>
      <c r="AP88" s="1123"/>
      <c r="AQ88" s="831"/>
      <c r="AR88" s="1123"/>
      <c r="AS88" s="831"/>
      <c r="AT88" s="1123"/>
      <c r="AU88" s="831"/>
      <c r="AV88" s="1123"/>
      <c r="AW88" s="831"/>
      <c r="AX88" s="1123"/>
      <c r="AY88" s="831"/>
      <c r="AZ88" s="1123"/>
      <c r="BA88" s="831"/>
      <c r="BB88" s="1123"/>
      <c r="BC88" s="831"/>
      <c r="BD88" s="1123"/>
      <c r="BE88" s="831"/>
      <c r="BF88" s="1123"/>
      <c r="BG88" s="831"/>
      <c r="BH88" s="1123"/>
      <c r="BI88" s="831"/>
      <c r="BJ88" s="1123"/>
      <c r="BK88" s="831"/>
      <c r="BL88" s="1123"/>
      <c r="BM88" s="831"/>
      <c r="BN88" s="1123"/>
      <c r="BO88" s="831"/>
      <c r="BP88" s="1123"/>
      <c r="BQ88" s="831"/>
      <c r="BR88" s="1123"/>
      <c r="BS88" s="831"/>
      <c r="BT88" s="1123"/>
      <c r="BU88" s="5272"/>
      <c r="BV88" s="5248"/>
      <c r="BW88" s="5272"/>
      <c r="BX88" s="5248"/>
      <c r="BY88" s="5272"/>
      <c r="BZ88" s="5248"/>
      <c r="CA88" s="397"/>
      <c r="CN88" s="863">
        <v>0</v>
      </c>
    </row>
    <row s="10232" customFormat="1" customHeight="1" ht="11.25" hidden="1">
      <c r="A89" s="3229"/>
      <c r="B89" s="618"/>
      <c r="D89" s="772" t="s">
        <v>943</v>
      </c>
      <c r="E89" s="830" t="s">
        <v>1079</v>
      </c>
      <c r="F89" s="767" t="s">
        <v>1023</v>
      </c>
      <c r="G89" s="831"/>
      <c r="H89" s="1123"/>
      <c r="I89" s="831"/>
      <c r="J89" s="1123"/>
      <c r="K89" s="831"/>
      <c r="L89" s="1123"/>
      <c r="M89" s="831"/>
      <c r="N89" s="1123"/>
      <c r="O89" s="831"/>
      <c r="P89" s="1123"/>
      <c r="Q89" s="831"/>
      <c r="R89" s="1123"/>
      <c r="S89" s="831"/>
      <c r="T89" s="1123"/>
      <c r="U89" s="831"/>
      <c r="V89" s="1123"/>
      <c r="W89" s="831"/>
      <c r="X89" s="1123"/>
      <c r="Y89" s="831"/>
      <c r="Z89" s="1123"/>
      <c r="AA89" s="831"/>
      <c r="AB89" s="1123"/>
      <c r="AC89" s="831"/>
      <c r="AD89" s="1123"/>
      <c r="AE89" s="831"/>
      <c r="AF89" s="1123"/>
      <c r="AG89" s="831"/>
      <c r="AH89" s="1123"/>
      <c r="AI89" s="831"/>
      <c r="AJ89" s="1123"/>
      <c r="AK89" s="831"/>
      <c r="AL89" s="1123"/>
      <c r="AM89" s="831"/>
      <c r="AN89" s="1123"/>
      <c r="AO89" s="831"/>
      <c r="AP89" s="1123"/>
      <c r="AQ89" s="831"/>
      <c r="AR89" s="1123"/>
      <c r="AS89" s="831"/>
      <c r="AT89" s="1123"/>
      <c r="AU89" s="831"/>
      <c r="AV89" s="1123"/>
      <c r="AW89" s="831"/>
      <c r="AX89" s="1123"/>
      <c r="AY89" s="831"/>
      <c r="AZ89" s="1123"/>
      <c r="BA89" s="831"/>
      <c r="BB89" s="1123"/>
      <c r="BC89" s="831"/>
      <c r="BD89" s="1123"/>
      <c r="BE89" s="831"/>
      <c r="BF89" s="1123"/>
      <c r="BG89" s="831"/>
      <c r="BH89" s="1123"/>
      <c r="BI89" s="831"/>
      <c r="BJ89" s="1123"/>
      <c r="BK89" s="831"/>
      <c r="BL89" s="1123"/>
      <c r="BM89" s="831"/>
      <c r="BN89" s="1123"/>
      <c r="BO89" s="831"/>
      <c r="BP89" s="1123"/>
      <c r="BQ89" s="831"/>
      <c r="BR89" s="1123"/>
      <c r="BS89" s="831"/>
      <c r="BT89" s="1123"/>
      <c r="BU89" s="5272"/>
      <c r="BV89" s="5248"/>
      <c r="BW89" s="5272"/>
      <c r="BX89" s="5248"/>
      <c r="BY89" s="5272"/>
      <c r="BZ89" s="5248"/>
      <c r="CA89" s="397"/>
      <c r="CN89" s="863">
        <v>0</v>
      </c>
    </row>
    <row s="10232" customFormat="1" customHeight="1" ht="11.25" hidden="1">
      <c r="A90" s="3229"/>
      <c r="B90" s="618"/>
      <c r="D90" s="772" t="s">
        <v>946</v>
      </c>
      <c r="E90" s="830" t="s">
        <v>1080</v>
      </c>
      <c r="F90" s="767" t="s">
        <v>1023</v>
      </c>
      <c r="G90" s="831"/>
      <c r="H90" s="1123"/>
      <c r="I90" s="831"/>
      <c r="J90" s="1123"/>
      <c r="K90" s="831"/>
      <c r="L90" s="1123"/>
      <c r="M90" s="831"/>
      <c r="N90" s="1123"/>
      <c r="O90" s="831"/>
      <c r="P90" s="1123"/>
      <c r="Q90" s="831"/>
      <c r="R90" s="1123"/>
      <c r="S90" s="831"/>
      <c r="T90" s="1123"/>
      <c r="U90" s="831"/>
      <c r="V90" s="1123"/>
      <c r="W90" s="831"/>
      <c r="X90" s="1123"/>
      <c r="Y90" s="831"/>
      <c r="Z90" s="1123"/>
      <c r="AA90" s="831"/>
      <c r="AB90" s="1123"/>
      <c r="AC90" s="831"/>
      <c r="AD90" s="1123"/>
      <c r="AE90" s="831"/>
      <c r="AF90" s="1123"/>
      <c r="AG90" s="831"/>
      <c r="AH90" s="1123"/>
      <c r="AI90" s="831"/>
      <c r="AJ90" s="1123"/>
      <c r="AK90" s="831"/>
      <c r="AL90" s="1123"/>
      <c r="AM90" s="831"/>
      <c r="AN90" s="1123"/>
      <c r="AO90" s="831"/>
      <c r="AP90" s="1123"/>
      <c r="AQ90" s="831"/>
      <c r="AR90" s="1123"/>
      <c r="AS90" s="831"/>
      <c r="AT90" s="1123"/>
      <c r="AU90" s="831"/>
      <c r="AV90" s="1123"/>
      <c r="AW90" s="831"/>
      <c r="AX90" s="1123"/>
      <c r="AY90" s="831"/>
      <c r="AZ90" s="1123"/>
      <c r="BA90" s="831"/>
      <c r="BB90" s="1123"/>
      <c r="BC90" s="831"/>
      <c r="BD90" s="1123"/>
      <c r="BE90" s="831"/>
      <c r="BF90" s="1123"/>
      <c r="BG90" s="831"/>
      <c r="BH90" s="1123"/>
      <c r="BI90" s="831"/>
      <c r="BJ90" s="1123"/>
      <c r="BK90" s="831"/>
      <c r="BL90" s="1123"/>
      <c r="BM90" s="831"/>
      <c r="BN90" s="1123"/>
      <c r="BO90" s="831"/>
      <c r="BP90" s="1123"/>
      <c r="BQ90" s="831"/>
      <c r="BR90" s="1123"/>
      <c r="BS90" s="831"/>
      <c r="BT90" s="1123"/>
      <c r="BU90" s="5272"/>
      <c r="BV90" s="5248"/>
      <c r="BW90" s="5272"/>
      <c r="BX90" s="5248"/>
      <c r="BY90" s="5272"/>
      <c r="BZ90" s="5248"/>
      <c r="CA90" s="397"/>
      <c r="CN90" s="863">
        <v>0</v>
      </c>
    </row>
    <row s="10232" customFormat="1" customHeight="1" ht="11.25" hidden="1">
      <c r="A91" s="3229"/>
      <c r="B91" s="618"/>
      <c r="D91" s="772" t="s">
        <v>1041</v>
      </c>
      <c r="E91" s="830" t="s">
        <v>1081</v>
      </c>
      <c r="F91" s="767" t="s">
        <v>1023</v>
      </c>
      <c r="G91" s="831"/>
      <c r="H91" s="1123"/>
      <c r="I91" s="831"/>
      <c r="J91" s="1123"/>
      <c r="K91" s="831"/>
      <c r="L91" s="1123"/>
      <c r="M91" s="831"/>
      <c r="N91" s="1123"/>
      <c r="O91" s="831"/>
      <c r="P91" s="1123"/>
      <c r="Q91" s="831"/>
      <c r="R91" s="1123"/>
      <c r="S91" s="831"/>
      <c r="T91" s="1123"/>
      <c r="U91" s="831"/>
      <c r="V91" s="1123"/>
      <c r="W91" s="831"/>
      <c r="X91" s="1123"/>
      <c r="Y91" s="831"/>
      <c r="Z91" s="1123"/>
      <c r="AA91" s="831"/>
      <c r="AB91" s="1123"/>
      <c r="AC91" s="831"/>
      <c r="AD91" s="1123"/>
      <c r="AE91" s="831"/>
      <c r="AF91" s="1123"/>
      <c r="AG91" s="831"/>
      <c r="AH91" s="1123"/>
      <c r="AI91" s="831"/>
      <c r="AJ91" s="1123"/>
      <c r="AK91" s="831"/>
      <c r="AL91" s="1123"/>
      <c r="AM91" s="831"/>
      <c r="AN91" s="1123"/>
      <c r="AO91" s="831"/>
      <c r="AP91" s="1123"/>
      <c r="AQ91" s="831"/>
      <c r="AR91" s="1123"/>
      <c r="AS91" s="831"/>
      <c r="AT91" s="1123"/>
      <c r="AU91" s="831"/>
      <c r="AV91" s="1123"/>
      <c r="AW91" s="831"/>
      <c r="AX91" s="1123"/>
      <c r="AY91" s="831"/>
      <c r="AZ91" s="1123"/>
      <c r="BA91" s="831"/>
      <c r="BB91" s="1123"/>
      <c r="BC91" s="831"/>
      <c r="BD91" s="1123"/>
      <c r="BE91" s="831"/>
      <c r="BF91" s="1123"/>
      <c r="BG91" s="831"/>
      <c r="BH91" s="1123"/>
      <c r="BI91" s="831"/>
      <c r="BJ91" s="1123"/>
      <c r="BK91" s="831"/>
      <c r="BL91" s="1123"/>
      <c r="BM91" s="831"/>
      <c r="BN91" s="1123"/>
      <c r="BO91" s="831"/>
      <c r="BP91" s="1123"/>
      <c r="BQ91" s="831"/>
      <c r="BR91" s="1123"/>
      <c r="BS91" s="831"/>
      <c r="BT91" s="1123"/>
      <c r="BU91" s="5272"/>
      <c r="BV91" s="5248"/>
      <c r="BW91" s="5272"/>
      <c r="BX91" s="5248"/>
      <c r="BY91" s="5272"/>
      <c r="BZ91" s="5248"/>
      <c r="CA91" s="397"/>
      <c r="CN91" s="863">
        <v>0</v>
      </c>
    </row>
    <row s="10232" customFormat="1" customHeight="1" ht="11.25" hidden="1">
      <c r="A92" s="3229"/>
      <c r="B92" s="618"/>
      <c r="D92" s="772" t="s">
        <v>1043</v>
      </c>
      <c r="E92" s="830" t="s">
        <v>1083</v>
      </c>
      <c r="F92" s="767" t="s">
        <v>1023</v>
      </c>
      <c r="G92" s="831"/>
      <c r="H92" s="1123"/>
      <c r="I92" s="831"/>
      <c r="J92" s="1123"/>
      <c r="K92" s="831"/>
      <c r="L92" s="1123"/>
      <c r="M92" s="831"/>
      <c r="N92" s="1123"/>
      <c r="O92" s="831"/>
      <c r="P92" s="1123"/>
      <c r="Q92" s="831"/>
      <c r="R92" s="1123"/>
      <c r="S92" s="831"/>
      <c r="T92" s="1123"/>
      <c r="U92" s="831"/>
      <c r="V92" s="1123"/>
      <c r="W92" s="831"/>
      <c r="X92" s="1123"/>
      <c r="Y92" s="831"/>
      <c r="Z92" s="1123"/>
      <c r="AA92" s="831"/>
      <c r="AB92" s="1123"/>
      <c r="AC92" s="831"/>
      <c r="AD92" s="1123"/>
      <c r="AE92" s="831"/>
      <c r="AF92" s="1123"/>
      <c r="AG92" s="831"/>
      <c r="AH92" s="1123"/>
      <c r="AI92" s="831"/>
      <c r="AJ92" s="1123"/>
      <c r="AK92" s="831"/>
      <c r="AL92" s="1123"/>
      <c r="AM92" s="831"/>
      <c r="AN92" s="1123"/>
      <c r="AO92" s="831"/>
      <c r="AP92" s="1123"/>
      <c r="AQ92" s="831"/>
      <c r="AR92" s="1123"/>
      <c r="AS92" s="831"/>
      <c r="AT92" s="1123"/>
      <c r="AU92" s="831"/>
      <c r="AV92" s="1123"/>
      <c r="AW92" s="831"/>
      <c r="AX92" s="1123"/>
      <c r="AY92" s="831"/>
      <c r="AZ92" s="1123"/>
      <c r="BA92" s="831"/>
      <c r="BB92" s="1123"/>
      <c r="BC92" s="831"/>
      <c r="BD92" s="1123"/>
      <c r="BE92" s="831"/>
      <c r="BF92" s="1123"/>
      <c r="BG92" s="831"/>
      <c r="BH92" s="1123"/>
      <c r="BI92" s="831"/>
      <c r="BJ92" s="1123"/>
      <c r="BK92" s="831"/>
      <c r="BL92" s="1123"/>
      <c r="BM92" s="831"/>
      <c r="BN92" s="1123"/>
      <c r="BO92" s="831"/>
      <c r="BP92" s="1123"/>
      <c r="BQ92" s="831"/>
      <c r="BR92" s="1123"/>
      <c r="BS92" s="831"/>
      <c r="BT92" s="1123"/>
      <c r="BU92" s="5272"/>
      <c r="BV92" s="5248"/>
      <c r="BW92" s="5272"/>
      <c r="BX92" s="5248"/>
      <c r="BY92" s="5272"/>
      <c r="BZ92" s="5248"/>
      <c r="CA92" s="397"/>
      <c r="CN92" s="863">
        <v>0</v>
      </c>
    </row>
    <row s="10232" customFormat="1" customHeight="1" ht="11.25" hidden="1">
      <c r="A93" s="3229"/>
      <c r="B93" s="618"/>
      <c r="D93" s="772" t="s">
        <v>1090</v>
      </c>
      <c r="E93" s="830" t="s">
        <v>1085</v>
      </c>
      <c r="F93" s="767" t="s">
        <v>1023</v>
      </c>
      <c r="G93" s="831"/>
      <c r="H93" s="1123"/>
      <c r="I93" s="831"/>
      <c r="J93" s="1123"/>
      <c r="K93" s="831"/>
      <c r="L93" s="1123"/>
      <c r="M93" s="831"/>
      <c r="N93" s="1123"/>
      <c r="O93" s="831"/>
      <c r="P93" s="1123"/>
      <c r="Q93" s="831"/>
      <c r="R93" s="1123"/>
      <c r="S93" s="831"/>
      <c r="T93" s="1123"/>
      <c r="U93" s="831"/>
      <c r="V93" s="1123"/>
      <c r="W93" s="831"/>
      <c r="X93" s="1123"/>
      <c r="Y93" s="831"/>
      <c r="Z93" s="1123"/>
      <c r="AA93" s="831"/>
      <c r="AB93" s="1123"/>
      <c r="AC93" s="831"/>
      <c r="AD93" s="1123"/>
      <c r="AE93" s="831"/>
      <c r="AF93" s="1123"/>
      <c r="AG93" s="831"/>
      <c r="AH93" s="1123"/>
      <c r="AI93" s="831"/>
      <c r="AJ93" s="1123"/>
      <c r="AK93" s="831"/>
      <c r="AL93" s="1123"/>
      <c r="AM93" s="831"/>
      <c r="AN93" s="1123"/>
      <c r="AO93" s="831"/>
      <c r="AP93" s="1123"/>
      <c r="AQ93" s="831"/>
      <c r="AR93" s="1123"/>
      <c r="AS93" s="831"/>
      <c r="AT93" s="1123"/>
      <c r="AU93" s="831"/>
      <c r="AV93" s="1123"/>
      <c r="AW93" s="831"/>
      <c r="AX93" s="1123"/>
      <c r="AY93" s="831"/>
      <c r="AZ93" s="1123"/>
      <c r="BA93" s="831"/>
      <c r="BB93" s="1123"/>
      <c r="BC93" s="831"/>
      <c r="BD93" s="1123"/>
      <c r="BE93" s="831"/>
      <c r="BF93" s="1123"/>
      <c r="BG93" s="831"/>
      <c r="BH93" s="1123"/>
      <c r="BI93" s="831"/>
      <c r="BJ93" s="1123"/>
      <c r="BK93" s="831"/>
      <c r="BL93" s="1123"/>
      <c r="BM93" s="831"/>
      <c r="BN93" s="1123"/>
      <c r="BO93" s="831"/>
      <c r="BP93" s="1123"/>
      <c r="BQ93" s="831"/>
      <c r="BR93" s="1123"/>
      <c r="BS93" s="831"/>
      <c r="BT93" s="1123"/>
      <c r="BU93" s="5272"/>
      <c r="BV93" s="5248"/>
      <c r="BW93" s="5272"/>
      <c r="BX93" s="5248"/>
      <c r="BY93" s="5272"/>
      <c r="BZ93" s="5248"/>
      <c r="CA93" s="397"/>
      <c r="CN93" s="863">
        <v>0</v>
      </c>
    </row>
    <row s="10232" customFormat="1" customHeight="1" ht="11.25" hidden="1">
      <c r="A94" s="3229"/>
      <c r="B94" s="618"/>
      <c r="D94" s="772" t="s">
        <v>1091</v>
      </c>
      <c r="E94" s="830" t="s">
        <v>1087</v>
      </c>
      <c r="F94" s="767" t="s">
        <v>1023</v>
      </c>
      <c r="G94" s="831"/>
      <c r="H94" s="1123"/>
      <c r="I94" s="831"/>
      <c r="J94" s="1123"/>
      <c r="K94" s="831"/>
      <c r="L94" s="1123"/>
      <c r="M94" s="831"/>
      <c r="N94" s="1123"/>
      <c r="O94" s="831"/>
      <c r="P94" s="1123"/>
      <c r="Q94" s="831"/>
      <c r="R94" s="1123"/>
      <c r="S94" s="831"/>
      <c r="T94" s="1123"/>
      <c r="U94" s="831"/>
      <c r="V94" s="1123"/>
      <c r="W94" s="831"/>
      <c r="X94" s="1123"/>
      <c r="Y94" s="831"/>
      <c r="Z94" s="1123"/>
      <c r="AA94" s="831"/>
      <c r="AB94" s="1123"/>
      <c r="AC94" s="831"/>
      <c r="AD94" s="1123"/>
      <c r="AE94" s="831"/>
      <c r="AF94" s="1123"/>
      <c r="AG94" s="831"/>
      <c r="AH94" s="1123"/>
      <c r="AI94" s="831"/>
      <c r="AJ94" s="1123"/>
      <c r="AK94" s="831"/>
      <c r="AL94" s="1123"/>
      <c r="AM94" s="831"/>
      <c r="AN94" s="1123"/>
      <c r="AO94" s="831"/>
      <c r="AP94" s="1123"/>
      <c r="AQ94" s="831"/>
      <c r="AR94" s="1123"/>
      <c r="AS94" s="831"/>
      <c r="AT94" s="1123"/>
      <c r="AU94" s="831"/>
      <c r="AV94" s="1123"/>
      <c r="AW94" s="831"/>
      <c r="AX94" s="1123"/>
      <c r="AY94" s="831"/>
      <c r="AZ94" s="1123"/>
      <c r="BA94" s="831"/>
      <c r="BB94" s="1123"/>
      <c r="BC94" s="831"/>
      <c r="BD94" s="1123"/>
      <c r="BE94" s="831"/>
      <c r="BF94" s="1123"/>
      <c r="BG94" s="831"/>
      <c r="BH94" s="1123"/>
      <c r="BI94" s="831"/>
      <c r="BJ94" s="1123"/>
      <c r="BK94" s="831"/>
      <c r="BL94" s="1123"/>
      <c r="BM94" s="831"/>
      <c r="BN94" s="1123"/>
      <c r="BO94" s="831"/>
      <c r="BP94" s="1123"/>
      <c r="BQ94" s="831"/>
      <c r="BR94" s="1123"/>
      <c r="BS94" s="831"/>
      <c r="BT94" s="1123"/>
      <c r="BU94" s="5272"/>
      <c r="BV94" s="5248"/>
      <c r="BW94" s="5272"/>
      <c r="BX94" s="5248"/>
      <c r="BY94" s="5272"/>
      <c r="BZ94" s="5248"/>
      <c r="CA94" s="397"/>
      <c r="CN94" s="863">
        <v>0</v>
      </c>
    </row>
    <row s="10232" customFormat="1" customHeight="1" ht="24.75" hidden="1">
      <c r="A95" s="3229"/>
      <c r="B95" s="618"/>
      <c r="D95" s="772" t="s">
        <v>121</v>
      </c>
      <c r="E95" s="773" t="s">
        <v>1092</v>
      </c>
      <c r="F95" s="832" t="s">
        <v>643</v>
      </c>
      <c r="G95" s="834"/>
      <c r="H95" s="1123"/>
      <c r="I95" s="834"/>
      <c r="J95" s="1123"/>
      <c r="K95" s="834"/>
      <c r="L95" s="1123"/>
      <c r="M95" s="834"/>
      <c r="N95" s="1123"/>
      <c r="O95" s="834"/>
      <c r="P95" s="1123"/>
      <c r="Q95" s="834"/>
      <c r="R95" s="1123"/>
      <c r="S95" s="834"/>
      <c r="T95" s="1123"/>
      <c r="U95" s="834"/>
      <c r="V95" s="1123"/>
      <c r="W95" s="834"/>
      <c r="X95" s="1123"/>
      <c r="Y95" s="834"/>
      <c r="Z95" s="1123"/>
      <c r="AA95" s="834"/>
      <c r="AB95" s="1123"/>
      <c r="AC95" s="834"/>
      <c r="AD95" s="1123"/>
      <c r="AE95" s="834"/>
      <c r="AF95" s="1123"/>
      <c r="AG95" s="834"/>
      <c r="AH95" s="1123"/>
      <c r="AI95" s="834"/>
      <c r="AJ95" s="1123"/>
      <c r="AK95" s="834"/>
      <c r="AL95" s="1123"/>
      <c r="AM95" s="834"/>
      <c r="AN95" s="1123"/>
      <c r="AO95" s="834"/>
      <c r="AP95" s="1123"/>
      <c r="AQ95" s="834"/>
      <c r="AR95" s="1123"/>
      <c r="AS95" s="834"/>
      <c r="AT95" s="1123"/>
      <c r="AU95" s="834"/>
      <c r="AV95" s="1123"/>
      <c r="AW95" s="834"/>
      <c r="AX95" s="1123"/>
      <c r="AY95" s="834"/>
      <c r="AZ95" s="1123"/>
      <c r="BA95" s="834"/>
      <c r="BB95" s="1123"/>
      <c r="BC95" s="834"/>
      <c r="BD95" s="1123"/>
      <c r="BE95" s="834"/>
      <c r="BF95" s="1123"/>
      <c r="BG95" s="834"/>
      <c r="BH95" s="1123"/>
      <c r="BI95" s="834"/>
      <c r="BJ95" s="1123"/>
      <c r="BK95" s="834"/>
      <c r="BL95" s="1123"/>
      <c r="BM95" s="834"/>
      <c r="BN95" s="1123"/>
      <c r="BO95" s="834"/>
      <c r="BP95" s="1123"/>
      <c r="BQ95" s="834"/>
      <c r="BR95" s="1123"/>
      <c r="BS95" s="834"/>
      <c r="BT95" s="1123"/>
      <c r="BU95" s="5045"/>
      <c r="BV95" s="5248"/>
      <c r="BW95" s="5045"/>
      <c r="BX95" s="5248"/>
      <c r="BY95" s="5045"/>
      <c r="BZ95" s="5248"/>
      <c r="CA95" s="397" t="s">
        <v>1093</v>
      </c>
      <c r="CN95" s="863">
        <v>0</v>
      </c>
    </row>
    <row s="10232" customFormat="1" customHeight="1" ht="33.75" hidden="1">
      <c r="A96" s="3229"/>
      <c r="B96" s="618"/>
      <c r="D96" s="772" t="s">
        <v>92</v>
      </c>
      <c r="E96" s="773" t="s">
        <v>1094</v>
      </c>
      <c r="F96" s="833" t="s">
        <v>978</v>
      </c>
      <c r="G96" s="835"/>
      <c r="H96" s="1123"/>
      <c r="I96" s="835"/>
      <c r="J96" s="1123"/>
      <c r="K96" s="835"/>
      <c r="L96" s="1123"/>
      <c r="M96" s="835"/>
      <c r="N96" s="1123"/>
      <c r="O96" s="835"/>
      <c r="P96" s="1123"/>
      <c r="Q96" s="835"/>
      <c r="R96" s="1123"/>
      <c r="S96" s="835"/>
      <c r="T96" s="1123"/>
      <c r="U96" s="835"/>
      <c r="V96" s="1123"/>
      <c r="W96" s="835"/>
      <c r="X96" s="1123"/>
      <c r="Y96" s="835"/>
      <c r="Z96" s="1123"/>
      <c r="AA96" s="835"/>
      <c r="AB96" s="1123"/>
      <c r="AC96" s="835"/>
      <c r="AD96" s="1123"/>
      <c r="AE96" s="835"/>
      <c r="AF96" s="1123"/>
      <c r="AG96" s="835"/>
      <c r="AH96" s="1123"/>
      <c r="AI96" s="835"/>
      <c r="AJ96" s="1123"/>
      <c r="AK96" s="835"/>
      <c r="AL96" s="1123"/>
      <c r="AM96" s="835"/>
      <c r="AN96" s="1123"/>
      <c r="AO96" s="835"/>
      <c r="AP96" s="1123"/>
      <c r="AQ96" s="835"/>
      <c r="AR96" s="1123"/>
      <c r="AS96" s="835"/>
      <c r="AT96" s="1123"/>
      <c r="AU96" s="835"/>
      <c r="AV96" s="1123"/>
      <c r="AW96" s="835"/>
      <c r="AX96" s="1123"/>
      <c r="AY96" s="835"/>
      <c r="AZ96" s="1123"/>
      <c r="BA96" s="835"/>
      <c r="BB96" s="1123"/>
      <c r="BC96" s="835"/>
      <c r="BD96" s="1123"/>
      <c r="BE96" s="835"/>
      <c r="BF96" s="1123"/>
      <c r="BG96" s="835"/>
      <c r="BH96" s="1123"/>
      <c r="BI96" s="835"/>
      <c r="BJ96" s="1123"/>
      <c r="BK96" s="835"/>
      <c r="BL96" s="1123"/>
      <c r="BM96" s="835"/>
      <c r="BN96" s="1123"/>
      <c r="BO96" s="835"/>
      <c r="BP96" s="1123"/>
      <c r="BQ96" s="835"/>
      <c r="BR96" s="1123"/>
      <c r="BS96" s="835"/>
      <c r="BT96" s="1123"/>
      <c r="BU96" s="5275"/>
      <c r="BV96" s="5248"/>
      <c r="BW96" s="5275"/>
      <c r="BX96" s="5248"/>
      <c r="BY96" s="5275"/>
      <c r="BZ96" s="5248"/>
      <c r="CA96" s="397"/>
      <c r="CN96" s="863">
        <v>0</v>
      </c>
    </row>
    <row s="10232" customFormat="1" customHeight="1" ht="22.5" hidden="1">
      <c r="A97" s="3229"/>
      <c r="B97" s="618" t="s">
        <v>674</v>
      </c>
      <c r="D97" s="772" t="s">
        <v>93</v>
      </c>
      <c r="E97" s="773" t="s">
        <v>1095</v>
      </c>
      <c r="F97" s="833" t="s">
        <v>391</v>
      </c>
      <c r="G97" s="492"/>
      <c r="H97" s="1123"/>
      <c r="I97" s="492"/>
      <c r="J97" s="1123"/>
      <c r="K97" s="492"/>
      <c r="L97" s="1123"/>
      <c r="M97" s="492"/>
      <c r="N97" s="1123"/>
      <c r="O97" s="492"/>
      <c r="P97" s="1123"/>
      <c r="Q97" s="492"/>
      <c r="R97" s="1123"/>
      <c r="S97" s="492"/>
      <c r="T97" s="1123"/>
      <c r="U97" s="492"/>
      <c r="V97" s="1123"/>
      <c r="W97" s="492"/>
      <c r="X97" s="1123"/>
      <c r="Y97" s="492"/>
      <c r="Z97" s="1123"/>
      <c r="AA97" s="492"/>
      <c r="AB97" s="1123"/>
      <c r="AC97" s="492"/>
      <c r="AD97" s="1123"/>
      <c r="AE97" s="492"/>
      <c r="AF97" s="1123"/>
      <c r="AG97" s="492"/>
      <c r="AH97" s="1123"/>
      <c r="AI97" s="492"/>
      <c r="AJ97" s="1123"/>
      <c r="AK97" s="492"/>
      <c r="AL97" s="1123"/>
      <c r="AM97" s="492"/>
      <c r="AN97" s="1123"/>
      <c r="AO97" s="492"/>
      <c r="AP97" s="1123"/>
      <c r="AQ97" s="492"/>
      <c r="AR97" s="1123"/>
      <c r="AS97" s="492"/>
      <c r="AT97" s="1123"/>
      <c r="AU97" s="492"/>
      <c r="AV97" s="1123"/>
      <c r="AW97" s="492"/>
      <c r="AX97" s="1123"/>
      <c r="AY97" s="492"/>
      <c r="AZ97" s="1123"/>
      <c r="BA97" s="492"/>
      <c r="BB97" s="1123"/>
      <c r="BC97" s="492"/>
      <c r="BD97" s="1123"/>
      <c r="BE97" s="492"/>
      <c r="BF97" s="1123"/>
      <c r="BG97" s="492"/>
      <c r="BH97" s="1123"/>
      <c r="BI97" s="492"/>
      <c r="BJ97" s="1123"/>
      <c r="BK97" s="492"/>
      <c r="BL97" s="1123"/>
      <c r="BM97" s="492"/>
      <c r="BN97" s="1123"/>
      <c r="BO97" s="492"/>
      <c r="BP97" s="1123"/>
      <c r="BQ97" s="492"/>
      <c r="BR97" s="1123"/>
      <c r="BS97" s="492"/>
      <c r="BT97" s="1123"/>
      <c r="BU97" s="5054"/>
      <c r="BV97" s="5248"/>
      <c r="BW97" s="5054"/>
      <c r="BX97" s="5248"/>
      <c r="BY97" s="5054"/>
      <c r="BZ97" s="5248"/>
      <c r="CA97" s="397" t="s">
        <v>771</v>
      </c>
      <c r="CN97" s="863">
        <v>0</v>
      </c>
    </row>
    <row s="10232" customFormat="1" customHeight="1" ht="45" hidden="1">
      <c r="A98" s="3229"/>
      <c r="B98" s="618" t="s">
        <v>674</v>
      </c>
      <c r="D98" s="772" t="s">
        <v>956</v>
      </c>
      <c r="E98" s="774" t="s">
        <v>1096</v>
      </c>
      <c r="F98" s="828" t="s">
        <v>391</v>
      </c>
      <c r="G98" s="492"/>
      <c r="H98" s="1123"/>
      <c r="I98" s="492"/>
      <c r="J98" s="1123"/>
      <c r="K98" s="492"/>
      <c r="L98" s="1123"/>
      <c r="M98" s="492"/>
      <c r="N98" s="1123"/>
      <c r="O98" s="492"/>
      <c r="P98" s="1123"/>
      <c r="Q98" s="492"/>
      <c r="R98" s="1123"/>
      <c r="S98" s="492"/>
      <c r="T98" s="1123"/>
      <c r="U98" s="492"/>
      <c r="V98" s="1123"/>
      <c r="W98" s="492"/>
      <c r="X98" s="1123"/>
      <c r="Y98" s="492"/>
      <c r="Z98" s="1123"/>
      <c r="AA98" s="492"/>
      <c r="AB98" s="1123"/>
      <c r="AC98" s="492"/>
      <c r="AD98" s="1123"/>
      <c r="AE98" s="492"/>
      <c r="AF98" s="1123"/>
      <c r="AG98" s="492"/>
      <c r="AH98" s="1123"/>
      <c r="AI98" s="492"/>
      <c r="AJ98" s="1123"/>
      <c r="AK98" s="492"/>
      <c r="AL98" s="1123"/>
      <c r="AM98" s="492"/>
      <c r="AN98" s="1123"/>
      <c r="AO98" s="492"/>
      <c r="AP98" s="1123"/>
      <c r="AQ98" s="492"/>
      <c r="AR98" s="1123"/>
      <c r="AS98" s="492"/>
      <c r="AT98" s="1123"/>
      <c r="AU98" s="492"/>
      <c r="AV98" s="1123"/>
      <c r="AW98" s="492"/>
      <c r="AX98" s="1123"/>
      <c r="AY98" s="492"/>
      <c r="AZ98" s="1123"/>
      <c r="BA98" s="492"/>
      <c r="BB98" s="1123"/>
      <c r="BC98" s="492"/>
      <c r="BD98" s="1123"/>
      <c r="BE98" s="492"/>
      <c r="BF98" s="1123"/>
      <c r="BG98" s="492"/>
      <c r="BH98" s="1123"/>
      <c r="BI98" s="492"/>
      <c r="BJ98" s="1123"/>
      <c r="BK98" s="492"/>
      <c r="BL98" s="1123"/>
      <c r="BM98" s="492"/>
      <c r="BN98" s="1123"/>
      <c r="BO98" s="492"/>
      <c r="BP98" s="1123"/>
      <c r="BQ98" s="492"/>
      <c r="BR98" s="1123"/>
      <c r="BS98" s="492"/>
      <c r="BT98" s="1123"/>
      <c r="BU98" s="5054"/>
      <c r="BV98" s="5248"/>
      <c r="BW98" s="5054"/>
      <c r="BX98" s="5248"/>
      <c r="BY98" s="5054"/>
      <c r="BZ98" s="5248"/>
      <c r="CA98" s="397" t="s">
        <v>771</v>
      </c>
      <c r="CN98" s="863">
        <v>0</v>
      </c>
    </row>
    <row s="10232" customFormat="1" customHeight="1" ht="95.25" hidden="1">
      <c r="A99" s="3229"/>
      <c r="B99" s="618" t="s">
        <v>674</v>
      </c>
      <c r="D99" s="772" t="s">
        <v>136</v>
      </c>
      <c r="E99" s="773" t="s">
        <v>1097</v>
      </c>
      <c r="F99" s="828" t="s">
        <v>391</v>
      </c>
      <c r="G99" s="492"/>
      <c r="H99" s="1123"/>
      <c r="I99" s="492"/>
      <c r="J99" s="1123"/>
      <c r="K99" s="492"/>
      <c r="L99" s="1123"/>
      <c r="M99" s="492"/>
      <c r="N99" s="1123"/>
      <c r="O99" s="492"/>
      <c r="P99" s="1123"/>
      <c r="Q99" s="492"/>
      <c r="R99" s="1123"/>
      <c r="S99" s="492"/>
      <c r="T99" s="1123"/>
      <c r="U99" s="492"/>
      <c r="V99" s="1123"/>
      <c r="W99" s="492"/>
      <c r="X99" s="1123"/>
      <c r="Y99" s="492"/>
      <c r="Z99" s="1123"/>
      <c r="AA99" s="492"/>
      <c r="AB99" s="1123"/>
      <c r="AC99" s="492"/>
      <c r="AD99" s="1123"/>
      <c r="AE99" s="492"/>
      <c r="AF99" s="1123"/>
      <c r="AG99" s="492"/>
      <c r="AH99" s="1123"/>
      <c r="AI99" s="492"/>
      <c r="AJ99" s="1123"/>
      <c r="AK99" s="492"/>
      <c r="AL99" s="1123"/>
      <c r="AM99" s="492"/>
      <c r="AN99" s="1123"/>
      <c r="AO99" s="492"/>
      <c r="AP99" s="1123"/>
      <c r="AQ99" s="492"/>
      <c r="AR99" s="1123"/>
      <c r="AS99" s="492"/>
      <c r="AT99" s="1123"/>
      <c r="AU99" s="492"/>
      <c r="AV99" s="1123"/>
      <c r="AW99" s="492"/>
      <c r="AX99" s="1123"/>
      <c r="AY99" s="492"/>
      <c r="AZ99" s="1123"/>
      <c r="BA99" s="492"/>
      <c r="BB99" s="1123"/>
      <c r="BC99" s="492"/>
      <c r="BD99" s="1123"/>
      <c r="BE99" s="492"/>
      <c r="BF99" s="1123"/>
      <c r="BG99" s="492"/>
      <c r="BH99" s="1123"/>
      <c r="BI99" s="492"/>
      <c r="BJ99" s="1123"/>
      <c r="BK99" s="492"/>
      <c r="BL99" s="1123"/>
      <c r="BM99" s="492"/>
      <c r="BN99" s="1123"/>
      <c r="BO99" s="492"/>
      <c r="BP99" s="1123"/>
      <c r="BQ99" s="492"/>
      <c r="BR99" s="1123"/>
      <c r="BS99" s="492"/>
      <c r="BT99" s="1123"/>
      <c r="BU99" s="5054"/>
      <c r="BV99" s="5248"/>
      <c r="BW99" s="5054"/>
      <c r="BX99" s="5248"/>
      <c r="BY99" s="5054"/>
      <c r="BZ99" s="5248"/>
      <c r="CA99" s="397" t="s">
        <v>771</v>
      </c>
      <c r="CN99" s="863">
        <v>0</v>
      </c>
    </row>
    <row s="10232" customFormat="1" customHeight="1" ht="22.5" hidden="1">
      <c r="A100" s="3229"/>
      <c r="B100" s="618" t="s">
        <v>674</v>
      </c>
      <c r="D100" s="772" t="s">
        <v>235</v>
      </c>
      <c r="E100" s="773" t="s">
        <v>1098</v>
      </c>
      <c r="F100" s="828" t="s">
        <v>391</v>
      </c>
      <c r="G100" s="492"/>
      <c r="H100" s="1123"/>
      <c r="I100" s="492"/>
      <c r="J100" s="1123"/>
      <c r="K100" s="492"/>
      <c r="L100" s="1123"/>
      <c r="M100" s="492"/>
      <c r="N100" s="1123"/>
      <c r="O100" s="492"/>
      <c r="P100" s="1123"/>
      <c r="Q100" s="492"/>
      <c r="R100" s="1123"/>
      <c r="S100" s="492"/>
      <c r="T100" s="1123"/>
      <c r="U100" s="492"/>
      <c r="V100" s="1123"/>
      <c r="W100" s="492"/>
      <c r="X100" s="1123"/>
      <c r="Y100" s="492"/>
      <c r="Z100" s="1123"/>
      <c r="AA100" s="492"/>
      <c r="AB100" s="1123"/>
      <c r="AC100" s="492"/>
      <c r="AD100" s="1123"/>
      <c r="AE100" s="492"/>
      <c r="AF100" s="1123"/>
      <c r="AG100" s="492"/>
      <c r="AH100" s="1123"/>
      <c r="AI100" s="492"/>
      <c r="AJ100" s="1123"/>
      <c r="AK100" s="492"/>
      <c r="AL100" s="1123"/>
      <c r="AM100" s="492"/>
      <c r="AN100" s="1123"/>
      <c r="AO100" s="492"/>
      <c r="AP100" s="1123"/>
      <c r="AQ100" s="492"/>
      <c r="AR100" s="1123"/>
      <c r="AS100" s="492"/>
      <c r="AT100" s="1123"/>
      <c r="AU100" s="492"/>
      <c r="AV100" s="1123"/>
      <c r="AW100" s="492"/>
      <c r="AX100" s="1123"/>
      <c r="AY100" s="492"/>
      <c r="AZ100" s="1123"/>
      <c r="BA100" s="492"/>
      <c r="BB100" s="1123"/>
      <c r="BC100" s="492"/>
      <c r="BD100" s="1123"/>
      <c r="BE100" s="492"/>
      <c r="BF100" s="1123"/>
      <c r="BG100" s="492"/>
      <c r="BH100" s="1123"/>
      <c r="BI100" s="492"/>
      <c r="BJ100" s="1123"/>
      <c r="BK100" s="492"/>
      <c r="BL100" s="1123"/>
      <c r="BM100" s="492"/>
      <c r="BN100" s="1123"/>
      <c r="BO100" s="492"/>
      <c r="BP100" s="1123"/>
      <c r="BQ100" s="492"/>
      <c r="BR100" s="1123"/>
      <c r="BS100" s="492"/>
      <c r="BT100" s="1123"/>
      <c r="BU100" s="5054"/>
      <c r="BV100" s="5248"/>
      <c r="BW100" s="5054"/>
      <c r="BX100" s="5248"/>
      <c r="BY100" s="5054"/>
      <c r="BZ100" s="5248"/>
      <c r="CA100" s="397" t="s">
        <v>771</v>
      </c>
      <c r="CN100" s="863">
        <v>0</v>
      </c>
    </row>
    <row s="10232" customFormat="1" customHeight="1" ht="11.549999999999999">
      <c r="A101" s="1133"/>
      <c r="B101" s="625"/>
      <c r="D101" s="1134"/>
      <c r="E101" s="1135"/>
      <c r="BU101" s="4586"/>
      <c r="BV101" s="4586"/>
      <c r="BW101" s="4586"/>
      <c r="BX101" s="4586"/>
      <c r="BY101" s="4586"/>
      <c r="BZ101" s="4586"/>
      <c r="CN101" s="616">
        <v>11</v>
      </c>
    </row>
    <row customHeight="1" ht="22.5" hidden="1">
      <c r="A102" s="643" t="s">
        <v>82</v>
      </c>
      <c r="B102" s="618">
        <v>0</v>
      </c>
      <c r="C102" s="612">
        <v>3</v>
      </c>
      <c r="D102" s="612">
        <v>7</v>
      </c>
      <c r="E102" s="612">
        <v>69</v>
      </c>
      <c r="F102" s="612">
        <v>10</v>
      </c>
      <c r="G102" s="612">
        <v>0</v>
      </c>
      <c r="H102" s="612">
        <v>0</v>
      </c>
      <c r="I102" s="863">
        <v>43</v>
      </c>
      <c r="J102" s="863">
        <v>43</v>
      </c>
      <c r="K102" s="1731">
        <v>0</v>
      </c>
      <c r="L102" s="1731">
        <v>0</v>
      </c>
      <c r="M102" s="1731">
        <v>0</v>
      </c>
      <c r="N102" s="1731">
        <v>0</v>
      </c>
      <c r="O102" s="1731">
        <v>0</v>
      </c>
      <c r="P102" s="1731">
        <v>0</v>
      </c>
      <c r="Q102" s="1731">
        <v>0</v>
      </c>
      <c r="R102" s="1731">
        <v>0</v>
      </c>
      <c r="S102" s="1731">
        <v>0</v>
      </c>
      <c r="T102" s="1731">
        <v>0</v>
      </c>
      <c r="U102" s="1731">
        <v>0</v>
      </c>
      <c r="V102" s="1731">
        <v>0</v>
      </c>
      <c r="W102" s="1731">
        <v>0</v>
      </c>
      <c r="X102" s="1731">
        <v>0</v>
      </c>
      <c r="Y102" s="1731">
        <v>0</v>
      </c>
      <c r="Z102" s="1731">
        <v>0</v>
      </c>
      <c r="AA102" s="1731">
        <v>0</v>
      </c>
      <c r="AB102" s="1731">
        <v>0</v>
      </c>
      <c r="AC102" s="1731">
        <v>0</v>
      </c>
      <c r="AD102" s="1731">
        <v>0</v>
      </c>
      <c r="AE102" s="1731">
        <v>0</v>
      </c>
      <c r="AF102" s="1731">
        <v>0</v>
      </c>
      <c r="AG102" s="1731">
        <v>0</v>
      </c>
      <c r="AH102" s="1731">
        <v>0</v>
      </c>
      <c r="AI102" s="1731">
        <v>0</v>
      </c>
      <c r="AJ102" s="1731">
        <v>0</v>
      </c>
      <c r="AK102" s="1731">
        <v>0</v>
      </c>
      <c r="AL102" s="1731">
        <v>0</v>
      </c>
      <c r="AM102" s="1731">
        <v>0</v>
      </c>
      <c r="AN102" s="1731">
        <v>0</v>
      </c>
      <c r="AO102" s="1731">
        <v>0</v>
      </c>
      <c r="AP102" s="1731">
        <v>0</v>
      </c>
      <c r="AQ102" s="1731">
        <v>0</v>
      </c>
      <c r="AR102" s="1731">
        <v>0</v>
      </c>
      <c r="AS102" s="1731">
        <v>0</v>
      </c>
      <c r="AT102" s="1731">
        <v>0</v>
      </c>
      <c r="AU102" s="1731">
        <v>0</v>
      </c>
      <c r="AV102" s="1731">
        <v>0</v>
      </c>
      <c r="AW102" s="1731">
        <v>0</v>
      </c>
      <c r="AX102" s="1731">
        <v>0</v>
      </c>
      <c r="AY102" s="1731">
        <v>0</v>
      </c>
      <c r="AZ102" s="1731">
        <v>0</v>
      </c>
      <c r="BA102" s="1731">
        <v>0</v>
      </c>
      <c r="BB102" s="1731">
        <v>0</v>
      </c>
      <c r="BC102" s="1731">
        <v>0</v>
      </c>
      <c r="BD102" s="1731">
        <v>0</v>
      </c>
      <c r="BE102" s="1731">
        <v>0</v>
      </c>
      <c r="BF102" s="1731">
        <v>0</v>
      </c>
      <c r="BG102" s="1731">
        <v>0</v>
      </c>
      <c r="BH102" s="1731">
        <v>0</v>
      </c>
      <c r="BI102" s="1731">
        <v>0</v>
      </c>
      <c r="BJ102" s="1731">
        <v>0</v>
      </c>
      <c r="BK102" s="1731">
        <v>0</v>
      </c>
      <c r="BL102" s="1731">
        <v>0</v>
      </c>
      <c r="BM102" s="1731">
        <v>0</v>
      </c>
      <c r="BN102" s="1731">
        <v>0</v>
      </c>
      <c r="BO102" s="1731">
        <v>0</v>
      </c>
      <c r="BP102" s="1731">
        <v>0</v>
      </c>
      <c r="BQ102" s="1731">
        <v>0</v>
      </c>
      <c r="BR102" s="1731">
        <v>0</v>
      </c>
      <c r="BS102" s="1731">
        <v>0</v>
      </c>
      <c r="BT102" s="1731">
        <v>0</v>
      </c>
      <c r="BU102" s="4586">
        <v>0</v>
      </c>
      <c r="BV102" s="4586">
        <v>0</v>
      </c>
      <c r="BW102" s="4586">
        <v>0</v>
      </c>
      <c r="BX102" s="4586">
        <v>0</v>
      </c>
      <c r="BY102" s="4586">
        <v>0</v>
      </c>
      <c r="BZ102" s="4586">
        <v>0</v>
      </c>
      <c r="CA102" s="612">
        <v>73</v>
      </c>
      <c r="CB102" s="612">
        <v>3</v>
      </c>
      <c r="CC102" s="612">
        <v>10</v>
      </c>
      <c r="CD102" s="612">
        <v>10</v>
      </c>
      <c r="CE102" s="612">
        <v>10</v>
      </c>
      <c r="CF102" s="612">
        <v>10</v>
      </c>
      <c r="CG102" s="612">
        <v>10</v>
      </c>
      <c r="CH102" s="612">
        <v>10</v>
      </c>
      <c r="CI102" s="612">
        <v>10</v>
      </c>
      <c r="CJ102" s="612">
        <v>10</v>
      </c>
      <c r="CK102" s="612">
        <v>10</v>
      </c>
      <c r="CL102" s="612">
        <v>10</v>
      </c>
      <c r="CM102" s="612">
        <v>10</v>
      </c>
      <c r="CN102" s="612">
        <v>23</v>
      </c>
    </row>
  </sheetData>
  <sheetProtection formatColumns="0" formatRows="0" autoFilter="0" sort="0" insertRows="0" insertColumns="1" deleteRows="0" deleteColumns="0"/>
  <mergeCells count="120">
    <mergeCell ref="BS7:BT7"/>
    <mergeCell ref="BS8:BT8"/>
    <mergeCell ref="BS9:BT9"/>
    <mergeCell ref="BM7:BN7"/>
    <mergeCell ref="BM8:BN8"/>
    <mergeCell ref="BM9:BN9"/>
    <mergeCell ref="BO7:BP7"/>
    <mergeCell ref="BO8:BP8"/>
    <mergeCell ref="BO9:BP9"/>
    <mergeCell ref="BQ7:BR7"/>
    <mergeCell ref="BQ8:BR8"/>
    <mergeCell ref="BQ9:BR9"/>
    <mergeCell ref="BG7:BH7"/>
    <mergeCell ref="BG8:BH8"/>
    <mergeCell ref="BG9:BH9"/>
    <mergeCell ref="BI7:BJ7"/>
    <mergeCell ref="BI8:BJ8"/>
    <mergeCell ref="BI9:BJ9"/>
    <mergeCell ref="BK7:BL7"/>
    <mergeCell ref="BK8:BL8"/>
    <mergeCell ref="BK9:BL9"/>
    <mergeCell ref="BA7:BB7"/>
    <mergeCell ref="BA8:BB8"/>
    <mergeCell ref="BA9:BB9"/>
    <mergeCell ref="BC7:BD7"/>
    <mergeCell ref="BC8:BD8"/>
    <mergeCell ref="BC9:BD9"/>
    <mergeCell ref="BE7:BF7"/>
    <mergeCell ref="BE8:BF8"/>
    <mergeCell ref="BE9:BF9"/>
    <mergeCell ref="AU7:AV7"/>
    <mergeCell ref="AU8:AV8"/>
    <mergeCell ref="AU9:AV9"/>
    <mergeCell ref="AW7:AX7"/>
    <mergeCell ref="AW8:AX8"/>
    <mergeCell ref="AW9:AX9"/>
    <mergeCell ref="AY7:AZ7"/>
    <mergeCell ref="AY8:AZ8"/>
    <mergeCell ref="AY9:AZ9"/>
    <mergeCell ref="AO7:AP7"/>
    <mergeCell ref="AO8:AP8"/>
    <mergeCell ref="AO9:AP9"/>
    <mergeCell ref="AQ7:AR7"/>
    <mergeCell ref="AQ8:AR8"/>
    <mergeCell ref="AQ9:AR9"/>
    <mergeCell ref="AS7:AT7"/>
    <mergeCell ref="AS8:AT8"/>
    <mergeCell ref="AS9:AT9"/>
    <mergeCell ref="AI7:AJ7"/>
    <mergeCell ref="AI8:AJ8"/>
    <mergeCell ref="AI9:AJ9"/>
    <mergeCell ref="AK7:AL7"/>
    <mergeCell ref="AK8:AL8"/>
    <mergeCell ref="AK9:AL9"/>
    <mergeCell ref="AM7:AN7"/>
    <mergeCell ref="AM8:AN8"/>
    <mergeCell ref="AM9:AN9"/>
    <mergeCell ref="AC7:AD7"/>
    <mergeCell ref="AC8:AD8"/>
    <mergeCell ref="AC9:AD9"/>
    <mergeCell ref="AE7:AF7"/>
    <mergeCell ref="AE8:AF8"/>
    <mergeCell ref="AE9:AF9"/>
    <mergeCell ref="AG7:AH7"/>
    <mergeCell ref="AG8:AH8"/>
    <mergeCell ref="AG9:AH9"/>
    <mergeCell ref="U9:V9"/>
    <mergeCell ref="W7:X7"/>
    <mergeCell ref="W8:X8"/>
    <mergeCell ref="W9:X9"/>
    <mergeCell ref="Y7:Z7"/>
    <mergeCell ref="Y8:Z8"/>
    <mergeCell ref="Y9:Z9"/>
    <mergeCell ref="AA7:AB7"/>
    <mergeCell ref="AA8:AB8"/>
    <mergeCell ref="AA9:AB9"/>
    <mergeCell ref="A37:A63"/>
    <mergeCell ref="A65:A75"/>
    <mergeCell ref="A77:A100"/>
    <mergeCell ref="A13:A35"/>
    <mergeCell ref="A11:B11"/>
    <mergeCell ref="K7:L7"/>
    <mergeCell ref="K8:L8"/>
    <mergeCell ref="K9:L9"/>
    <mergeCell ref="M7:N7"/>
    <mergeCell ref="M8:N8"/>
    <mergeCell ref="M9:N9"/>
    <mergeCell ref="D3:F3"/>
    <mergeCell ref="CA7:CA11"/>
    <mergeCell ref="G7:H7"/>
    <mergeCell ref="E7:F7"/>
    <mergeCell ref="E8:F8"/>
    <mergeCell ref="E9:F9"/>
    <mergeCell ref="G8:H8"/>
    <mergeCell ref="G9:H9"/>
    <mergeCell ref="D4:F4"/>
    <mergeCell ref="I7:J7"/>
    <mergeCell ref="I8:J8"/>
    <mergeCell ref="I9:J9"/>
    <mergeCell ref="D10:J10"/>
    <mergeCell ref="O7:P7"/>
    <mergeCell ref="O8:P8"/>
    <mergeCell ref="O9:P9"/>
    <mergeCell ref="Q7:R7"/>
    <mergeCell ref="Q8:R8"/>
    <mergeCell ref="Q9:R9"/>
    <mergeCell ref="S7:T7"/>
    <mergeCell ref="S8:T8"/>
    <mergeCell ref="S9:T9"/>
    <mergeCell ref="U7:V7"/>
    <mergeCell ref="U8:V8"/>
    <mergeCell ref="BU7:BV7"/>
    <mergeCell ref="BU8:BV8"/>
    <mergeCell ref="BU9:BV9"/>
    <mergeCell ref="BW7:BX7"/>
    <mergeCell ref="BW8:BX8"/>
    <mergeCell ref="BW9:BX9"/>
    <mergeCell ref="BY7:BZ7"/>
    <mergeCell ref="BY8:BZ8"/>
    <mergeCell ref="BY9:BZ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J24 L24 N24 P24 R24 T24 V24 X24 Z24 AB24 AD24 AF24 AH24 AJ24 AL24 AN24 AP24 AR24 AT24 AV24 AX24 AZ24 BB24 BD24 BF24 BH24 BJ24 BL24 BN24 BP24 BR24 BT24 BV24 BX24 BZ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G62:G63 G74:G75 G97:G100 I62:I63 I74:I75 I97:I100 H13:H14 H19 J19 L19 N19 P19 R19 T19 V19 X19 Z19 AB19 AD19 AF19 AH19 AJ19 AL19 AN19 AP19 AR19 AT19 AV19 AX19 AZ19 BB19 BD19 BF19 BH19 BJ19 BL19 BN19 BP19 BR19 BT19 BV19 BX19 BZ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60944-EDE2-5C7C-4CC8-69E1250E9A78}" mc:Ignorable="x14ac xr xr2 xr3">
  <sheetPr>
    <tabColor rgb="FFE26B0A"/>
  </sheetPr>
  <dimension ref="A1:CL40"/>
  <sheetViews>
    <sheetView topLeftCell="A1" showGridLines="0" zoomScale="90" workbookViewId="0">
      <selection activeCell="BY25" sqref="BY25"/>
    </sheetView>
  </sheetViews>
  <sheetFormatPr defaultColWidth="10.57421875" customHeight="1" defaultRowHeight="15"/>
  <cols>
    <col min="1" max="1" style="10196" width="9.140625" hidden="1" customWidth="1"/>
    <col min="2" max="2" style="10232" width="9.140625" hidden="1" customWidth="1"/>
    <col min="3" max="3" style="12392" width="4.00390625" customWidth="1"/>
    <col min="4" max="4" style="10232" width="6.00390625" customWidth="1"/>
    <col min="5" max="5" style="10232" width="36.00390625" customWidth="1"/>
    <col min="6" max="6" style="10232" width="9.00390625" customWidth="1"/>
    <col min="7" max="7" style="10232" width="25.7109375" hidden="1" customWidth="1"/>
    <col min="8" max="8" style="10232" width="33.7109375" hidden="1" customWidth="1"/>
    <col min="9" max="9" style="10232" width="25.7109375" customWidth="1"/>
    <col min="10" max="10" style="10232" width="33.00390625" customWidth="1"/>
    <col min="11" max="11" style="10232" width="25.7109375" customWidth="1"/>
    <col min="12" max="12" style="10232" width="33.7109375" customWidth="1"/>
    <col min="13" max="13" style="10232" width="25.7109375" customWidth="1"/>
    <col min="14" max="14" style="10232" width="33.7109375" customWidth="1"/>
    <col min="15" max="15" style="10232" width="25.7109375" customWidth="1"/>
    <col min="16" max="16" style="10232" width="33.7109375" customWidth="1"/>
    <col min="17" max="17" style="10232" width="25.7109375" customWidth="1"/>
    <col min="18" max="18" style="10232" width="33.7109375" customWidth="1"/>
    <col min="19" max="19" style="10232" width="25.7109375" customWidth="1"/>
    <col min="20" max="20" style="10232" width="33.7109375" customWidth="1"/>
    <col min="21" max="21" style="10232" width="25.7109375" customWidth="1"/>
    <col min="22" max="22" style="10232" width="33.7109375" customWidth="1"/>
    <col min="23" max="23" style="10232" width="25.7109375" customWidth="1"/>
    <col min="24" max="24" style="10232" width="33.7109375" customWidth="1"/>
    <col min="25" max="25" style="10232" width="25.7109375" customWidth="1"/>
    <col min="26" max="26" style="10232" width="33.7109375" customWidth="1"/>
    <col min="27" max="27" style="10232" width="25.7109375" customWidth="1"/>
    <col min="28" max="28" style="10232" width="33.7109375" customWidth="1"/>
    <col min="29" max="29" style="10232" width="25.7109375" customWidth="1"/>
    <col min="30" max="30" style="10232" width="33.7109375" customWidth="1"/>
    <col min="31" max="31" style="10232" width="25.7109375" customWidth="1"/>
    <col min="32" max="32" style="10232" width="33.7109375" customWidth="1"/>
    <col min="33" max="33" style="10232" width="25.7109375" customWidth="1"/>
    <col min="34" max="34" style="10232" width="33.7109375" customWidth="1"/>
    <col min="35" max="35" style="10232" width="25.7109375" customWidth="1"/>
    <col min="36" max="36" style="10232" width="33.7109375" customWidth="1"/>
    <col min="37" max="37" style="10232" width="25.7109375" customWidth="1"/>
    <col min="38" max="38" style="10232" width="33.7109375" customWidth="1"/>
    <col min="39" max="39" style="10232" width="25.7109375" customWidth="1"/>
    <col min="40" max="40" style="10232" width="33.7109375" customWidth="1"/>
    <col min="41" max="41" style="10232" width="25.7109375" customWidth="1"/>
    <col min="42" max="42" style="10232" width="33.7109375" customWidth="1"/>
    <col min="43" max="43" style="10232" width="25.7109375" customWidth="1"/>
    <col min="44" max="44" style="10232" width="33.7109375" customWidth="1"/>
    <col min="45" max="45" style="10232" width="25.7109375" customWidth="1"/>
    <col min="46" max="46" style="10232" width="33.7109375" customWidth="1"/>
    <col min="47" max="47" style="10232" width="25.7109375" customWidth="1"/>
    <col min="48" max="48" style="10232" width="33.7109375" customWidth="1"/>
    <col min="49" max="49" style="10232" width="25.7109375" customWidth="1"/>
    <col min="50" max="50" style="10232" width="33.7109375" customWidth="1"/>
    <col min="51" max="51" style="10232" width="25.7109375" customWidth="1"/>
    <col min="52" max="52" style="10232" width="33.7109375" customWidth="1"/>
    <col min="53" max="53" style="10232" width="25.7109375" customWidth="1"/>
    <col min="54" max="54" style="10232" width="33.7109375" customWidth="1"/>
    <col min="55" max="55" style="10232" width="25.7109375" customWidth="1"/>
    <col min="56" max="56" style="10232" width="33.7109375" customWidth="1"/>
    <col min="57" max="57" style="10232" width="25.7109375" customWidth="1"/>
    <col min="58" max="58" style="10232" width="33.7109375" customWidth="1"/>
    <col min="59" max="59" style="10232" width="25.7109375" customWidth="1"/>
    <col min="60" max="60" style="10232" width="33.7109375" customWidth="1"/>
    <col min="61" max="61" style="10232" width="25.7109375" customWidth="1"/>
    <col min="62" max="62" style="10232" width="33.7109375" customWidth="1"/>
    <col min="63" max="63" style="10232" width="25.7109375" customWidth="1"/>
    <col min="64" max="64" style="10232" width="33.7109375" customWidth="1"/>
    <col min="65" max="65" style="10232" width="25.7109375" customWidth="1"/>
    <col min="66" max="66" style="10232" width="33.7109375" customWidth="1"/>
    <col min="67" max="67" style="10232" width="25.7109375" customWidth="1"/>
    <col min="68" max="68" style="10232" width="33.7109375" customWidth="1"/>
    <col min="69" max="69" style="10232" width="25.7109375" customWidth="1"/>
    <col min="70" max="70" style="10232" width="33.7109375" customWidth="1"/>
    <col min="71" max="71" style="10232" width="25.7109375" customWidth="1"/>
    <col min="72" max="72" style="10232" width="33.7109375" customWidth="1"/>
    <col min="73" max="73" style="11667" width="25.7109375" customWidth="1"/>
    <col min="74" max="74" style="11667" width="33.7109375" customWidth="1"/>
    <col min="75" max="75" style="11667" width="25.7109375" customWidth="1"/>
    <col min="76" max="76" style="11667" width="33.7109375" customWidth="1"/>
    <col min="77" max="77" style="11667" width="25.7109375" customWidth="1"/>
    <col min="78" max="78" style="11667" width="33.7109375" customWidth="1"/>
    <col min="79" max="79" style="10306" width="93.00390625" customWidth="1"/>
    <col min="80" max="88" style="10232" width="10.00390625" customWidth="1"/>
    <col min="89" max="89" style="12393" width="10.00390625" customWidth="1"/>
    <col min="90" max="90" style="10232" width="10.57421875" hidden="1"/>
  </cols>
  <sheetData>
    <row s="10306" customFormat="1" customHeight="1" ht="22.5" hidden="1">
      <c r="C1" s="779"/>
      <c r="G1" s="524">
        <v>4</v>
      </c>
      <c r="I1" s="524">
        <v>4</v>
      </c>
      <c r="K1" s="1462" t="s">
        <v>144</v>
      </c>
      <c r="M1" s="1462">
        <v>4</v>
      </c>
      <c r="O1" s="1462">
        <v>4</v>
      </c>
      <c r="Q1" s="1462">
        <v>4</v>
      </c>
      <c r="S1" s="1462">
        <v>4</v>
      </c>
      <c r="U1" s="1462">
        <v>4</v>
      </c>
      <c r="W1" s="1462">
        <v>4</v>
      </c>
      <c r="Y1" s="1462">
        <v>4</v>
      </c>
      <c r="AA1" s="1462">
        <v>4</v>
      </c>
      <c r="AC1" s="1462">
        <v>4</v>
      </c>
      <c r="AE1" s="1462">
        <v>4</v>
      </c>
      <c r="AG1" s="1462">
        <v>4</v>
      </c>
      <c r="AI1" s="1462">
        <v>4</v>
      </c>
      <c r="AK1" s="1462">
        <v>4</v>
      </c>
      <c r="AM1" s="1462">
        <v>4</v>
      </c>
      <c r="AO1" s="1462">
        <v>4</v>
      </c>
      <c r="AQ1" s="1462">
        <v>4</v>
      </c>
      <c r="AS1" s="1462">
        <v>4</v>
      </c>
      <c r="AU1" s="1462">
        <v>4</v>
      </c>
      <c r="AW1" s="1462">
        <v>4</v>
      </c>
      <c r="AY1" s="1462">
        <v>4</v>
      </c>
      <c r="BA1" s="1462">
        <v>4</v>
      </c>
      <c r="BC1" s="1462">
        <v>4</v>
      </c>
      <c r="BE1" s="1462">
        <v>4</v>
      </c>
      <c r="BG1" s="1462">
        <v>4</v>
      </c>
      <c r="BI1" s="1462">
        <v>4</v>
      </c>
      <c r="BK1" s="1462">
        <v>4</v>
      </c>
      <c r="BM1" s="1462">
        <v>4</v>
      </c>
      <c r="BO1" s="1462">
        <v>4</v>
      </c>
      <c r="BQ1" s="1462">
        <v>4</v>
      </c>
      <c r="BS1" s="1462">
        <v>4</v>
      </c>
      <c r="BU1" s="4608">
        <v>4</v>
      </c>
      <c r="BV1" s="4608"/>
      <c r="BW1" s="4608">
        <v>4</v>
      </c>
      <c r="BX1" s="4608"/>
      <c r="BY1" s="4608">
        <v>4</v>
      </c>
      <c r="BZ1" s="4608"/>
      <c r="CK1" s="527"/>
      <c r="CL1" s="524" t="s">
        <v>14</v>
      </c>
    </row>
    <row s="10306" customFormat="1" customHeight="1" ht="15" hidden="1">
      <c r="C2" s="779"/>
      <c r="BU2" s="4608"/>
      <c r="BV2" s="4608"/>
      <c r="BW2" s="4608"/>
      <c r="BX2" s="4608"/>
      <c r="BY2" s="4608"/>
      <c r="BZ2" s="4608"/>
      <c r="CK2" s="527"/>
      <c r="CL2" s="524">
        <v>0</v>
      </c>
    </row>
    <row customHeight="1" ht="22.5" hidden="1">
      <c r="A3" s="612"/>
      <c r="B3" s="3230"/>
      <c r="C3" s="3003" t="s">
        <v>103</v>
      </c>
      <c r="D3" s="796" t="str">
        <f>B3&amp;".1"</f>
        <v>.1</v>
      </c>
      <c r="E3" s="797" t="s">
        <v>1099</v>
      </c>
      <c r="F3" s="798" t="s">
        <v>391</v>
      </c>
      <c r="G3" s="793"/>
      <c r="H3" s="508"/>
      <c r="I3" s="793"/>
      <c r="J3" s="508"/>
      <c r="K3" s="2180"/>
      <c r="L3" s="919"/>
      <c r="M3" s="2180"/>
      <c r="N3" s="919"/>
      <c r="O3" s="2180"/>
      <c r="P3" s="919"/>
      <c r="Q3" s="2180"/>
      <c r="R3" s="919"/>
      <c r="S3" s="2180"/>
      <c r="T3" s="919"/>
      <c r="U3" s="2180"/>
      <c r="V3" s="919"/>
      <c r="W3" s="2180"/>
      <c r="X3" s="919"/>
      <c r="Y3" s="2180"/>
      <c r="Z3" s="919"/>
      <c r="AA3" s="2180"/>
      <c r="AB3" s="919"/>
      <c r="AC3" s="2180"/>
      <c r="AD3" s="919"/>
      <c r="AE3" s="2180"/>
      <c r="AF3" s="919"/>
      <c r="AG3" s="2180"/>
      <c r="AH3" s="919"/>
      <c r="AI3" s="2180"/>
      <c r="AJ3" s="919"/>
      <c r="AK3" s="2180"/>
      <c r="AL3" s="919"/>
      <c r="AM3" s="2180"/>
      <c r="AN3" s="919"/>
      <c r="AO3" s="2180"/>
      <c r="AP3" s="919"/>
      <c r="AQ3" s="2180"/>
      <c r="AR3" s="919"/>
      <c r="AS3" s="2180"/>
      <c r="AT3" s="919"/>
      <c r="AU3" s="2180"/>
      <c r="AV3" s="919"/>
      <c r="AW3" s="2180"/>
      <c r="AX3" s="919"/>
      <c r="AY3" s="2180"/>
      <c r="AZ3" s="919"/>
      <c r="BA3" s="2180"/>
      <c r="BB3" s="919"/>
      <c r="BC3" s="2180"/>
      <c r="BD3" s="919"/>
      <c r="BE3" s="2180"/>
      <c r="BF3" s="919"/>
      <c r="BG3" s="2180"/>
      <c r="BH3" s="919"/>
      <c r="BI3" s="2180"/>
      <c r="BJ3" s="919"/>
      <c r="BK3" s="2180"/>
      <c r="BL3" s="919"/>
      <c r="BM3" s="2180"/>
      <c r="BN3" s="919"/>
      <c r="BO3" s="2180"/>
      <c r="BP3" s="919"/>
      <c r="BQ3" s="2180"/>
      <c r="BR3" s="919"/>
      <c r="BS3" s="2180"/>
      <c r="BT3" s="919"/>
      <c r="BU3" s="5228"/>
      <c r="BV3" s="4884"/>
      <c r="BW3" s="5228"/>
      <c r="BX3" s="4884"/>
      <c r="BY3" s="5228"/>
      <c r="BZ3" s="4884"/>
      <c r="CA3" s="397" t="s">
        <v>1100</v>
      </c>
      <c r="CL3" s="612">
        <v>0</v>
      </c>
    </row>
    <row customHeight="1" ht="15" hidden="1">
      <c r="A4" s="612"/>
      <c r="B4" s="3230"/>
      <c r="C4" s="3003"/>
      <c r="D4" s="796" t="str">
        <f>B3&amp;".2"</f>
        <v>.2</v>
      </c>
      <c r="E4" s="797" t="s">
        <v>1101</v>
      </c>
      <c r="F4" s="798" t="s">
        <v>391</v>
      </c>
      <c r="G4" s="1834" t="s">
        <v>22</v>
      </c>
      <c r="H4" s="508"/>
      <c r="I4" s="1834" t="s">
        <v>22</v>
      </c>
      <c r="J4" s="508"/>
      <c r="K4" s="1834" t="s">
        <v>22</v>
      </c>
      <c r="L4" s="919"/>
      <c r="M4" s="1834" t="s">
        <v>22</v>
      </c>
      <c r="N4" s="919"/>
      <c r="O4" s="1834" t="s">
        <v>22</v>
      </c>
      <c r="P4" s="919"/>
      <c r="Q4" s="1834" t="s">
        <v>22</v>
      </c>
      <c r="R4" s="919"/>
      <c r="S4" s="1834" t="s">
        <v>22</v>
      </c>
      <c r="T4" s="919"/>
      <c r="U4" s="1834" t="s">
        <v>22</v>
      </c>
      <c r="V4" s="919"/>
      <c r="W4" s="1834" t="s">
        <v>22</v>
      </c>
      <c r="X4" s="919"/>
      <c r="Y4" s="1834" t="s">
        <v>22</v>
      </c>
      <c r="Z4" s="919"/>
      <c r="AA4" s="1834" t="s">
        <v>22</v>
      </c>
      <c r="AB4" s="919"/>
      <c r="AC4" s="1834" t="s">
        <v>22</v>
      </c>
      <c r="AD4" s="919"/>
      <c r="AE4" s="1834" t="s">
        <v>22</v>
      </c>
      <c r="AF4" s="919"/>
      <c r="AG4" s="1834" t="s">
        <v>22</v>
      </c>
      <c r="AH4" s="919"/>
      <c r="AI4" s="1834" t="s">
        <v>22</v>
      </c>
      <c r="AJ4" s="919"/>
      <c r="AK4" s="1834" t="s">
        <v>22</v>
      </c>
      <c r="AL4" s="919"/>
      <c r="AM4" s="1834" t="s">
        <v>22</v>
      </c>
      <c r="AN4" s="919"/>
      <c r="AO4" s="1834" t="s">
        <v>22</v>
      </c>
      <c r="AP4" s="919"/>
      <c r="AQ4" s="1834" t="s">
        <v>22</v>
      </c>
      <c r="AR4" s="919"/>
      <c r="AS4" s="1834" t="s">
        <v>22</v>
      </c>
      <c r="AT4" s="919"/>
      <c r="AU4" s="1834" t="s">
        <v>22</v>
      </c>
      <c r="AV4" s="919"/>
      <c r="AW4" s="1834" t="s">
        <v>22</v>
      </c>
      <c r="AX4" s="919"/>
      <c r="AY4" s="1834" t="s">
        <v>22</v>
      </c>
      <c r="AZ4" s="919"/>
      <c r="BA4" s="1834" t="s">
        <v>22</v>
      </c>
      <c r="BB4" s="919"/>
      <c r="BC4" s="1834" t="s">
        <v>22</v>
      </c>
      <c r="BD4" s="919"/>
      <c r="BE4" s="1834" t="s">
        <v>22</v>
      </c>
      <c r="BF4" s="919"/>
      <c r="BG4" s="1834" t="s">
        <v>22</v>
      </c>
      <c r="BH4" s="919"/>
      <c r="BI4" s="1834" t="s">
        <v>22</v>
      </c>
      <c r="BJ4" s="919"/>
      <c r="BK4" s="1834" t="s">
        <v>22</v>
      </c>
      <c r="BL4" s="919"/>
      <c r="BM4" s="1834" t="s">
        <v>22</v>
      </c>
      <c r="BN4" s="919"/>
      <c r="BO4" s="1834" t="s">
        <v>22</v>
      </c>
      <c r="BP4" s="919"/>
      <c r="BQ4" s="1834" t="s">
        <v>22</v>
      </c>
      <c r="BR4" s="919"/>
      <c r="BS4" s="1834" t="s">
        <v>22</v>
      </c>
      <c r="BT4" s="919"/>
      <c r="BU4" s="5282" t="s">
        <v>22</v>
      </c>
      <c r="BV4" s="4884"/>
      <c r="BW4" s="5282" t="s">
        <v>22</v>
      </c>
      <c r="BX4" s="4884"/>
      <c r="BY4" s="5282" t="s">
        <v>22</v>
      </c>
      <c r="BZ4" s="4884"/>
      <c r="CA4" s="397" t="s">
        <v>1102</v>
      </c>
      <c r="CL4" s="612">
        <v>0</v>
      </c>
    </row>
    <row s="10306" customFormat="1" customHeight="1" ht="15" hidden="1">
      <c r="C5" s="779"/>
      <c r="BU5" s="4608"/>
      <c r="BV5" s="4608"/>
      <c r="BW5" s="4608"/>
      <c r="BX5" s="4608"/>
      <c r="BY5" s="4608"/>
      <c r="BZ5" s="4608"/>
      <c r="CK5" s="527"/>
      <c r="CL5" s="524">
        <v>0</v>
      </c>
    </row>
    <row customHeight="1" ht="22.5" hidden="1">
      <c r="A6" s="612"/>
      <c r="B6" s="3230"/>
      <c r="C6" s="3003" t="s">
        <v>103</v>
      </c>
      <c r="D6" s="796" t="str">
        <f>B6&amp;".1"</f>
        <v>.1</v>
      </c>
      <c r="E6" s="797" t="s">
        <v>1103</v>
      </c>
      <c r="F6" s="798" t="s">
        <v>391</v>
      </c>
      <c r="G6" s="793"/>
      <c r="H6" s="508"/>
      <c r="I6" s="793"/>
      <c r="J6" s="508"/>
      <c r="K6" s="2180"/>
      <c r="L6" s="919"/>
      <c r="M6" s="2180"/>
      <c r="N6" s="919"/>
      <c r="O6" s="2180"/>
      <c r="P6" s="919"/>
      <c r="Q6" s="2180"/>
      <c r="R6" s="919"/>
      <c r="S6" s="2180"/>
      <c r="T6" s="919"/>
      <c r="U6" s="2180"/>
      <c r="V6" s="919"/>
      <c r="W6" s="2180"/>
      <c r="X6" s="919"/>
      <c r="Y6" s="2180"/>
      <c r="Z6" s="919"/>
      <c r="AA6" s="2180"/>
      <c r="AB6" s="919"/>
      <c r="AC6" s="2180"/>
      <c r="AD6" s="919"/>
      <c r="AE6" s="2180"/>
      <c r="AF6" s="919"/>
      <c r="AG6" s="2180"/>
      <c r="AH6" s="919"/>
      <c r="AI6" s="2180"/>
      <c r="AJ6" s="919"/>
      <c r="AK6" s="2180"/>
      <c r="AL6" s="919"/>
      <c r="AM6" s="2180"/>
      <c r="AN6" s="919"/>
      <c r="AO6" s="2180"/>
      <c r="AP6" s="919"/>
      <c r="AQ6" s="2180"/>
      <c r="AR6" s="919"/>
      <c r="AS6" s="2180"/>
      <c r="AT6" s="919"/>
      <c r="AU6" s="2180"/>
      <c r="AV6" s="919"/>
      <c r="AW6" s="2180"/>
      <c r="AX6" s="919"/>
      <c r="AY6" s="2180"/>
      <c r="AZ6" s="919"/>
      <c r="BA6" s="2180"/>
      <c r="BB6" s="919"/>
      <c r="BC6" s="2180"/>
      <c r="BD6" s="919"/>
      <c r="BE6" s="2180"/>
      <c r="BF6" s="919"/>
      <c r="BG6" s="2180"/>
      <c r="BH6" s="919"/>
      <c r="BI6" s="2180"/>
      <c r="BJ6" s="919"/>
      <c r="BK6" s="2180"/>
      <c r="BL6" s="919"/>
      <c r="BM6" s="2180"/>
      <c r="BN6" s="919"/>
      <c r="BO6" s="2180"/>
      <c r="BP6" s="919"/>
      <c r="BQ6" s="2180"/>
      <c r="BR6" s="919"/>
      <c r="BS6" s="2180"/>
      <c r="BT6" s="919"/>
      <c r="BU6" s="5228"/>
      <c r="BV6" s="4884"/>
      <c r="BW6" s="5228"/>
      <c r="BX6" s="4884"/>
      <c r="BY6" s="5228"/>
      <c r="BZ6" s="4884"/>
      <c r="CA6" s="397" t="s">
        <v>1104</v>
      </c>
      <c r="CL6" s="612">
        <v>0</v>
      </c>
    </row>
    <row customHeight="1" ht="15" hidden="1">
      <c r="A7" s="612"/>
      <c r="B7" s="3230"/>
      <c r="C7" s="3003"/>
      <c r="D7" s="796" t="str">
        <f>B6&amp;".2"</f>
        <v>.2</v>
      </c>
      <c r="E7" s="797" t="s">
        <v>1101</v>
      </c>
      <c r="F7" s="798" t="s">
        <v>391</v>
      </c>
      <c r="G7" s="1834" t="s">
        <v>22</v>
      </c>
      <c r="H7" s="508"/>
      <c r="I7" s="1834" t="s">
        <v>22</v>
      </c>
      <c r="J7" s="508"/>
      <c r="K7" s="1834" t="s">
        <v>22</v>
      </c>
      <c r="L7" s="919"/>
      <c r="M7" s="1834" t="s">
        <v>22</v>
      </c>
      <c r="N7" s="919"/>
      <c r="O7" s="1834" t="s">
        <v>22</v>
      </c>
      <c r="P7" s="919"/>
      <c r="Q7" s="1834" t="s">
        <v>22</v>
      </c>
      <c r="R7" s="919"/>
      <c r="S7" s="1834" t="s">
        <v>22</v>
      </c>
      <c r="T7" s="919"/>
      <c r="U7" s="1834" t="s">
        <v>22</v>
      </c>
      <c r="V7" s="919"/>
      <c r="W7" s="1834" t="s">
        <v>22</v>
      </c>
      <c r="X7" s="919"/>
      <c r="Y7" s="1834" t="s">
        <v>22</v>
      </c>
      <c r="Z7" s="919"/>
      <c r="AA7" s="1834" t="s">
        <v>22</v>
      </c>
      <c r="AB7" s="919"/>
      <c r="AC7" s="1834" t="s">
        <v>22</v>
      </c>
      <c r="AD7" s="919"/>
      <c r="AE7" s="1834" t="s">
        <v>22</v>
      </c>
      <c r="AF7" s="919"/>
      <c r="AG7" s="1834" t="s">
        <v>22</v>
      </c>
      <c r="AH7" s="919"/>
      <c r="AI7" s="1834" t="s">
        <v>22</v>
      </c>
      <c r="AJ7" s="919"/>
      <c r="AK7" s="1834" t="s">
        <v>22</v>
      </c>
      <c r="AL7" s="919"/>
      <c r="AM7" s="1834" t="s">
        <v>22</v>
      </c>
      <c r="AN7" s="919"/>
      <c r="AO7" s="1834" t="s">
        <v>22</v>
      </c>
      <c r="AP7" s="919"/>
      <c r="AQ7" s="1834" t="s">
        <v>22</v>
      </c>
      <c r="AR7" s="919"/>
      <c r="AS7" s="1834" t="s">
        <v>22</v>
      </c>
      <c r="AT7" s="919"/>
      <c r="AU7" s="1834" t="s">
        <v>22</v>
      </c>
      <c r="AV7" s="919"/>
      <c r="AW7" s="1834" t="s">
        <v>22</v>
      </c>
      <c r="AX7" s="919"/>
      <c r="AY7" s="1834" t="s">
        <v>22</v>
      </c>
      <c r="AZ7" s="919"/>
      <c r="BA7" s="1834" t="s">
        <v>22</v>
      </c>
      <c r="BB7" s="919"/>
      <c r="BC7" s="1834" t="s">
        <v>22</v>
      </c>
      <c r="BD7" s="919"/>
      <c r="BE7" s="1834" t="s">
        <v>22</v>
      </c>
      <c r="BF7" s="919"/>
      <c r="BG7" s="1834" t="s">
        <v>22</v>
      </c>
      <c r="BH7" s="919"/>
      <c r="BI7" s="1834" t="s">
        <v>22</v>
      </c>
      <c r="BJ7" s="919"/>
      <c r="BK7" s="1834" t="s">
        <v>22</v>
      </c>
      <c r="BL7" s="919"/>
      <c r="BM7" s="1834" t="s">
        <v>22</v>
      </c>
      <c r="BN7" s="919"/>
      <c r="BO7" s="1834" t="s">
        <v>22</v>
      </c>
      <c r="BP7" s="919"/>
      <c r="BQ7" s="1834" t="s">
        <v>22</v>
      </c>
      <c r="BR7" s="919"/>
      <c r="BS7" s="1834" t="s">
        <v>22</v>
      </c>
      <c r="BT7" s="919"/>
      <c r="BU7" s="5282" t="s">
        <v>22</v>
      </c>
      <c r="BV7" s="4884"/>
      <c r="BW7" s="5282" t="s">
        <v>22</v>
      </c>
      <c r="BX7" s="4884"/>
      <c r="BY7" s="5282" t="s">
        <v>22</v>
      </c>
      <c r="BZ7" s="4884"/>
      <c r="CA7" s="397" t="s">
        <v>1102</v>
      </c>
      <c r="CL7" s="612">
        <v>0</v>
      </c>
    </row>
    <row s="10306" customFormat="1" customHeight="1" ht="15" hidden="1">
      <c r="C8" s="779"/>
      <c r="BU8" s="4608"/>
      <c r="BV8" s="4608"/>
      <c r="BW8" s="4608"/>
      <c r="BX8" s="4608"/>
      <c r="BY8" s="4608"/>
      <c r="BZ8" s="4608"/>
      <c r="CK8" s="527"/>
      <c r="CL8" s="524">
        <v>0</v>
      </c>
    </row>
    <row customHeight="1" ht="22.5" hidden="1">
      <c r="A9" s="612"/>
      <c r="B9" s="3230"/>
      <c r="C9" s="3003" t="s">
        <v>103</v>
      </c>
      <c r="D9" s="796" t="str">
        <f>B9&amp;".1"</f>
        <v>.1</v>
      </c>
      <c r="E9" s="797" t="s">
        <v>1105</v>
      </c>
      <c r="F9" s="798" t="s">
        <v>391</v>
      </c>
      <c r="G9" s="804" t="s">
        <v>22</v>
      </c>
      <c r="H9" s="508" t="s">
        <v>22</v>
      </c>
      <c r="I9" s="804" t="s">
        <v>22</v>
      </c>
      <c r="J9" s="508" t="s">
        <v>22</v>
      </c>
      <c r="K9" s="962" t="s">
        <v>22</v>
      </c>
      <c r="L9" s="919" t="s">
        <v>22</v>
      </c>
      <c r="M9" s="962" t="s">
        <v>22</v>
      </c>
      <c r="N9" s="919" t="s">
        <v>22</v>
      </c>
      <c r="O9" s="962" t="s">
        <v>22</v>
      </c>
      <c r="P9" s="919" t="s">
        <v>22</v>
      </c>
      <c r="Q9" s="962" t="s">
        <v>22</v>
      </c>
      <c r="R9" s="919" t="s">
        <v>22</v>
      </c>
      <c r="S9" s="962" t="s">
        <v>22</v>
      </c>
      <c r="T9" s="919" t="s">
        <v>22</v>
      </c>
      <c r="U9" s="962" t="s">
        <v>22</v>
      </c>
      <c r="V9" s="919" t="s">
        <v>22</v>
      </c>
      <c r="W9" s="962" t="s">
        <v>22</v>
      </c>
      <c r="X9" s="919" t="s">
        <v>22</v>
      </c>
      <c r="Y9" s="962" t="s">
        <v>22</v>
      </c>
      <c r="Z9" s="919" t="s">
        <v>22</v>
      </c>
      <c r="AA9" s="962" t="s">
        <v>22</v>
      </c>
      <c r="AB9" s="919" t="s">
        <v>22</v>
      </c>
      <c r="AC9" s="962" t="s">
        <v>22</v>
      </c>
      <c r="AD9" s="919" t="s">
        <v>22</v>
      </c>
      <c r="AE9" s="962" t="s">
        <v>22</v>
      </c>
      <c r="AF9" s="919" t="s">
        <v>22</v>
      </c>
      <c r="AG9" s="962" t="s">
        <v>22</v>
      </c>
      <c r="AH9" s="919" t="s">
        <v>22</v>
      </c>
      <c r="AI9" s="962" t="s">
        <v>22</v>
      </c>
      <c r="AJ9" s="919" t="s">
        <v>22</v>
      </c>
      <c r="AK9" s="962" t="s">
        <v>22</v>
      </c>
      <c r="AL9" s="919" t="s">
        <v>22</v>
      </c>
      <c r="AM9" s="962" t="s">
        <v>22</v>
      </c>
      <c r="AN9" s="919" t="s">
        <v>22</v>
      </c>
      <c r="AO9" s="962" t="s">
        <v>22</v>
      </c>
      <c r="AP9" s="919" t="s">
        <v>22</v>
      </c>
      <c r="AQ9" s="962" t="s">
        <v>22</v>
      </c>
      <c r="AR9" s="919" t="s">
        <v>22</v>
      </c>
      <c r="AS9" s="962" t="s">
        <v>22</v>
      </c>
      <c r="AT9" s="919" t="s">
        <v>22</v>
      </c>
      <c r="AU9" s="962" t="s">
        <v>22</v>
      </c>
      <c r="AV9" s="919" t="s">
        <v>22</v>
      </c>
      <c r="AW9" s="962" t="s">
        <v>22</v>
      </c>
      <c r="AX9" s="919" t="s">
        <v>22</v>
      </c>
      <c r="AY9" s="962" t="s">
        <v>22</v>
      </c>
      <c r="AZ9" s="919" t="s">
        <v>22</v>
      </c>
      <c r="BA9" s="962" t="s">
        <v>22</v>
      </c>
      <c r="BB9" s="919" t="s">
        <v>22</v>
      </c>
      <c r="BC9" s="962" t="s">
        <v>22</v>
      </c>
      <c r="BD9" s="919" t="s">
        <v>22</v>
      </c>
      <c r="BE9" s="962" t="s">
        <v>22</v>
      </c>
      <c r="BF9" s="919" t="s">
        <v>22</v>
      </c>
      <c r="BG9" s="962" t="s">
        <v>22</v>
      </c>
      <c r="BH9" s="919" t="s">
        <v>22</v>
      </c>
      <c r="BI9" s="962" t="s">
        <v>22</v>
      </c>
      <c r="BJ9" s="919" t="s">
        <v>22</v>
      </c>
      <c r="BK9" s="962" t="s">
        <v>22</v>
      </c>
      <c r="BL9" s="919" t="s">
        <v>22</v>
      </c>
      <c r="BM9" s="962" t="s">
        <v>22</v>
      </c>
      <c r="BN9" s="919" t="s">
        <v>22</v>
      </c>
      <c r="BO9" s="962" t="s">
        <v>22</v>
      </c>
      <c r="BP9" s="919" t="s">
        <v>22</v>
      </c>
      <c r="BQ9" s="962" t="s">
        <v>22</v>
      </c>
      <c r="BR9" s="919" t="s">
        <v>22</v>
      </c>
      <c r="BS9" s="962" t="s">
        <v>22</v>
      </c>
      <c r="BT9" s="919" t="s">
        <v>22</v>
      </c>
      <c r="BU9" s="5284" t="s">
        <v>22</v>
      </c>
      <c r="BV9" s="4884" t="s">
        <v>22</v>
      </c>
      <c r="BW9" s="5284" t="s">
        <v>22</v>
      </c>
      <c r="BX9" s="4884" t="s">
        <v>22</v>
      </c>
      <c r="BY9" s="5284" t="s">
        <v>22</v>
      </c>
      <c r="BZ9" s="4884" t="s">
        <v>22</v>
      </c>
      <c r="CA9" s="397"/>
      <c r="CL9" s="612">
        <v>0</v>
      </c>
    </row>
    <row customHeight="1" ht="15" hidden="1">
      <c r="A10" s="612"/>
      <c r="B10" s="3230"/>
      <c r="C10" s="3003"/>
      <c r="D10" s="796" t="str">
        <f>B9&amp;".2"</f>
        <v>.2</v>
      </c>
      <c r="E10" s="797" t="s">
        <v>1106</v>
      </c>
      <c r="F10" s="798" t="s">
        <v>391</v>
      </c>
      <c r="G10" s="1828" t="s">
        <v>22</v>
      </c>
      <c r="H10" s="508" t="s">
        <v>22</v>
      </c>
      <c r="I10" s="1828" t="s">
        <v>22</v>
      </c>
      <c r="J10" s="508" t="s">
        <v>22</v>
      </c>
      <c r="K10" s="1828" t="s">
        <v>22</v>
      </c>
      <c r="L10" s="919" t="s">
        <v>22</v>
      </c>
      <c r="M10" s="1828" t="s">
        <v>22</v>
      </c>
      <c r="N10" s="919" t="s">
        <v>22</v>
      </c>
      <c r="O10" s="1828" t="s">
        <v>22</v>
      </c>
      <c r="P10" s="919" t="s">
        <v>22</v>
      </c>
      <c r="Q10" s="1828" t="s">
        <v>22</v>
      </c>
      <c r="R10" s="919" t="s">
        <v>22</v>
      </c>
      <c r="S10" s="1828" t="s">
        <v>22</v>
      </c>
      <c r="T10" s="919" t="s">
        <v>22</v>
      </c>
      <c r="U10" s="1828" t="s">
        <v>22</v>
      </c>
      <c r="V10" s="919" t="s">
        <v>22</v>
      </c>
      <c r="W10" s="1828" t="s">
        <v>22</v>
      </c>
      <c r="X10" s="919" t="s">
        <v>22</v>
      </c>
      <c r="Y10" s="1828" t="s">
        <v>22</v>
      </c>
      <c r="Z10" s="919" t="s">
        <v>22</v>
      </c>
      <c r="AA10" s="1828" t="s">
        <v>22</v>
      </c>
      <c r="AB10" s="919" t="s">
        <v>22</v>
      </c>
      <c r="AC10" s="1828" t="s">
        <v>22</v>
      </c>
      <c r="AD10" s="919" t="s">
        <v>22</v>
      </c>
      <c r="AE10" s="1828" t="s">
        <v>22</v>
      </c>
      <c r="AF10" s="919" t="s">
        <v>22</v>
      </c>
      <c r="AG10" s="1828" t="s">
        <v>22</v>
      </c>
      <c r="AH10" s="919" t="s">
        <v>22</v>
      </c>
      <c r="AI10" s="1828" t="s">
        <v>22</v>
      </c>
      <c r="AJ10" s="919" t="s">
        <v>22</v>
      </c>
      <c r="AK10" s="1828" t="s">
        <v>22</v>
      </c>
      <c r="AL10" s="919" t="s">
        <v>22</v>
      </c>
      <c r="AM10" s="1828" t="s">
        <v>22</v>
      </c>
      <c r="AN10" s="919" t="s">
        <v>22</v>
      </c>
      <c r="AO10" s="1828" t="s">
        <v>22</v>
      </c>
      <c r="AP10" s="919" t="s">
        <v>22</v>
      </c>
      <c r="AQ10" s="1828" t="s">
        <v>22</v>
      </c>
      <c r="AR10" s="919" t="s">
        <v>22</v>
      </c>
      <c r="AS10" s="1828" t="s">
        <v>22</v>
      </c>
      <c r="AT10" s="919" t="s">
        <v>22</v>
      </c>
      <c r="AU10" s="1828" t="s">
        <v>22</v>
      </c>
      <c r="AV10" s="919" t="s">
        <v>22</v>
      </c>
      <c r="AW10" s="1828" t="s">
        <v>22</v>
      </c>
      <c r="AX10" s="919" t="s">
        <v>22</v>
      </c>
      <c r="AY10" s="1828" t="s">
        <v>22</v>
      </c>
      <c r="AZ10" s="919" t="s">
        <v>22</v>
      </c>
      <c r="BA10" s="1828" t="s">
        <v>22</v>
      </c>
      <c r="BB10" s="919" t="s">
        <v>22</v>
      </c>
      <c r="BC10" s="1828" t="s">
        <v>22</v>
      </c>
      <c r="BD10" s="919" t="s">
        <v>22</v>
      </c>
      <c r="BE10" s="1828" t="s">
        <v>22</v>
      </c>
      <c r="BF10" s="919" t="s">
        <v>22</v>
      </c>
      <c r="BG10" s="1828" t="s">
        <v>22</v>
      </c>
      <c r="BH10" s="919" t="s">
        <v>22</v>
      </c>
      <c r="BI10" s="1828" t="s">
        <v>22</v>
      </c>
      <c r="BJ10" s="919" t="s">
        <v>22</v>
      </c>
      <c r="BK10" s="1828" t="s">
        <v>22</v>
      </c>
      <c r="BL10" s="919" t="s">
        <v>22</v>
      </c>
      <c r="BM10" s="1828" t="s">
        <v>22</v>
      </c>
      <c r="BN10" s="919" t="s">
        <v>22</v>
      </c>
      <c r="BO10" s="1828" t="s">
        <v>22</v>
      </c>
      <c r="BP10" s="919" t="s">
        <v>22</v>
      </c>
      <c r="BQ10" s="1828" t="s">
        <v>22</v>
      </c>
      <c r="BR10" s="919" t="s">
        <v>22</v>
      </c>
      <c r="BS10" s="1828" t="s">
        <v>22</v>
      </c>
      <c r="BT10" s="919" t="s">
        <v>22</v>
      </c>
      <c r="BU10" s="5285" t="s">
        <v>22</v>
      </c>
      <c r="BV10" s="4884" t="s">
        <v>22</v>
      </c>
      <c r="BW10" s="5285" t="s">
        <v>22</v>
      </c>
      <c r="BX10" s="4884" t="s">
        <v>22</v>
      </c>
      <c r="BY10" s="5285" t="s">
        <v>22</v>
      </c>
      <c r="BZ10" s="4884" t="s">
        <v>22</v>
      </c>
      <c r="CA10" s="397" t="s">
        <v>1107</v>
      </c>
      <c r="CL10" s="612">
        <v>0</v>
      </c>
    </row>
    <row customHeight="1" ht="15" hidden="1">
      <c r="A11" s="612"/>
      <c r="B11" s="3230"/>
      <c r="C11" s="3003"/>
      <c r="D11" s="796" t="str">
        <f>B9&amp;".3"</f>
        <v>.3</v>
      </c>
      <c r="E11" s="797" t="s">
        <v>1108</v>
      </c>
      <c r="F11" s="798" t="s">
        <v>391</v>
      </c>
      <c r="G11" s="1828" t="s">
        <v>22</v>
      </c>
      <c r="H11" s="508" t="s">
        <v>22</v>
      </c>
      <c r="I11" s="1828" t="s">
        <v>22</v>
      </c>
      <c r="J11" s="508" t="s">
        <v>22</v>
      </c>
      <c r="K11" s="1828" t="s">
        <v>22</v>
      </c>
      <c r="L11" s="919" t="s">
        <v>22</v>
      </c>
      <c r="M11" s="1828" t="s">
        <v>22</v>
      </c>
      <c r="N11" s="919" t="s">
        <v>22</v>
      </c>
      <c r="O11" s="1828" t="s">
        <v>22</v>
      </c>
      <c r="P11" s="919" t="s">
        <v>22</v>
      </c>
      <c r="Q11" s="1828" t="s">
        <v>22</v>
      </c>
      <c r="R11" s="919" t="s">
        <v>22</v>
      </c>
      <c r="S11" s="1828" t="s">
        <v>22</v>
      </c>
      <c r="T11" s="919" t="s">
        <v>22</v>
      </c>
      <c r="U11" s="1828" t="s">
        <v>22</v>
      </c>
      <c r="V11" s="919" t="s">
        <v>22</v>
      </c>
      <c r="W11" s="1828" t="s">
        <v>22</v>
      </c>
      <c r="X11" s="919" t="s">
        <v>22</v>
      </c>
      <c r="Y11" s="1828" t="s">
        <v>22</v>
      </c>
      <c r="Z11" s="919" t="s">
        <v>22</v>
      </c>
      <c r="AA11" s="1828" t="s">
        <v>22</v>
      </c>
      <c r="AB11" s="919" t="s">
        <v>22</v>
      </c>
      <c r="AC11" s="1828" t="s">
        <v>22</v>
      </c>
      <c r="AD11" s="919" t="s">
        <v>22</v>
      </c>
      <c r="AE11" s="1828" t="s">
        <v>22</v>
      </c>
      <c r="AF11" s="919" t="s">
        <v>22</v>
      </c>
      <c r="AG11" s="1828" t="s">
        <v>22</v>
      </c>
      <c r="AH11" s="919" t="s">
        <v>22</v>
      </c>
      <c r="AI11" s="1828" t="s">
        <v>22</v>
      </c>
      <c r="AJ11" s="919" t="s">
        <v>22</v>
      </c>
      <c r="AK11" s="1828" t="s">
        <v>22</v>
      </c>
      <c r="AL11" s="919" t="s">
        <v>22</v>
      </c>
      <c r="AM11" s="1828" t="s">
        <v>22</v>
      </c>
      <c r="AN11" s="919" t="s">
        <v>22</v>
      </c>
      <c r="AO11" s="1828" t="s">
        <v>22</v>
      </c>
      <c r="AP11" s="919" t="s">
        <v>22</v>
      </c>
      <c r="AQ11" s="1828" t="s">
        <v>22</v>
      </c>
      <c r="AR11" s="919" t="s">
        <v>22</v>
      </c>
      <c r="AS11" s="1828" t="s">
        <v>22</v>
      </c>
      <c r="AT11" s="919" t="s">
        <v>22</v>
      </c>
      <c r="AU11" s="1828" t="s">
        <v>22</v>
      </c>
      <c r="AV11" s="919" t="s">
        <v>22</v>
      </c>
      <c r="AW11" s="1828" t="s">
        <v>22</v>
      </c>
      <c r="AX11" s="919" t="s">
        <v>22</v>
      </c>
      <c r="AY11" s="1828" t="s">
        <v>22</v>
      </c>
      <c r="AZ11" s="919" t="s">
        <v>22</v>
      </c>
      <c r="BA11" s="1828" t="s">
        <v>22</v>
      </c>
      <c r="BB11" s="919" t="s">
        <v>22</v>
      </c>
      <c r="BC11" s="1828" t="s">
        <v>22</v>
      </c>
      <c r="BD11" s="919" t="s">
        <v>22</v>
      </c>
      <c r="BE11" s="1828" t="s">
        <v>22</v>
      </c>
      <c r="BF11" s="919" t="s">
        <v>22</v>
      </c>
      <c r="BG11" s="1828" t="s">
        <v>22</v>
      </c>
      <c r="BH11" s="919" t="s">
        <v>22</v>
      </c>
      <c r="BI11" s="1828" t="s">
        <v>22</v>
      </c>
      <c r="BJ11" s="919" t="s">
        <v>22</v>
      </c>
      <c r="BK11" s="1828" t="s">
        <v>22</v>
      </c>
      <c r="BL11" s="919" t="s">
        <v>22</v>
      </c>
      <c r="BM11" s="1828" t="s">
        <v>22</v>
      </c>
      <c r="BN11" s="919" t="s">
        <v>22</v>
      </c>
      <c r="BO11" s="1828" t="s">
        <v>22</v>
      </c>
      <c r="BP11" s="919" t="s">
        <v>22</v>
      </c>
      <c r="BQ11" s="1828" t="s">
        <v>22</v>
      </c>
      <c r="BR11" s="919" t="s">
        <v>22</v>
      </c>
      <c r="BS11" s="1828" t="s">
        <v>22</v>
      </c>
      <c r="BT11" s="919" t="s">
        <v>22</v>
      </c>
      <c r="BU11" s="5285" t="s">
        <v>22</v>
      </c>
      <c r="BV11" s="4884" t="s">
        <v>22</v>
      </c>
      <c r="BW11" s="5285" t="s">
        <v>22</v>
      </c>
      <c r="BX11" s="4884" t="s">
        <v>22</v>
      </c>
      <c r="BY11" s="5285" t="s">
        <v>22</v>
      </c>
      <c r="BZ11" s="4884" t="s">
        <v>22</v>
      </c>
      <c r="CA11" s="397" t="s">
        <v>1109</v>
      </c>
      <c r="CL11" s="612">
        <v>0</v>
      </c>
    </row>
    <row s="10306" customFormat="1" customHeight="1" ht="15" hidden="1">
      <c r="C12" s="779"/>
      <c r="BU12" s="4608"/>
      <c r="BV12" s="4608"/>
      <c r="BW12" s="4608"/>
      <c r="BX12" s="4608"/>
      <c r="BY12" s="4608"/>
      <c r="BZ12" s="4608"/>
      <c r="CK12" s="527"/>
      <c r="CL12" s="524">
        <v>0</v>
      </c>
    </row>
    <row customHeight="1" ht="33.75" hidden="1">
      <c r="A13" s="612"/>
      <c r="B13" s="3230"/>
      <c r="C13" s="3003" t="s">
        <v>103</v>
      </c>
      <c r="D13" s="796" t="str">
        <f>B13&amp;".1"</f>
        <v>.1</v>
      </c>
      <c r="E13" s="797" t="s">
        <v>1110</v>
      </c>
      <c r="F13" s="798" t="s">
        <v>391</v>
      </c>
      <c r="G13" s="804" t="s">
        <v>22</v>
      </c>
      <c r="H13" s="508" t="s">
        <v>22</v>
      </c>
      <c r="I13" s="804" t="s">
        <v>22</v>
      </c>
      <c r="J13" s="508" t="s">
        <v>22</v>
      </c>
      <c r="K13" s="962" t="s">
        <v>22</v>
      </c>
      <c r="L13" s="919" t="s">
        <v>22</v>
      </c>
      <c r="M13" s="962" t="s">
        <v>22</v>
      </c>
      <c r="N13" s="919" t="s">
        <v>22</v>
      </c>
      <c r="O13" s="962" t="s">
        <v>22</v>
      </c>
      <c r="P13" s="919" t="s">
        <v>22</v>
      </c>
      <c r="Q13" s="962" t="s">
        <v>22</v>
      </c>
      <c r="R13" s="919" t="s">
        <v>22</v>
      </c>
      <c r="S13" s="962" t="s">
        <v>22</v>
      </c>
      <c r="T13" s="919" t="s">
        <v>22</v>
      </c>
      <c r="U13" s="962" t="s">
        <v>22</v>
      </c>
      <c r="V13" s="919" t="s">
        <v>22</v>
      </c>
      <c r="W13" s="962" t="s">
        <v>22</v>
      </c>
      <c r="X13" s="919" t="s">
        <v>22</v>
      </c>
      <c r="Y13" s="962" t="s">
        <v>22</v>
      </c>
      <c r="Z13" s="919" t="s">
        <v>22</v>
      </c>
      <c r="AA13" s="962" t="s">
        <v>22</v>
      </c>
      <c r="AB13" s="919" t="s">
        <v>22</v>
      </c>
      <c r="AC13" s="962" t="s">
        <v>22</v>
      </c>
      <c r="AD13" s="919" t="s">
        <v>22</v>
      </c>
      <c r="AE13" s="962" t="s">
        <v>22</v>
      </c>
      <c r="AF13" s="919" t="s">
        <v>22</v>
      </c>
      <c r="AG13" s="962" t="s">
        <v>22</v>
      </c>
      <c r="AH13" s="919" t="s">
        <v>22</v>
      </c>
      <c r="AI13" s="962" t="s">
        <v>22</v>
      </c>
      <c r="AJ13" s="919" t="s">
        <v>22</v>
      </c>
      <c r="AK13" s="962" t="s">
        <v>22</v>
      </c>
      <c r="AL13" s="919" t="s">
        <v>22</v>
      </c>
      <c r="AM13" s="962" t="s">
        <v>22</v>
      </c>
      <c r="AN13" s="919" t="s">
        <v>22</v>
      </c>
      <c r="AO13" s="962" t="s">
        <v>22</v>
      </c>
      <c r="AP13" s="919" t="s">
        <v>22</v>
      </c>
      <c r="AQ13" s="962" t="s">
        <v>22</v>
      </c>
      <c r="AR13" s="919" t="s">
        <v>22</v>
      </c>
      <c r="AS13" s="962" t="s">
        <v>22</v>
      </c>
      <c r="AT13" s="919" t="s">
        <v>22</v>
      </c>
      <c r="AU13" s="962" t="s">
        <v>22</v>
      </c>
      <c r="AV13" s="919" t="s">
        <v>22</v>
      </c>
      <c r="AW13" s="962" t="s">
        <v>22</v>
      </c>
      <c r="AX13" s="919" t="s">
        <v>22</v>
      </c>
      <c r="AY13" s="962" t="s">
        <v>22</v>
      </c>
      <c r="AZ13" s="919" t="s">
        <v>22</v>
      </c>
      <c r="BA13" s="962" t="s">
        <v>22</v>
      </c>
      <c r="BB13" s="919" t="s">
        <v>22</v>
      </c>
      <c r="BC13" s="962" t="s">
        <v>22</v>
      </c>
      <c r="BD13" s="919" t="s">
        <v>22</v>
      </c>
      <c r="BE13" s="962" t="s">
        <v>22</v>
      </c>
      <c r="BF13" s="919" t="s">
        <v>22</v>
      </c>
      <c r="BG13" s="962" t="s">
        <v>22</v>
      </c>
      <c r="BH13" s="919" t="s">
        <v>22</v>
      </c>
      <c r="BI13" s="962" t="s">
        <v>22</v>
      </c>
      <c r="BJ13" s="919" t="s">
        <v>22</v>
      </c>
      <c r="BK13" s="962" t="s">
        <v>22</v>
      </c>
      <c r="BL13" s="919" t="s">
        <v>22</v>
      </c>
      <c r="BM13" s="962" t="s">
        <v>22</v>
      </c>
      <c r="BN13" s="919" t="s">
        <v>22</v>
      </c>
      <c r="BO13" s="962" t="s">
        <v>22</v>
      </c>
      <c r="BP13" s="919" t="s">
        <v>22</v>
      </c>
      <c r="BQ13" s="962" t="s">
        <v>22</v>
      </c>
      <c r="BR13" s="919" t="s">
        <v>22</v>
      </c>
      <c r="BS13" s="962" t="s">
        <v>22</v>
      </c>
      <c r="BT13" s="919" t="s">
        <v>22</v>
      </c>
      <c r="BU13" s="5284" t="s">
        <v>22</v>
      </c>
      <c r="BV13" s="4884" t="s">
        <v>22</v>
      </c>
      <c r="BW13" s="5284" t="s">
        <v>22</v>
      </c>
      <c r="BX13" s="4884" t="s">
        <v>22</v>
      </c>
      <c r="BY13" s="5284" t="s">
        <v>22</v>
      </c>
      <c r="BZ13" s="4884" t="s">
        <v>22</v>
      </c>
      <c r="CA13" s="397" t="s">
        <v>1111</v>
      </c>
      <c r="CL13" s="612">
        <v>0</v>
      </c>
    </row>
    <row customHeight="1" ht="15" hidden="1">
      <c r="B14" s="3230"/>
      <c r="C14" s="3003"/>
      <c r="D14" s="796" t="str">
        <f>B13&amp;".2"</f>
        <v>.2</v>
      </c>
      <c r="E14" s="797" t="s">
        <v>1112</v>
      </c>
      <c r="F14" s="798" t="s">
        <v>391</v>
      </c>
      <c r="G14" s="1828" t="s">
        <v>22</v>
      </c>
      <c r="H14" s="508" t="s">
        <v>22</v>
      </c>
      <c r="I14" s="1828" t="s">
        <v>22</v>
      </c>
      <c r="J14" s="508" t="s">
        <v>22</v>
      </c>
      <c r="K14" s="1828" t="s">
        <v>22</v>
      </c>
      <c r="L14" s="919" t="s">
        <v>22</v>
      </c>
      <c r="M14" s="1828" t="s">
        <v>22</v>
      </c>
      <c r="N14" s="919" t="s">
        <v>22</v>
      </c>
      <c r="O14" s="1828" t="s">
        <v>22</v>
      </c>
      <c r="P14" s="919" t="s">
        <v>22</v>
      </c>
      <c r="Q14" s="1828" t="s">
        <v>22</v>
      </c>
      <c r="R14" s="919" t="s">
        <v>22</v>
      </c>
      <c r="S14" s="1828" t="s">
        <v>22</v>
      </c>
      <c r="T14" s="919" t="s">
        <v>22</v>
      </c>
      <c r="U14" s="1828" t="s">
        <v>22</v>
      </c>
      <c r="V14" s="919" t="s">
        <v>22</v>
      </c>
      <c r="W14" s="1828" t="s">
        <v>22</v>
      </c>
      <c r="X14" s="919" t="s">
        <v>22</v>
      </c>
      <c r="Y14" s="1828" t="s">
        <v>22</v>
      </c>
      <c r="Z14" s="919" t="s">
        <v>22</v>
      </c>
      <c r="AA14" s="1828" t="s">
        <v>22</v>
      </c>
      <c r="AB14" s="919" t="s">
        <v>22</v>
      </c>
      <c r="AC14" s="1828" t="s">
        <v>22</v>
      </c>
      <c r="AD14" s="919" t="s">
        <v>22</v>
      </c>
      <c r="AE14" s="1828" t="s">
        <v>22</v>
      </c>
      <c r="AF14" s="919" t="s">
        <v>22</v>
      </c>
      <c r="AG14" s="1828" t="s">
        <v>22</v>
      </c>
      <c r="AH14" s="919" t="s">
        <v>22</v>
      </c>
      <c r="AI14" s="1828" t="s">
        <v>22</v>
      </c>
      <c r="AJ14" s="919" t="s">
        <v>22</v>
      </c>
      <c r="AK14" s="1828" t="s">
        <v>22</v>
      </c>
      <c r="AL14" s="919" t="s">
        <v>22</v>
      </c>
      <c r="AM14" s="1828" t="s">
        <v>22</v>
      </c>
      <c r="AN14" s="919" t="s">
        <v>22</v>
      </c>
      <c r="AO14" s="1828" t="s">
        <v>22</v>
      </c>
      <c r="AP14" s="919" t="s">
        <v>22</v>
      </c>
      <c r="AQ14" s="1828" t="s">
        <v>22</v>
      </c>
      <c r="AR14" s="919" t="s">
        <v>22</v>
      </c>
      <c r="AS14" s="1828" t="s">
        <v>22</v>
      </c>
      <c r="AT14" s="919" t="s">
        <v>22</v>
      </c>
      <c r="AU14" s="1828" t="s">
        <v>22</v>
      </c>
      <c r="AV14" s="919" t="s">
        <v>22</v>
      </c>
      <c r="AW14" s="1828" t="s">
        <v>22</v>
      </c>
      <c r="AX14" s="919" t="s">
        <v>22</v>
      </c>
      <c r="AY14" s="1828" t="s">
        <v>22</v>
      </c>
      <c r="AZ14" s="919" t="s">
        <v>22</v>
      </c>
      <c r="BA14" s="1828" t="s">
        <v>22</v>
      </c>
      <c r="BB14" s="919" t="s">
        <v>22</v>
      </c>
      <c r="BC14" s="1828" t="s">
        <v>22</v>
      </c>
      <c r="BD14" s="919" t="s">
        <v>22</v>
      </c>
      <c r="BE14" s="1828" t="s">
        <v>22</v>
      </c>
      <c r="BF14" s="919" t="s">
        <v>22</v>
      </c>
      <c r="BG14" s="1828" t="s">
        <v>22</v>
      </c>
      <c r="BH14" s="919" t="s">
        <v>22</v>
      </c>
      <c r="BI14" s="1828" t="s">
        <v>22</v>
      </c>
      <c r="BJ14" s="919" t="s">
        <v>22</v>
      </c>
      <c r="BK14" s="1828" t="s">
        <v>22</v>
      </c>
      <c r="BL14" s="919" t="s">
        <v>22</v>
      </c>
      <c r="BM14" s="1828" t="s">
        <v>22</v>
      </c>
      <c r="BN14" s="919" t="s">
        <v>22</v>
      </c>
      <c r="BO14" s="1828" t="s">
        <v>22</v>
      </c>
      <c r="BP14" s="919" t="s">
        <v>22</v>
      </c>
      <c r="BQ14" s="1828" t="s">
        <v>22</v>
      </c>
      <c r="BR14" s="919" t="s">
        <v>22</v>
      </c>
      <c r="BS14" s="1828" t="s">
        <v>22</v>
      </c>
      <c r="BT14" s="919" t="s">
        <v>22</v>
      </c>
      <c r="BU14" s="5285" t="s">
        <v>22</v>
      </c>
      <c r="BV14" s="4884" t="s">
        <v>22</v>
      </c>
      <c r="BW14" s="5285" t="s">
        <v>22</v>
      </c>
      <c r="BX14" s="4884" t="s">
        <v>22</v>
      </c>
      <c r="BY14" s="5285" t="s">
        <v>22</v>
      </c>
      <c r="BZ14" s="4884" t="s">
        <v>22</v>
      </c>
      <c r="CA14" s="397" t="s">
        <v>1113</v>
      </c>
      <c r="CL14" s="612">
        <v>0</v>
      </c>
    </row>
    <row s="10306" customFormat="1" customHeight="1" ht="15" hidden="1">
      <c r="C15" s="779"/>
      <c r="BU15" s="4608"/>
      <c r="BV15" s="4608"/>
      <c r="BW15" s="4608"/>
      <c r="BX15" s="4608"/>
      <c r="BY15" s="4608"/>
      <c r="BZ15" s="4608"/>
      <c r="CK15" s="527"/>
      <c r="CL15" s="524">
        <v>0</v>
      </c>
    </row>
    <row s="10306" customFormat="1" customHeight="1" ht="15" hidden="1">
      <c r="C16" s="779"/>
      <c r="BU16" s="4608"/>
      <c r="BV16" s="4608"/>
      <c r="BW16" s="4608"/>
      <c r="BX16" s="4608"/>
      <c r="BY16" s="4608"/>
      <c r="BZ16" s="4608"/>
      <c r="CK16" s="527"/>
      <c r="CL16" s="524">
        <v>0</v>
      </c>
    </row>
    <row s="10306" customFormat="1" customHeight="1" ht="15" hidden="1">
      <c r="C17" s="779"/>
      <c r="BU17" s="4608"/>
      <c r="BV17" s="4608"/>
      <c r="BW17" s="4608"/>
      <c r="BX17" s="4608"/>
      <c r="BY17" s="4608"/>
      <c r="BZ17" s="4608"/>
      <c r="CK17" s="527"/>
      <c r="CL17" s="524">
        <v>0</v>
      </c>
    </row>
    <row s="10306" customFormat="1" customHeight="1" ht="15" hidden="1">
      <c r="C18" s="779"/>
      <c r="BU18" s="4608"/>
      <c r="BV18" s="4608"/>
      <c r="BW18" s="4608"/>
      <c r="BX18" s="4608"/>
      <c r="BY18" s="4608"/>
      <c r="BZ18" s="4608"/>
      <c r="CK18" s="527"/>
      <c r="CL18" s="524">
        <v>0</v>
      </c>
    </row>
    <row s="10306" customFormat="1" customHeight="1" ht="15" hidden="1">
      <c r="C19" s="779"/>
      <c r="BU19" s="4608"/>
      <c r="BV19" s="4608"/>
      <c r="BW19" s="4608"/>
      <c r="BX19" s="4608"/>
      <c r="BY19" s="4608"/>
      <c r="BZ19" s="4608"/>
      <c r="CK19" s="527"/>
      <c r="CL19" s="524">
        <v>0</v>
      </c>
    </row>
    <row s="10306" customFormat="1" customHeight="1" ht="15" hidden="1">
      <c r="C20" s="779"/>
      <c r="BU20" s="4608"/>
      <c r="BV20" s="4608"/>
      <c r="BW20" s="4608"/>
      <c r="BX20" s="4608"/>
      <c r="BY20" s="4608"/>
      <c r="BZ20" s="4608"/>
      <c r="CK20" s="527"/>
      <c r="CL20" s="524">
        <v>0</v>
      </c>
    </row>
    <row customHeight="1" ht="15.75">
      <c r="C21" s="284"/>
      <c r="D21" s="616"/>
      <c r="E21" s="616"/>
      <c r="F21" s="616"/>
      <c r="G21" s="616"/>
      <c r="H21" s="616"/>
      <c r="I21" s="616"/>
      <c r="J21" s="616"/>
      <c r="BU21" s="4586"/>
      <c r="BV21" s="4586"/>
      <c r="BW21" s="4586"/>
      <c r="BX21" s="4586"/>
      <c r="BY21" s="4586"/>
      <c r="BZ21" s="4586"/>
      <c r="CL21" s="612">
        <v>15</v>
      </c>
    </row>
    <row customHeight="1" ht="23.25">
      <c r="C22" s="284"/>
      <c r="D22" s="30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096"/>
      <c r="F22" s="3096"/>
      <c r="G22" s="3096"/>
      <c r="H22" s="3096"/>
      <c r="I22" s="3096"/>
      <c r="J22" s="783"/>
      <c r="K22" s="2172"/>
      <c r="L22" s="2172"/>
      <c r="M22" s="2172"/>
      <c r="N22" s="2172"/>
      <c r="O22" s="2172"/>
      <c r="P22" s="2172"/>
      <c r="Q22" s="2172"/>
      <c r="R22" s="2172"/>
      <c r="S22" s="2172"/>
      <c r="T22" s="2172"/>
      <c r="U22" s="2172"/>
      <c r="V22" s="2172"/>
      <c r="W22" s="2172"/>
      <c r="X22" s="2172"/>
      <c r="Y22" s="2172"/>
      <c r="Z22" s="2172"/>
      <c r="AA22" s="2172"/>
      <c r="AB22" s="2172"/>
      <c r="AC22" s="2172"/>
      <c r="AD22" s="2172"/>
      <c r="AE22" s="2172"/>
      <c r="AF22" s="2172"/>
      <c r="AG22" s="2172"/>
      <c r="AH22" s="2172"/>
      <c r="AI22" s="2172"/>
      <c r="AJ22" s="2172"/>
      <c r="AK22" s="2172"/>
      <c r="AL22" s="2172"/>
      <c r="AM22" s="2172"/>
      <c r="AN22" s="2172"/>
      <c r="AO22" s="2172"/>
      <c r="AP22" s="2172"/>
      <c r="AQ22" s="2172"/>
      <c r="AR22" s="2172"/>
      <c r="AS22" s="2172"/>
      <c r="AT22" s="2172"/>
      <c r="AU22" s="2172"/>
      <c r="AV22" s="2172"/>
      <c r="AW22" s="2172"/>
      <c r="AX22" s="2172"/>
      <c r="AY22" s="2172"/>
      <c r="AZ22" s="2172"/>
      <c r="BA22" s="2172"/>
      <c r="BB22" s="2172"/>
      <c r="BC22" s="2172"/>
      <c r="BD22" s="2172"/>
      <c r="BE22" s="2172"/>
      <c r="BF22" s="2172"/>
      <c r="BG22" s="2172"/>
      <c r="BH22" s="2172"/>
      <c r="BI22" s="2172"/>
      <c r="BJ22" s="2172"/>
      <c r="BK22" s="2172"/>
      <c r="BL22" s="2172"/>
      <c r="BM22" s="2172"/>
      <c r="BN22" s="2172"/>
      <c r="BO22" s="2172"/>
      <c r="BP22" s="2172"/>
      <c r="BQ22" s="2172"/>
      <c r="BR22" s="2172"/>
      <c r="BS22" s="2172"/>
      <c r="BT22" s="2172"/>
      <c r="BU22" s="4620"/>
      <c r="BV22" s="4620"/>
      <c r="BW22" s="4620"/>
      <c r="BX22" s="4620"/>
      <c r="BY22" s="4620"/>
      <c r="BZ22" s="4620"/>
      <c r="CA22" s="644"/>
      <c r="CL22" s="612">
        <v>22</v>
      </c>
    </row>
    <row customHeight="1" ht="15.75">
      <c r="C23" s="284"/>
      <c r="D23" s="3069" t="str">
        <f>IF(org=0,"Не определено",org)</f>
        <v>АО "ДГК"</v>
      </c>
      <c r="E23" s="3069"/>
      <c r="F23" s="3069"/>
      <c r="G23" s="3069"/>
      <c r="H23" s="3069"/>
      <c r="I23" s="3069"/>
      <c r="J23" s="783"/>
      <c r="K23" s="2173"/>
      <c r="L23" s="2173"/>
      <c r="M23" s="2173"/>
      <c r="N23" s="2173"/>
      <c r="O23" s="2173"/>
      <c r="P23" s="2173"/>
      <c r="Q23" s="2173"/>
      <c r="R23" s="2173"/>
      <c r="S23" s="2173"/>
      <c r="T23" s="2173"/>
      <c r="U23" s="2173"/>
      <c r="V23" s="2173"/>
      <c r="W23" s="2173"/>
      <c r="X23" s="2173"/>
      <c r="Y23" s="2173"/>
      <c r="Z23" s="2173"/>
      <c r="AA23" s="2173"/>
      <c r="AB23" s="2173"/>
      <c r="AC23" s="2173"/>
      <c r="AD23" s="2173"/>
      <c r="AE23" s="2173"/>
      <c r="AF23" s="2173"/>
      <c r="AG23" s="2173"/>
      <c r="AH23" s="2173"/>
      <c r="AI23" s="2173"/>
      <c r="AJ23" s="2173"/>
      <c r="AK23" s="2173"/>
      <c r="AL23" s="2173"/>
      <c r="AM23" s="2173"/>
      <c r="AN23" s="2173"/>
      <c r="AO23" s="2173"/>
      <c r="AP23" s="2173"/>
      <c r="AQ23" s="2173"/>
      <c r="AR23" s="2173"/>
      <c r="AS23" s="2173"/>
      <c r="AT23" s="2173"/>
      <c r="AU23" s="2173"/>
      <c r="AV23" s="2173"/>
      <c r="AW23" s="2173"/>
      <c r="AX23" s="2173"/>
      <c r="AY23" s="2173"/>
      <c r="AZ23" s="2173"/>
      <c r="BA23" s="2173"/>
      <c r="BB23" s="2173"/>
      <c r="BC23" s="2173"/>
      <c r="BD23" s="2173"/>
      <c r="BE23" s="2173"/>
      <c r="BF23" s="2173"/>
      <c r="BG23" s="2173"/>
      <c r="BH23" s="2173"/>
      <c r="BI23" s="2173"/>
      <c r="BJ23" s="2173"/>
      <c r="BK23" s="2173"/>
      <c r="BL23" s="2173"/>
      <c r="BM23" s="2173"/>
      <c r="BN23" s="2173"/>
      <c r="BO23" s="2173"/>
      <c r="BP23" s="2173"/>
      <c r="BQ23" s="2173"/>
      <c r="BR23" s="2173"/>
      <c r="BS23" s="2173"/>
      <c r="BT23" s="2173"/>
      <c r="BU23" s="4623"/>
      <c r="BV23" s="4623"/>
      <c r="BW23" s="4623"/>
      <c r="BX23" s="4623"/>
      <c r="BY23" s="4623"/>
      <c r="BZ23" s="4623"/>
      <c r="CA23" s="644"/>
      <c r="CL23" s="612">
        <v>15</v>
      </c>
    </row>
    <row customHeight="1" ht="15.75">
      <c r="C24" s="284"/>
      <c r="D24" s="616"/>
      <c r="E24" s="616"/>
      <c r="F24" s="616"/>
      <c r="G24" s="644">
        <v>22</v>
      </c>
      <c r="H24" s="859"/>
      <c r="I24" s="644">
        <v>22</v>
      </c>
      <c r="J24" s="859"/>
      <c r="K24" s="1462" t="s">
        <v>22</v>
      </c>
      <c r="L24" s="859"/>
      <c r="M24" s="1462" t="s">
        <v>22</v>
      </c>
      <c r="N24" s="859"/>
      <c r="O24" s="1462" t="s">
        <v>22</v>
      </c>
      <c r="P24" s="859"/>
      <c r="Q24" s="1462" t="s">
        <v>22</v>
      </c>
      <c r="R24" s="859"/>
      <c r="S24" s="1462" t="s">
        <v>22</v>
      </c>
      <c r="T24" s="859"/>
      <c r="U24" s="1462" t="s">
        <v>22</v>
      </c>
      <c r="V24" s="859"/>
      <c r="W24" s="1462" t="s">
        <v>22</v>
      </c>
      <c r="X24" s="859"/>
      <c r="Y24" s="1462" t="s">
        <v>22</v>
      </c>
      <c r="Z24" s="859"/>
      <c r="AA24" s="1462" t="s">
        <v>22</v>
      </c>
      <c r="AB24" s="859"/>
      <c r="AC24" s="1462" t="s">
        <v>22</v>
      </c>
      <c r="AD24" s="859"/>
      <c r="AE24" s="1462" t="s">
        <v>22</v>
      </c>
      <c r="AF24" s="859"/>
      <c r="AG24" s="1462" t="s">
        <v>22</v>
      </c>
      <c r="AH24" s="859"/>
      <c r="AI24" s="1462" t="s">
        <v>22</v>
      </c>
      <c r="AJ24" s="859"/>
      <c r="AK24" s="1462" t="s">
        <v>22</v>
      </c>
      <c r="AL24" s="859"/>
      <c r="AM24" s="1462" t="s">
        <v>22</v>
      </c>
      <c r="AN24" s="859"/>
      <c r="AO24" s="1462" t="s">
        <v>22</v>
      </c>
      <c r="AP24" s="859"/>
      <c r="AQ24" s="1462" t="s">
        <v>22</v>
      </c>
      <c r="AR24" s="859"/>
      <c r="AS24" s="1462" t="s">
        <v>22</v>
      </c>
      <c r="AT24" s="859"/>
      <c r="AU24" s="1462" t="s">
        <v>22</v>
      </c>
      <c r="AV24" s="859"/>
      <c r="AW24" s="1462" t="s">
        <v>22</v>
      </c>
      <c r="AX24" s="859"/>
      <c r="AY24" s="1462" t="s">
        <v>22</v>
      </c>
      <c r="AZ24" s="859"/>
      <c r="BA24" s="1462" t="s">
        <v>22</v>
      </c>
      <c r="BB24" s="859"/>
      <c r="BC24" s="1462" t="s">
        <v>22</v>
      </c>
      <c r="BD24" s="859"/>
      <c r="BE24" s="1462" t="s">
        <v>22</v>
      </c>
      <c r="BF24" s="859"/>
      <c r="BG24" s="1462" t="s">
        <v>22</v>
      </c>
      <c r="BH24" s="859"/>
      <c r="BI24" s="1462" t="s">
        <v>22</v>
      </c>
      <c r="BJ24" s="859"/>
      <c r="BK24" s="1462" t="s">
        <v>22</v>
      </c>
      <c r="BL24" s="859"/>
      <c r="BM24" s="1462" t="s">
        <v>22</v>
      </c>
      <c r="BN24" s="859"/>
      <c r="BO24" s="1462" t="s">
        <v>22</v>
      </c>
      <c r="BP24" s="859"/>
      <c r="BQ24" s="1462" t="s">
        <v>22</v>
      </c>
      <c r="BR24" s="859"/>
      <c r="BS24" s="1462" t="s">
        <v>22</v>
      </c>
      <c r="BT24" s="859"/>
      <c r="BU24" s="4608" t="s">
        <v>22</v>
      </c>
      <c r="BV24" s="5182"/>
      <c r="BW24" s="4608" t="s">
        <v>22</v>
      </c>
      <c r="BX24" s="5182"/>
      <c r="BY24" s="4608" t="s">
        <v>22</v>
      </c>
      <c r="BZ24" s="5182"/>
      <c r="CL24" s="612">
        <v>15</v>
      </c>
    </row>
    <row s="10232" customFormat="1" customHeight="1" ht="1.05">
      <c r="A25" s="864"/>
      <c r="C25" s="284"/>
      <c r="D25" s="616"/>
      <c r="E25" s="616"/>
      <c r="F25" s="616"/>
      <c r="G25" s="644"/>
      <c r="H25" s="859"/>
      <c r="I25" s="644" t="s">
        <v>150</v>
      </c>
      <c r="J25" s="859"/>
      <c r="K25" s="1462" t="s">
        <v>154</v>
      </c>
      <c r="L25" s="859"/>
      <c r="M25" s="1462" t="s">
        <v>157</v>
      </c>
      <c r="N25" s="859"/>
      <c r="O25" s="1462" t="s">
        <v>159</v>
      </c>
      <c r="P25" s="859"/>
      <c r="Q25" s="1462" t="s">
        <v>161</v>
      </c>
      <c r="R25" s="859"/>
      <c r="S25" s="1462" t="s">
        <v>163</v>
      </c>
      <c r="T25" s="859"/>
      <c r="U25" s="1462" t="s">
        <v>165</v>
      </c>
      <c r="V25" s="859"/>
      <c r="W25" s="1462" t="s">
        <v>168</v>
      </c>
      <c r="X25" s="859"/>
      <c r="Y25" s="1462" t="s">
        <v>171</v>
      </c>
      <c r="Z25" s="859"/>
      <c r="AA25" s="1462" t="s">
        <v>173</v>
      </c>
      <c r="AB25" s="859"/>
      <c r="AC25" s="1462" t="s">
        <v>175</v>
      </c>
      <c r="AD25" s="859"/>
      <c r="AE25" s="1462" t="s">
        <v>177</v>
      </c>
      <c r="AF25" s="859"/>
      <c r="AG25" s="1462" t="s">
        <v>179</v>
      </c>
      <c r="AH25" s="859"/>
      <c r="AI25" s="1462" t="s">
        <v>181</v>
      </c>
      <c r="AJ25" s="859"/>
      <c r="AK25" s="1462" t="s">
        <v>183</v>
      </c>
      <c r="AL25" s="859"/>
      <c r="AM25" s="1462" t="s">
        <v>725</v>
      </c>
      <c r="AN25" s="859"/>
      <c r="AO25" s="1462" t="s">
        <v>727</v>
      </c>
      <c r="AP25" s="859"/>
      <c r="AQ25" s="1462" t="s">
        <v>729</v>
      </c>
      <c r="AR25" s="859"/>
      <c r="AS25" s="1462" t="s">
        <v>731</v>
      </c>
      <c r="AT25" s="859"/>
      <c r="AU25" s="1462" t="s">
        <v>733</v>
      </c>
      <c r="AV25" s="859"/>
      <c r="AW25" s="1462" t="s">
        <v>735</v>
      </c>
      <c r="AX25" s="859"/>
      <c r="AY25" s="1462" t="s">
        <v>737</v>
      </c>
      <c r="AZ25" s="859"/>
      <c r="BA25" s="1462" t="s">
        <v>739</v>
      </c>
      <c r="BB25" s="859"/>
      <c r="BC25" s="1462" t="s">
        <v>741</v>
      </c>
      <c r="BD25" s="859"/>
      <c r="BE25" s="1462" t="s">
        <v>743</v>
      </c>
      <c r="BF25" s="859"/>
      <c r="BG25" s="1462" t="s">
        <v>186</v>
      </c>
      <c r="BH25" s="859"/>
      <c r="BI25" s="1462" t="s">
        <v>188</v>
      </c>
      <c r="BJ25" s="859"/>
      <c r="BK25" s="1462" t="s">
        <v>190</v>
      </c>
      <c r="BL25" s="859"/>
      <c r="BM25" s="1462" t="s">
        <v>192</v>
      </c>
      <c r="BN25" s="859"/>
      <c r="BO25" s="1462" t="s">
        <v>194</v>
      </c>
      <c r="BP25" s="859"/>
      <c r="BQ25" s="1462" t="s">
        <v>197</v>
      </c>
      <c r="BR25" s="859"/>
      <c r="BS25" s="1462" t="s">
        <v>199</v>
      </c>
      <c r="BT25" s="859"/>
      <c r="BU25" s="4608" t="s">
        <v>202</v>
      </c>
      <c r="BV25" s="5182"/>
      <c r="BW25" s="4608" t="s">
        <v>205</v>
      </c>
      <c r="BX25" s="5182"/>
      <c r="BY25" s="4608" t="s">
        <v>206</v>
      </c>
      <c r="BZ25" s="5182"/>
      <c r="CA25" s="524"/>
      <c r="CK25" s="782"/>
      <c r="CL25" s="863">
        <v>1</v>
      </c>
    </row>
    <row customHeight="1" ht="15.75">
      <c r="C26" s="284"/>
      <c r="D26" s="818"/>
      <c r="E26" s="3204" t="s">
        <v>140</v>
      </c>
      <c r="F26" s="3205"/>
      <c r="G26" s="3231" t="str">
        <f>IF(G25="","",INDEX(DIFFERENTIATION_UNMERGE_VD,MATCH(G25,DIFFERENTIATION_ID_DIFF,0)))</f>
        <v/>
      </c>
      <c r="H26" s="3232"/>
      <c r="I26" s="323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3232"/>
      <c r="K26" s="3231"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v>
      </c>
      <c r="L26" s="3232"/>
      <c r="M26" s="3231"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v>
      </c>
      <c r="N26" s="3232"/>
      <c r="O26" s="3231"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25 МВт и более</v>
      </c>
      <c r="P26" s="3232"/>
      <c r="Q26" s="3231" t="str">
        <f>IF(Q25="","",INDEX(DIFFERENTIATION_UNMERGE_VD,MATCH(Q25,DIFFERENTIATION_ID_DIFF,0)))</f>
        <v>Производство тепловой энергии. Комбинированная выработка с уст. мощностью производства электрической энергии 25 МВт и более</v>
      </c>
      <c r="R26" s="3232"/>
      <c r="S26" s="3231" t="str">
        <f>IF(S25="","",INDEX(DIFFERENTIATION_UNMERGE_VD,MATCH(S25,DIFFERENTIATION_ID_DIFF,0)))</f>
        <v>Производство тепловой энергии. Комбинированная выработка с уст. мощностью производства электрической энергии 25 МВт и более</v>
      </c>
      <c r="T26" s="3232"/>
      <c r="U26" s="3231" t="str">
        <f>IF(U25="","",INDEX(DIFFERENTIATION_UNMERGE_VD,MATCH(U25,DIFFERENTIATION_ID_DIFF,0)))</f>
        <v>Производство тепловой энергии. Комбинированная выработка с уст. мощностью производства электрической энергии 25 МВт и более</v>
      </c>
      <c r="V26" s="3232"/>
      <c r="W26" s="3231" t="str">
        <f>IF(W25="","",INDEX(DIFFERENTIATION_UNMERGE_VD,MATCH(W25,DIFFERENTIATION_ID_DIFF,0)))</f>
        <v>Производство. Теплоноситель</v>
      </c>
      <c r="X26" s="3232"/>
      <c r="Y26" s="3231" t="str">
        <f>IF(Y25="","",INDEX(DIFFERENTIATION_UNMERGE_VD,MATCH(Y25,DIFFERENTIATION_ID_DIFF,0)))</f>
        <v>Производство. Теплоноситель</v>
      </c>
      <c r="Z26" s="3232"/>
      <c r="AA26" s="3231" t="str">
        <f>IF(AA25="","",INDEX(DIFFERENTIATION_UNMERGE_VD,MATCH(AA25,DIFFERENTIATION_ID_DIFF,0)))</f>
        <v>Производство. Теплоноситель</v>
      </c>
      <c r="AB26" s="3232"/>
      <c r="AC26" s="3231" t="str">
        <f>IF(AC25="","",INDEX(DIFFERENTIATION_UNMERGE_VD,MATCH(AC25,DIFFERENTIATION_ID_DIFF,0)))</f>
        <v>Производство. Теплоноситель</v>
      </c>
      <c r="AD26" s="3232"/>
      <c r="AE26" s="3231" t="str">
        <f>IF(AE25="","",INDEX(DIFFERENTIATION_UNMERGE_VD,MATCH(AE25,DIFFERENTIATION_ID_DIFF,0)))</f>
        <v>Производство. Теплоноситель</v>
      </c>
      <c r="AF26" s="3232"/>
      <c r="AG26" s="3231" t="str">
        <f>IF(AG25="","",INDEX(DIFFERENTIATION_UNMERGE_VD,MATCH(AG25,DIFFERENTIATION_ID_DIFF,0)))</f>
        <v>Производство. Теплоноситель</v>
      </c>
      <c r="AH26" s="3232"/>
      <c r="AI26" s="3231" t="str">
        <f>IF(AI25="","",INDEX(DIFFERENTIATION_UNMERGE_VD,MATCH(AI25,DIFFERENTIATION_ID_DIFF,0)))</f>
        <v>Производство. Теплоноситель</v>
      </c>
      <c r="AJ26" s="3232"/>
      <c r="AK26" s="3231" t="str">
        <f>IF(AK25="","",INDEX(DIFFERENTIATION_UNMERGE_VD,MATCH(AK25,DIFFERENTIATION_ID_DIFF,0)))</f>
        <v>Производство тепловой энергии. Некомбинированная выработка</v>
      </c>
      <c r="AL26" s="3232"/>
      <c r="AM26" s="3231">
        <f>IF(AM25="","",INDEX(DIFFERENTIATION_UNMERGE_VD,MATCH(AM25,DIFFERENTIATION_ID_DIFF,0)))</f>
      </c>
      <c r="AN26" s="3232"/>
      <c r="AO26" s="3231">
        <f>IF(AO25="","",INDEX(DIFFERENTIATION_UNMERGE_VD,MATCH(AO25,DIFFERENTIATION_ID_DIFF,0)))</f>
      </c>
      <c r="AP26" s="3232"/>
      <c r="AQ26" s="3231">
        <f>IF(AQ25="","",INDEX(DIFFERENTIATION_UNMERGE_VD,MATCH(AQ25,DIFFERENTIATION_ID_DIFF,0)))</f>
      </c>
      <c r="AR26" s="3232"/>
      <c r="AS26" s="3231">
        <f>IF(AS25="","",INDEX(DIFFERENTIATION_UNMERGE_VD,MATCH(AS25,DIFFERENTIATION_ID_DIFF,0)))</f>
      </c>
      <c r="AT26" s="3232"/>
      <c r="AU26" s="3231">
        <f>IF(AU25="","",INDEX(DIFFERENTIATION_UNMERGE_VD,MATCH(AU25,DIFFERENTIATION_ID_DIFF,0)))</f>
      </c>
      <c r="AV26" s="3232"/>
      <c r="AW26" s="3231">
        <f>IF(AW25="","",INDEX(DIFFERENTIATION_UNMERGE_VD,MATCH(AW25,DIFFERENTIATION_ID_DIFF,0)))</f>
      </c>
      <c r="AX26" s="3232"/>
      <c r="AY26" s="3231">
        <f>IF(AY25="","",INDEX(DIFFERENTIATION_UNMERGE_VD,MATCH(AY25,DIFFERENTIATION_ID_DIFF,0)))</f>
      </c>
      <c r="AZ26" s="3232"/>
      <c r="BA26" s="3231">
        <f>IF(BA25="","",INDEX(DIFFERENTIATION_UNMERGE_VD,MATCH(BA25,DIFFERENTIATION_ID_DIFF,0)))</f>
      </c>
      <c r="BB26" s="3232"/>
      <c r="BC26" s="3231">
        <f>IF(BC25="","",INDEX(DIFFERENTIATION_UNMERGE_VD,MATCH(BC25,DIFFERENTIATION_ID_DIFF,0)))</f>
      </c>
      <c r="BD26" s="3232"/>
      <c r="BE26" s="3231">
        <f>IF(BE25="","",INDEX(DIFFERENTIATION_UNMERGE_VD,MATCH(BE25,DIFFERENTIATION_ID_DIFF,0)))</f>
      </c>
      <c r="BF26" s="3232"/>
      <c r="BG26" s="3231" t="str">
        <f>IF(BG25="","",INDEX(DIFFERENTIATION_UNMERGE_VD,MATCH(BG25,DIFFERENTIATION_ID_DIFF,0)))</f>
        <v>Производство тепловой энергии. Некомбинированная выработка</v>
      </c>
      <c r="BH26" s="3232"/>
      <c r="BI26" s="3231" t="str">
        <f>IF(BI25="","",INDEX(DIFFERENTIATION_UNMERGE_VD,MATCH(BI25,DIFFERENTIATION_ID_DIFF,0)))</f>
        <v>Производство тепловой энергии. Некомбинированная выработка</v>
      </c>
      <c r="BJ26" s="3232"/>
      <c r="BK26" s="3231" t="str">
        <f>IF(BK25="","",INDEX(DIFFERENTIATION_UNMERGE_VD,MATCH(BK25,DIFFERENTIATION_ID_DIFF,0)))</f>
        <v>Производство тепловой энергии. Некомбинированная выработка</v>
      </c>
      <c r="BL26" s="3232"/>
      <c r="BM26" s="3231" t="str">
        <f>IF(BM25="","",INDEX(DIFFERENTIATION_UNMERGE_VD,MATCH(BM25,DIFFERENTIATION_ID_DIFF,0)))</f>
        <v>Производство тепловой энергии. Некомбинированная выработка</v>
      </c>
      <c r="BN26" s="3232"/>
      <c r="BO26" s="3231" t="str">
        <f>IF(BO25="","",INDEX(DIFFERENTIATION_UNMERGE_VD,MATCH(BO25,DIFFERENTIATION_ID_DIFF,0)))</f>
        <v>Передача. Тепловая энергия; Передача. Теплоноситель; Сбыт. Тепловая энергия; Сбыт. Теплоноситель</v>
      </c>
      <c r="BP26" s="3232"/>
      <c r="BQ26" s="3231" t="str">
        <f>IF(BQ25="","",INDEX(DIFFERENTIATION_UNMERGE_VD,MATCH(BQ25,DIFFERENTIATION_ID_DIFF,0)))</f>
        <v>Передача. Тепловая энергия; Передача. Теплоноситель; Сбыт. Тепловая энергия; Сбыт. Теплоноситель</v>
      </c>
      <c r="BR26" s="3232"/>
      <c r="BS26" s="3231" t="str">
        <f>IF(BS25="","",INDEX(DIFFERENTIATION_UNMERGE_VD,MATCH(BS25,DIFFERENTIATION_ID_DIFF,0)))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Передача. Теплоноситель; Сбыт. Тепловая энергия; Сбыт. Теплоноситель</v>
      </c>
      <c r="BT26" s="3232"/>
      <c r="BU26" s="5289" t="str">
        <f>IF(BU25="","",INDEX(DIFFERENTIATION_UNMERGE_VD,MATCH(BU25,DIFFERENTIATION_ID_DIFF,0)))</f>
        <v>Производство тепловой энергии. Некомбинированная выработка; Передача. Тепловая энергия; Сбыт. Тепловая энергия</v>
      </c>
      <c r="BV26" s="5290"/>
      <c r="BW26" s="5289" t="str">
        <f>IF(BW25="","",INDEX(DIFFERENTIATION_UNMERGE_VD,MATCH(BW25,DIFFERENTIATION_ID_DIFF,0)))</f>
        <v>Производство тепловой энергии. Некомбинированная выработка; Передача. Тепловая энергия; Сбыт. Тепловая энергия</v>
      </c>
      <c r="BX26" s="5290"/>
      <c r="BY26" s="5289" t="str">
        <f>IF(BY25="","",INDEX(DIFFERENTIATION_UNMERGE_VD,MATCH(BY25,DIFFERENTIATION_ID_DIFF,0)))</f>
        <v>Подключение (технологическое присоединение) к системе теплоснабжения</v>
      </c>
      <c r="BZ26" s="5290"/>
      <c r="CA26" s="3047" t="s">
        <v>386</v>
      </c>
      <c r="CL26" s="612">
        <v>15</v>
      </c>
    </row>
    <row s="10232" customFormat="1" customHeight="1" ht="15.75">
      <c r="A27" s="864"/>
      <c r="C27" s="284"/>
      <c r="D27" s="818"/>
      <c r="E27" s="3204" t="s">
        <v>649</v>
      </c>
      <c r="F27" s="3205"/>
      <c r="G27" s="3231" t="str">
        <f>IF(G25="","",INDEX(DIFFERENTIATION_UNMERGE_AREA,MATCH(G25,DIFFERENTIATION_ID_DIFF,0)))</f>
        <v/>
      </c>
      <c r="H27" s="3232"/>
      <c r="I27" s="3231" t="str">
        <f>IF(I25="","",INDEX(DIFFERENTIATION_UNMERGE_AREA,MATCH(I25,DIFFERENTIATION_ID_DIFF,0)))</f>
        <v>Территория 1</v>
      </c>
      <c r="J27" s="3232"/>
      <c r="K27" s="3231" t="str">
        <f>IF(K25="","",INDEX(DIFFERENTIATION_UNMERGE_AREA,MATCH(K25,DIFFERENTIATION_ID_DIFF,0)))</f>
        <v>Территория 1</v>
      </c>
      <c r="L27" s="3232"/>
      <c r="M27" s="3231" t="str">
        <f>IF(M25="","",INDEX(DIFFERENTIATION_UNMERGE_AREA,MATCH(M25,DIFFERENTIATION_ID_DIFF,0)))</f>
        <v>Территория 2</v>
      </c>
      <c r="N27" s="3232"/>
      <c r="O27" s="3231" t="str">
        <f>IF(O25="","",INDEX(DIFFERENTIATION_UNMERGE_AREA,MATCH(O25,DIFFERENTIATION_ID_DIFF,0)))</f>
        <v>Территория 2</v>
      </c>
      <c r="P27" s="3232"/>
      <c r="Q27" s="3231" t="str">
        <f>IF(Q25="","",INDEX(DIFFERENTIATION_UNMERGE_AREA,MATCH(Q25,DIFFERENTIATION_ID_DIFF,0)))</f>
        <v>Территория 3</v>
      </c>
      <c r="R27" s="3232"/>
      <c r="S27" s="3231" t="str">
        <f>IF(S25="","",INDEX(DIFFERENTIATION_UNMERGE_AREA,MATCH(S25,DIFFERENTIATION_ID_DIFF,0)))</f>
        <v>Территория 4</v>
      </c>
      <c r="T27" s="3232"/>
      <c r="U27" s="3231" t="str">
        <f>IF(U25="","",INDEX(DIFFERENTIATION_UNMERGE_AREA,MATCH(U25,DIFFERENTIATION_ID_DIFF,0)))</f>
        <v>Территория 5</v>
      </c>
      <c r="V27" s="3232"/>
      <c r="W27" s="3231" t="str">
        <f>IF(W25="","",INDEX(DIFFERENTIATION_UNMERGE_AREA,MATCH(W25,DIFFERENTIATION_ID_DIFF,0)))</f>
        <v>Территория 1</v>
      </c>
      <c r="X27" s="3232"/>
      <c r="Y27" s="3231" t="str">
        <f>IF(Y25="","",INDEX(DIFFERENTIATION_UNMERGE_AREA,MATCH(Y25,DIFFERENTIATION_ID_DIFF,0)))</f>
        <v>Территория 2</v>
      </c>
      <c r="Z27" s="3232"/>
      <c r="AA27" s="3231" t="str">
        <f>IF(AA25="","",INDEX(DIFFERENTIATION_UNMERGE_AREA,MATCH(AA25,DIFFERENTIATION_ID_DIFF,0)))</f>
        <v>Территория 3</v>
      </c>
      <c r="AB27" s="3232"/>
      <c r="AC27" s="3231" t="str">
        <f>IF(AC25="","",INDEX(DIFFERENTIATION_UNMERGE_AREA,MATCH(AC25,DIFFERENTIATION_ID_DIFF,0)))</f>
        <v>Территория 4</v>
      </c>
      <c r="AD27" s="3232"/>
      <c r="AE27" s="3231" t="str">
        <f>IF(AE25="","",INDEX(DIFFERENTIATION_UNMERGE_AREA,MATCH(AE25,DIFFERENTIATION_ID_DIFF,0)))</f>
        <v>Территория 5</v>
      </c>
      <c r="AF27" s="3232"/>
      <c r="AG27" s="3231" t="str">
        <f>IF(AG25="","",INDEX(DIFFERENTIATION_UNMERGE_AREA,MATCH(AG25,DIFFERENTIATION_ID_DIFF,0)))</f>
        <v>Территория 6</v>
      </c>
      <c r="AH27" s="3232"/>
      <c r="AI27" s="3231" t="str">
        <f>IF(AI25="","",INDEX(DIFFERENTIATION_UNMERGE_AREA,MATCH(AI25,DIFFERENTIATION_ID_DIFF,0)))</f>
        <v>Территория 7</v>
      </c>
      <c r="AJ27" s="3232"/>
      <c r="AK27" s="3231" t="str">
        <f>IF(AK25="","",INDEX(DIFFERENTIATION_UNMERGE_AREA,MATCH(AK25,DIFFERENTIATION_ID_DIFF,0)))</f>
        <v>без дифференциации</v>
      </c>
      <c r="AL27" s="3232"/>
      <c r="AM27" s="3231">
        <f>IF(AM25="","",INDEX(DIFFERENTIATION_UNMERGE_AREA,MATCH(AM25,DIFFERENTIATION_ID_DIFF,0)))</f>
      </c>
      <c r="AN27" s="3232"/>
      <c r="AO27" s="3231">
        <f>IF(AO25="","",INDEX(DIFFERENTIATION_UNMERGE_AREA,MATCH(AO25,DIFFERENTIATION_ID_DIFF,0)))</f>
      </c>
      <c r="AP27" s="3232"/>
      <c r="AQ27" s="3231">
        <f>IF(AQ25="","",INDEX(DIFFERENTIATION_UNMERGE_AREA,MATCH(AQ25,DIFFERENTIATION_ID_DIFF,0)))</f>
      </c>
      <c r="AR27" s="3232"/>
      <c r="AS27" s="3231">
        <f>IF(AS25="","",INDEX(DIFFERENTIATION_UNMERGE_AREA,MATCH(AS25,DIFFERENTIATION_ID_DIFF,0)))</f>
      </c>
      <c r="AT27" s="3232"/>
      <c r="AU27" s="3231">
        <f>IF(AU25="","",INDEX(DIFFERENTIATION_UNMERGE_AREA,MATCH(AU25,DIFFERENTIATION_ID_DIFF,0)))</f>
      </c>
      <c r="AV27" s="3232"/>
      <c r="AW27" s="3231">
        <f>IF(AW25="","",INDEX(DIFFERENTIATION_UNMERGE_AREA,MATCH(AW25,DIFFERENTIATION_ID_DIFF,0)))</f>
      </c>
      <c r="AX27" s="3232"/>
      <c r="AY27" s="3231">
        <f>IF(AY25="","",INDEX(DIFFERENTIATION_UNMERGE_AREA,MATCH(AY25,DIFFERENTIATION_ID_DIFF,0)))</f>
      </c>
      <c r="AZ27" s="3232"/>
      <c r="BA27" s="3231">
        <f>IF(BA25="","",INDEX(DIFFERENTIATION_UNMERGE_AREA,MATCH(BA25,DIFFERENTIATION_ID_DIFF,0)))</f>
      </c>
      <c r="BB27" s="3232"/>
      <c r="BC27" s="3231">
        <f>IF(BC25="","",INDEX(DIFFERENTIATION_UNMERGE_AREA,MATCH(BC25,DIFFERENTIATION_ID_DIFF,0)))</f>
      </c>
      <c r="BD27" s="3232"/>
      <c r="BE27" s="3231">
        <f>IF(BE25="","",INDEX(DIFFERENTIATION_UNMERGE_AREA,MATCH(BE25,DIFFERENTIATION_ID_DIFF,0)))</f>
      </c>
      <c r="BF27" s="3232"/>
      <c r="BG27" s="3231" t="str">
        <f>IF(BG25="","",INDEX(DIFFERENTIATION_UNMERGE_AREA,MATCH(BG25,DIFFERENTIATION_ID_DIFF,0)))</f>
        <v>без дифференциации</v>
      </c>
      <c r="BH27" s="3232"/>
      <c r="BI27" s="3231" t="str">
        <f>IF(BI25="","",INDEX(DIFFERENTIATION_UNMERGE_AREA,MATCH(BI25,DIFFERENTIATION_ID_DIFF,0)))</f>
        <v>без дифференциации</v>
      </c>
      <c r="BJ27" s="3232"/>
      <c r="BK27" s="3231" t="str">
        <f>IF(BK25="","",INDEX(DIFFERENTIATION_UNMERGE_AREA,MATCH(BK25,DIFFERENTIATION_ID_DIFF,0)))</f>
        <v>без дифференциации</v>
      </c>
      <c r="BL27" s="3232"/>
      <c r="BM27" s="3231" t="str">
        <f>IF(BM25="","",INDEX(DIFFERENTIATION_UNMERGE_AREA,MATCH(BM25,DIFFERENTIATION_ID_DIFF,0)))</f>
        <v>без дифференциации</v>
      </c>
      <c r="BN27" s="3232"/>
      <c r="BO27" s="3231" t="str">
        <f>IF(BO25="","",INDEX(DIFFERENTIATION_UNMERGE_AREA,MATCH(BO25,DIFFERENTIATION_ID_DIFF,0)))</f>
        <v>без дифференциации</v>
      </c>
      <c r="BP27" s="3232"/>
      <c r="BQ27" s="3231" t="str">
        <f>IF(BQ25="","",INDEX(DIFFERENTIATION_UNMERGE_AREA,MATCH(BQ25,DIFFERENTIATION_ID_DIFF,0)))</f>
        <v>без дифференциации</v>
      </c>
      <c r="BR27" s="3232"/>
      <c r="BS27" s="3231" t="str">
        <f>IF(BS25="","",INDEX(DIFFERENTIATION_UNMERGE_AREA,MATCH(BS25,DIFFERENTIATION_ID_DIFF,0)))</f>
        <v>Территория 7</v>
      </c>
      <c r="BT27" s="3232"/>
      <c r="BU27" s="5289" t="str">
        <f>IF(BU25="","",INDEX(DIFFERENTIATION_UNMERGE_AREA,MATCH(BU25,DIFFERENTIATION_ID_DIFF,0)))</f>
        <v>Территория 5</v>
      </c>
      <c r="BV27" s="5290"/>
      <c r="BW27" s="5289" t="str">
        <f>IF(BW25="","",INDEX(DIFFERENTIATION_UNMERGE_AREA,MATCH(BW25,DIFFERENTIATION_ID_DIFF,0)))</f>
        <v>Территория 8</v>
      </c>
      <c r="BX27" s="5290"/>
      <c r="BY27" s="5289" t="str">
        <f>IF(BY25="","",INDEX(DIFFERENTIATION_UNMERGE_AREA,MATCH(BY25,DIFFERENTIATION_ID_DIFF,0)))</f>
        <v>без дифференциации</v>
      </c>
      <c r="BZ27" s="5290"/>
      <c r="CA27" s="3051"/>
      <c r="CK27" s="782"/>
      <c r="CL27" s="863">
        <v>15</v>
      </c>
    </row>
    <row s="10232" customFormat="1" customHeight="1" ht="15.75">
      <c r="A28" s="864"/>
      <c r="C28" s="284"/>
      <c r="D28" s="818"/>
      <c r="E28" s="3204" t="s">
        <v>650</v>
      </c>
      <c r="F28" s="3205"/>
      <c r="G28" s="3231" t="str">
        <f>IF(G25="","",INDEX(DIFFERENTIATION_UNMERGE_SYSTEM,MATCH(G25,DIFFERENTIATION_ID_DIFF,0)))</f>
        <v/>
      </c>
      <c r="H28" s="3232"/>
      <c r="I28" s="3231" t="str">
        <f>IF(I25="","",INDEX(DIFFERENTIATION_UNMERGE_SYSTEM,MATCH(I25,DIFFERENTIATION_ID_DIFF,0)))</f>
        <v>Хабаровская ТЭЦ - 1</v>
      </c>
      <c r="J28" s="3232"/>
      <c r="K28" s="3231" t="str">
        <f>IF(K25="","",INDEX(DIFFERENTIATION_UNMERGE_SYSTEM,MATCH(K25,DIFFERENTIATION_ID_DIFF,0)))</f>
        <v>Хабаровская ТЭЦ - 3</v>
      </c>
      <c r="L28" s="3232"/>
      <c r="M28" s="3231" t="str">
        <f>IF(M25="","",INDEX(DIFFERENTIATION_UNMERGE_SYSTEM,MATCH(M25,DIFFERENTIATION_ID_DIFF,0)))</f>
        <v>Комсомольская ТЭЦ - 2</v>
      </c>
      <c r="N28" s="3232"/>
      <c r="O28" s="3231" t="str">
        <f>IF(O25="","",INDEX(DIFFERENTIATION_UNMERGE_SYSTEM,MATCH(O25,DIFFERENTIATION_ID_DIFF,0)))</f>
        <v>Комсомольская ТЭЦ - 3</v>
      </c>
      <c r="P28" s="3232"/>
      <c r="Q28" s="3231" t="str">
        <f>IF(Q25="","",INDEX(DIFFERENTIATION_UNMERGE_SYSTEM,MATCH(Q25,DIFFERENTIATION_ID_DIFF,0)))</f>
        <v>Амурская ТЭЦ - 1</v>
      </c>
      <c r="R28" s="3232"/>
      <c r="S28" s="3231" t="str">
        <f>IF(S25="","",INDEX(DIFFERENTIATION_UNMERGE_SYSTEM,MATCH(S25,DIFFERENTIATION_ID_DIFF,0)))</f>
        <v>Майская ГРЭС</v>
      </c>
      <c r="T28" s="3232"/>
      <c r="U28" s="3231" t="str">
        <f>IF(U25="","",INDEX(DIFFERENTIATION_UNMERGE_SYSTEM,MATCH(U25,DIFFERENTIATION_ID_DIFF,0)))</f>
        <v>Николаевская ТЭЦ</v>
      </c>
      <c r="V28" s="3232"/>
      <c r="W28" s="3231" t="str">
        <f>IF(W25="","",INDEX(DIFFERENTIATION_UNMERGE_SYSTEM,MATCH(W25,DIFFERENTIATION_ID_DIFF,0)))</f>
        <v>г. Хабаровск, Хабаровский муниципальный район</v>
      </c>
      <c r="X28" s="3232"/>
      <c r="Y28" s="3231" t="str">
        <f>IF(Y25="","",INDEX(DIFFERENTIATION_UNMERGE_SYSTEM,MATCH(Y25,DIFFERENTIATION_ID_DIFF,0)))</f>
        <v>г. Комсомольск-на-Амуре</v>
      </c>
      <c r="Z28" s="3232"/>
      <c r="AA28" s="3231" t="str">
        <f>IF(AA25="","",INDEX(DIFFERENTIATION_UNMERGE_SYSTEM,MATCH(AA25,DIFFERENTIATION_ID_DIFF,0)))</f>
        <v>г. Амурск</v>
      </c>
      <c r="AB28" s="3232"/>
      <c r="AC28" s="3231" t="str">
        <f>IF(AC25="","",INDEX(DIFFERENTIATION_UNMERGE_SYSTEM,MATCH(AC25,DIFFERENTIATION_ID_DIFF,0)))</f>
        <v>п. Майский</v>
      </c>
      <c r="AD28" s="3232"/>
      <c r="AE28" s="3231" t="str">
        <f>IF(AE25="","",INDEX(DIFFERENTIATION_UNMERGE_SYSTEM,MATCH(AE25,DIFFERENTIATION_ID_DIFF,0)))</f>
        <v>г. Николаевск-на-Амуре</v>
      </c>
      <c r="AF28" s="3232"/>
      <c r="AG28" s="3231" t="str">
        <f>IF(AG25="","",INDEX(DIFFERENTIATION_UNMERGE_SYSTEM,MATCH(AG25,DIFFERENTIATION_ID_DIFF,0)))</f>
        <v>п. Чегдомын</v>
      </c>
      <c r="AH28" s="3232"/>
      <c r="AI28" s="3231" t="str">
        <f>IF(AI25="","",INDEX(DIFFERENTIATION_UNMERGE_SYSTEM,MATCH(AI25,DIFFERENTIATION_ID_DIFF,0)))</f>
        <v>г. Советская Гавань</v>
      </c>
      <c r="AJ28" s="3232"/>
      <c r="AK28" s="3231" t="str">
        <f>IF(AK25="","",INDEX(DIFFERENTIATION_UNMERGE_SYSTEM,MATCH(AK25,DIFFERENTIATION_ID_DIFF,0)))</f>
        <v>Хабаровская ТЭЦ-2</v>
      </c>
      <c r="AL28" s="3232"/>
      <c r="AM28" s="3231">
        <f>IF(AM25="","",INDEX(DIFFERENTIATION_UNMERGE_SYSTEM,MATCH(AM25,DIFFERENTIATION_ID_DIFF,0)))</f>
      </c>
      <c r="AN28" s="3232"/>
      <c r="AO28" s="3231">
        <f>IF(AO25="","",INDEX(DIFFERENTIATION_UNMERGE_SYSTEM,MATCH(AO25,DIFFERENTIATION_ID_DIFF,0)))</f>
      </c>
      <c r="AP28" s="3232"/>
      <c r="AQ28" s="3231">
        <f>IF(AQ25="","",INDEX(DIFFERENTIATION_UNMERGE_SYSTEM,MATCH(AQ25,DIFFERENTIATION_ID_DIFF,0)))</f>
      </c>
      <c r="AR28" s="3232"/>
      <c r="AS28" s="3231">
        <f>IF(AS25="","",INDEX(DIFFERENTIATION_UNMERGE_SYSTEM,MATCH(AS25,DIFFERENTIATION_ID_DIFF,0)))</f>
      </c>
      <c r="AT28" s="3232"/>
      <c r="AU28" s="3231">
        <f>IF(AU25="","",INDEX(DIFFERENTIATION_UNMERGE_SYSTEM,MATCH(AU25,DIFFERENTIATION_ID_DIFF,0)))</f>
      </c>
      <c r="AV28" s="3232"/>
      <c r="AW28" s="3231">
        <f>IF(AW25="","",INDEX(DIFFERENTIATION_UNMERGE_SYSTEM,MATCH(AW25,DIFFERENTIATION_ID_DIFF,0)))</f>
      </c>
      <c r="AX28" s="3232"/>
      <c r="AY28" s="3231">
        <f>IF(AY25="","",INDEX(DIFFERENTIATION_UNMERGE_SYSTEM,MATCH(AY25,DIFFERENTIATION_ID_DIFF,0)))</f>
      </c>
      <c r="AZ28" s="3232"/>
      <c r="BA28" s="3231">
        <f>IF(BA25="","",INDEX(DIFFERENTIATION_UNMERGE_SYSTEM,MATCH(BA25,DIFFERENTIATION_ID_DIFF,0)))</f>
      </c>
      <c r="BB28" s="3232"/>
      <c r="BC28" s="3231">
        <f>IF(BC25="","",INDEX(DIFFERENTIATION_UNMERGE_SYSTEM,MATCH(BC25,DIFFERENTIATION_ID_DIFF,0)))</f>
      </c>
      <c r="BD28" s="3232"/>
      <c r="BE28" s="3231">
        <f>IF(BE25="","",INDEX(DIFFERENTIATION_UNMERGE_SYSTEM,MATCH(BE25,DIFFERENTIATION_ID_DIFF,0)))</f>
      </c>
      <c r="BF28" s="3232"/>
      <c r="BG28" s="3231" t="str">
        <f>IF(BG25="","",INDEX(DIFFERENTIATION_UNMERGE_SYSTEM,MATCH(BG25,DIFFERENTIATION_ID_DIFF,0)))</f>
        <v>Некрасовская котельная</v>
      </c>
      <c r="BH28" s="3232"/>
      <c r="BI28" s="3231" t="str">
        <f>IF(BI25="","",INDEX(DIFFERENTIATION_UNMERGE_SYSTEM,MATCH(BI25,DIFFERENTIATION_ID_DIFF,0)))</f>
        <v>котельная "Дземги"</v>
      </c>
      <c r="BJ28" s="3232"/>
      <c r="BK28" s="3231" t="str">
        <f>IF(BK25="","",INDEX(DIFFERENTIATION_UNMERGE_SYSTEM,MATCH(BK25,DIFFERENTIATION_ID_DIFF,0)))</f>
        <v>Майская котельная</v>
      </c>
      <c r="BL28" s="3232"/>
      <c r="BM28" s="3231" t="str">
        <f>IF(BM25="","",INDEX(DIFFERENTIATION_UNMERGE_SYSTEM,MATCH(BM25,DIFFERENTIATION_ID_DIFF,0)))</f>
        <v>Ургальская котельная</v>
      </c>
      <c r="BN28" s="3232"/>
      <c r="BO28" s="3231" t="str">
        <f>IF(BO25="","",INDEX(DIFFERENTIATION_UNMERGE_SYSTEM,MATCH(BO25,DIFFERENTIATION_ID_DIFF,0)))</f>
        <v>Комсомольские тепловые сети</v>
      </c>
      <c r="BP28" s="3232"/>
      <c r="BQ28" s="3231" t="str">
        <f>IF(BQ25="","",INDEX(DIFFERENTIATION_UNMERGE_SYSTEM,MATCH(BQ25,DIFFERENTIATION_ID_DIFF,0)))</f>
        <v>Хабаровские тепловые сети</v>
      </c>
      <c r="BR28" s="3232"/>
      <c r="BS28" s="3231" t="str">
        <f>IF(BS25="","",INDEX(DIFFERENTIATION_UNMERGE_SYSTEM,MATCH(BS25,DIFFERENTIATION_ID_DIFF,0)))</f>
        <v>ТЭЦ в г. Советская Гавань</v>
      </c>
      <c r="BT28" s="3232"/>
      <c r="BU28" s="5289" t="str">
        <f>IF(BU25="","",INDEX(DIFFERENTIATION_UNMERGE_SYSTEM,MATCH(BU25,DIFFERENTIATION_ID_DIFF,0)))</f>
        <v>котельная "Аэропорт"</v>
      </c>
      <c r="BV28" s="5290"/>
      <c r="BW28" s="5289" t="str">
        <f>IF(BW25="","",INDEX(DIFFERENTIATION_UNMERGE_SYSTEM,MATCH(BW25,DIFFERENTIATION_ID_DIFF,0)))</f>
        <v>котельная в Волочаевском городке</v>
      </c>
      <c r="BX28" s="5290"/>
      <c r="BY28" s="5289" t="str">
        <f>IF(BY25="","",INDEX(DIFFERENTIATION_UNMERGE_SYSTEM,MATCH(BY25,DIFFERENTIATION_ID_DIFF,0)))</f>
        <v>без дифференциации</v>
      </c>
      <c r="BZ28" s="5290"/>
      <c r="CA28" s="3051"/>
      <c r="CK28" s="782"/>
      <c r="CL28" s="863">
        <v>15</v>
      </c>
    </row>
    <row s="10232" customFormat="1" customHeight="1" ht="15.75">
      <c r="A29" s="864"/>
      <c r="C29" s="284"/>
      <c r="D29" s="3206" t="s">
        <v>385</v>
      </c>
      <c r="E29" s="3207"/>
      <c r="F29" s="3207"/>
      <c r="G29" s="987"/>
      <c r="H29" s="987"/>
      <c r="I29" s="987"/>
      <c r="J29" s="988"/>
      <c r="K29" s="2181"/>
      <c r="L29" s="2181"/>
      <c r="M29" s="2181"/>
      <c r="N29" s="2181"/>
      <c r="O29" s="2181"/>
      <c r="P29" s="2181"/>
      <c r="Q29" s="2181"/>
      <c r="R29" s="2181"/>
      <c r="S29" s="2181"/>
      <c r="T29" s="2181"/>
      <c r="U29" s="2181"/>
      <c r="V29" s="2181"/>
      <c r="W29" s="2181"/>
      <c r="X29" s="2181"/>
      <c r="Y29" s="2181"/>
      <c r="Z29" s="2181"/>
      <c r="AA29" s="2181"/>
      <c r="AB29" s="2181"/>
      <c r="AC29" s="2181"/>
      <c r="AD29" s="2181"/>
      <c r="AE29" s="2181"/>
      <c r="AF29" s="2181"/>
      <c r="AG29" s="2181"/>
      <c r="AH29" s="2181"/>
      <c r="AI29" s="2181"/>
      <c r="AJ29" s="2181"/>
      <c r="AK29" s="2181"/>
      <c r="AL29" s="2181"/>
      <c r="AM29" s="2181"/>
      <c r="AN29" s="2181"/>
      <c r="AO29" s="2181"/>
      <c r="AP29" s="2181"/>
      <c r="AQ29" s="2181"/>
      <c r="AR29" s="2181"/>
      <c r="AS29" s="2181"/>
      <c r="AT29" s="2181"/>
      <c r="AU29" s="2181"/>
      <c r="AV29" s="2181"/>
      <c r="AW29" s="2181"/>
      <c r="AX29" s="2181"/>
      <c r="AY29" s="2181"/>
      <c r="AZ29" s="2181"/>
      <c r="BA29" s="2181"/>
      <c r="BB29" s="2181"/>
      <c r="BC29" s="2181"/>
      <c r="BD29" s="2181"/>
      <c r="BE29" s="2181"/>
      <c r="BF29" s="2181"/>
      <c r="BG29" s="2181"/>
      <c r="BH29" s="2181"/>
      <c r="BI29" s="2181"/>
      <c r="BJ29" s="2181"/>
      <c r="BK29" s="2181"/>
      <c r="BL29" s="2181"/>
      <c r="BM29" s="2181"/>
      <c r="BN29" s="2181"/>
      <c r="BO29" s="2181"/>
      <c r="BP29" s="2181"/>
      <c r="BQ29" s="2181"/>
      <c r="BR29" s="2181"/>
      <c r="BS29" s="2181"/>
      <c r="BT29" s="2181"/>
      <c r="BU29" s="4639"/>
      <c r="BV29" s="4639"/>
      <c r="BW29" s="4639"/>
      <c r="BX29" s="4639"/>
      <c r="BY29" s="4639"/>
      <c r="BZ29" s="4639"/>
      <c r="CA29" s="3051"/>
      <c r="CK29" s="782"/>
      <c r="CL29" s="863">
        <v>15</v>
      </c>
    </row>
    <row customHeight="1" ht="35.699999999999996">
      <c r="C30" s="284"/>
      <c r="D30" s="866" t="s">
        <v>88</v>
      </c>
      <c r="E30" s="865" t="s">
        <v>387</v>
      </c>
      <c r="F30" s="865" t="s">
        <v>651</v>
      </c>
      <c r="G30" s="909" t="s">
        <v>388</v>
      </c>
      <c r="H30" s="908" t="s">
        <v>475</v>
      </c>
      <c r="I30" s="791" t="s">
        <v>388</v>
      </c>
      <c r="J30" s="572" t="s">
        <v>475</v>
      </c>
      <c r="K30" s="2175" t="s">
        <v>388</v>
      </c>
      <c r="L30" s="2179" t="s">
        <v>475</v>
      </c>
      <c r="M30" s="2175" t="s">
        <v>388</v>
      </c>
      <c r="N30" s="2179" t="s">
        <v>475</v>
      </c>
      <c r="O30" s="2175" t="s">
        <v>388</v>
      </c>
      <c r="P30" s="2179" t="s">
        <v>475</v>
      </c>
      <c r="Q30" s="2175" t="s">
        <v>388</v>
      </c>
      <c r="R30" s="2179" t="s">
        <v>475</v>
      </c>
      <c r="S30" s="2175" t="s">
        <v>388</v>
      </c>
      <c r="T30" s="2179" t="s">
        <v>475</v>
      </c>
      <c r="U30" s="2175" t="s">
        <v>388</v>
      </c>
      <c r="V30" s="2179" t="s">
        <v>475</v>
      </c>
      <c r="W30" s="2175" t="s">
        <v>388</v>
      </c>
      <c r="X30" s="2179" t="s">
        <v>475</v>
      </c>
      <c r="Y30" s="2175" t="s">
        <v>388</v>
      </c>
      <c r="Z30" s="2179" t="s">
        <v>475</v>
      </c>
      <c r="AA30" s="2175" t="s">
        <v>388</v>
      </c>
      <c r="AB30" s="2179" t="s">
        <v>475</v>
      </c>
      <c r="AC30" s="2175" t="s">
        <v>388</v>
      </c>
      <c r="AD30" s="2179" t="s">
        <v>475</v>
      </c>
      <c r="AE30" s="2175" t="s">
        <v>388</v>
      </c>
      <c r="AF30" s="2179" t="s">
        <v>475</v>
      </c>
      <c r="AG30" s="2175" t="s">
        <v>388</v>
      </c>
      <c r="AH30" s="2179" t="s">
        <v>475</v>
      </c>
      <c r="AI30" s="2175" t="s">
        <v>388</v>
      </c>
      <c r="AJ30" s="2179" t="s">
        <v>475</v>
      </c>
      <c r="AK30" s="2175" t="s">
        <v>388</v>
      </c>
      <c r="AL30" s="2179" t="s">
        <v>475</v>
      </c>
      <c r="AM30" s="2175" t="s">
        <v>388</v>
      </c>
      <c r="AN30" s="2179" t="s">
        <v>475</v>
      </c>
      <c r="AO30" s="2175" t="s">
        <v>388</v>
      </c>
      <c r="AP30" s="2179" t="s">
        <v>475</v>
      </c>
      <c r="AQ30" s="2175" t="s">
        <v>388</v>
      </c>
      <c r="AR30" s="2179" t="s">
        <v>475</v>
      </c>
      <c r="AS30" s="2175" t="s">
        <v>388</v>
      </c>
      <c r="AT30" s="2179" t="s">
        <v>475</v>
      </c>
      <c r="AU30" s="2175" t="s">
        <v>388</v>
      </c>
      <c r="AV30" s="2179" t="s">
        <v>475</v>
      </c>
      <c r="AW30" s="2175" t="s">
        <v>388</v>
      </c>
      <c r="AX30" s="2179" t="s">
        <v>475</v>
      </c>
      <c r="AY30" s="2175" t="s">
        <v>388</v>
      </c>
      <c r="AZ30" s="2179" t="s">
        <v>475</v>
      </c>
      <c r="BA30" s="2175" t="s">
        <v>388</v>
      </c>
      <c r="BB30" s="2179" t="s">
        <v>475</v>
      </c>
      <c r="BC30" s="2175" t="s">
        <v>388</v>
      </c>
      <c r="BD30" s="2179" t="s">
        <v>475</v>
      </c>
      <c r="BE30" s="2175" t="s">
        <v>388</v>
      </c>
      <c r="BF30" s="2179" t="s">
        <v>475</v>
      </c>
      <c r="BG30" s="2175" t="s">
        <v>388</v>
      </c>
      <c r="BH30" s="2179" t="s">
        <v>475</v>
      </c>
      <c r="BI30" s="2175" t="s">
        <v>388</v>
      </c>
      <c r="BJ30" s="2179" t="s">
        <v>475</v>
      </c>
      <c r="BK30" s="2175" t="s">
        <v>388</v>
      </c>
      <c r="BL30" s="2179" t="s">
        <v>475</v>
      </c>
      <c r="BM30" s="2175" t="s">
        <v>388</v>
      </c>
      <c r="BN30" s="2179" t="s">
        <v>475</v>
      </c>
      <c r="BO30" s="2175" t="s">
        <v>388</v>
      </c>
      <c r="BP30" s="2179" t="s">
        <v>475</v>
      </c>
      <c r="BQ30" s="2175" t="s">
        <v>388</v>
      </c>
      <c r="BR30" s="2179" t="s">
        <v>475</v>
      </c>
      <c r="BS30" s="2175" t="s">
        <v>388</v>
      </c>
      <c r="BT30" s="2179" t="s">
        <v>475</v>
      </c>
      <c r="BU30" s="4994" t="s">
        <v>388</v>
      </c>
      <c r="BV30" s="4593" t="s">
        <v>475</v>
      </c>
      <c r="BW30" s="4994" t="s">
        <v>388</v>
      </c>
      <c r="BX30" s="4593" t="s">
        <v>475</v>
      </c>
      <c r="BY30" s="4994" t="s">
        <v>388</v>
      </c>
      <c r="BZ30" s="4593" t="s">
        <v>475</v>
      </c>
      <c r="CA30" s="3054"/>
      <c r="CL30" s="612">
        <v>34</v>
      </c>
    </row>
    <row customHeight="1" ht="15" hidden="1">
      <c r="C31" s="284"/>
      <c r="D31" s="700"/>
      <c r="E31" s="700"/>
      <c r="F31" s="700"/>
      <c r="G31" s="766"/>
      <c r="H31" s="766"/>
      <c r="I31" s="766"/>
      <c r="J31" s="766"/>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c r="BI31" s="790"/>
      <c r="BJ31" s="790"/>
      <c r="BK31" s="790"/>
      <c r="BL31" s="790"/>
      <c r="BM31" s="790"/>
      <c r="BN31" s="790"/>
      <c r="BO31" s="790"/>
      <c r="BP31" s="790"/>
      <c r="BQ31" s="790"/>
      <c r="BR31" s="790"/>
      <c r="BS31" s="790"/>
      <c r="BT31" s="790"/>
      <c r="BU31" s="5297"/>
      <c r="BV31" s="5297"/>
      <c r="BW31" s="5297"/>
      <c r="BX31" s="5297"/>
      <c r="BY31" s="5297"/>
      <c r="BZ31" s="5297"/>
      <c r="CA31" s="397"/>
      <c r="CL31" s="612">
        <v>0</v>
      </c>
    </row>
    <row customHeight="1" ht="24">
      <c r="A32" s="612"/>
      <c r="B32" s="612" t="s">
        <v>1114</v>
      </c>
      <c r="C32" s="633"/>
      <c r="D32" s="799">
        <v>1</v>
      </c>
      <c r="E32" s="800" t="s">
        <v>1115</v>
      </c>
      <c r="F32" s="798" t="s">
        <v>391</v>
      </c>
      <c r="G32" s="914" t="s">
        <v>391</v>
      </c>
      <c r="H32" s="914" t="s">
        <v>391</v>
      </c>
      <c r="I32" s="798" t="s">
        <v>391</v>
      </c>
      <c r="J32" s="798" t="s">
        <v>391</v>
      </c>
      <c r="K32" s="2176" t="s">
        <v>391</v>
      </c>
      <c r="L32" s="2176" t="s">
        <v>391</v>
      </c>
      <c r="M32" s="2176" t="s">
        <v>391</v>
      </c>
      <c r="N32" s="2176" t="s">
        <v>391</v>
      </c>
      <c r="O32" s="2176" t="s">
        <v>391</v>
      </c>
      <c r="P32" s="2176" t="s">
        <v>391</v>
      </c>
      <c r="Q32" s="2176" t="s">
        <v>391</v>
      </c>
      <c r="R32" s="2176" t="s">
        <v>391</v>
      </c>
      <c r="S32" s="2176" t="s">
        <v>391</v>
      </c>
      <c r="T32" s="2176" t="s">
        <v>391</v>
      </c>
      <c r="U32" s="2176" t="s">
        <v>391</v>
      </c>
      <c r="V32" s="2176" t="s">
        <v>391</v>
      </c>
      <c r="W32" s="2176" t="s">
        <v>391</v>
      </c>
      <c r="X32" s="2176" t="s">
        <v>391</v>
      </c>
      <c r="Y32" s="2176" t="s">
        <v>391</v>
      </c>
      <c r="Z32" s="2176" t="s">
        <v>391</v>
      </c>
      <c r="AA32" s="2176" t="s">
        <v>391</v>
      </c>
      <c r="AB32" s="2176" t="s">
        <v>391</v>
      </c>
      <c r="AC32" s="2176" t="s">
        <v>391</v>
      </c>
      <c r="AD32" s="2176" t="s">
        <v>391</v>
      </c>
      <c r="AE32" s="2176" t="s">
        <v>391</v>
      </c>
      <c r="AF32" s="2176" t="s">
        <v>391</v>
      </c>
      <c r="AG32" s="2176" t="s">
        <v>391</v>
      </c>
      <c r="AH32" s="2176" t="s">
        <v>391</v>
      </c>
      <c r="AI32" s="2176" t="s">
        <v>391</v>
      </c>
      <c r="AJ32" s="2176" t="s">
        <v>391</v>
      </c>
      <c r="AK32" s="2176" t="s">
        <v>391</v>
      </c>
      <c r="AL32" s="2176" t="s">
        <v>391</v>
      </c>
      <c r="AM32" s="2176" t="s">
        <v>391</v>
      </c>
      <c r="AN32" s="2176" t="s">
        <v>391</v>
      </c>
      <c r="AO32" s="2176" t="s">
        <v>391</v>
      </c>
      <c r="AP32" s="2176" t="s">
        <v>391</v>
      </c>
      <c r="AQ32" s="2176" t="s">
        <v>391</v>
      </c>
      <c r="AR32" s="2176" t="s">
        <v>391</v>
      </c>
      <c r="AS32" s="2176" t="s">
        <v>391</v>
      </c>
      <c r="AT32" s="2176" t="s">
        <v>391</v>
      </c>
      <c r="AU32" s="2176" t="s">
        <v>391</v>
      </c>
      <c r="AV32" s="2176" t="s">
        <v>391</v>
      </c>
      <c r="AW32" s="2176" t="s">
        <v>391</v>
      </c>
      <c r="AX32" s="2176" t="s">
        <v>391</v>
      </c>
      <c r="AY32" s="2176" t="s">
        <v>391</v>
      </c>
      <c r="AZ32" s="2176" t="s">
        <v>391</v>
      </c>
      <c r="BA32" s="2176" t="s">
        <v>391</v>
      </c>
      <c r="BB32" s="2176" t="s">
        <v>391</v>
      </c>
      <c r="BC32" s="2176" t="s">
        <v>391</v>
      </c>
      <c r="BD32" s="2176" t="s">
        <v>391</v>
      </c>
      <c r="BE32" s="2176" t="s">
        <v>391</v>
      </c>
      <c r="BF32" s="2176" t="s">
        <v>391</v>
      </c>
      <c r="BG32" s="2176" t="s">
        <v>391</v>
      </c>
      <c r="BH32" s="2176" t="s">
        <v>391</v>
      </c>
      <c r="BI32" s="2176" t="s">
        <v>391</v>
      </c>
      <c r="BJ32" s="2176" t="s">
        <v>391</v>
      </c>
      <c r="BK32" s="2176" t="s">
        <v>391</v>
      </c>
      <c r="BL32" s="2176" t="s">
        <v>391</v>
      </c>
      <c r="BM32" s="2176" t="s">
        <v>391</v>
      </c>
      <c r="BN32" s="2176" t="s">
        <v>391</v>
      </c>
      <c r="BO32" s="2176" t="s">
        <v>391</v>
      </c>
      <c r="BP32" s="2176" t="s">
        <v>391</v>
      </c>
      <c r="BQ32" s="2176" t="s">
        <v>391</v>
      </c>
      <c r="BR32" s="2176" t="s">
        <v>391</v>
      </c>
      <c r="BS32" s="2176" t="s">
        <v>391</v>
      </c>
      <c r="BT32" s="2176" t="s">
        <v>391</v>
      </c>
      <c r="BU32" s="5302" t="s">
        <v>391</v>
      </c>
      <c r="BV32" s="5302" t="s">
        <v>391</v>
      </c>
      <c r="BW32" s="5302" t="s">
        <v>391</v>
      </c>
      <c r="BX32" s="5302" t="s">
        <v>391</v>
      </c>
      <c r="BY32" s="5302" t="s">
        <v>391</v>
      </c>
      <c r="BZ32" s="5302" t="s">
        <v>391</v>
      </c>
      <c r="CA32" s="397"/>
      <c r="CL32" s="612">
        <v>23</v>
      </c>
    </row>
    <row customHeight="1" ht="11.549999999999999">
      <c r="A33" s="612"/>
      <c r="C33" s="612"/>
      <c r="D33" s="455"/>
      <c r="E33" s="687" t="s">
        <v>682</v>
      </c>
      <c r="F33" s="679"/>
      <c r="G33" s="679"/>
      <c r="H33" s="679"/>
      <c r="I33" s="679"/>
      <c r="J33" s="679"/>
      <c r="K33" s="2461"/>
      <c r="L33" s="2462"/>
      <c r="M33" s="2463"/>
      <c r="N33" s="2464"/>
      <c r="O33" s="2465"/>
      <c r="P33" s="2466"/>
      <c r="Q33" s="2467"/>
      <c r="R33" s="2468"/>
      <c r="S33" s="2469"/>
      <c r="T33" s="2470"/>
      <c r="U33" s="2471"/>
      <c r="V33" s="2472"/>
      <c r="W33" s="2473"/>
      <c r="X33" s="2474"/>
      <c r="Y33" s="2475"/>
      <c r="Z33" s="2476"/>
      <c r="AA33" s="2477"/>
      <c r="AB33" s="2478"/>
      <c r="AC33" s="2479"/>
      <c r="AD33" s="2480"/>
      <c r="AE33" s="2481"/>
      <c r="AF33" s="2482"/>
      <c r="AG33" s="2483"/>
      <c r="AH33" s="2484"/>
      <c r="AI33" s="2485"/>
      <c r="AJ33" s="2486"/>
      <c r="AK33" s="2487"/>
      <c r="AL33" s="2488"/>
      <c r="AM33" s="2489"/>
      <c r="AN33" s="2490"/>
      <c r="AO33" s="2491"/>
      <c r="AP33" s="2492"/>
      <c r="AQ33" s="2493"/>
      <c r="AR33" s="2494"/>
      <c r="AS33" s="2495"/>
      <c r="AT33" s="2496"/>
      <c r="AU33" s="2497"/>
      <c r="AV33" s="2498"/>
      <c r="AW33" s="2499"/>
      <c r="AX33" s="2500"/>
      <c r="AY33" s="2501"/>
      <c r="AZ33" s="2502"/>
      <c r="BA33" s="2503"/>
      <c r="BB33" s="2504"/>
      <c r="BC33" s="2505"/>
      <c r="BD33" s="2506"/>
      <c r="BE33" s="2507"/>
      <c r="BF33" s="2508"/>
      <c r="BG33" s="2509"/>
      <c r="BH33" s="2510"/>
      <c r="BI33" s="2511"/>
      <c r="BJ33" s="2512"/>
      <c r="BK33" s="2513"/>
      <c r="BL33" s="2514"/>
      <c r="BM33" s="2515"/>
      <c r="BN33" s="2516"/>
      <c r="BO33" s="2517"/>
      <c r="BP33" s="2518"/>
      <c r="BQ33" s="2519"/>
      <c r="BR33" s="2520"/>
      <c r="BS33" s="2521"/>
      <c r="BT33" s="2522"/>
      <c r="BU33" s="5365"/>
      <c r="BV33" s="5366"/>
      <c r="BW33" s="5367"/>
      <c r="BX33" s="5368"/>
      <c r="BY33" s="5369"/>
      <c r="BZ33" s="5370"/>
      <c r="CA33" s="680"/>
      <c r="CK33" s="612"/>
      <c r="CL33" s="612">
        <v>11</v>
      </c>
    </row>
    <row customHeight="1" ht="24">
      <c r="A34" s="612"/>
      <c r="B34" s="688" t="s">
        <v>776</v>
      </c>
      <c r="C34" s="633"/>
      <c r="D34" s="799">
        <v>2</v>
      </c>
      <c r="E34" s="800" t="s">
        <v>1116</v>
      </c>
      <c r="F34" s="921" t="s">
        <v>391</v>
      </c>
      <c r="G34" s="921" t="s">
        <v>391</v>
      </c>
      <c r="H34" s="921" t="s">
        <v>391</v>
      </c>
      <c r="I34" s="798"/>
      <c r="J34" s="798"/>
      <c r="K34" s="2176" t="s">
        <v>391</v>
      </c>
      <c r="L34" s="2176" t="s">
        <v>391</v>
      </c>
      <c r="M34" s="2176" t="s">
        <v>391</v>
      </c>
      <c r="N34" s="2176" t="s">
        <v>391</v>
      </c>
      <c r="O34" s="2176" t="s">
        <v>391</v>
      </c>
      <c r="P34" s="2176" t="s">
        <v>391</v>
      </c>
      <c r="Q34" s="2176" t="s">
        <v>391</v>
      </c>
      <c r="R34" s="2176" t="s">
        <v>391</v>
      </c>
      <c r="S34" s="2176" t="s">
        <v>391</v>
      </c>
      <c r="T34" s="2176" t="s">
        <v>391</v>
      </c>
      <c r="U34" s="2176" t="s">
        <v>391</v>
      </c>
      <c r="V34" s="2176" t="s">
        <v>391</v>
      </c>
      <c r="W34" s="2176" t="s">
        <v>391</v>
      </c>
      <c r="X34" s="2176" t="s">
        <v>391</v>
      </c>
      <c r="Y34" s="2176" t="s">
        <v>391</v>
      </c>
      <c r="Z34" s="2176" t="s">
        <v>391</v>
      </c>
      <c r="AA34" s="2176" t="s">
        <v>391</v>
      </c>
      <c r="AB34" s="2176" t="s">
        <v>391</v>
      </c>
      <c r="AC34" s="2176" t="s">
        <v>391</v>
      </c>
      <c r="AD34" s="2176" t="s">
        <v>391</v>
      </c>
      <c r="AE34" s="2176" t="s">
        <v>391</v>
      </c>
      <c r="AF34" s="2176" t="s">
        <v>391</v>
      </c>
      <c r="AG34" s="2176" t="s">
        <v>391</v>
      </c>
      <c r="AH34" s="2176" t="s">
        <v>391</v>
      </c>
      <c r="AI34" s="2176" t="s">
        <v>391</v>
      </c>
      <c r="AJ34" s="2176" t="s">
        <v>391</v>
      </c>
      <c r="AK34" s="2176" t="s">
        <v>391</v>
      </c>
      <c r="AL34" s="2176" t="s">
        <v>391</v>
      </c>
      <c r="AM34" s="2176" t="s">
        <v>391</v>
      </c>
      <c r="AN34" s="2176" t="s">
        <v>391</v>
      </c>
      <c r="AO34" s="2176" t="s">
        <v>391</v>
      </c>
      <c r="AP34" s="2176" t="s">
        <v>391</v>
      </c>
      <c r="AQ34" s="2176" t="s">
        <v>391</v>
      </c>
      <c r="AR34" s="2176" t="s">
        <v>391</v>
      </c>
      <c r="AS34" s="2176" t="s">
        <v>391</v>
      </c>
      <c r="AT34" s="2176" t="s">
        <v>391</v>
      </c>
      <c r="AU34" s="2176" t="s">
        <v>391</v>
      </c>
      <c r="AV34" s="2176" t="s">
        <v>391</v>
      </c>
      <c r="AW34" s="2176" t="s">
        <v>391</v>
      </c>
      <c r="AX34" s="2176" t="s">
        <v>391</v>
      </c>
      <c r="AY34" s="2176" t="s">
        <v>391</v>
      </c>
      <c r="AZ34" s="2176" t="s">
        <v>391</v>
      </c>
      <c r="BA34" s="2176" t="s">
        <v>391</v>
      </c>
      <c r="BB34" s="2176" t="s">
        <v>391</v>
      </c>
      <c r="BC34" s="2176" t="s">
        <v>391</v>
      </c>
      <c r="BD34" s="2176" t="s">
        <v>391</v>
      </c>
      <c r="BE34" s="2176" t="s">
        <v>391</v>
      </c>
      <c r="BF34" s="2176" t="s">
        <v>391</v>
      </c>
      <c r="BG34" s="2176" t="s">
        <v>391</v>
      </c>
      <c r="BH34" s="2176" t="s">
        <v>391</v>
      </c>
      <c r="BI34" s="2176" t="s">
        <v>391</v>
      </c>
      <c r="BJ34" s="2176" t="s">
        <v>391</v>
      </c>
      <c r="BK34" s="2176" t="s">
        <v>391</v>
      </c>
      <c r="BL34" s="2176" t="s">
        <v>391</v>
      </c>
      <c r="BM34" s="2176" t="s">
        <v>391</v>
      </c>
      <c r="BN34" s="2176" t="s">
        <v>391</v>
      </c>
      <c r="BO34" s="2176" t="s">
        <v>391</v>
      </c>
      <c r="BP34" s="2176" t="s">
        <v>391</v>
      </c>
      <c r="BQ34" s="2176" t="s">
        <v>391</v>
      </c>
      <c r="BR34" s="2176" t="s">
        <v>391</v>
      </c>
      <c r="BS34" s="2176" t="s">
        <v>391</v>
      </c>
      <c r="BT34" s="2176" t="s">
        <v>391</v>
      </c>
      <c r="BU34" s="5302" t="s">
        <v>391</v>
      </c>
      <c r="BV34" s="5302" t="s">
        <v>391</v>
      </c>
      <c r="BW34" s="5302" t="s">
        <v>391</v>
      </c>
      <c r="BX34" s="5302" t="s">
        <v>391</v>
      </c>
      <c r="BY34" s="5302" t="s">
        <v>391</v>
      </c>
      <c r="BZ34" s="5302" t="s">
        <v>391</v>
      </c>
      <c r="CA34" s="397"/>
      <c r="CL34" s="612">
        <v>23</v>
      </c>
    </row>
    <row customHeight="1" ht="11.549999999999999">
      <c r="A35" s="612"/>
      <c r="C35" s="612"/>
      <c r="D35" s="455"/>
      <c r="E35" s="687" t="s">
        <v>1117</v>
      </c>
      <c r="F35" s="679"/>
      <c r="G35" s="801"/>
      <c r="H35" s="679"/>
      <c r="I35" s="801"/>
      <c r="J35" s="679"/>
      <c r="K35" s="2529"/>
      <c r="L35" s="2530"/>
      <c r="M35" s="2531"/>
      <c r="N35" s="2532"/>
      <c r="O35" s="2533"/>
      <c r="P35" s="2534"/>
      <c r="Q35" s="2535"/>
      <c r="R35" s="2536"/>
      <c r="S35" s="2537"/>
      <c r="T35" s="2538"/>
      <c r="U35" s="2539"/>
      <c r="V35" s="2540"/>
      <c r="W35" s="2541"/>
      <c r="X35" s="2542"/>
      <c r="Y35" s="2543"/>
      <c r="Z35" s="2544"/>
      <c r="AA35" s="2545"/>
      <c r="AB35" s="2546"/>
      <c r="AC35" s="2547"/>
      <c r="AD35" s="2548"/>
      <c r="AE35" s="2549"/>
      <c r="AF35" s="2550"/>
      <c r="AG35" s="2551"/>
      <c r="AH35" s="2552"/>
      <c r="AI35" s="2553"/>
      <c r="AJ35" s="2554"/>
      <c r="AK35" s="2555"/>
      <c r="AL35" s="2556"/>
      <c r="AM35" s="2557"/>
      <c r="AN35" s="2558"/>
      <c r="AO35" s="2559"/>
      <c r="AP35" s="2560"/>
      <c r="AQ35" s="2561"/>
      <c r="AR35" s="2562"/>
      <c r="AS35" s="2563"/>
      <c r="AT35" s="2564"/>
      <c r="AU35" s="2565"/>
      <c r="AV35" s="2566"/>
      <c r="AW35" s="2567"/>
      <c r="AX35" s="2568"/>
      <c r="AY35" s="2569"/>
      <c r="AZ35" s="2570"/>
      <c r="BA35" s="2571"/>
      <c r="BB35" s="2572"/>
      <c r="BC35" s="2573"/>
      <c r="BD35" s="2574"/>
      <c r="BE35" s="2575"/>
      <c r="BF35" s="2576"/>
      <c r="BG35" s="2577"/>
      <c r="BH35" s="2578"/>
      <c r="BI35" s="2579"/>
      <c r="BJ35" s="2580"/>
      <c r="BK35" s="2581"/>
      <c r="BL35" s="2582"/>
      <c r="BM35" s="2583"/>
      <c r="BN35" s="2584"/>
      <c r="BO35" s="2585"/>
      <c r="BP35" s="2586"/>
      <c r="BQ35" s="2587"/>
      <c r="BR35" s="2588"/>
      <c r="BS35" s="2589"/>
      <c r="BT35" s="2590"/>
      <c r="BU35" s="5435"/>
      <c r="BV35" s="5436"/>
      <c r="BW35" s="5437"/>
      <c r="BX35" s="5438"/>
      <c r="BY35" s="5439"/>
      <c r="BZ35" s="5440"/>
      <c r="CA35" s="680"/>
      <c r="CK35" s="612"/>
      <c r="CL35" s="612">
        <v>11</v>
      </c>
    </row>
    <row customHeight="1" ht="71.25">
      <c r="A36" s="612"/>
      <c r="B36" s="612" t="s">
        <v>1118</v>
      </c>
      <c r="C36" s="633"/>
      <c r="D36" s="799">
        <v>3</v>
      </c>
      <c r="E36" s="800" t="s">
        <v>1119</v>
      </c>
      <c r="F36" s="802" t="s">
        <v>391</v>
      </c>
      <c r="G36" s="915" t="s">
        <v>1120</v>
      </c>
      <c r="H36" s="914" t="s">
        <v>391</v>
      </c>
      <c r="I36" s="631" t="s">
        <v>1120</v>
      </c>
      <c r="J36" s="798" t="s">
        <v>391</v>
      </c>
      <c r="K36" s="2169" t="s">
        <v>1120</v>
      </c>
      <c r="L36" s="2176" t="s">
        <v>391</v>
      </c>
      <c r="M36" s="2169" t="s">
        <v>1120</v>
      </c>
      <c r="N36" s="2176" t="s">
        <v>391</v>
      </c>
      <c r="O36" s="2169" t="s">
        <v>1120</v>
      </c>
      <c r="P36" s="2176" t="s">
        <v>391</v>
      </c>
      <c r="Q36" s="2169" t="s">
        <v>1120</v>
      </c>
      <c r="R36" s="2176" t="s">
        <v>391</v>
      </c>
      <c r="S36" s="2169" t="s">
        <v>1120</v>
      </c>
      <c r="T36" s="2176" t="s">
        <v>391</v>
      </c>
      <c r="U36" s="2169" t="s">
        <v>1120</v>
      </c>
      <c r="V36" s="2176" t="s">
        <v>391</v>
      </c>
      <c r="W36" s="2169" t="s">
        <v>1120</v>
      </c>
      <c r="X36" s="2176" t="s">
        <v>391</v>
      </c>
      <c r="Y36" s="2169" t="s">
        <v>1120</v>
      </c>
      <c r="Z36" s="2176" t="s">
        <v>391</v>
      </c>
      <c r="AA36" s="2169" t="s">
        <v>1120</v>
      </c>
      <c r="AB36" s="2176" t="s">
        <v>391</v>
      </c>
      <c r="AC36" s="2169" t="s">
        <v>1120</v>
      </c>
      <c r="AD36" s="2176" t="s">
        <v>391</v>
      </c>
      <c r="AE36" s="2169" t="s">
        <v>1120</v>
      </c>
      <c r="AF36" s="2176" t="s">
        <v>391</v>
      </c>
      <c r="AG36" s="2169" t="s">
        <v>1120</v>
      </c>
      <c r="AH36" s="2176" t="s">
        <v>391</v>
      </c>
      <c r="AI36" s="2169" t="s">
        <v>1120</v>
      </c>
      <c r="AJ36" s="2176" t="s">
        <v>391</v>
      </c>
      <c r="AK36" s="2169" t="s">
        <v>1120</v>
      </c>
      <c r="AL36" s="2176" t="s">
        <v>391</v>
      </c>
      <c r="AM36" s="2169" t="s">
        <v>1120</v>
      </c>
      <c r="AN36" s="2176" t="s">
        <v>391</v>
      </c>
      <c r="AO36" s="2169" t="s">
        <v>1120</v>
      </c>
      <c r="AP36" s="2176" t="s">
        <v>391</v>
      </c>
      <c r="AQ36" s="2169" t="s">
        <v>1120</v>
      </c>
      <c r="AR36" s="2176" t="s">
        <v>391</v>
      </c>
      <c r="AS36" s="2169" t="s">
        <v>1120</v>
      </c>
      <c r="AT36" s="2176" t="s">
        <v>391</v>
      </c>
      <c r="AU36" s="2169" t="s">
        <v>1120</v>
      </c>
      <c r="AV36" s="2176" t="s">
        <v>391</v>
      </c>
      <c r="AW36" s="2169" t="s">
        <v>1120</v>
      </c>
      <c r="AX36" s="2176" t="s">
        <v>391</v>
      </c>
      <c r="AY36" s="2169" t="s">
        <v>1120</v>
      </c>
      <c r="AZ36" s="2176" t="s">
        <v>391</v>
      </c>
      <c r="BA36" s="2169" t="s">
        <v>1120</v>
      </c>
      <c r="BB36" s="2176" t="s">
        <v>391</v>
      </c>
      <c r="BC36" s="2169" t="s">
        <v>1120</v>
      </c>
      <c r="BD36" s="2176" t="s">
        <v>391</v>
      </c>
      <c r="BE36" s="2169" t="s">
        <v>1120</v>
      </c>
      <c r="BF36" s="2176" t="s">
        <v>391</v>
      </c>
      <c r="BG36" s="2169" t="s">
        <v>1120</v>
      </c>
      <c r="BH36" s="2176" t="s">
        <v>391</v>
      </c>
      <c r="BI36" s="2169" t="s">
        <v>1120</v>
      </c>
      <c r="BJ36" s="2176" t="s">
        <v>391</v>
      </c>
      <c r="BK36" s="2169" t="s">
        <v>1120</v>
      </c>
      <c r="BL36" s="2176" t="s">
        <v>391</v>
      </c>
      <c r="BM36" s="2169" t="s">
        <v>1120</v>
      </c>
      <c r="BN36" s="2176" t="s">
        <v>391</v>
      </c>
      <c r="BO36" s="2169" t="s">
        <v>1120</v>
      </c>
      <c r="BP36" s="2176" t="s">
        <v>391</v>
      </c>
      <c r="BQ36" s="2169" t="s">
        <v>1120</v>
      </c>
      <c r="BR36" s="2176" t="s">
        <v>391</v>
      </c>
      <c r="BS36" s="2169" t="s">
        <v>1120</v>
      </c>
      <c r="BT36" s="2176" t="s">
        <v>391</v>
      </c>
      <c r="BU36" s="5445" t="s">
        <v>1120</v>
      </c>
      <c r="BV36" s="5302" t="s">
        <v>391</v>
      </c>
      <c r="BW36" s="5445" t="s">
        <v>1120</v>
      </c>
      <c r="BX36" s="5302" t="s">
        <v>391</v>
      </c>
      <c r="BY36" s="5445" t="s">
        <v>1120</v>
      </c>
      <c r="BZ36" s="5302" t="s">
        <v>391</v>
      </c>
      <c r="CA36" s="397" t="s">
        <v>1121</v>
      </c>
      <c r="CL36" s="612">
        <v>68</v>
      </c>
    </row>
    <row customHeight="1" ht="11.549999999999999">
      <c r="A37" s="612"/>
      <c r="C37" s="612"/>
      <c r="D37" s="455"/>
      <c r="E37" s="687" t="s">
        <v>1122</v>
      </c>
      <c r="F37" s="679"/>
      <c r="G37" s="801"/>
      <c r="H37" s="801"/>
      <c r="I37" s="801"/>
      <c r="J37" s="801"/>
      <c r="K37" s="2597"/>
      <c r="L37" s="2598"/>
      <c r="M37" s="2599"/>
      <c r="N37" s="2600"/>
      <c r="O37" s="2601"/>
      <c r="P37" s="2602"/>
      <c r="Q37" s="2603"/>
      <c r="R37" s="2604"/>
      <c r="S37" s="2605"/>
      <c r="T37" s="2606"/>
      <c r="U37" s="2607"/>
      <c r="V37" s="2608"/>
      <c r="W37" s="2609"/>
      <c r="X37" s="2610"/>
      <c r="Y37" s="2611"/>
      <c r="Z37" s="2612"/>
      <c r="AA37" s="2613"/>
      <c r="AB37" s="2614"/>
      <c r="AC37" s="2615"/>
      <c r="AD37" s="2616"/>
      <c r="AE37" s="2617"/>
      <c r="AF37" s="2618"/>
      <c r="AG37" s="2619"/>
      <c r="AH37" s="2620"/>
      <c r="AI37" s="2621"/>
      <c r="AJ37" s="2622"/>
      <c r="AK37" s="2623"/>
      <c r="AL37" s="2624"/>
      <c r="AM37" s="2625"/>
      <c r="AN37" s="2626"/>
      <c r="AO37" s="2627"/>
      <c r="AP37" s="2628"/>
      <c r="AQ37" s="2629"/>
      <c r="AR37" s="2630"/>
      <c r="AS37" s="2631"/>
      <c r="AT37" s="2632"/>
      <c r="AU37" s="2633"/>
      <c r="AV37" s="2634"/>
      <c r="AW37" s="2635"/>
      <c r="AX37" s="2636"/>
      <c r="AY37" s="2637"/>
      <c r="AZ37" s="2638"/>
      <c r="BA37" s="2639"/>
      <c r="BB37" s="2640"/>
      <c r="BC37" s="2641"/>
      <c r="BD37" s="2642"/>
      <c r="BE37" s="2643"/>
      <c r="BF37" s="2644"/>
      <c r="BG37" s="2645"/>
      <c r="BH37" s="2646"/>
      <c r="BI37" s="2647"/>
      <c r="BJ37" s="2648"/>
      <c r="BK37" s="2649"/>
      <c r="BL37" s="2650"/>
      <c r="BM37" s="2651"/>
      <c r="BN37" s="2652"/>
      <c r="BO37" s="2653"/>
      <c r="BP37" s="2654"/>
      <c r="BQ37" s="2655"/>
      <c r="BR37" s="2656"/>
      <c r="BS37" s="2657"/>
      <c r="BT37" s="2658"/>
      <c r="BU37" s="5508"/>
      <c r="BV37" s="5509"/>
      <c r="BW37" s="5510"/>
      <c r="BX37" s="5511"/>
      <c r="BY37" s="5512"/>
      <c r="BZ37" s="5513"/>
      <c r="CA37" s="680"/>
      <c r="CK37" s="612"/>
      <c r="CL37" s="612">
        <v>11</v>
      </c>
    </row>
    <row customHeight="1" ht="71.25">
      <c r="A38" s="612"/>
      <c r="B38" s="612" t="s">
        <v>1123</v>
      </c>
      <c r="C38" s="633"/>
      <c r="D38" s="799">
        <v>4</v>
      </c>
      <c r="E38" s="800" t="s">
        <v>1124</v>
      </c>
      <c r="F38" s="802" t="s">
        <v>391</v>
      </c>
      <c r="G38" s="915" t="s">
        <v>1120</v>
      </c>
      <c r="H38" s="916" t="s">
        <v>391</v>
      </c>
      <c r="I38" s="631" t="s">
        <v>1120</v>
      </c>
      <c r="J38" s="628" t="s">
        <v>391</v>
      </c>
      <c r="K38" s="2169" t="s">
        <v>1120</v>
      </c>
      <c r="L38" s="2179" t="s">
        <v>391</v>
      </c>
      <c r="M38" s="2169" t="s">
        <v>1120</v>
      </c>
      <c r="N38" s="2179" t="s">
        <v>391</v>
      </c>
      <c r="O38" s="2169" t="s">
        <v>1120</v>
      </c>
      <c r="P38" s="2179" t="s">
        <v>391</v>
      </c>
      <c r="Q38" s="2169" t="s">
        <v>1120</v>
      </c>
      <c r="R38" s="2179" t="s">
        <v>391</v>
      </c>
      <c r="S38" s="2169" t="s">
        <v>1120</v>
      </c>
      <c r="T38" s="2179" t="s">
        <v>391</v>
      </c>
      <c r="U38" s="2169" t="s">
        <v>1120</v>
      </c>
      <c r="V38" s="2179" t="s">
        <v>391</v>
      </c>
      <c r="W38" s="2169" t="s">
        <v>1120</v>
      </c>
      <c r="X38" s="2179" t="s">
        <v>391</v>
      </c>
      <c r="Y38" s="2169" t="s">
        <v>1120</v>
      </c>
      <c r="Z38" s="2179" t="s">
        <v>391</v>
      </c>
      <c r="AA38" s="2169" t="s">
        <v>1120</v>
      </c>
      <c r="AB38" s="2179" t="s">
        <v>391</v>
      </c>
      <c r="AC38" s="2169" t="s">
        <v>1120</v>
      </c>
      <c r="AD38" s="2179" t="s">
        <v>391</v>
      </c>
      <c r="AE38" s="2169" t="s">
        <v>1120</v>
      </c>
      <c r="AF38" s="2179" t="s">
        <v>391</v>
      </c>
      <c r="AG38" s="2169" t="s">
        <v>1120</v>
      </c>
      <c r="AH38" s="2179" t="s">
        <v>391</v>
      </c>
      <c r="AI38" s="2169" t="s">
        <v>1120</v>
      </c>
      <c r="AJ38" s="2179" t="s">
        <v>391</v>
      </c>
      <c r="AK38" s="2169" t="s">
        <v>1120</v>
      </c>
      <c r="AL38" s="2179" t="s">
        <v>391</v>
      </c>
      <c r="AM38" s="2169" t="s">
        <v>1120</v>
      </c>
      <c r="AN38" s="2179" t="s">
        <v>391</v>
      </c>
      <c r="AO38" s="2169" t="s">
        <v>1120</v>
      </c>
      <c r="AP38" s="2179" t="s">
        <v>391</v>
      </c>
      <c r="AQ38" s="2169" t="s">
        <v>1120</v>
      </c>
      <c r="AR38" s="2179" t="s">
        <v>391</v>
      </c>
      <c r="AS38" s="2169" t="s">
        <v>1120</v>
      </c>
      <c r="AT38" s="2179" t="s">
        <v>391</v>
      </c>
      <c r="AU38" s="2169" t="s">
        <v>1120</v>
      </c>
      <c r="AV38" s="2179" t="s">
        <v>391</v>
      </c>
      <c r="AW38" s="2169" t="s">
        <v>1120</v>
      </c>
      <c r="AX38" s="2179" t="s">
        <v>391</v>
      </c>
      <c r="AY38" s="2169" t="s">
        <v>1120</v>
      </c>
      <c r="AZ38" s="2179" t="s">
        <v>391</v>
      </c>
      <c r="BA38" s="2169" t="s">
        <v>1120</v>
      </c>
      <c r="BB38" s="2179" t="s">
        <v>391</v>
      </c>
      <c r="BC38" s="2169" t="s">
        <v>1120</v>
      </c>
      <c r="BD38" s="2179" t="s">
        <v>391</v>
      </c>
      <c r="BE38" s="2169" t="s">
        <v>1120</v>
      </c>
      <c r="BF38" s="2179" t="s">
        <v>391</v>
      </c>
      <c r="BG38" s="2169" t="s">
        <v>1120</v>
      </c>
      <c r="BH38" s="2179" t="s">
        <v>391</v>
      </c>
      <c r="BI38" s="2169" t="s">
        <v>1120</v>
      </c>
      <c r="BJ38" s="2179" t="s">
        <v>391</v>
      </c>
      <c r="BK38" s="2169" t="s">
        <v>1120</v>
      </c>
      <c r="BL38" s="2179" t="s">
        <v>391</v>
      </c>
      <c r="BM38" s="2169" t="s">
        <v>1120</v>
      </c>
      <c r="BN38" s="2179" t="s">
        <v>391</v>
      </c>
      <c r="BO38" s="2169" t="s">
        <v>1120</v>
      </c>
      <c r="BP38" s="2179" t="s">
        <v>391</v>
      </c>
      <c r="BQ38" s="2169" t="s">
        <v>1120</v>
      </c>
      <c r="BR38" s="2179" t="s">
        <v>391</v>
      </c>
      <c r="BS38" s="2169" t="s">
        <v>1120</v>
      </c>
      <c r="BT38" s="2179" t="s">
        <v>391</v>
      </c>
      <c r="BU38" s="5445" t="s">
        <v>1120</v>
      </c>
      <c r="BV38" s="4593" t="s">
        <v>391</v>
      </c>
      <c r="BW38" s="5445" t="s">
        <v>1120</v>
      </c>
      <c r="BX38" s="4593" t="s">
        <v>391</v>
      </c>
      <c r="BY38" s="5445" t="s">
        <v>1120</v>
      </c>
      <c r="BZ38" s="4593" t="s">
        <v>391</v>
      </c>
      <c r="CA38" s="786" t="s">
        <v>1125</v>
      </c>
      <c r="CL38" s="612">
        <v>68</v>
      </c>
    </row>
    <row customHeight="1" ht="11.549999999999999">
      <c r="A39" s="612"/>
      <c r="C39" s="612"/>
      <c r="D39" s="455"/>
      <c r="E39" s="687" t="s">
        <v>1126</v>
      </c>
      <c r="F39" s="679"/>
      <c r="G39" s="679"/>
      <c r="H39" s="803"/>
      <c r="I39" s="679"/>
      <c r="J39" s="803"/>
      <c r="K39" s="2665"/>
      <c r="L39" s="2666"/>
      <c r="M39" s="2667"/>
      <c r="N39" s="2668"/>
      <c r="O39" s="2669"/>
      <c r="P39" s="2670"/>
      <c r="Q39" s="2671"/>
      <c r="R39" s="2672"/>
      <c r="S39" s="2673"/>
      <c r="T39" s="2674"/>
      <c r="U39" s="2675"/>
      <c r="V39" s="2676"/>
      <c r="W39" s="2677"/>
      <c r="X39" s="2678"/>
      <c r="Y39" s="2679"/>
      <c r="Z39" s="2680"/>
      <c r="AA39" s="2681"/>
      <c r="AB39" s="2682"/>
      <c r="AC39" s="2683"/>
      <c r="AD39" s="2684"/>
      <c r="AE39" s="2685"/>
      <c r="AF39" s="2686"/>
      <c r="AG39" s="2687"/>
      <c r="AH39" s="2688"/>
      <c r="AI39" s="2689"/>
      <c r="AJ39" s="2690"/>
      <c r="AK39" s="2691"/>
      <c r="AL39" s="2692"/>
      <c r="AM39" s="2693"/>
      <c r="AN39" s="2694"/>
      <c r="AO39" s="2695"/>
      <c r="AP39" s="2696"/>
      <c r="AQ39" s="2697"/>
      <c r="AR39" s="2698"/>
      <c r="AS39" s="2699"/>
      <c r="AT39" s="2700"/>
      <c r="AU39" s="2701"/>
      <c r="AV39" s="2702"/>
      <c r="AW39" s="2703"/>
      <c r="AX39" s="2704"/>
      <c r="AY39" s="2705"/>
      <c r="AZ39" s="2706"/>
      <c r="BA39" s="2707"/>
      <c r="BB39" s="2708"/>
      <c r="BC39" s="2709"/>
      <c r="BD39" s="2710"/>
      <c r="BE39" s="2711"/>
      <c r="BF39" s="2712"/>
      <c r="BG39" s="2713"/>
      <c r="BH39" s="2714"/>
      <c r="BI39" s="2715"/>
      <c r="BJ39" s="2716"/>
      <c r="BK39" s="2717"/>
      <c r="BL39" s="2718"/>
      <c r="BM39" s="2719"/>
      <c r="BN39" s="2720"/>
      <c r="BO39" s="2721"/>
      <c r="BP39" s="2722"/>
      <c r="BQ39" s="2723"/>
      <c r="BR39" s="2724"/>
      <c r="BS39" s="2725"/>
      <c r="BT39" s="2726"/>
      <c r="BU39" s="5579"/>
      <c r="BV39" s="5580"/>
      <c r="BW39" s="5581"/>
      <c r="BX39" s="5582"/>
      <c r="BY39" s="5583"/>
      <c r="BZ39" s="5584"/>
      <c r="CA39" s="680"/>
      <c r="CK39" s="612"/>
      <c r="CL39" s="612">
        <v>11</v>
      </c>
    </row>
    <row customHeight="1" ht="22.5" hidden="1">
      <c r="A40" s="556" t="s">
        <v>82</v>
      </c>
      <c r="B40" s="612">
        <v>0</v>
      </c>
      <c r="C40" s="790">
        <v>4</v>
      </c>
      <c r="D40" s="612">
        <v>6</v>
      </c>
      <c r="E40" s="612">
        <v>36</v>
      </c>
      <c r="F40" s="612">
        <v>9</v>
      </c>
      <c r="G40" s="863">
        <v>0</v>
      </c>
      <c r="H40" s="863">
        <v>0</v>
      </c>
      <c r="I40" s="612">
        <v>25</v>
      </c>
      <c r="J40" s="612">
        <v>33</v>
      </c>
      <c r="K40" s="1731">
        <v>0</v>
      </c>
      <c r="L40" s="1731">
        <v>0</v>
      </c>
      <c r="M40" s="1731">
        <v>0</v>
      </c>
      <c r="N40" s="1731">
        <v>0</v>
      </c>
      <c r="O40" s="1731">
        <v>0</v>
      </c>
      <c r="P40" s="1731">
        <v>0</v>
      </c>
      <c r="Q40" s="1731">
        <v>0</v>
      </c>
      <c r="R40" s="1731">
        <v>0</v>
      </c>
      <c r="S40" s="1731">
        <v>0</v>
      </c>
      <c r="T40" s="1731">
        <v>0</v>
      </c>
      <c r="U40" s="1731">
        <v>0</v>
      </c>
      <c r="V40" s="1731">
        <v>0</v>
      </c>
      <c r="W40" s="1731">
        <v>0</v>
      </c>
      <c r="X40" s="1731">
        <v>0</v>
      </c>
      <c r="Y40" s="1731">
        <v>0</v>
      </c>
      <c r="Z40" s="1731">
        <v>0</v>
      </c>
      <c r="AA40" s="1731">
        <v>0</v>
      </c>
      <c r="AB40" s="1731">
        <v>0</v>
      </c>
      <c r="AC40" s="1731">
        <v>0</v>
      </c>
      <c r="AD40" s="1731">
        <v>0</v>
      </c>
      <c r="AE40" s="1731">
        <v>0</v>
      </c>
      <c r="AF40" s="1731">
        <v>0</v>
      </c>
      <c r="AG40" s="1731">
        <v>0</v>
      </c>
      <c r="AH40" s="1731">
        <v>0</v>
      </c>
      <c r="AI40" s="1731">
        <v>0</v>
      </c>
      <c r="AJ40" s="1731">
        <v>0</v>
      </c>
      <c r="AK40" s="1731">
        <v>0</v>
      </c>
      <c r="AL40" s="1731">
        <v>0</v>
      </c>
      <c r="AM40" s="1731">
        <v>0</v>
      </c>
      <c r="AN40" s="1731">
        <v>0</v>
      </c>
      <c r="AO40" s="1731">
        <v>0</v>
      </c>
      <c r="AP40" s="1731">
        <v>0</v>
      </c>
      <c r="AQ40" s="1731">
        <v>0</v>
      </c>
      <c r="AR40" s="1731">
        <v>0</v>
      </c>
      <c r="AS40" s="1731">
        <v>0</v>
      </c>
      <c r="AT40" s="1731">
        <v>0</v>
      </c>
      <c r="AU40" s="1731">
        <v>0</v>
      </c>
      <c r="AV40" s="1731">
        <v>0</v>
      </c>
      <c r="AW40" s="1731">
        <v>0</v>
      </c>
      <c r="AX40" s="1731">
        <v>0</v>
      </c>
      <c r="AY40" s="1731">
        <v>0</v>
      </c>
      <c r="AZ40" s="1731">
        <v>0</v>
      </c>
      <c r="BA40" s="1731">
        <v>0</v>
      </c>
      <c r="BB40" s="1731">
        <v>0</v>
      </c>
      <c r="BC40" s="1731">
        <v>0</v>
      </c>
      <c r="BD40" s="1731">
        <v>0</v>
      </c>
      <c r="BE40" s="1731">
        <v>0</v>
      </c>
      <c r="BF40" s="1731">
        <v>0</v>
      </c>
      <c r="BG40" s="1731">
        <v>0</v>
      </c>
      <c r="BH40" s="1731">
        <v>0</v>
      </c>
      <c r="BI40" s="1731">
        <v>0</v>
      </c>
      <c r="BJ40" s="1731">
        <v>0</v>
      </c>
      <c r="BK40" s="1731">
        <v>0</v>
      </c>
      <c r="BL40" s="1731">
        <v>0</v>
      </c>
      <c r="BM40" s="1731">
        <v>0</v>
      </c>
      <c r="BN40" s="1731">
        <v>0</v>
      </c>
      <c r="BO40" s="1731">
        <v>0</v>
      </c>
      <c r="BP40" s="1731">
        <v>0</v>
      </c>
      <c r="BQ40" s="1731">
        <v>0</v>
      </c>
      <c r="BR40" s="1731">
        <v>0</v>
      </c>
      <c r="BS40" s="1731">
        <v>0</v>
      </c>
      <c r="BT40" s="1731">
        <v>0</v>
      </c>
      <c r="BU40" s="4586">
        <v>0</v>
      </c>
      <c r="BV40" s="4586">
        <v>0</v>
      </c>
      <c r="BW40" s="4586">
        <v>0</v>
      </c>
      <c r="BX40" s="4586">
        <v>0</v>
      </c>
      <c r="BY40" s="4586">
        <v>0</v>
      </c>
      <c r="BZ40" s="4586">
        <v>0</v>
      </c>
      <c r="CA40" s="524">
        <v>93</v>
      </c>
      <c r="CB40" s="612">
        <v>10</v>
      </c>
      <c r="CC40" s="612">
        <v>10</v>
      </c>
      <c r="CD40" s="612">
        <v>10</v>
      </c>
      <c r="CE40" s="612">
        <v>10</v>
      </c>
      <c r="CF40" s="612">
        <v>10</v>
      </c>
      <c r="CG40" s="612">
        <v>10</v>
      </c>
      <c r="CH40" s="612">
        <v>10</v>
      </c>
      <c r="CI40" s="612">
        <v>10</v>
      </c>
      <c r="CJ40" s="612">
        <v>10</v>
      </c>
      <c r="CK40" s="782">
        <v>10</v>
      </c>
      <c r="CL40" s="612">
        <v>23</v>
      </c>
    </row>
  </sheetData>
  <sheetProtection formatColumns="0" formatRows="0" autoFilter="0" sort="0" insertRows="0" insertColumns="1" deleteRows="0" deleteColumns="0"/>
  <mergeCells count="123">
    <mergeCell ref="BO28:BP28"/>
    <mergeCell ref="BO26:BP26"/>
    <mergeCell ref="BO27:BP27"/>
    <mergeCell ref="BQ28:BR28"/>
    <mergeCell ref="BQ26:BR26"/>
    <mergeCell ref="BQ27:BR27"/>
    <mergeCell ref="BS28:BT28"/>
    <mergeCell ref="BS26:BT26"/>
    <mergeCell ref="BS27:BT27"/>
    <mergeCell ref="BI28:BJ28"/>
    <mergeCell ref="BI26:BJ26"/>
    <mergeCell ref="BI27:BJ27"/>
    <mergeCell ref="BK28:BL28"/>
    <mergeCell ref="BK26:BL26"/>
    <mergeCell ref="BK27:BL27"/>
    <mergeCell ref="BM28:BN28"/>
    <mergeCell ref="BM26:BN26"/>
    <mergeCell ref="BM27:BN27"/>
    <mergeCell ref="BC28:BD28"/>
    <mergeCell ref="BC26:BD26"/>
    <mergeCell ref="BC27:BD27"/>
    <mergeCell ref="BE28:BF28"/>
    <mergeCell ref="BE26:BF26"/>
    <mergeCell ref="BE27:BF27"/>
    <mergeCell ref="BG28:BH28"/>
    <mergeCell ref="BG26:BH26"/>
    <mergeCell ref="BG27:BH27"/>
    <mergeCell ref="AW28:AX28"/>
    <mergeCell ref="AW26:AX26"/>
    <mergeCell ref="AW27:AX27"/>
    <mergeCell ref="AY28:AZ28"/>
    <mergeCell ref="AY26:AZ26"/>
    <mergeCell ref="AY27:AZ27"/>
    <mergeCell ref="BA28:BB28"/>
    <mergeCell ref="BA26:BB26"/>
    <mergeCell ref="BA27:BB27"/>
    <mergeCell ref="AQ28:AR28"/>
    <mergeCell ref="AQ26:AR26"/>
    <mergeCell ref="AQ27:AR27"/>
    <mergeCell ref="AS28:AT28"/>
    <mergeCell ref="AS26:AT26"/>
    <mergeCell ref="AS27:AT27"/>
    <mergeCell ref="AU28:AV28"/>
    <mergeCell ref="AU26:AV26"/>
    <mergeCell ref="AU27:AV27"/>
    <mergeCell ref="AK28:AL28"/>
    <mergeCell ref="AK26:AL26"/>
    <mergeCell ref="AK27:AL27"/>
    <mergeCell ref="AM28:AN28"/>
    <mergeCell ref="AM26:AN26"/>
    <mergeCell ref="AM27:AN27"/>
    <mergeCell ref="AO28:AP28"/>
    <mergeCell ref="AO26:AP26"/>
    <mergeCell ref="AO27:AP27"/>
    <mergeCell ref="AE28:AF28"/>
    <mergeCell ref="AE26:AF26"/>
    <mergeCell ref="AE27:AF27"/>
    <mergeCell ref="AG28:AH28"/>
    <mergeCell ref="AG26:AH26"/>
    <mergeCell ref="AG27:AH27"/>
    <mergeCell ref="AI28:AJ28"/>
    <mergeCell ref="AI26:AJ26"/>
    <mergeCell ref="AI27:AJ27"/>
    <mergeCell ref="Y28:Z28"/>
    <mergeCell ref="Y26:Z26"/>
    <mergeCell ref="Y27:Z27"/>
    <mergeCell ref="AA28:AB28"/>
    <mergeCell ref="AA26:AB26"/>
    <mergeCell ref="AA27:AB27"/>
    <mergeCell ref="AC28:AD28"/>
    <mergeCell ref="AC26:AD26"/>
    <mergeCell ref="AC27:AD27"/>
    <mergeCell ref="S28:T28"/>
    <mergeCell ref="S26:T26"/>
    <mergeCell ref="S27:T27"/>
    <mergeCell ref="U28:V28"/>
    <mergeCell ref="U26:V26"/>
    <mergeCell ref="U27:V27"/>
    <mergeCell ref="W28:X28"/>
    <mergeCell ref="W26:X26"/>
    <mergeCell ref="W27:X27"/>
    <mergeCell ref="D23:I23"/>
    <mergeCell ref="I26:J26"/>
    <mergeCell ref="E26:F26"/>
    <mergeCell ref="G28:H28"/>
    <mergeCell ref="CA26:C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 ref="BU28:BV28"/>
    <mergeCell ref="BU26:BV26"/>
    <mergeCell ref="BU27:BV27"/>
    <mergeCell ref="BW28:BX28"/>
    <mergeCell ref="BW26:BX26"/>
    <mergeCell ref="BW27:BX27"/>
    <mergeCell ref="BY28:BZ28"/>
    <mergeCell ref="BY26:BZ26"/>
    <mergeCell ref="BY27:BZ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H6:H7 J6:J7 L6:L7 N6:N7 P6:P7 R6:R7 T6:T7 V6:V7 X6:X7 Z6:Z7 AB6:AB7 AD6:AD7 AF6:AF7 AH6:AH7 AJ6:AJ7 AL6:AL7 AN6:AN7 AP6:AP7 AR6:AR7 AT6:AT7 AV6:AV7 AX6:AX7 AZ6:AZ7 BB6:BB7 BD6:BD7 BF6:BF7 BH6:BH7 BJ6:BJ7 BL6:BL7 BN6:BN7 BP6:BP7 BR6:BR7 BT6:BT7 BV6:BV7 BX6:BX7 BZ6:BZ7 J9:J11 L9:L11 N9:N11 P9:P11 R9:R11 T9:T11 V9:V11 X9:X11 Z9:Z11 AB9:AB11 AD9:AD11 AF9:AF11 AH9:AH11 AJ9:AJ11 AL9:AL11 AN9:AN11 AP9:AP11 AR9:AR11 AT9:AT11 AV9:AV11 AX9:AX11 AZ9:AZ11 BB9:BB11 BD9:BD11 BF9:BF11 BH9:BH11 BJ9:BJ11 BL9:BL11 BN9:BN11 BP9:BP11 BR9:BR11 BT9:BT11 BV9:BV11 BX9:BX11 BZ9:BZ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20087-CEA2-6E25-5951-62079B4C68A8}" mc:Ignorable="x14ac xr xr2 xr3">
  <sheetPr>
    <tabColor theme="9" tint="-0.25"/>
  </sheetPr>
  <dimension ref="A1:AE18"/>
  <sheetViews>
    <sheetView topLeftCell="A1" showGridLines="0" zoomScale="85" workbookViewId="0">
      <selection activeCell="O13" sqref="O13:O14"/>
    </sheetView>
  </sheetViews>
  <sheetFormatPr defaultColWidth="9.140625" customHeight="1" defaultRowHeight="10.5"/>
  <cols>
    <col min="1" max="3" style="12083" width="6.7109375" hidden="1" customWidth="1"/>
    <col min="4" max="4" style="10306" width="6.7109375" hidden="1" customWidth="1"/>
    <col min="5" max="5" style="10232" width="3.00390625" customWidth="1"/>
    <col min="6" max="6" style="10232" width="6.00390625" customWidth="1"/>
    <col min="7" max="7" style="10232" width="37.00390625" customWidth="1"/>
    <col min="8" max="8" style="10232" width="16.00390625" customWidth="1"/>
    <col min="9" max="10" style="10232" width="19.00390625" customWidth="1"/>
    <col min="11" max="11" style="10232" width="24.00390625" customWidth="1"/>
    <col min="12" max="13" style="10232" width="25.00390625" customWidth="1"/>
    <col min="14" max="16" style="10232" width="17.00390625" customWidth="1"/>
    <col min="17" max="24" style="10232" width="19.00390625" customWidth="1"/>
    <col min="25" max="25" style="10232" width="7.00390625" customWidth="1"/>
    <col min="26" max="26" style="10232" width="3.00390625" customWidth="1"/>
    <col min="27" max="27" style="10232" width="6.00390625" customWidth="1"/>
    <col min="28" max="28" style="10232" width="34.00390625" customWidth="1"/>
    <col min="29" max="30" style="10232" width="8.00390625" customWidth="1"/>
    <col min="31" max="31" style="10232" width="9.140625" hidden="1"/>
  </cols>
  <sheetData>
    <row s="10306" customFormat="1" customHeight="1" ht="10.5" hidden="1">
      <c r="A1" s="995"/>
      <c r="B1" s="995"/>
      <c r="C1" s="995"/>
      <c r="E1" s="644"/>
      <c r="H1" s="1256"/>
      <c r="AE1" s="524" t="s">
        <v>14</v>
      </c>
    </row>
    <row customHeight="1" ht="10.5" hidden="1">
      <c r="AE2" s="863">
        <v>0</v>
      </c>
    </row>
    <row s="10196" customFormat="1" customHeight="1" ht="10.5" hidden="1">
      <c r="A3" s="995"/>
      <c r="B3" s="995"/>
      <c r="C3" s="995"/>
      <c r="D3" s="524"/>
      <c r="E3" s="469"/>
      <c r="G3" s="1728" t="s">
        <v>1127</v>
      </c>
      <c r="H3" s="1252"/>
      <c r="AE3" s="864">
        <v>0</v>
      </c>
    </row>
    <row customHeight="1" ht="3">
      <c r="AE4" s="863">
        <v>3</v>
      </c>
    </row>
    <row customHeight="1" ht="27.299999999999997">
      <c r="F5" s="309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096"/>
      <c r="H5" s="3096"/>
      <c r="I5" s="3096"/>
      <c r="J5" s="3096"/>
      <c r="K5" s="3096"/>
      <c r="M5" s="689"/>
      <c r="AB5" s="1006"/>
      <c r="AE5" s="863">
        <v>26</v>
      </c>
    </row>
    <row s="10232" customFormat="1" customHeight="1" ht="16.8">
      <c r="A6" s="1262"/>
      <c r="B6" s="1262"/>
      <c r="C6" s="1262"/>
      <c r="D6" s="1256"/>
      <c r="F6" s="3069" t="str">
        <f>IF(org=0,"Не определено",org)</f>
        <v>АО "ДГК"</v>
      </c>
      <c r="G6" s="3069"/>
      <c r="H6" s="3069"/>
      <c r="I6" s="3069"/>
      <c r="J6" s="3069"/>
      <c r="K6" s="3069"/>
      <c r="M6" s="689"/>
      <c r="AB6" s="1245"/>
      <c r="AE6" s="1727">
        <v>16</v>
      </c>
    </row>
    <row customHeight="1" ht="10.5">
      <c r="AE7" s="863">
        <v>10</v>
      </c>
    </row>
    <row customHeight="1" ht="10.5">
      <c r="A8" s="1151"/>
      <c r="B8" s="1151"/>
      <c r="C8" s="1151"/>
      <c r="F8" s="2959" t="s">
        <v>385</v>
      </c>
      <c r="G8" s="2965"/>
      <c r="H8" s="2965"/>
      <c r="I8" s="2965"/>
      <c r="J8" s="2965"/>
      <c r="K8" s="2965"/>
      <c r="L8" s="2965"/>
      <c r="M8" s="2965"/>
      <c r="N8" s="2965"/>
      <c r="O8" s="2965"/>
      <c r="P8" s="2965"/>
      <c r="Q8" s="2965"/>
      <c r="R8" s="2965"/>
      <c r="S8" s="2965"/>
      <c r="T8" s="2965"/>
      <c r="U8" s="2965"/>
      <c r="V8" s="2965"/>
      <c r="W8" s="2965"/>
      <c r="X8" s="2965"/>
      <c r="Y8" s="2965"/>
      <c r="Z8" s="2965"/>
      <c r="AA8" s="2965"/>
      <c r="AB8" s="2958"/>
      <c r="AE8" s="863">
        <v>10</v>
      </c>
    </row>
    <row customHeight="1" ht="43.050000000000004">
      <c r="A9" s="1005"/>
      <c r="B9" s="1005"/>
      <c r="C9" s="1005"/>
      <c r="F9" s="2978" t="s">
        <v>88</v>
      </c>
      <c r="G9" s="2978" t="s">
        <v>1127</v>
      </c>
      <c r="H9" s="3047" t="s">
        <v>1128</v>
      </c>
      <c r="I9" s="2978" t="s">
        <v>1129</v>
      </c>
      <c r="J9" s="2978" t="s">
        <v>1130</v>
      </c>
      <c r="K9" s="2978" t="s">
        <v>1131</v>
      </c>
      <c r="L9" s="2978" t="s">
        <v>1132</v>
      </c>
      <c r="M9" s="2978" t="s">
        <v>1133</v>
      </c>
      <c r="N9" s="3077" t="s">
        <v>1134</v>
      </c>
      <c r="O9" s="3077"/>
      <c r="P9" s="3077"/>
      <c r="Q9" s="3129" t="s">
        <v>1135</v>
      </c>
      <c r="R9" s="3130"/>
      <c r="S9" s="3130"/>
      <c r="T9" s="3131"/>
      <c r="U9" s="3129" t="s">
        <v>1136</v>
      </c>
      <c r="V9" s="3130"/>
      <c r="W9" s="3130"/>
      <c r="X9" s="3131"/>
      <c r="Y9" s="2959" t="s">
        <v>1137</v>
      </c>
      <c r="Z9" s="2965"/>
      <c r="AA9" s="2965"/>
      <c r="AB9" s="2958"/>
      <c r="AE9" s="863">
        <v>41</v>
      </c>
    </row>
    <row customHeight="1" ht="43.050000000000004">
      <c r="A10" s="1005"/>
      <c r="B10" s="1005"/>
      <c r="C10" s="1005"/>
      <c r="F10" s="3047"/>
      <c r="G10" s="3047"/>
      <c r="H10" s="3101"/>
      <c r="I10" s="3047"/>
      <c r="J10" s="3047"/>
      <c r="K10" s="3047"/>
      <c r="L10" s="3047"/>
      <c r="M10" s="3047"/>
      <c r="N10" s="1003" t="s">
        <v>1138</v>
      </c>
      <c r="O10" s="1003" t="s">
        <v>1139</v>
      </c>
      <c r="P10" s="1004" t="s">
        <v>1140</v>
      </c>
      <c r="Q10" s="1015" t="s">
        <v>89</v>
      </c>
      <c r="R10" s="1015" t="s">
        <v>1141</v>
      </c>
      <c r="S10" s="1015" t="s">
        <v>1142</v>
      </c>
      <c r="T10" s="1016" t="s">
        <v>1143</v>
      </c>
      <c r="U10" s="1015" t="s">
        <v>89</v>
      </c>
      <c r="V10" s="1015" t="s">
        <v>1144</v>
      </c>
      <c r="W10" s="1015" t="s">
        <v>1142</v>
      </c>
      <c r="X10" s="1016" t="s">
        <v>1143</v>
      </c>
      <c r="Y10" s="409" t="s">
        <v>1145</v>
      </c>
      <c r="Z10" s="2959" t="s">
        <v>88</v>
      </c>
      <c r="AA10" s="2958"/>
      <c r="AB10" s="1149" t="s">
        <v>1146</v>
      </c>
      <c r="AE10" s="863">
        <v>41</v>
      </c>
    </row>
    <row s="10307" customFormat="1" customHeight="1" ht="5.25" hidden="1">
      <c r="A11" s="1152"/>
      <c r="B11" s="1152"/>
      <c r="C11" s="1152"/>
      <c r="E11" s="1150"/>
      <c r="F11" s="3235" t="s">
        <v>461</v>
      </c>
      <c r="G11" s="3237"/>
      <c r="H11" s="3233"/>
      <c r="I11" s="3233"/>
      <c r="J11" s="3233"/>
      <c r="K11" s="3236"/>
      <c r="L11" s="3236"/>
      <c r="M11" s="3236"/>
      <c r="N11" s="3233"/>
      <c r="O11" s="3233"/>
      <c r="P11" s="2978"/>
      <c r="Q11" s="3057"/>
      <c r="R11" s="3057"/>
      <c r="S11" s="3057"/>
      <c r="T11" s="3233"/>
      <c r="U11" s="3057"/>
      <c r="V11" s="3057"/>
      <c r="W11" s="3057"/>
      <c r="X11" s="3233"/>
      <c r="Y11" s="2990"/>
      <c r="Z11" s="2990"/>
      <c r="AA11" s="2990"/>
      <c r="AB11" s="2990"/>
      <c r="AD11" s="618" t="s">
        <v>1147</v>
      </c>
      <c r="AE11" s="618">
        <v>0</v>
      </c>
    </row>
    <row s="10307" customFormat="1" customHeight="1" ht="5.25" hidden="1">
      <c r="A12" s="996"/>
      <c r="B12" s="996"/>
      <c r="C12" s="996"/>
      <c r="E12" s="625"/>
      <c r="F12" s="3235"/>
      <c r="G12" s="3237"/>
      <c r="H12" s="3233"/>
      <c r="I12" s="3233"/>
      <c r="J12" s="3233"/>
      <c r="K12" s="3236"/>
      <c r="L12" s="3236"/>
      <c r="M12" s="3236"/>
      <c r="N12" s="3233"/>
      <c r="O12" s="3233"/>
      <c r="P12" s="2978"/>
      <c r="Q12" s="3057"/>
      <c r="R12" s="3057"/>
      <c r="S12" s="3057"/>
      <c r="T12" s="3233"/>
      <c r="U12" s="3057"/>
      <c r="V12" s="3057"/>
      <c r="W12" s="3057"/>
      <c r="X12" s="3233"/>
      <c r="Y12" s="3234"/>
      <c r="Z12" s="3234"/>
      <c r="AA12" s="3234"/>
      <c r="AB12" s="3234"/>
      <c r="AE12" s="618">
        <v>0</v>
      </c>
    </row>
    <row customHeight="1" ht="27">
      <c r="D13" s="1256"/>
      <c r="E13" s="3004" t="s">
        <v>103</v>
      </c>
      <c r="F13" s="3238" t="s">
        <v>144</v>
      </c>
      <c r="G13" s="3239" t="s">
        <v>1148</v>
      </c>
      <c r="H13" s="3240" t="s">
        <v>62</v>
      </c>
      <c r="I13" s="3242">
        <v>43811.57399305556</v>
      </c>
      <c r="J13" s="3244">
        <v>45288.57423611111</v>
      </c>
      <c r="K13" s="3246" t="s">
        <v>1149</v>
      </c>
      <c r="L13" s="3247" t="s">
        <v>1150</v>
      </c>
      <c r="M13" s="3247" t="s">
        <v>1150</v>
      </c>
      <c r="N13" s="3251" t="s">
        <v>1151</v>
      </c>
      <c r="O13" s="3251" t="s">
        <v>1152</v>
      </c>
      <c r="P13" s="3252" t="str">
        <f>DATEDIF(DATEVALUE(N13),DATEVALUE(O13),"y")&amp;"г. "&amp;DATEDIF(DATEVALUE(N13),DATEVALUE(O13),"ym")&amp;"мес. "&amp;DATEVALUE(O13)-DATE(YEAR(DATEVALUE(O13)),MONTH(DATEVALUE(O13)),1)&amp;"дн. "</f>
        <v>7г. 11мес. 30дн. </v>
      </c>
      <c r="Q13" s="3248" t="s">
        <v>1153</v>
      </c>
      <c r="R13" s="3248" t="s">
        <v>1154</v>
      </c>
      <c r="S13" s="3248" t="s">
        <v>1155</v>
      </c>
      <c r="T13" s="3244" t="s">
        <v>1156</v>
      </c>
      <c r="U13" s="3248" t="s">
        <v>1157</v>
      </c>
      <c r="V13" s="3248" t="s">
        <v>1154</v>
      </c>
      <c r="W13" s="3248" t="s">
        <v>1158</v>
      </c>
      <c r="X13" s="3244" t="s">
        <v>1159</v>
      </c>
      <c r="Y13" s="3249" t="s">
        <v>62</v>
      </c>
      <c r="Z13" s="1903"/>
      <c r="AA13" s="1887">
        <v>1</v>
      </c>
      <c r="AB13" s="1338" t="s">
        <v>1160</v>
      </c>
      <c r="AD13" s="1732" t="s">
        <v>1161</v>
      </c>
    </row>
    <row customHeight="1" ht="43.5">
      <c r="D14" s="1256"/>
      <c r="E14" s="3253"/>
      <c r="F14" s="3238" t="s">
        <v>461</v>
      </c>
      <c r="G14" s="3239"/>
      <c r="H14" s="3241"/>
      <c r="I14" s="3243"/>
      <c r="J14" s="3245"/>
      <c r="K14" s="3246"/>
      <c r="L14" s="3247"/>
      <c r="M14" s="3247"/>
      <c r="N14" s="3251"/>
      <c r="O14" s="3251"/>
      <c r="P14" s="3252"/>
      <c r="Q14" s="3248"/>
      <c r="R14" s="3248"/>
      <c r="S14" s="3248"/>
      <c r="T14" s="3245"/>
      <c r="U14" s="3248"/>
      <c r="V14" s="3248"/>
      <c r="W14" s="3248"/>
      <c r="X14" s="3245"/>
      <c r="Y14" s="3250"/>
      <c r="Z14" s="455"/>
      <c r="AA14" s="679"/>
      <c r="AB14" s="759" t="s">
        <v>1162</v>
      </c>
    </row>
    <row customHeight="1" ht="10.5">
      <c r="F15" s="1002"/>
      <c r="G15" s="757" t="s">
        <v>1163</v>
      </c>
      <c r="H15" s="1264"/>
      <c r="I15" s="679"/>
      <c r="J15" s="679"/>
      <c r="K15" s="679"/>
      <c r="L15" s="679"/>
      <c r="M15" s="679"/>
      <c r="N15" s="679"/>
      <c r="O15" s="679"/>
      <c r="P15" s="679"/>
      <c r="Q15" s="679"/>
      <c r="R15" s="679"/>
      <c r="S15" s="679"/>
      <c r="T15" s="679"/>
      <c r="U15" s="679"/>
      <c r="V15" s="679"/>
      <c r="W15" s="679"/>
      <c r="X15" s="679"/>
      <c r="Y15" s="679"/>
      <c r="Z15" s="803"/>
      <c r="AA15" s="803"/>
      <c r="AB15" s="1017"/>
      <c r="AE15" s="863">
        <v>10</v>
      </c>
    </row>
    <row customHeight="1" ht="10.5">
      <c r="AE16" s="863">
        <v>10</v>
      </c>
    </row>
    <row s="10307" customFormat="1" customHeight="1" ht="10.5">
      <c r="A17" s="1263"/>
      <c r="B17" s="1263"/>
      <c r="C17" s="1263"/>
      <c r="E17" s="625"/>
      <c r="H17" s="618">
        <f>_xlfn.IFERROR(MATCH("нет",IP_MAIN_DIFFERENTIATION_EVENTS_FLAG,0),0)</f>
        <v>0</v>
      </c>
      <c r="AE17" s="618">
        <v>10</v>
      </c>
    </row>
    <row customHeight="1" ht="10.5" hidden="1">
      <c r="A18" s="995" t="s">
        <v>82</v>
      </c>
      <c r="B18" s="995">
        <v>0</v>
      </c>
      <c r="C18" s="995">
        <v>0</v>
      </c>
      <c r="D18" s="524">
        <v>0</v>
      </c>
      <c r="E18" s="616">
        <v>3</v>
      </c>
      <c r="F18" s="863">
        <v>6</v>
      </c>
      <c r="G18" s="863">
        <v>37</v>
      </c>
      <c r="H18" s="1251">
        <v>16</v>
      </c>
      <c r="I18" s="863">
        <v>19</v>
      </c>
      <c r="J18" s="863">
        <v>19</v>
      </c>
      <c r="K18" s="863">
        <v>24</v>
      </c>
      <c r="L18" s="863">
        <v>25</v>
      </c>
      <c r="M18" s="863">
        <v>25</v>
      </c>
      <c r="N18" s="863">
        <v>17</v>
      </c>
      <c r="O18" s="863">
        <v>17</v>
      </c>
      <c r="P18" s="863">
        <v>17</v>
      </c>
      <c r="Q18" s="863">
        <v>19</v>
      </c>
      <c r="R18" s="863">
        <v>19</v>
      </c>
      <c r="S18" s="863">
        <v>19</v>
      </c>
      <c r="T18" s="863">
        <v>19</v>
      </c>
      <c r="U18" s="863">
        <v>19</v>
      </c>
      <c r="V18" s="863">
        <v>19</v>
      </c>
      <c r="W18" s="863">
        <v>19</v>
      </c>
      <c r="X18" s="863">
        <v>19</v>
      </c>
      <c r="Y18" s="863">
        <v>7</v>
      </c>
      <c r="Z18" s="863">
        <v>3</v>
      </c>
      <c r="AA18" s="863">
        <v>6</v>
      </c>
      <c r="AB18" s="863">
        <v>34</v>
      </c>
      <c r="AC18" s="863">
        <v>8</v>
      </c>
      <c r="AD18" s="863">
        <v>8</v>
      </c>
      <c r="AE18" s="863">
        <v>10</v>
      </c>
    </row>
  </sheetData>
  <sheetProtection formatColumns="0" formatRows="0" autoFilter="0" sort="0" insertRows="0" insertColumns="1" deleteRows="0" deleteColumns="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4">
    <dataValidation type="textLength" operator="lessThanOrEqual" allowBlank="1" showInputMessage="1" showErrorMessage="1" errorTitle="Ошибка" error="Допускается ввод не более 900 символов!" sqref="AB13 U13:W13 Q13:S13 L13:M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T13 I13:J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5F3AD-9826-B818-9FE3-EE5E970F45AA}" mc:Ignorable="x14ac xr xr2 xr3">
  <sheetPr>
    <tabColor theme="9" tint="-0.25"/>
  </sheetPr>
  <dimension ref="A1:BG360"/>
  <sheetViews>
    <sheetView topLeftCell="A1" showGridLines="0" zoomScale="90" workbookViewId="0">
      <selection activeCell="R359" sqref="R359"/>
    </sheetView>
  </sheetViews>
  <sheetFormatPr defaultColWidth="9.140625" customHeight="1" defaultRowHeight="10.5"/>
  <cols>
    <col min="1" max="3" style="12083" width="4.140625" hidden="1" customWidth="1"/>
    <col min="4" max="4" style="10306" width="4.140625" hidden="1" customWidth="1"/>
    <col min="5" max="5" style="10232" width="3.00390625" customWidth="1"/>
    <col min="6" max="6" style="10232" width="14.00390625" customWidth="1"/>
    <col min="7" max="7" style="10232" width="3.00390625" customWidth="1"/>
    <col min="8" max="8" style="10232" width="7.00390625" customWidth="1"/>
    <col min="9" max="10" style="10232" width="16.00390625" customWidth="1"/>
    <col min="11" max="11" style="10232" width="25.00390625" customWidth="1"/>
    <col min="12" max="12" style="10232" width="7.00390625" customWidth="1"/>
    <col min="13" max="13" style="10232" width="15.00390625" customWidth="1"/>
    <col min="14" max="14" style="10232" width="3.00390625" customWidth="1"/>
    <col min="15" max="15" style="10232" width="4.00390625" customWidth="1"/>
    <col min="16" max="16" style="10232" width="8.00390625" customWidth="1"/>
    <col min="17" max="17" style="10232" width="21.00390625" customWidth="1"/>
    <col min="18" max="18" style="10232" width="14.00390625" customWidth="1"/>
    <col min="19" max="20" style="10232" width="17.00390625" customWidth="1"/>
    <col min="21" max="21" style="10232" width="9.00390625" customWidth="1"/>
    <col min="22" max="22" style="10232" width="12.00390625" customWidth="1"/>
    <col min="23" max="23" style="10232" width="9.00390625" customWidth="1"/>
    <col min="24" max="24" style="10232" width="21.00390625" customWidth="1"/>
    <col min="25" max="25" style="10232" width="12.00390625" customWidth="1"/>
    <col min="26" max="26" style="10232" width="3.00390625" customWidth="1"/>
    <col min="27" max="27" style="10232" width="6.00390625" customWidth="1"/>
    <col min="28" max="28" style="10232" width="38.00390625" customWidth="1"/>
    <col min="29" max="29" style="10232" width="15.00390625" customWidth="1"/>
    <col min="30" max="30" style="10232" width="37.57421875" customWidth="1"/>
    <col min="31" max="31" style="10232" width="15.7109375" customWidth="1"/>
    <col min="32" max="34" style="10232" width="16.00390625" customWidth="1"/>
    <col min="35" max="37" style="10232" width="16.7109375" customWidth="1"/>
    <col min="38" max="58" style="10232" width="8.00390625" customWidth="1"/>
    <col min="59" max="59" style="10232" width="9.140625" hidden="1"/>
  </cols>
  <sheetData>
    <row s="10306" customFormat="1" customHeight="1" ht="10.5" hidden="1">
      <c r="A1" s="995"/>
      <c r="B1" s="995"/>
      <c r="C1" s="995"/>
      <c r="E1" s="644"/>
      <c r="H1" s="1256"/>
      <c r="L1" s="1225"/>
      <c r="M1" s="1225"/>
      <c r="AD1" s="1225"/>
      <c r="AH1" s="1244"/>
      <c r="AI1" s="1237"/>
      <c r="BG1" s="524" t="s">
        <v>14</v>
      </c>
    </row>
    <row customHeight="1" ht="10.5" hidden="1">
      <c r="BG2" s="863">
        <v>0</v>
      </c>
    </row>
    <row s="10196" customFormat="1" customHeight="1" ht="10.5" hidden="1">
      <c r="A3" s="995"/>
      <c r="B3" s="995"/>
      <c r="C3" s="995"/>
      <c r="D3" s="524"/>
      <c r="E3" s="469"/>
      <c r="H3" s="1252"/>
      <c r="L3" s="1223"/>
      <c r="M3" s="1223"/>
      <c r="AD3" s="1223"/>
      <c r="AH3" s="1242"/>
      <c r="AI3" s="1235"/>
      <c r="BG3" s="864">
        <v>0</v>
      </c>
    </row>
    <row customHeight="1" ht="3">
      <c r="BG4" s="863">
        <v>3</v>
      </c>
    </row>
    <row customHeight="1" ht="27.299999999999997">
      <c r="F5" s="309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096"/>
      <c r="H5" s="3096"/>
      <c r="I5" s="3096"/>
      <c r="J5" s="3096"/>
      <c r="K5" s="3096"/>
      <c r="L5" s="1232"/>
      <c r="M5" s="1232"/>
      <c r="AG5" s="1006"/>
      <c r="AH5" s="1245"/>
      <c r="BG5" s="863">
        <v>26</v>
      </c>
    </row>
    <row customHeight="1" ht="10.5">
      <c r="F6" s="3069" t="str">
        <f>IF(org=0,"Не определено",org)</f>
        <v>АО "ДГК"</v>
      </c>
      <c r="G6" s="3069"/>
      <c r="H6" s="3069"/>
      <c r="I6" s="3069"/>
      <c r="J6" s="3069"/>
      <c r="K6" s="3069"/>
      <c r="L6" s="1233"/>
      <c r="M6" s="1233"/>
      <c r="BG6" s="863">
        <v>10</v>
      </c>
    </row>
    <row customHeight="1" ht="11.549999999999999">
      <c r="E7" s="1008"/>
      <c r="F7" s="1019"/>
      <c r="G7" s="1019"/>
      <c r="H7" s="1280"/>
      <c r="I7" s="1019"/>
      <c r="J7" s="1019"/>
      <c r="K7" s="1021"/>
      <c r="L7" s="1230"/>
      <c r="M7" s="1230"/>
      <c r="N7" s="1019"/>
      <c r="O7" s="1019"/>
      <c r="P7" s="1019"/>
      <c r="Q7" s="1021"/>
      <c r="R7" s="1019"/>
      <c r="S7" s="1019"/>
      <c r="T7" s="1019"/>
      <c r="U7" s="1019"/>
      <c r="V7" s="1019"/>
      <c r="W7" s="1019"/>
      <c r="X7" s="1019"/>
      <c r="Y7" s="1019"/>
      <c r="Z7" s="1019"/>
      <c r="AA7" s="1019"/>
      <c r="AB7" s="1019"/>
      <c r="AC7" s="1020"/>
      <c r="AD7" s="1229"/>
      <c r="AE7" s="1020"/>
      <c r="AF7" s="1019"/>
      <c r="AG7" s="1019"/>
      <c r="AH7" s="1247"/>
      <c r="AI7" s="1240"/>
      <c r="AJ7" s="1019"/>
      <c r="AK7" s="1019"/>
      <c r="AL7" s="1010"/>
      <c r="AM7" s="1010"/>
      <c r="AN7" s="1010"/>
      <c r="AO7" s="1007"/>
      <c r="AP7" s="1007"/>
      <c r="AQ7" s="1007"/>
      <c r="AR7" s="1007"/>
      <c r="AS7" s="1007"/>
      <c r="AT7" s="1007"/>
      <c r="AU7" s="1007"/>
      <c r="AV7" s="1007"/>
      <c r="AW7" s="1007"/>
      <c r="AX7" s="1007"/>
      <c r="AY7" s="1007"/>
      <c r="AZ7" s="1007"/>
      <c r="BA7" s="1007"/>
      <c r="BB7" s="1007"/>
      <c r="BC7" s="1007"/>
      <c r="BD7" s="1007"/>
      <c r="BE7" s="1007"/>
      <c r="BF7" s="1007"/>
      <c r="BG7" s="863">
        <v>11</v>
      </c>
    </row>
    <row customHeight="1" ht="10.5">
      <c r="E8" s="1008"/>
      <c r="F8" s="3256" t="s">
        <v>385</v>
      </c>
      <c r="G8" s="3257"/>
      <c r="H8" s="3257"/>
      <c r="I8" s="3257"/>
      <c r="J8" s="3257"/>
      <c r="K8" s="3257"/>
      <c r="L8" s="3257"/>
      <c r="M8" s="3257"/>
      <c r="N8" s="3257"/>
      <c r="O8" s="3257"/>
      <c r="P8" s="3257"/>
      <c r="Q8" s="3257"/>
      <c r="R8" s="3257"/>
      <c r="S8" s="3257"/>
      <c r="T8" s="3257"/>
      <c r="U8" s="3257"/>
      <c r="V8" s="3257"/>
      <c r="W8" s="3257"/>
      <c r="X8" s="3257"/>
      <c r="Y8" s="3257"/>
      <c r="Z8" s="3257"/>
      <c r="AA8" s="3257"/>
      <c r="AB8" s="3257"/>
      <c r="AC8" s="3257"/>
      <c r="AD8" s="3257"/>
      <c r="AE8" s="3257"/>
      <c r="AF8" s="3257"/>
      <c r="AG8" s="3257"/>
      <c r="AH8" s="3257"/>
      <c r="AI8" s="3257"/>
      <c r="AJ8" s="3257"/>
      <c r="AK8" s="3258"/>
      <c r="AL8" s="1009"/>
      <c r="AM8" s="1007"/>
      <c r="AN8" s="1007"/>
      <c r="AO8" s="1007"/>
      <c r="AP8" s="1007"/>
      <c r="AQ8" s="1007"/>
      <c r="AR8" s="1007"/>
      <c r="AS8" s="1007"/>
      <c r="AT8" s="1007"/>
      <c r="AU8" s="1007"/>
      <c r="AV8" s="1007"/>
      <c r="AW8" s="1007"/>
      <c r="AX8" s="1007"/>
      <c r="AY8" s="1007"/>
      <c r="AZ8" s="1007"/>
      <c r="BA8" s="1007"/>
      <c r="BB8" s="1007"/>
      <c r="BC8" s="1007"/>
      <c r="BD8" s="1007"/>
      <c r="BE8" s="1007"/>
      <c r="BF8" s="1007"/>
      <c r="BG8" s="863">
        <v>10</v>
      </c>
    </row>
    <row customHeight="1" ht="24">
      <c r="A9" s="1005"/>
      <c r="B9" s="1005"/>
      <c r="C9" s="1005"/>
      <c r="E9" s="1008"/>
      <c r="F9" s="3077" t="s">
        <v>1164</v>
      </c>
      <c r="G9" s="3177" t="s">
        <v>1165</v>
      </c>
      <c r="H9" s="3223"/>
      <c r="I9" s="2978" t="s">
        <v>1166</v>
      </c>
      <c r="J9" s="2978"/>
      <c r="K9" s="2978" t="s">
        <v>1167</v>
      </c>
      <c r="L9" s="2978"/>
      <c r="M9" s="2978"/>
      <c r="N9" s="2978"/>
      <c r="O9" s="2978"/>
      <c r="P9" s="2978"/>
      <c r="Q9" s="2978"/>
      <c r="R9" s="2978"/>
      <c r="S9" s="2978"/>
      <c r="T9" s="2978"/>
      <c r="U9" s="2978"/>
      <c r="V9" s="2978"/>
      <c r="W9" s="2978"/>
      <c r="X9" s="2978"/>
      <c r="Y9" s="2978"/>
      <c r="Z9" s="3048" t="s">
        <v>1168</v>
      </c>
      <c r="AA9" s="3049"/>
      <c r="AB9" s="2978" t="s">
        <v>1169</v>
      </c>
      <c r="AC9" s="2978"/>
      <c r="AD9" s="2978"/>
      <c r="AE9" s="2978"/>
      <c r="AF9" s="3047" t="s">
        <v>1170</v>
      </c>
      <c r="AG9" s="2978" t="s">
        <v>1171</v>
      </c>
      <c r="AH9" s="2978"/>
      <c r="AI9" s="3047" t="s">
        <v>1172</v>
      </c>
      <c r="AJ9" s="2978" t="s">
        <v>1173</v>
      </c>
      <c r="AK9" s="2978"/>
      <c r="AL9" s="1239"/>
      <c r="AM9" s="1007"/>
      <c r="AN9" s="1007"/>
      <c r="AO9" s="1007"/>
      <c r="AP9" s="1007"/>
      <c r="AQ9" s="1007"/>
      <c r="AR9" s="1007"/>
      <c r="AS9" s="1007"/>
      <c r="AT9" s="1007"/>
      <c r="AU9" s="1007"/>
      <c r="AV9" s="1007"/>
      <c r="AW9" s="1007"/>
      <c r="AX9" s="1007"/>
      <c r="AY9" s="1007"/>
      <c r="AZ9" s="1007"/>
      <c r="BA9" s="1007"/>
      <c r="BB9" s="1007"/>
      <c r="BC9" s="1007"/>
      <c r="BD9" s="1007"/>
      <c r="BE9" s="1007"/>
      <c r="BF9" s="1007"/>
      <c r="BG9" s="863">
        <v>23</v>
      </c>
    </row>
    <row customHeight="1" ht="25.2">
      <c r="A10" s="1005"/>
      <c r="B10" s="1005"/>
      <c r="C10" s="1005"/>
      <c r="E10" s="1012"/>
      <c r="F10" s="3077"/>
      <c r="G10" s="3178"/>
      <c r="H10" s="3081"/>
      <c r="I10" s="2978"/>
      <c r="J10" s="2978"/>
      <c r="K10" s="2978" t="s">
        <v>1174</v>
      </c>
      <c r="L10" s="2959" t="s">
        <v>1175</v>
      </c>
      <c r="M10" s="2958"/>
      <c r="N10" s="2978" t="s">
        <v>1176</v>
      </c>
      <c r="O10" s="2978"/>
      <c r="P10" s="2978"/>
      <c r="Q10" s="2978"/>
      <c r="R10" s="2978"/>
      <c r="S10" s="2978"/>
      <c r="T10" s="2978"/>
      <c r="U10" s="2978"/>
      <c r="V10" s="2978"/>
      <c r="W10" s="2978"/>
      <c r="X10" s="2978"/>
      <c r="Y10" s="2978"/>
      <c r="Z10" s="3050"/>
      <c r="AA10" s="3051"/>
      <c r="AB10" s="2978"/>
      <c r="AC10" s="2978"/>
      <c r="AD10" s="2978"/>
      <c r="AE10" s="2978"/>
      <c r="AF10" s="3052"/>
      <c r="AG10" s="2978"/>
      <c r="AH10" s="2978"/>
      <c r="AI10" s="3052"/>
      <c r="AJ10" s="2978"/>
      <c r="AK10" s="2978"/>
      <c r="AL10" s="1239"/>
      <c r="AM10" s="1013"/>
      <c r="AN10" s="1013"/>
      <c r="AO10" s="1013"/>
      <c r="AP10" s="1013"/>
      <c r="AQ10" s="1013"/>
      <c r="AR10" s="1013"/>
      <c r="AS10" s="1013"/>
      <c r="AT10" s="1013"/>
      <c r="AU10" s="1013"/>
      <c r="AV10" s="1013"/>
      <c r="AW10" s="1013"/>
      <c r="AX10" s="1013"/>
      <c r="AY10" s="1013"/>
      <c r="AZ10" s="1013"/>
      <c r="BA10" s="1013"/>
      <c r="BB10" s="1013"/>
      <c r="BC10" s="1013"/>
      <c r="BD10" s="1013"/>
      <c r="BE10" s="1013"/>
      <c r="BF10" s="1013"/>
      <c r="BG10" s="863">
        <v>24</v>
      </c>
    </row>
    <row s="10232" customFormat="1" customHeight="1" ht="25.2">
      <c r="A11" s="1226"/>
      <c r="B11" s="1226"/>
      <c r="C11" s="1226"/>
      <c r="D11" s="1225"/>
      <c r="E11" s="1227"/>
      <c r="F11" s="3077"/>
      <c r="G11" s="3178"/>
      <c r="H11" s="3081"/>
      <c r="I11" s="2978"/>
      <c r="J11" s="2978"/>
      <c r="K11" s="2978"/>
      <c r="L11" s="3047" t="s">
        <v>1177</v>
      </c>
      <c r="M11" s="3047" t="s">
        <v>1178</v>
      </c>
      <c r="N11" s="2978" t="s">
        <v>1179</v>
      </c>
      <c r="O11" s="2978"/>
      <c r="P11" s="3045" t="s">
        <v>1145</v>
      </c>
      <c r="Q11" s="3045" t="s">
        <v>1180</v>
      </c>
      <c r="R11" s="3045" t="s">
        <v>1181</v>
      </c>
      <c r="S11" s="3045" t="s">
        <v>1182</v>
      </c>
      <c r="T11" s="3045"/>
      <c r="U11" s="3045"/>
      <c r="V11" s="3045"/>
      <c r="W11" s="3045"/>
      <c r="X11" s="3045"/>
      <c r="Y11" s="3045"/>
      <c r="Z11" s="3050"/>
      <c r="AA11" s="3051"/>
      <c r="AB11" s="2978" t="s">
        <v>1183</v>
      </c>
      <c r="AC11" s="2978"/>
      <c r="AD11" s="2959" t="s">
        <v>1184</v>
      </c>
      <c r="AE11" s="2958"/>
      <c r="AF11" s="3052"/>
      <c r="AG11" s="2978"/>
      <c r="AH11" s="2978"/>
      <c r="AI11" s="3052"/>
      <c r="AJ11" s="2978"/>
      <c r="AK11" s="2978"/>
      <c r="AL11" s="1239"/>
      <c r="AM11" s="1224"/>
      <c r="AN11" s="1224"/>
      <c r="AO11" s="1224"/>
      <c r="AP11" s="1224"/>
      <c r="AQ11" s="1224"/>
      <c r="AR11" s="1224"/>
      <c r="AS11" s="1224"/>
      <c r="AT11" s="1224"/>
      <c r="AU11" s="1224"/>
      <c r="AV11" s="1224"/>
      <c r="AW11" s="1224"/>
      <c r="AX11" s="1224"/>
      <c r="AY11" s="1224"/>
      <c r="AZ11" s="1224"/>
      <c r="BA11" s="1224"/>
      <c r="BB11" s="1224"/>
      <c r="BC11" s="1224"/>
      <c r="BD11" s="1224"/>
      <c r="BE11" s="1224"/>
      <c r="BF11" s="1224"/>
      <c r="BG11" s="1222">
        <v>24</v>
      </c>
    </row>
    <row customHeight="1" ht="35.699999999999996">
      <c r="A12" s="1005"/>
      <c r="B12" s="1005"/>
      <c r="C12" s="1005"/>
      <c r="E12" s="1008"/>
      <c r="F12" s="3077"/>
      <c r="G12" s="3179"/>
      <c r="H12" s="3255"/>
      <c r="I12" s="1249" t="s">
        <v>89</v>
      </c>
      <c r="J12" s="1249" t="s">
        <v>1185</v>
      </c>
      <c r="K12" s="2978"/>
      <c r="L12" s="3101"/>
      <c r="M12" s="3101"/>
      <c r="N12" s="2978"/>
      <c r="O12" s="2978"/>
      <c r="P12" s="3045"/>
      <c r="Q12" s="3045"/>
      <c r="R12" s="3045"/>
      <c r="S12" s="1231" t="s">
        <v>86</v>
      </c>
      <c r="T12" s="1231" t="s">
        <v>87</v>
      </c>
      <c r="U12" s="1231" t="s">
        <v>85</v>
      </c>
      <c r="V12" s="1231" t="s">
        <v>1186</v>
      </c>
      <c r="W12" s="1231" t="s">
        <v>85</v>
      </c>
      <c r="X12" s="1231" t="s">
        <v>1187</v>
      </c>
      <c r="Y12" s="1231" t="s">
        <v>1188</v>
      </c>
      <c r="Z12" s="3053"/>
      <c r="AA12" s="3054"/>
      <c r="AB12" s="1238" t="s">
        <v>1189</v>
      </c>
      <c r="AC12" s="1238" t="s">
        <v>1190</v>
      </c>
      <c r="AD12" s="1238" t="s">
        <v>1189</v>
      </c>
      <c r="AE12" s="1238" t="s">
        <v>1190</v>
      </c>
      <c r="AF12" s="3101"/>
      <c r="AG12" s="1250" t="s">
        <v>1191</v>
      </c>
      <c r="AH12" s="1250" t="s">
        <v>1192</v>
      </c>
      <c r="AI12" s="3101"/>
      <c r="AJ12" s="1250" t="s">
        <v>1191</v>
      </c>
      <c r="AK12" s="1250" t="s">
        <v>1192</v>
      </c>
      <c r="AL12" s="1239"/>
      <c r="AM12" s="1007"/>
      <c r="AN12" s="1007"/>
      <c r="AO12" s="1007"/>
      <c r="AP12" s="1007"/>
      <c r="AQ12" s="1007"/>
      <c r="AR12" s="1007"/>
      <c r="AS12" s="1007"/>
      <c r="AT12" s="1007"/>
      <c r="AU12" s="1007"/>
      <c r="AV12" s="1007"/>
      <c r="AW12" s="1007"/>
      <c r="AX12" s="1007"/>
      <c r="AY12" s="1007"/>
      <c r="AZ12" s="1007"/>
      <c r="BA12" s="1007"/>
      <c r="BB12" s="1007"/>
      <c r="BC12" s="1007"/>
      <c r="BD12" s="1007"/>
      <c r="BE12" s="1007"/>
      <c r="BF12" s="1007"/>
      <c r="BG12" s="863">
        <v>34</v>
      </c>
    </row>
    <row customHeight="1" ht="1.05">
      <c r="E13" s="1008"/>
      <c r="F13" s="1221">
        <v>0</v>
      </c>
      <c r="G13" s="1221"/>
      <c r="H13" s="1221"/>
      <c r="I13" s="1221"/>
      <c r="J13" s="1221"/>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46"/>
      <c r="AI13" s="1239"/>
      <c r="AJ13" s="1228"/>
      <c r="AK13" s="1228"/>
      <c r="AL13" s="1009"/>
      <c r="AM13" s="1007"/>
      <c r="AN13" s="1007"/>
      <c r="AO13" s="1007"/>
      <c r="AP13" s="1007"/>
      <c r="AQ13" s="1007"/>
      <c r="AR13" s="1007"/>
      <c r="AS13" s="1007"/>
      <c r="AT13" s="1007"/>
      <c r="AU13" s="1007"/>
      <c r="AV13" s="1007"/>
      <c r="AW13" s="1007"/>
      <c r="AX13" s="1007"/>
      <c r="AY13" s="1007"/>
      <c r="AZ13" s="1007"/>
      <c r="BA13" s="1007"/>
      <c r="BB13" s="1007"/>
      <c r="BC13" s="1007"/>
      <c r="BD13" s="1007"/>
      <c r="BE13" s="1007"/>
      <c r="BF13" s="1007"/>
      <c r="BG13" s="863">
        <v>1</v>
      </c>
    </row>
    <row customHeight="1" ht="21">
      <c r="A14" s="1263" t="s">
        <v>1161</v>
      </c>
      <c r="D14" s="1256"/>
      <c r="E14" s="1266" t="s">
        <v>22</v>
      </c>
      <c r="F14" s="1219" t="str">
        <f>INDEX(IP_MAIN_LIST_NAME_IP,MATCH(A14,IP_MAIN_LIST_IP_ID,0))&amp;" ("&amp;INDEX(IP_MAIN_START_DATE,MATCH(A14,IP_MAIN_LIST_IP_ID,0))&amp;"-"&amp;INDEX(IP_MAIN_END_DATE,MATCH(A14,IP_MAIN_LIST_IP_ID,0))&amp;")"</f>
        <v>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 (01.01.2020-31.12.2027)</v>
      </c>
      <c r="G14" s="1220"/>
      <c r="H14" s="1220"/>
      <c r="I14" s="1281"/>
      <c r="J14" s="1281"/>
      <c r="K14" s="1282"/>
      <c r="L14" s="1282"/>
      <c r="M14" s="1282"/>
      <c r="N14" s="1283"/>
      <c r="O14" s="1283"/>
      <c r="P14" s="1283"/>
      <c r="Q14" s="1283"/>
      <c r="R14" s="1283"/>
      <c r="S14" s="1283"/>
      <c r="T14" s="1283"/>
      <c r="U14" s="1283"/>
      <c r="V14" s="1283"/>
      <c r="W14" s="1283"/>
      <c r="X14" s="1283"/>
      <c r="Y14" s="1283"/>
      <c r="Z14" s="1283"/>
      <c r="AA14" s="1283"/>
      <c r="AB14" s="1283"/>
      <c r="AC14" s="1283"/>
      <c r="AD14" s="1283"/>
      <c r="AE14" s="1284"/>
      <c r="AF14" s="1282"/>
      <c r="AG14" s="1282"/>
      <c r="AH14" s="1282"/>
      <c r="AI14" s="1282"/>
      <c r="AJ14" s="1282"/>
      <c r="AK14" s="1282"/>
      <c r="AL14" s="2079"/>
      <c r="AM14" s="1917"/>
      <c r="AN14" s="1917"/>
      <c r="AO14" s="1917"/>
      <c r="AP14" s="1917"/>
      <c r="AQ14" s="1917"/>
      <c r="AR14" s="1917"/>
      <c r="AS14" s="1917"/>
      <c r="AT14" s="1917"/>
      <c r="AU14" s="1917"/>
      <c r="AV14" s="1917"/>
      <c r="AW14" s="1917"/>
      <c r="AX14" s="1917"/>
      <c r="AY14" s="1917"/>
      <c r="AZ14" s="1917"/>
      <c r="BA14" s="1917"/>
      <c r="BB14" s="1917"/>
      <c r="BC14" s="1917"/>
      <c r="BD14" s="1917"/>
      <c r="BE14" s="1917"/>
      <c r="BF14" s="1917"/>
    </row>
    <row customHeight="1" ht="0.75">
      <c r="A15" s="1262" t="s">
        <v>1161</v>
      </c>
      <c r="D15" s="1256"/>
      <c r="E15" s="1266"/>
      <c r="F15" s="3266">
        <v>2020</v>
      </c>
      <c r="G15" s="3263"/>
      <c r="H15" s="3269" t="s">
        <v>461</v>
      </c>
      <c r="I15" s="3270"/>
      <c r="J15" s="3262"/>
      <c r="K15" s="3262"/>
      <c r="L15" s="3264"/>
      <c r="M15" s="3112"/>
      <c r="N15" s="2127"/>
      <c r="O15" s="2126"/>
      <c r="P15" s="2127"/>
      <c r="Q15" s="2127"/>
      <c r="R15" s="2127"/>
      <c r="S15" s="2127"/>
      <c r="T15" s="2127"/>
      <c r="U15" s="2127"/>
      <c r="V15" s="2127"/>
      <c r="W15" s="2127"/>
      <c r="X15" s="2127"/>
      <c r="Y15" s="2127"/>
      <c r="Z15" s="2127"/>
      <c r="AA15" s="2127"/>
      <c r="AB15" s="2127"/>
      <c r="AC15" s="2127"/>
      <c r="AD15" s="2127"/>
      <c r="AE15" s="2127"/>
      <c r="AF15" s="3268"/>
      <c r="AG15" s="3264"/>
      <c r="AH15" s="3264"/>
      <c r="AI15" s="3268"/>
      <c r="AJ15" s="3264"/>
      <c r="AK15" s="3264"/>
      <c r="AL15" s="2079"/>
      <c r="AM15" s="1917"/>
      <c r="AN15" s="1917"/>
      <c r="AO15" s="1917"/>
      <c r="AP15" s="1917"/>
      <c r="AQ15" s="1917"/>
      <c r="AR15" s="1917"/>
      <c r="AS15" s="1917"/>
      <c r="AT15" s="1917"/>
      <c r="AU15" s="1917"/>
      <c r="AV15" s="1917"/>
      <c r="AW15" s="1917"/>
      <c r="AX15" s="1917"/>
      <c r="AY15" s="1917"/>
      <c r="AZ15" s="1917"/>
      <c r="BA15" s="1917"/>
      <c r="BB15" s="1917"/>
      <c r="BC15" s="1917"/>
      <c r="BD15" s="1917"/>
      <c r="BE15" s="1917"/>
      <c r="BF15" s="1917"/>
    </row>
    <row customHeight="1" ht="0.75">
      <c r="A16" s="1262" t="s">
        <v>1161</v>
      </c>
      <c r="D16" s="1256"/>
      <c r="E16" s="1266"/>
      <c r="F16" s="3266"/>
      <c r="G16" s="3263"/>
      <c r="H16" s="3269"/>
      <c r="I16" s="3270"/>
      <c r="J16" s="3262"/>
      <c r="K16" s="3262"/>
      <c r="L16" s="3264"/>
      <c r="M16" s="3112"/>
      <c r="N16" s="3271"/>
      <c r="O16" s="3272"/>
      <c r="P16" s="3259"/>
      <c r="Q16" s="3262"/>
      <c r="R16" s="3262"/>
      <c r="S16" s="3262"/>
      <c r="T16" s="3262"/>
      <c r="U16" s="3262"/>
      <c r="V16" s="3262"/>
      <c r="W16" s="3262"/>
      <c r="X16" s="3262"/>
      <c r="Y16" s="3262"/>
      <c r="Z16" s="2128"/>
      <c r="AA16" s="2129"/>
      <c r="AB16" s="2129"/>
      <c r="AC16" s="2130"/>
      <c r="AD16" s="2130"/>
      <c r="AE16" s="2131"/>
      <c r="AF16" s="3268"/>
      <c r="AG16" s="3264"/>
      <c r="AH16" s="3264"/>
      <c r="AI16" s="3268"/>
      <c r="AJ16" s="3264"/>
      <c r="AK16" s="3264"/>
      <c r="AL16" s="2079"/>
      <c r="AM16" s="1917"/>
      <c r="AN16" s="1917"/>
      <c r="AO16" s="1917"/>
      <c r="AP16" s="1917"/>
      <c r="AQ16" s="1917"/>
      <c r="AR16" s="1917"/>
      <c r="AS16" s="1917"/>
      <c r="AT16" s="1917"/>
      <c r="AU16" s="1917"/>
      <c r="AV16" s="1917"/>
      <c r="AW16" s="1917"/>
      <c r="AX16" s="1917"/>
      <c r="AY16" s="1917"/>
      <c r="AZ16" s="1917"/>
      <c r="BA16" s="1917"/>
      <c r="BB16" s="1917"/>
      <c r="BC16" s="1917"/>
      <c r="BD16" s="1917"/>
      <c r="BE16" s="1917"/>
      <c r="BF16" s="1917"/>
    </row>
    <row customHeight="1" ht="0.75">
      <c r="A17" s="1262" t="s">
        <v>1161</v>
      </c>
      <c r="D17" s="1256"/>
      <c r="E17" s="1266"/>
      <c r="F17" s="3266"/>
      <c r="G17" s="3263"/>
      <c r="H17" s="3269"/>
      <c r="I17" s="3270"/>
      <c r="J17" s="3262"/>
      <c r="K17" s="3262"/>
      <c r="L17" s="3264"/>
      <c r="M17" s="3112"/>
      <c r="N17" s="3271"/>
      <c r="O17" s="3272"/>
      <c r="P17" s="3260"/>
      <c r="Q17" s="3262"/>
      <c r="R17" s="3262"/>
      <c r="S17" s="3262"/>
      <c r="T17" s="3262"/>
      <c r="U17" s="3262"/>
      <c r="V17" s="3262"/>
      <c r="W17" s="3262"/>
      <c r="X17" s="3262"/>
      <c r="Y17" s="3262"/>
      <c r="Z17" s="2132"/>
      <c r="AA17" s="2133"/>
      <c r="AB17" s="2134"/>
      <c r="AC17" s="2135"/>
      <c r="AD17" s="2134"/>
      <c r="AE17" s="2135"/>
      <c r="AF17" s="3268"/>
      <c r="AG17" s="3264"/>
      <c r="AH17" s="3264"/>
      <c r="AI17" s="3268"/>
      <c r="AJ17" s="3264"/>
      <c r="AK17" s="3264"/>
      <c r="AL17" s="2079"/>
      <c r="AM17" s="1917"/>
      <c r="AN17" s="1917"/>
      <c r="AO17" s="1917"/>
      <c r="AP17" s="1917"/>
      <c r="AQ17" s="1917"/>
      <c r="AR17" s="1917"/>
      <c r="AS17" s="1917"/>
      <c r="AT17" s="1917"/>
      <c r="AU17" s="1917"/>
      <c r="AV17" s="1917"/>
      <c r="AW17" s="1917"/>
      <c r="AX17" s="1917"/>
      <c r="AY17" s="1917"/>
      <c r="AZ17" s="1917"/>
      <c r="BA17" s="1917"/>
      <c r="BB17" s="1917"/>
      <c r="BC17" s="1917"/>
      <c r="BD17" s="1917"/>
      <c r="BE17" s="1917"/>
      <c r="BF17" s="1917"/>
    </row>
    <row customHeight="1" ht="0.75">
      <c r="A18" s="1262" t="s">
        <v>1161</v>
      </c>
      <c r="D18" s="1256"/>
      <c r="E18" s="1266"/>
      <c r="F18" s="3266"/>
      <c r="G18" s="3263"/>
      <c r="H18" s="3269"/>
      <c r="I18" s="3270"/>
      <c r="J18" s="3262"/>
      <c r="K18" s="3262"/>
      <c r="L18" s="3264"/>
      <c r="M18" s="3112"/>
      <c r="N18" s="3271"/>
      <c r="O18" s="3272"/>
      <c r="P18" s="3261"/>
      <c r="Q18" s="3262"/>
      <c r="R18" s="3262"/>
      <c r="S18" s="3262"/>
      <c r="T18" s="3262"/>
      <c r="U18" s="3262"/>
      <c r="V18" s="3262"/>
      <c r="W18" s="3262"/>
      <c r="X18" s="3262"/>
      <c r="Y18" s="3262"/>
      <c r="Z18" s="2128"/>
      <c r="AA18" s="2129"/>
      <c r="AB18" s="2136"/>
      <c r="AC18" s="2130"/>
      <c r="AD18" s="2130"/>
      <c r="AE18" s="2137"/>
      <c r="AF18" s="3268"/>
      <c r="AG18" s="3264"/>
      <c r="AH18" s="3264"/>
      <c r="AI18" s="3268"/>
      <c r="AJ18" s="3264"/>
      <c r="AK18" s="3264"/>
      <c r="AL18" s="2079"/>
      <c r="AM18" s="1917"/>
      <c r="AN18" s="1917"/>
      <c r="AO18" s="1917"/>
      <c r="AP18" s="1917"/>
      <c r="AQ18" s="1917"/>
      <c r="AR18" s="1917"/>
      <c r="AS18" s="1917"/>
      <c r="AT18" s="1917"/>
      <c r="AU18" s="1917"/>
      <c r="AV18" s="1917"/>
      <c r="AW18" s="1917"/>
      <c r="AX18" s="1917"/>
      <c r="AY18" s="1917"/>
      <c r="AZ18" s="1917"/>
      <c r="BA18" s="1917"/>
      <c r="BB18" s="1917"/>
      <c r="BC18" s="1917"/>
      <c r="BD18" s="1917"/>
      <c r="BE18" s="1917"/>
      <c r="BF18" s="1917"/>
    </row>
    <row customHeight="1" ht="0.75">
      <c r="A19" s="1262" t="s">
        <v>1161</v>
      </c>
      <c r="D19" s="1256"/>
      <c r="E19" s="1266"/>
      <c r="F19" s="3266"/>
      <c r="G19" s="3263"/>
      <c r="H19" s="3269"/>
      <c r="I19" s="3270"/>
      <c r="J19" s="3262"/>
      <c r="K19" s="3262"/>
      <c r="L19" s="3264"/>
      <c r="M19" s="3112"/>
      <c r="N19" s="2129"/>
      <c r="O19" s="2129"/>
      <c r="P19" s="2136"/>
      <c r="Q19" s="2129"/>
      <c r="R19" s="2129"/>
      <c r="S19" s="2129"/>
      <c r="T19" s="2129"/>
      <c r="U19" s="2129"/>
      <c r="V19" s="2129"/>
      <c r="W19" s="2129"/>
      <c r="X19" s="2129"/>
      <c r="Y19" s="2129"/>
      <c r="Z19" s="2129"/>
      <c r="AA19" s="2129"/>
      <c r="AB19" s="2129"/>
      <c r="AC19" s="2129"/>
      <c r="AD19" s="2129"/>
      <c r="AE19" s="2138"/>
      <c r="AF19" s="3268"/>
      <c r="AG19" s="3264"/>
      <c r="AH19" s="3264"/>
      <c r="AI19" s="3268"/>
      <c r="AJ19" s="3264"/>
      <c r="AK19" s="3264"/>
      <c r="AL19" s="2079"/>
      <c r="AM19" s="1917"/>
      <c r="AN19" s="1917"/>
      <c r="AO19" s="1917"/>
      <c r="AP19" s="1917"/>
      <c r="AQ19" s="1917"/>
      <c r="AR19" s="1917"/>
      <c r="AS19" s="1917"/>
      <c r="AT19" s="1917"/>
      <c r="AU19" s="1917"/>
      <c r="AV19" s="1917"/>
      <c r="AW19" s="1917"/>
      <c r="AX19" s="1917"/>
      <c r="AY19" s="1917"/>
      <c r="AZ19" s="1917"/>
      <c r="BA19" s="1917"/>
      <c r="BB19" s="1917"/>
      <c r="BC19" s="1917"/>
      <c r="BD19" s="1917"/>
      <c r="BE19" s="1917"/>
      <c r="BF19" s="1917"/>
    </row>
    <row customHeight="1" ht="12">
      <c r="A20" s="1262" t="s">
        <v>1161</v>
      </c>
      <c r="D20" s="1256"/>
      <c r="E20" s="1266"/>
      <c r="F20" s="3267"/>
      <c r="G20" s="1286"/>
      <c r="H20" s="1286"/>
      <c r="I20" s="3265" t="s">
        <v>1193</v>
      </c>
      <c r="J20" s="3265"/>
      <c r="K20" s="3265"/>
      <c r="L20" s="1269"/>
      <c r="M20" s="1269"/>
      <c r="N20" s="1270"/>
      <c r="O20" s="1270"/>
      <c r="P20" s="1270"/>
      <c r="Q20" s="1270"/>
      <c r="R20" s="1270"/>
      <c r="S20" s="1270"/>
      <c r="T20" s="1270"/>
      <c r="U20" s="1270"/>
      <c r="V20" s="1270"/>
      <c r="W20" s="1270"/>
      <c r="X20" s="1270"/>
      <c r="Y20" s="1270"/>
      <c r="Z20" s="1270"/>
      <c r="AA20" s="1270"/>
      <c r="AB20" s="1270"/>
      <c r="AC20" s="1270"/>
      <c r="AD20" s="1270"/>
      <c r="AE20" s="1270"/>
      <c r="AF20" s="1270"/>
      <c r="AG20" s="1269"/>
      <c r="AH20" s="1269"/>
      <c r="AI20" s="1270"/>
      <c r="AJ20" s="1269"/>
      <c r="AK20" s="1270"/>
      <c r="AL20" s="2079"/>
      <c r="AM20" s="1917"/>
      <c r="AN20" s="1917"/>
      <c r="AO20" s="1917"/>
      <c r="AP20" s="1917"/>
      <c r="AQ20" s="1917"/>
      <c r="AR20" s="1917"/>
      <c r="AS20" s="1917"/>
      <c r="AT20" s="1917"/>
      <c r="AU20" s="1917"/>
      <c r="AV20" s="1917"/>
      <c r="AW20" s="1917"/>
      <c r="AX20" s="1917"/>
      <c r="AY20" s="1917"/>
      <c r="AZ20" s="1917"/>
      <c r="BA20" s="1917"/>
      <c r="BB20" s="1917"/>
      <c r="BC20" s="1917"/>
      <c r="BD20" s="1917"/>
      <c r="BE20" s="1917"/>
      <c r="BF20" s="1917"/>
    </row>
    <row customHeight="1" ht="0.75">
      <c r="A21" s="1262" t="s">
        <v>1161</v>
      </c>
      <c r="D21" s="1256"/>
      <c r="E21" s="1266"/>
      <c r="F21" s="3266">
        <v>2021</v>
      </c>
      <c r="G21" s="3263"/>
      <c r="H21" s="3269" t="s">
        <v>461</v>
      </c>
      <c r="I21" s="3270"/>
      <c r="J21" s="3262"/>
      <c r="K21" s="3262"/>
      <c r="L21" s="3264"/>
      <c r="M21" s="3112"/>
      <c r="N21" s="2127"/>
      <c r="O21" s="2126"/>
      <c r="P21" s="2127"/>
      <c r="Q21" s="2127"/>
      <c r="R21" s="2127"/>
      <c r="S21" s="2127"/>
      <c r="T21" s="2127"/>
      <c r="U21" s="2127"/>
      <c r="V21" s="2127"/>
      <c r="W21" s="2127"/>
      <c r="X21" s="2127"/>
      <c r="Y21" s="2127"/>
      <c r="Z21" s="2127"/>
      <c r="AA21" s="2127"/>
      <c r="AB21" s="2127"/>
      <c r="AC21" s="2127"/>
      <c r="AD21" s="2127"/>
      <c r="AE21" s="2127"/>
      <c r="AF21" s="3268"/>
      <c r="AG21" s="3264"/>
      <c r="AH21" s="3264"/>
      <c r="AI21" s="3268"/>
      <c r="AJ21" s="3264"/>
      <c r="AK21" s="3264"/>
      <c r="AL21" s="2079"/>
      <c r="AM21" s="1917"/>
      <c r="AN21" s="1917"/>
      <c r="AO21" s="1917"/>
      <c r="AP21" s="1917"/>
      <c r="AQ21" s="1917"/>
      <c r="AR21" s="1917"/>
      <c r="AS21" s="1917"/>
      <c r="AT21" s="1917"/>
      <c r="AU21" s="1917"/>
      <c r="AV21" s="1917"/>
      <c r="AW21" s="1917"/>
      <c r="AX21" s="1917"/>
      <c r="AY21" s="1917"/>
      <c r="AZ21" s="1917"/>
      <c r="BA21" s="1917"/>
      <c r="BB21" s="1917"/>
      <c r="BC21" s="1917"/>
      <c r="BD21" s="1917"/>
      <c r="BE21" s="1917"/>
      <c r="BF21" s="1917"/>
    </row>
    <row customHeight="1" ht="0.75">
      <c r="A22" s="1262" t="s">
        <v>1161</v>
      </c>
      <c r="D22" s="1256"/>
      <c r="E22" s="1266"/>
      <c r="F22" s="3266"/>
      <c r="G22" s="3263"/>
      <c r="H22" s="3269"/>
      <c r="I22" s="3270"/>
      <c r="J22" s="3262"/>
      <c r="K22" s="3262"/>
      <c r="L22" s="3264"/>
      <c r="M22" s="3112"/>
      <c r="N22" s="3271"/>
      <c r="O22" s="3272"/>
      <c r="P22" s="3259"/>
      <c r="Q22" s="3262"/>
      <c r="R22" s="3262"/>
      <c r="S22" s="3262"/>
      <c r="T22" s="3262"/>
      <c r="U22" s="3262"/>
      <c r="V22" s="3262"/>
      <c r="W22" s="3262"/>
      <c r="X22" s="3262"/>
      <c r="Y22" s="3262"/>
      <c r="Z22" s="2128"/>
      <c r="AA22" s="2129"/>
      <c r="AB22" s="2129"/>
      <c r="AC22" s="2130"/>
      <c r="AD22" s="2130"/>
      <c r="AE22" s="2131"/>
      <c r="AF22" s="3268"/>
      <c r="AG22" s="3264"/>
      <c r="AH22" s="3264"/>
      <c r="AI22" s="3268"/>
      <c r="AJ22" s="3264"/>
      <c r="AK22" s="3264"/>
      <c r="AL22" s="2079"/>
      <c r="AM22" s="1917"/>
      <c r="AN22" s="1917"/>
      <c r="AO22" s="1917"/>
      <c r="AP22" s="1917"/>
      <c r="AQ22" s="1917"/>
      <c r="AR22" s="1917"/>
      <c r="AS22" s="1917"/>
      <c r="AT22" s="1917"/>
      <c r="AU22" s="1917"/>
      <c r="AV22" s="1917"/>
      <c r="AW22" s="1917"/>
      <c r="AX22" s="1917"/>
      <c r="AY22" s="1917"/>
      <c r="AZ22" s="1917"/>
      <c r="BA22" s="1917"/>
      <c r="BB22" s="1917"/>
      <c r="BC22" s="1917"/>
      <c r="BD22" s="1917"/>
      <c r="BE22" s="1917"/>
      <c r="BF22" s="1917"/>
    </row>
    <row customHeight="1" ht="0.75">
      <c r="A23" s="1262" t="s">
        <v>1161</v>
      </c>
      <c r="D23" s="1256"/>
      <c r="E23" s="1266"/>
      <c r="F23" s="3266"/>
      <c r="G23" s="3263"/>
      <c r="H23" s="3269"/>
      <c r="I23" s="3270"/>
      <c r="J23" s="3262"/>
      <c r="K23" s="3262"/>
      <c r="L23" s="3264"/>
      <c r="M23" s="3112"/>
      <c r="N23" s="3271"/>
      <c r="O23" s="3272"/>
      <c r="P23" s="3260"/>
      <c r="Q23" s="3262"/>
      <c r="R23" s="3262"/>
      <c r="S23" s="3262"/>
      <c r="T23" s="3262"/>
      <c r="U23" s="3262"/>
      <c r="V23" s="3262"/>
      <c r="W23" s="3262"/>
      <c r="X23" s="3262"/>
      <c r="Y23" s="3262"/>
      <c r="Z23" s="2132"/>
      <c r="AA23" s="2133"/>
      <c r="AB23" s="2134"/>
      <c r="AC23" s="2135"/>
      <c r="AD23" s="2134"/>
      <c r="AE23" s="2135"/>
      <c r="AF23" s="3268"/>
      <c r="AG23" s="3264"/>
      <c r="AH23" s="3264"/>
      <c r="AI23" s="3268"/>
      <c r="AJ23" s="3264"/>
      <c r="AK23" s="3264"/>
      <c r="AL23" s="2079"/>
      <c r="AM23" s="1917"/>
      <c r="AN23" s="1917"/>
      <c r="AO23" s="1917"/>
      <c r="AP23" s="1917"/>
      <c r="AQ23" s="1917"/>
      <c r="AR23" s="1917"/>
      <c r="AS23" s="1917"/>
      <c r="AT23" s="1917"/>
      <c r="AU23" s="1917"/>
      <c r="AV23" s="1917"/>
      <c r="AW23" s="1917"/>
      <c r="AX23" s="1917"/>
      <c r="AY23" s="1917"/>
      <c r="AZ23" s="1917"/>
      <c r="BA23" s="1917"/>
      <c r="BB23" s="1917"/>
      <c r="BC23" s="1917"/>
      <c r="BD23" s="1917"/>
      <c r="BE23" s="1917"/>
      <c r="BF23" s="1917"/>
    </row>
    <row customHeight="1" ht="0.75">
      <c r="A24" s="1262" t="s">
        <v>1161</v>
      </c>
      <c r="D24" s="1256"/>
      <c r="E24" s="1266"/>
      <c r="F24" s="3266"/>
      <c r="G24" s="3263"/>
      <c r="H24" s="3269"/>
      <c r="I24" s="3270"/>
      <c r="J24" s="3262"/>
      <c r="K24" s="3262"/>
      <c r="L24" s="3264"/>
      <c r="M24" s="3112"/>
      <c r="N24" s="3271"/>
      <c r="O24" s="3272"/>
      <c r="P24" s="3261"/>
      <c r="Q24" s="3262"/>
      <c r="R24" s="3262"/>
      <c r="S24" s="3262"/>
      <c r="T24" s="3262"/>
      <c r="U24" s="3262"/>
      <c r="V24" s="3262"/>
      <c r="W24" s="3262"/>
      <c r="X24" s="3262"/>
      <c r="Y24" s="3262"/>
      <c r="Z24" s="2128"/>
      <c r="AA24" s="2129"/>
      <c r="AB24" s="2136"/>
      <c r="AC24" s="2130"/>
      <c r="AD24" s="2130"/>
      <c r="AE24" s="2137"/>
      <c r="AF24" s="3268"/>
      <c r="AG24" s="3264"/>
      <c r="AH24" s="3264"/>
      <c r="AI24" s="3268"/>
      <c r="AJ24" s="3264"/>
      <c r="AK24" s="3264"/>
      <c r="AL24" s="2079"/>
      <c r="AM24" s="1917"/>
      <c r="AN24" s="1917"/>
      <c r="AO24" s="1917"/>
      <c r="AP24" s="1917"/>
      <c r="AQ24" s="1917"/>
      <c r="AR24" s="1917"/>
      <c r="AS24" s="1917"/>
      <c r="AT24" s="1917"/>
      <c r="AU24" s="1917"/>
      <c r="AV24" s="1917"/>
      <c r="AW24" s="1917"/>
      <c r="AX24" s="1917"/>
      <c r="AY24" s="1917"/>
      <c r="AZ24" s="1917"/>
      <c r="BA24" s="1917"/>
      <c r="BB24" s="1917"/>
      <c r="BC24" s="1917"/>
      <c r="BD24" s="1917"/>
      <c r="BE24" s="1917"/>
      <c r="BF24" s="1917"/>
    </row>
    <row customHeight="1" ht="0.75">
      <c r="A25" s="1262" t="s">
        <v>1161</v>
      </c>
      <c r="D25" s="1256"/>
      <c r="E25" s="1266"/>
      <c r="F25" s="3266"/>
      <c r="G25" s="3263"/>
      <c r="H25" s="3269"/>
      <c r="I25" s="3270"/>
      <c r="J25" s="3262"/>
      <c r="K25" s="3262"/>
      <c r="L25" s="3264"/>
      <c r="M25" s="3112"/>
      <c r="N25" s="2129"/>
      <c r="O25" s="2129"/>
      <c r="P25" s="2136"/>
      <c r="Q25" s="2129"/>
      <c r="R25" s="2129"/>
      <c r="S25" s="2129"/>
      <c r="T25" s="2129"/>
      <c r="U25" s="2129"/>
      <c r="V25" s="2129"/>
      <c r="W25" s="2129"/>
      <c r="X25" s="2129"/>
      <c r="Y25" s="2129"/>
      <c r="Z25" s="2129"/>
      <c r="AA25" s="2129"/>
      <c r="AB25" s="2129"/>
      <c r="AC25" s="2129"/>
      <c r="AD25" s="2129"/>
      <c r="AE25" s="2138"/>
      <c r="AF25" s="3268"/>
      <c r="AG25" s="3264"/>
      <c r="AH25" s="3264"/>
      <c r="AI25" s="3268"/>
      <c r="AJ25" s="3264"/>
      <c r="AK25" s="3264"/>
      <c r="AL25" s="2079"/>
      <c r="AM25" s="1917"/>
      <c r="AN25" s="1917"/>
      <c r="AO25" s="1917"/>
      <c r="AP25" s="1917"/>
      <c r="AQ25" s="1917"/>
      <c r="AR25" s="1917"/>
      <c r="AS25" s="1917"/>
      <c r="AT25" s="1917"/>
      <c r="AU25" s="1917"/>
      <c r="AV25" s="1917"/>
      <c r="AW25" s="1917"/>
      <c r="AX25" s="1917"/>
      <c r="AY25" s="1917"/>
      <c r="AZ25" s="1917"/>
      <c r="BA25" s="1917"/>
      <c r="BB25" s="1917"/>
      <c r="BC25" s="1917"/>
      <c r="BD25" s="1917"/>
      <c r="BE25" s="1917"/>
      <c r="BF25" s="1917"/>
    </row>
    <row customHeight="1" ht="12">
      <c r="A26" s="1262" t="s">
        <v>1161</v>
      </c>
      <c r="D26" s="1256"/>
      <c r="E26" s="1266"/>
      <c r="F26" s="3267"/>
      <c r="G26" s="1286"/>
      <c r="H26" s="1286"/>
      <c r="I26" s="3265" t="s">
        <v>1193</v>
      </c>
      <c r="J26" s="3265"/>
      <c r="K26" s="3265"/>
      <c r="L26" s="1269"/>
      <c r="M26" s="1269"/>
      <c r="N26" s="1270"/>
      <c r="O26" s="1270"/>
      <c r="P26" s="1270"/>
      <c r="Q26" s="1270"/>
      <c r="R26" s="1270"/>
      <c r="S26" s="1270"/>
      <c r="T26" s="1270"/>
      <c r="U26" s="1270"/>
      <c r="V26" s="1270"/>
      <c r="W26" s="1270"/>
      <c r="X26" s="1270"/>
      <c r="Y26" s="1270"/>
      <c r="Z26" s="1270"/>
      <c r="AA26" s="1270"/>
      <c r="AB26" s="1270"/>
      <c r="AC26" s="1270"/>
      <c r="AD26" s="1270"/>
      <c r="AE26" s="1270"/>
      <c r="AF26" s="1270"/>
      <c r="AG26" s="1269"/>
      <c r="AH26" s="1269"/>
      <c r="AI26" s="1270"/>
      <c r="AJ26" s="1269"/>
      <c r="AK26" s="1270"/>
      <c r="AL26" s="2079"/>
      <c r="AM26" s="1917"/>
      <c r="AN26" s="1917"/>
      <c r="AO26" s="1917"/>
      <c r="AP26" s="1917"/>
      <c r="AQ26" s="1917"/>
      <c r="AR26" s="1917"/>
      <c r="AS26" s="1917"/>
      <c r="AT26" s="1917"/>
      <c r="AU26" s="1917"/>
      <c r="AV26" s="1917"/>
      <c r="AW26" s="1917"/>
      <c r="AX26" s="1917"/>
      <c r="AY26" s="1917"/>
      <c r="AZ26" s="1917"/>
      <c r="BA26" s="1917"/>
      <c r="BB26" s="1917"/>
      <c r="BC26" s="1917"/>
      <c r="BD26" s="1917"/>
      <c r="BE26" s="1917"/>
      <c r="BF26" s="1917"/>
    </row>
    <row customHeight="1" ht="0.75">
      <c r="A27" s="1262" t="s">
        <v>1161</v>
      </c>
      <c r="D27" s="1256"/>
      <c r="E27" s="1266"/>
      <c r="F27" s="3266">
        <v>2022</v>
      </c>
      <c r="G27" s="3263"/>
      <c r="H27" s="3269" t="s">
        <v>461</v>
      </c>
      <c r="I27" s="3270"/>
      <c r="J27" s="3262"/>
      <c r="K27" s="3262"/>
      <c r="L27" s="3264"/>
      <c r="M27" s="3112"/>
      <c r="N27" s="2127"/>
      <c r="O27" s="2126"/>
      <c r="P27" s="2127"/>
      <c r="Q27" s="2127"/>
      <c r="R27" s="2127"/>
      <c r="S27" s="2127"/>
      <c r="T27" s="2127"/>
      <c r="U27" s="2127"/>
      <c r="V27" s="2127"/>
      <c r="W27" s="2127"/>
      <c r="X27" s="2127"/>
      <c r="Y27" s="2127"/>
      <c r="Z27" s="2127"/>
      <c r="AA27" s="2127"/>
      <c r="AB27" s="2127"/>
      <c r="AC27" s="2127"/>
      <c r="AD27" s="2127"/>
      <c r="AE27" s="2127"/>
      <c r="AF27" s="3268"/>
      <c r="AG27" s="3264"/>
      <c r="AH27" s="3264"/>
      <c r="AI27" s="3268"/>
      <c r="AJ27" s="3264"/>
      <c r="AK27" s="3264"/>
      <c r="AL27" s="2079"/>
      <c r="AM27" s="1917"/>
      <c r="AN27" s="1917"/>
      <c r="AO27" s="1917"/>
      <c r="AP27" s="1917"/>
      <c r="AQ27" s="1917"/>
      <c r="AR27" s="1917"/>
      <c r="AS27" s="1917"/>
      <c r="AT27" s="1917"/>
      <c r="AU27" s="1917"/>
      <c r="AV27" s="1917"/>
      <c r="AW27" s="1917"/>
      <c r="AX27" s="1917"/>
      <c r="AY27" s="1917"/>
      <c r="AZ27" s="1917"/>
      <c r="BA27" s="1917"/>
      <c r="BB27" s="1917"/>
      <c r="BC27" s="1917"/>
      <c r="BD27" s="1917"/>
      <c r="BE27" s="1917"/>
      <c r="BF27" s="1917"/>
    </row>
    <row customHeight="1" ht="0.75">
      <c r="A28" s="1262" t="s">
        <v>1161</v>
      </c>
      <c r="D28" s="1256"/>
      <c r="E28" s="1266"/>
      <c r="F28" s="3266"/>
      <c r="G28" s="3263"/>
      <c r="H28" s="3269"/>
      <c r="I28" s="3270"/>
      <c r="J28" s="3262"/>
      <c r="K28" s="3262"/>
      <c r="L28" s="3264"/>
      <c r="M28" s="3112"/>
      <c r="N28" s="3271"/>
      <c r="O28" s="3272"/>
      <c r="P28" s="3259"/>
      <c r="Q28" s="3262"/>
      <c r="R28" s="3262"/>
      <c r="S28" s="3262"/>
      <c r="T28" s="3262"/>
      <c r="U28" s="3262"/>
      <c r="V28" s="3262"/>
      <c r="W28" s="3262"/>
      <c r="X28" s="3262"/>
      <c r="Y28" s="3262"/>
      <c r="Z28" s="2128"/>
      <c r="AA28" s="2129"/>
      <c r="AB28" s="2129"/>
      <c r="AC28" s="2130"/>
      <c r="AD28" s="2130"/>
      <c r="AE28" s="2131"/>
      <c r="AF28" s="3268"/>
      <c r="AG28" s="3264"/>
      <c r="AH28" s="3264"/>
      <c r="AI28" s="3268"/>
      <c r="AJ28" s="3264"/>
      <c r="AK28" s="3264"/>
      <c r="AL28" s="2079"/>
      <c r="AM28" s="1917"/>
      <c r="AN28" s="1917"/>
      <c r="AO28" s="1917"/>
      <c r="AP28" s="1917"/>
      <c r="AQ28" s="1917"/>
      <c r="AR28" s="1917"/>
      <c r="AS28" s="1917"/>
      <c r="AT28" s="1917"/>
      <c r="AU28" s="1917"/>
      <c r="AV28" s="1917"/>
      <c r="AW28" s="1917"/>
      <c r="AX28" s="1917"/>
      <c r="AY28" s="1917"/>
      <c r="AZ28" s="1917"/>
      <c r="BA28" s="1917"/>
      <c r="BB28" s="1917"/>
      <c r="BC28" s="1917"/>
      <c r="BD28" s="1917"/>
      <c r="BE28" s="1917"/>
      <c r="BF28" s="1917"/>
    </row>
    <row customHeight="1" ht="0.75">
      <c r="A29" s="1262" t="s">
        <v>1161</v>
      </c>
      <c r="D29" s="1256"/>
      <c r="E29" s="1266"/>
      <c r="F29" s="3266"/>
      <c r="G29" s="3263"/>
      <c r="H29" s="3269"/>
      <c r="I29" s="3270"/>
      <c r="J29" s="3262"/>
      <c r="K29" s="3262"/>
      <c r="L29" s="3264"/>
      <c r="M29" s="3112"/>
      <c r="N29" s="3271"/>
      <c r="O29" s="3272"/>
      <c r="P29" s="3260"/>
      <c r="Q29" s="3262"/>
      <c r="R29" s="3262"/>
      <c r="S29" s="3262"/>
      <c r="T29" s="3262"/>
      <c r="U29" s="3262"/>
      <c r="V29" s="3262"/>
      <c r="W29" s="3262"/>
      <c r="X29" s="3262"/>
      <c r="Y29" s="3262"/>
      <c r="Z29" s="2132"/>
      <c r="AA29" s="2133"/>
      <c r="AB29" s="2134"/>
      <c r="AC29" s="2135"/>
      <c r="AD29" s="2134"/>
      <c r="AE29" s="2135"/>
      <c r="AF29" s="3268"/>
      <c r="AG29" s="3264"/>
      <c r="AH29" s="3264"/>
      <c r="AI29" s="3268"/>
      <c r="AJ29" s="3264"/>
      <c r="AK29" s="3264"/>
      <c r="AL29" s="2079"/>
      <c r="AM29" s="1917"/>
      <c r="AN29" s="1917"/>
      <c r="AO29" s="1917"/>
      <c r="AP29" s="1917"/>
      <c r="AQ29" s="1917"/>
      <c r="AR29" s="1917"/>
      <c r="AS29" s="1917"/>
      <c r="AT29" s="1917"/>
      <c r="AU29" s="1917"/>
      <c r="AV29" s="1917"/>
      <c r="AW29" s="1917"/>
      <c r="AX29" s="1917"/>
      <c r="AY29" s="1917"/>
      <c r="AZ29" s="1917"/>
      <c r="BA29" s="1917"/>
      <c r="BB29" s="1917"/>
      <c r="BC29" s="1917"/>
      <c r="BD29" s="1917"/>
      <c r="BE29" s="1917"/>
      <c r="BF29" s="1917"/>
    </row>
    <row customHeight="1" ht="0.75">
      <c r="A30" s="1262" t="s">
        <v>1161</v>
      </c>
      <c r="D30" s="1256"/>
      <c r="E30" s="1266"/>
      <c r="F30" s="3266"/>
      <c r="G30" s="3263"/>
      <c r="H30" s="3269"/>
      <c r="I30" s="3270"/>
      <c r="J30" s="3262"/>
      <c r="K30" s="3262"/>
      <c r="L30" s="3264"/>
      <c r="M30" s="3112"/>
      <c r="N30" s="3271"/>
      <c r="O30" s="3272"/>
      <c r="P30" s="3261"/>
      <c r="Q30" s="3262"/>
      <c r="R30" s="3262"/>
      <c r="S30" s="3262"/>
      <c r="T30" s="3262"/>
      <c r="U30" s="3262"/>
      <c r="V30" s="3262"/>
      <c r="W30" s="3262"/>
      <c r="X30" s="3262"/>
      <c r="Y30" s="3262"/>
      <c r="Z30" s="2128"/>
      <c r="AA30" s="2129"/>
      <c r="AB30" s="2136"/>
      <c r="AC30" s="2130"/>
      <c r="AD30" s="2130"/>
      <c r="AE30" s="2137"/>
      <c r="AF30" s="3268"/>
      <c r="AG30" s="3264"/>
      <c r="AH30" s="3264"/>
      <c r="AI30" s="3268"/>
      <c r="AJ30" s="3264"/>
      <c r="AK30" s="3264"/>
      <c r="AL30" s="2079"/>
      <c r="AM30" s="1917"/>
      <c r="AN30" s="1917"/>
      <c r="AO30" s="1917"/>
      <c r="AP30" s="1917"/>
      <c r="AQ30" s="1917"/>
      <c r="AR30" s="1917"/>
      <c r="AS30" s="1917"/>
      <c r="AT30" s="1917"/>
      <c r="AU30" s="1917"/>
      <c r="AV30" s="1917"/>
      <c r="AW30" s="1917"/>
      <c r="AX30" s="1917"/>
      <c r="AY30" s="1917"/>
      <c r="AZ30" s="1917"/>
      <c r="BA30" s="1917"/>
      <c r="BB30" s="1917"/>
      <c r="BC30" s="1917"/>
      <c r="BD30" s="1917"/>
      <c r="BE30" s="1917"/>
      <c r="BF30" s="1917"/>
    </row>
    <row customHeight="1" ht="0.75">
      <c r="A31" s="1262" t="s">
        <v>1161</v>
      </c>
      <c r="D31" s="1256"/>
      <c r="E31" s="1266"/>
      <c r="F31" s="3266"/>
      <c r="G31" s="3263"/>
      <c r="H31" s="3269"/>
      <c r="I31" s="3270"/>
      <c r="J31" s="3262"/>
      <c r="K31" s="3262"/>
      <c r="L31" s="3264"/>
      <c r="M31" s="3112"/>
      <c r="N31" s="2129"/>
      <c r="O31" s="2129"/>
      <c r="P31" s="2136"/>
      <c r="Q31" s="2129"/>
      <c r="R31" s="2129"/>
      <c r="S31" s="2129"/>
      <c r="T31" s="2129"/>
      <c r="U31" s="2129"/>
      <c r="V31" s="2129"/>
      <c r="W31" s="2129"/>
      <c r="X31" s="2129"/>
      <c r="Y31" s="2129"/>
      <c r="Z31" s="2129"/>
      <c r="AA31" s="2129"/>
      <c r="AB31" s="2129"/>
      <c r="AC31" s="2129"/>
      <c r="AD31" s="2129"/>
      <c r="AE31" s="2138"/>
      <c r="AF31" s="3268"/>
      <c r="AG31" s="3264"/>
      <c r="AH31" s="3264"/>
      <c r="AI31" s="3268"/>
      <c r="AJ31" s="3264"/>
      <c r="AK31" s="3264"/>
      <c r="AL31" s="2079"/>
      <c r="AM31" s="1917"/>
      <c r="AN31" s="1917"/>
      <c r="AO31" s="1917"/>
      <c r="AP31" s="1917"/>
      <c r="AQ31" s="1917"/>
      <c r="AR31" s="1917"/>
      <c r="AS31" s="1917"/>
      <c r="AT31" s="1917"/>
      <c r="AU31" s="1917"/>
      <c r="AV31" s="1917"/>
      <c r="AW31" s="1917"/>
      <c r="AX31" s="1917"/>
      <c r="AY31" s="1917"/>
      <c r="AZ31" s="1917"/>
      <c r="BA31" s="1917"/>
      <c r="BB31" s="1917"/>
      <c r="BC31" s="1917"/>
      <c r="BD31" s="1917"/>
      <c r="BE31" s="1917"/>
      <c r="BF31" s="1917"/>
    </row>
    <row customHeight="1" ht="12">
      <c r="A32" s="1262" t="s">
        <v>1161</v>
      </c>
      <c r="D32" s="1256"/>
      <c r="E32" s="1266"/>
      <c r="F32" s="3267"/>
      <c r="G32" s="1286"/>
      <c r="H32" s="1286"/>
      <c r="I32" s="3265" t="s">
        <v>1193</v>
      </c>
      <c r="J32" s="3265"/>
      <c r="K32" s="3265"/>
      <c r="L32" s="1269"/>
      <c r="M32" s="1269"/>
      <c r="N32" s="1270"/>
      <c r="O32" s="1270"/>
      <c r="P32" s="1270"/>
      <c r="Q32" s="1270"/>
      <c r="R32" s="1270"/>
      <c r="S32" s="1270"/>
      <c r="T32" s="1270"/>
      <c r="U32" s="1270"/>
      <c r="V32" s="1270"/>
      <c r="W32" s="1270"/>
      <c r="X32" s="1270"/>
      <c r="Y32" s="1270"/>
      <c r="Z32" s="1270"/>
      <c r="AA32" s="1270"/>
      <c r="AB32" s="1270"/>
      <c r="AC32" s="1270"/>
      <c r="AD32" s="1270"/>
      <c r="AE32" s="1270"/>
      <c r="AF32" s="1270"/>
      <c r="AG32" s="1269"/>
      <c r="AH32" s="1269"/>
      <c r="AI32" s="1270"/>
      <c r="AJ32" s="1269"/>
      <c r="AK32" s="1270"/>
      <c r="AL32" s="2079"/>
      <c r="AM32" s="1917"/>
      <c r="AN32" s="1917"/>
      <c r="AO32" s="1917"/>
      <c r="AP32" s="1917"/>
      <c r="AQ32" s="1917"/>
      <c r="AR32" s="1917"/>
      <c r="AS32" s="1917"/>
      <c r="AT32" s="1917"/>
      <c r="AU32" s="1917"/>
      <c r="AV32" s="1917"/>
      <c r="AW32" s="1917"/>
      <c r="AX32" s="1917"/>
      <c r="AY32" s="1917"/>
      <c r="AZ32" s="1917"/>
      <c r="BA32" s="1917"/>
      <c r="BB32" s="1917"/>
      <c r="BC32" s="1917"/>
      <c r="BD32" s="1917"/>
      <c r="BE32" s="1917"/>
      <c r="BF32" s="1917"/>
    </row>
    <row customHeight="1" ht="0.75">
      <c r="A33" s="1262" t="s">
        <v>1161</v>
      </c>
      <c r="D33" s="1256"/>
      <c r="E33" s="1266"/>
      <c r="F33" s="3266">
        <v>2023</v>
      </c>
      <c r="G33" s="3263"/>
      <c r="H33" s="3269" t="s">
        <v>461</v>
      </c>
      <c r="I33" s="3270"/>
      <c r="J33" s="3262"/>
      <c r="K33" s="3262"/>
      <c r="L33" s="3264"/>
      <c r="M33" s="3112"/>
      <c r="N33" s="2127"/>
      <c r="O33" s="2126"/>
      <c r="P33" s="2127"/>
      <c r="Q33" s="2127"/>
      <c r="R33" s="2127"/>
      <c r="S33" s="2127"/>
      <c r="T33" s="2127"/>
      <c r="U33" s="2127"/>
      <c r="V33" s="2127"/>
      <c r="W33" s="2127"/>
      <c r="X33" s="2127"/>
      <c r="Y33" s="2127"/>
      <c r="Z33" s="2127"/>
      <c r="AA33" s="2127"/>
      <c r="AB33" s="2127"/>
      <c r="AC33" s="2127"/>
      <c r="AD33" s="2127"/>
      <c r="AE33" s="2127"/>
      <c r="AF33" s="3268"/>
      <c r="AG33" s="3264"/>
      <c r="AH33" s="3264"/>
      <c r="AI33" s="3268"/>
      <c r="AJ33" s="3264"/>
      <c r="AK33" s="3264"/>
      <c r="AL33" s="2079"/>
      <c r="AM33" s="1917"/>
      <c r="AN33" s="1917"/>
      <c r="AO33" s="1917"/>
      <c r="AP33" s="1917"/>
      <c r="AQ33" s="1917"/>
      <c r="AR33" s="1917"/>
      <c r="AS33" s="1917"/>
      <c r="AT33" s="1917"/>
      <c r="AU33" s="1917"/>
      <c r="AV33" s="1917"/>
      <c r="AW33" s="1917"/>
      <c r="AX33" s="1917"/>
      <c r="AY33" s="1917"/>
      <c r="AZ33" s="1917"/>
      <c r="BA33" s="1917"/>
      <c r="BB33" s="1917"/>
      <c r="BC33" s="1917"/>
      <c r="BD33" s="1917"/>
      <c r="BE33" s="1917"/>
      <c r="BF33" s="1917"/>
    </row>
    <row customHeight="1" ht="0.75">
      <c r="A34" s="1262" t="s">
        <v>1161</v>
      </c>
      <c r="D34" s="1256"/>
      <c r="E34" s="1266"/>
      <c r="F34" s="3266"/>
      <c r="G34" s="3263"/>
      <c r="H34" s="3269"/>
      <c r="I34" s="3270"/>
      <c r="J34" s="3262"/>
      <c r="K34" s="3262"/>
      <c r="L34" s="3264"/>
      <c r="M34" s="3112"/>
      <c r="N34" s="3271"/>
      <c r="O34" s="3272"/>
      <c r="P34" s="3259"/>
      <c r="Q34" s="3262"/>
      <c r="R34" s="3262"/>
      <c r="S34" s="3262"/>
      <c r="T34" s="3262"/>
      <c r="U34" s="3262"/>
      <c r="V34" s="3262"/>
      <c r="W34" s="3262"/>
      <c r="X34" s="3262"/>
      <c r="Y34" s="3262"/>
      <c r="Z34" s="2128"/>
      <c r="AA34" s="2129"/>
      <c r="AB34" s="2129"/>
      <c r="AC34" s="2130"/>
      <c r="AD34" s="2130"/>
      <c r="AE34" s="2131"/>
      <c r="AF34" s="3268"/>
      <c r="AG34" s="3264"/>
      <c r="AH34" s="3264"/>
      <c r="AI34" s="3268"/>
      <c r="AJ34" s="3264"/>
      <c r="AK34" s="3264"/>
      <c r="AL34" s="2079"/>
      <c r="AM34" s="1917"/>
      <c r="AN34" s="1917"/>
      <c r="AO34" s="1917"/>
      <c r="AP34" s="1917"/>
      <c r="AQ34" s="1917"/>
      <c r="AR34" s="1917"/>
      <c r="AS34" s="1917"/>
      <c r="AT34" s="1917"/>
      <c r="AU34" s="1917"/>
      <c r="AV34" s="1917"/>
      <c r="AW34" s="1917"/>
      <c r="AX34" s="1917"/>
      <c r="AY34" s="1917"/>
      <c r="AZ34" s="1917"/>
      <c r="BA34" s="1917"/>
      <c r="BB34" s="1917"/>
      <c r="BC34" s="1917"/>
      <c r="BD34" s="1917"/>
      <c r="BE34" s="1917"/>
      <c r="BF34" s="1917"/>
    </row>
    <row customHeight="1" ht="0.75">
      <c r="A35" s="1262" t="s">
        <v>1161</v>
      </c>
      <c r="D35" s="1256"/>
      <c r="E35" s="1266"/>
      <c r="F35" s="3266"/>
      <c r="G35" s="3263"/>
      <c r="H35" s="3269"/>
      <c r="I35" s="3270"/>
      <c r="J35" s="3262"/>
      <c r="K35" s="3262"/>
      <c r="L35" s="3264"/>
      <c r="M35" s="3112"/>
      <c r="N35" s="3271"/>
      <c r="O35" s="3272"/>
      <c r="P35" s="3260"/>
      <c r="Q35" s="3262"/>
      <c r="R35" s="3262"/>
      <c r="S35" s="3262"/>
      <c r="T35" s="3262"/>
      <c r="U35" s="3262"/>
      <c r="V35" s="3262"/>
      <c r="W35" s="3262"/>
      <c r="X35" s="3262"/>
      <c r="Y35" s="3262"/>
      <c r="Z35" s="2132"/>
      <c r="AA35" s="2133"/>
      <c r="AB35" s="2134"/>
      <c r="AC35" s="2135"/>
      <c r="AD35" s="2134"/>
      <c r="AE35" s="2135"/>
      <c r="AF35" s="3268"/>
      <c r="AG35" s="3264"/>
      <c r="AH35" s="3264"/>
      <c r="AI35" s="3268"/>
      <c r="AJ35" s="3264"/>
      <c r="AK35" s="3264"/>
      <c r="AL35" s="2079"/>
      <c r="AM35" s="1917"/>
      <c r="AN35" s="1917"/>
      <c r="AO35" s="1917"/>
      <c r="AP35" s="1917"/>
      <c r="AQ35" s="1917"/>
      <c r="AR35" s="1917"/>
      <c r="AS35" s="1917"/>
      <c r="AT35" s="1917"/>
      <c r="AU35" s="1917"/>
      <c r="AV35" s="1917"/>
      <c r="AW35" s="1917"/>
      <c r="AX35" s="1917"/>
      <c r="AY35" s="1917"/>
      <c r="AZ35" s="1917"/>
      <c r="BA35" s="1917"/>
      <c r="BB35" s="1917"/>
      <c r="BC35" s="1917"/>
      <c r="BD35" s="1917"/>
      <c r="BE35" s="1917"/>
      <c r="BF35" s="1917"/>
    </row>
    <row customHeight="1" ht="0.75">
      <c r="A36" s="1262" t="s">
        <v>1161</v>
      </c>
      <c r="D36" s="1256"/>
      <c r="E36" s="1266"/>
      <c r="F36" s="3266"/>
      <c r="G36" s="3263"/>
      <c r="H36" s="3269"/>
      <c r="I36" s="3270"/>
      <c r="J36" s="3262"/>
      <c r="K36" s="3262"/>
      <c r="L36" s="3264"/>
      <c r="M36" s="3112"/>
      <c r="N36" s="3271"/>
      <c r="O36" s="3272"/>
      <c r="P36" s="3261"/>
      <c r="Q36" s="3262"/>
      <c r="R36" s="3262"/>
      <c r="S36" s="3262"/>
      <c r="T36" s="3262"/>
      <c r="U36" s="3262"/>
      <c r="V36" s="3262"/>
      <c r="W36" s="3262"/>
      <c r="X36" s="3262"/>
      <c r="Y36" s="3262"/>
      <c r="Z36" s="2128"/>
      <c r="AA36" s="2129"/>
      <c r="AB36" s="2136"/>
      <c r="AC36" s="2130"/>
      <c r="AD36" s="2130"/>
      <c r="AE36" s="2137"/>
      <c r="AF36" s="3268"/>
      <c r="AG36" s="3264"/>
      <c r="AH36" s="3264"/>
      <c r="AI36" s="3268"/>
      <c r="AJ36" s="3264"/>
      <c r="AK36" s="3264"/>
      <c r="AL36" s="2079"/>
      <c r="AM36" s="1917"/>
      <c r="AN36" s="1917"/>
      <c r="AO36" s="1917"/>
      <c r="AP36" s="1917"/>
      <c r="AQ36" s="1917"/>
      <c r="AR36" s="1917"/>
      <c r="AS36" s="1917"/>
      <c r="AT36" s="1917"/>
      <c r="AU36" s="1917"/>
      <c r="AV36" s="1917"/>
      <c r="AW36" s="1917"/>
      <c r="AX36" s="1917"/>
      <c r="AY36" s="1917"/>
      <c r="AZ36" s="1917"/>
      <c r="BA36" s="1917"/>
      <c r="BB36" s="1917"/>
      <c r="BC36" s="1917"/>
      <c r="BD36" s="1917"/>
      <c r="BE36" s="1917"/>
      <c r="BF36" s="1917"/>
    </row>
    <row customHeight="1" ht="0.75">
      <c r="A37" s="1262" t="s">
        <v>1161</v>
      </c>
      <c r="D37" s="1256"/>
      <c r="E37" s="1266"/>
      <c r="F37" s="3266"/>
      <c r="G37" s="3263"/>
      <c r="H37" s="3269"/>
      <c r="I37" s="3270"/>
      <c r="J37" s="3262"/>
      <c r="K37" s="3262"/>
      <c r="L37" s="3264"/>
      <c r="M37" s="3112"/>
      <c r="N37" s="2129"/>
      <c r="O37" s="2129"/>
      <c r="P37" s="2136"/>
      <c r="Q37" s="2129"/>
      <c r="R37" s="2129"/>
      <c r="S37" s="2129"/>
      <c r="T37" s="2129"/>
      <c r="U37" s="2129"/>
      <c r="V37" s="2129"/>
      <c r="W37" s="2129"/>
      <c r="X37" s="2129"/>
      <c r="Y37" s="2129"/>
      <c r="Z37" s="2129"/>
      <c r="AA37" s="2129"/>
      <c r="AB37" s="2129"/>
      <c r="AC37" s="2129"/>
      <c r="AD37" s="2129"/>
      <c r="AE37" s="2138"/>
      <c r="AF37" s="3268"/>
      <c r="AG37" s="3264"/>
      <c r="AH37" s="3264"/>
      <c r="AI37" s="3268"/>
      <c r="AJ37" s="3264"/>
      <c r="AK37" s="3264"/>
      <c r="AL37" s="2079"/>
      <c r="AM37" s="1917"/>
      <c r="AN37" s="1917"/>
      <c r="AO37" s="1917"/>
      <c r="AP37" s="1917"/>
      <c r="AQ37" s="1917"/>
      <c r="AR37" s="1917"/>
      <c r="AS37" s="1917"/>
      <c r="AT37" s="1917"/>
      <c r="AU37" s="1917"/>
      <c r="AV37" s="1917"/>
      <c r="AW37" s="1917"/>
      <c r="AX37" s="1917"/>
      <c r="AY37" s="1917"/>
      <c r="AZ37" s="1917"/>
      <c r="BA37" s="1917"/>
      <c r="BB37" s="1917"/>
      <c r="BC37" s="1917"/>
      <c r="BD37" s="1917"/>
      <c r="BE37" s="1917"/>
      <c r="BF37" s="1917"/>
    </row>
    <row s="10365" customFormat="1" customHeight="1" ht="24.75">
      <c r="A38" s="1262" t="s">
        <v>1194</v>
      </c>
      <c r="B38" s="1262" t="s">
        <v>1195</v>
      </c>
      <c r="C38" s="1262"/>
      <c r="D38" s="1462"/>
      <c r="E38" s="1266"/>
      <c r="F38" s="3394"/>
      <c r="G38" s="3004" t="s">
        <v>103</v>
      </c>
      <c r="H38" s="3263" t="s">
        <v>144</v>
      </c>
      <c r="I38" s="3374" t="s">
        <v>1196</v>
      </c>
      <c r="J38" s="3334" t="s">
        <v>1197</v>
      </c>
      <c r="K38" s="3372" t="s">
        <v>1198</v>
      </c>
      <c r="L38" s="3376" t="s">
        <v>19</v>
      </c>
      <c r="M38" s="2990"/>
      <c r="N38" s="1274"/>
      <c r="O38" s="1273" t="s">
        <v>461</v>
      </c>
      <c r="P38" s="1274"/>
      <c r="Q38" s="1274"/>
      <c r="R38" s="1274"/>
      <c r="S38" s="1274"/>
      <c r="T38" s="1274"/>
      <c r="U38" s="1274"/>
      <c r="V38" s="1274"/>
      <c r="W38" s="1274"/>
      <c r="X38" s="1274"/>
      <c r="Y38" s="1274"/>
      <c r="Z38" s="1274"/>
      <c r="AA38" s="1274"/>
      <c r="AB38" s="1274"/>
      <c r="AC38" s="1274"/>
      <c r="AD38" s="1274"/>
      <c r="AE38" s="1274"/>
      <c r="AF38" s="3375">
        <v>4</v>
      </c>
      <c r="AG38" s="3376" t="s">
        <v>1199</v>
      </c>
      <c r="AH38" s="3376" t="s">
        <v>1200</v>
      </c>
      <c r="AI38" s="3375">
        <v>4</v>
      </c>
      <c r="AJ38" s="3376" t="s">
        <v>1199</v>
      </c>
      <c r="AK38" s="3376" t="s">
        <v>1200</v>
      </c>
      <c r="AL38" s="2079"/>
      <c r="AM38" s="1917"/>
      <c r="AN38" s="1917"/>
      <c r="AO38" s="1917"/>
      <c r="AP38" s="1917"/>
      <c r="AQ38" s="1917"/>
      <c r="AR38" s="1917"/>
      <c r="AS38" s="1917"/>
      <c r="AT38" s="1917"/>
      <c r="AU38" s="1917"/>
      <c r="AV38" s="1917"/>
      <c r="AW38" s="1917"/>
      <c r="AX38" s="1917"/>
      <c r="AY38" s="1917"/>
      <c r="AZ38" s="1917"/>
      <c r="BA38" s="1917"/>
      <c r="BB38" s="1917"/>
      <c r="BC38" s="1917"/>
      <c r="BD38" s="1917"/>
      <c r="BE38" s="1917"/>
      <c r="BF38" s="1917"/>
    </row>
    <row s="10365" customFormat="1" customHeight="1" ht="11.25">
      <c r="A39" s="1262" t="s">
        <v>1194</v>
      </c>
      <c r="B39" s="1262"/>
      <c r="C39" s="1262"/>
      <c r="D39" s="1462"/>
      <c r="E39" s="1266"/>
      <c r="F39" s="3394"/>
      <c r="G39" s="3396"/>
      <c r="H39" s="3263"/>
      <c r="I39" s="3374"/>
      <c r="J39" s="3334"/>
      <c r="K39" s="3372"/>
      <c r="L39" s="3376"/>
      <c r="M39" s="2990"/>
      <c r="N39" s="3395"/>
      <c r="O39" s="3342">
        <v>1</v>
      </c>
      <c r="P39" s="3343" t="s">
        <v>19</v>
      </c>
      <c r="Q39" s="3236" t="s">
        <v>22</v>
      </c>
      <c r="R39" s="3236" t="s">
        <v>22</v>
      </c>
      <c r="S39" s="3236" t="s">
        <v>22</v>
      </c>
      <c r="T39" s="3236" t="s">
        <v>22</v>
      </c>
      <c r="U39" s="3236" t="s">
        <v>22</v>
      </c>
      <c r="V39" s="3236" t="s">
        <v>22</v>
      </c>
      <c r="W39" s="3236" t="s">
        <v>22</v>
      </c>
      <c r="X39" s="3236" t="s">
        <v>22</v>
      </c>
      <c r="Y39" s="3236"/>
      <c r="Z39" s="1271"/>
      <c r="AA39" s="1272"/>
      <c r="AB39" s="1272"/>
      <c r="AC39" s="1276"/>
      <c r="AD39" s="1276"/>
      <c r="AE39" s="1277"/>
      <c r="AF39" s="3375"/>
      <c r="AG39" s="3376"/>
      <c r="AH39" s="3376"/>
      <c r="AI39" s="3375"/>
      <c r="AJ39" s="3376"/>
      <c r="AK39" s="3376"/>
      <c r="AL39" s="2079"/>
      <c r="AM39" s="1917"/>
      <c r="AN39" s="1917"/>
      <c r="AO39" s="1917"/>
      <c r="AP39" s="1917"/>
      <c r="AQ39" s="1917"/>
      <c r="AR39" s="1917"/>
      <c r="AS39" s="1917"/>
      <c r="AT39" s="1917"/>
      <c r="AU39" s="1917"/>
      <c r="AV39" s="1917"/>
      <c r="AW39" s="1917"/>
      <c r="AX39" s="1917"/>
      <c r="AY39" s="1917"/>
      <c r="AZ39" s="1917"/>
      <c r="BA39" s="1917"/>
      <c r="BB39" s="1917"/>
      <c r="BC39" s="1917"/>
      <c r="BD39" s="1917"/>
      <c r="BE39" s="1917"/>
      <c r="BF39" s="1917"/>
    </row>
    <row s="10365" customFormat="1" customHeight="1" ht="11.25">
      <c r="A40" s="1262" t="s">
        <v>1194</v>
      </c>
      <c r="B40" s="1262"/>
      <c r="C40" s="1262"/>
      <c r="D40" s="1462"/>
      <c r="E40" s="1266"/>
      <c r="F40" s="3394"/>
      <c r="G40" s="3396"/>
      <c r="H40" s="3263"/>
      <c r="I40" s="3374"/>
      <c r="J40" s="3334"/>
      <c r="K40" s="3372"/>
      <c r="L40" s="3376"/>
      <c r="M40" s="2990"/>
      <c r="N40" s="3395"/>
      <c r="O40" s="3342"/>
      <c r="P40" s="3344"/>
      <c r="Q40" s="3236"/>
      <c r="R40" s="3236"/>
      <c r="S40" s="3346"/>
      <c r="T40" s="3236"/>
      <c r="U40" s="3236"/>
      <c r="V40" s="3236"/>
      <c r="W40" s="3236"/>
      <c r="X40" s="3236"/>
      <c r="Y40" s="3236"/>
      <c r="Z40" s="1922"/>
      <c r="AA40" s="2198">
        <v>1</v>
      </c>
      <c r="AB40" s="1275" t="s">
        <v>1201</v>
      </c>
      <c r="AC40" s="1265">
        <v>9950.2</v>
      </c>
      <c r="AD40" s="1275" t="str">
        <f>AB40</f>
        <v>      Амортизационные отчисления с выделением результатов переоценки основных средств и нематериальных активов</v>
      </c>
      <c r="AE40" s="1265">
        <v>4297.02</v>
      </c>
      <c r="AF40" s="3375"/>
      <c r="AG40" s="3376"/>
      <c r="AH40" s="3376"/>
      <c r="AI40" s="3375"/>
      <c r="AJ40" s="3376"/>
      <c r="AK40" s="3376"/>
      <c r="AL40" s="2079"/>
      <c r="AM40" s="1917"/>
      <c r="AN40" s="1917"/>
      <c r="AO40" s="1917"/>
      <c r="AP40" s="1917"/>
      <c r="AQ40" s="1917"/>
      <c r="AR40" s="1917"/>
      <c r="AS40" s="1917"/>
      <c r="AT40" s="1917"/>
      <c r="AU40" s="1917"/>
      <c r="AV40" s="1917"/>
      <c r="AW40" s="1917"/>
      <c r="AX40" s="1917"/>
      <c r="AY40" s="1917"/>
      <c r="AZ40" s="1917"/>
      <c r="BA40" s="1917"/>
      <c r="BB40" s="1917"/>
      <c r="BC40" s="1917"/>
      <c r="BD40" s="1917"/>
      <c r="BE40" s="1917"/>
      <c r="BF40" s="1917"/>
    </row>
    <row s="10365" customFormat="1" customHeight="1" ht="11.25">
      <c r="A41" s="1262" t="s">
        <v>1194</v>
      </c>
      <c r="B41" s="1262"/>
      <c r="C41" s="1262"/>
      <c r="D41" s="1462"/>
      <c r="E41" s="1266"/>
      <c r="F41" s="3394"/>
      <c r="G41" s="3396"/>
      <c r="H41" s="3396"/>
      <c r="I41" s="3396"/>
      <c r="J41" s="3396"/>
      <c r="K41" s="3396"/>
      <c r="L41" s="3396"/>
      <c r="M41" s="3396"/>
      <c r="N41" s="3396"/>
      <c r="O41" s="3396"/>
      <c r="P41" s="3396"/>
      <c r="Q41" s="3396"/>
      <c r="R41" s="3396"/>
      <c r="S41" s="3396"/>
      <c r="T41" s="3396"/>
      <c r="U41" s="3396"/>
      <c r="V41" s="3396"/>
      <c r="W41" s="3396"/>
      <c r="X41" s="3396"/>
      <c r="Y41" s="3396"/>
      <c r="Z41" s="790" t="s">
        <v>103</v>
      </c>
      <c r="AA41" s="2195" t="s">
        <v>102</v>
      </c>
      <c r="AB41" s="1275" t="s">
        <v>1202</v>
      </c>
      <c r="AC41" s="1265">
        <v>1794.22091</v>
      </c>
      <c r="AD41" s="1275" t="str">
        <f>AB41</f>
        <v>      Прочие амортизационные отчисления</v>
      </c>
      <c r="AE41" s="1265">
        <v>1.452</v>
      </c>
      <c r="AF41" s="3397"/>
      <c r="AG41" s="3398"/>
      <c r="AH41" s="3398"/>
      <c r="AI41" s="3397"/>
      <c r="AJ41" s="3398"/>
      <c r="AK41" s="3399"/>
      <c r="AL41" s="2079"/>
      <c r="AM41" s="1917"/>
      <c r="AN41" s="1917"/>
      <c r="AO41" s="1917"/>
      <c r="AP41" s="1917"/>
      <c r="AQ41" s="1917"/>
      <c r="AR41" s="1917"/>
      <c r="AS41" s="1917"/>
      <c r="AT41" s="1917"/>
      <c r="AU41" s="1917"/>
      <c r="AV41" s="1917"/>
      <c r="AW41" s="1917"/>
      <c r="AX41" s="1917"/>
      <c r="AY41" s="1917"/>
      <c r="AZ41" s="1917"/>
      <c r="BA41" s="1917"/>
      <c r="BB41" s="1917"/>
      <c r="BC41" s="1917"/>
      <c r="BD41" s="1917"/>
      <c r="BE41" s="1917"/>
      <c r="BF41" s="1917"/>
    </row>
    <row s="10365" customFormat="1" customHeight="1" ht="11.25">
      <c r="A42" s="1262" t="s">
        <v>1194</v>
      </c>
      <c r="B42" s="1262"/>
      <c r="C42" s="1262"/>
      <c r="D42" s="1462"/>
      <c r="E42" s="1266"/>
      <c r="F42" s="3394"/>
      <c r="G42" s="3396"/>
      <c r="H42" s="3263"/>
      <c r="I42" s="3374"/>
      <c r="J42" s="3334"/>
      <c r="K42" s="3372"/>
      <c r="L42" s="3376"/>
      <c r="M42" s="2990"/>
      <c r="N42" s="3395"/>
      <c r="O42" s="3342"/>
      <c r="P42" s="3345"/>
      <c r="Q42" s="3236"/>
      <c r="R42" s="3236"/>
      <c r="S42" s="3346"/>
      <c r="T42" s="3236"/>
      <c r="U42" s="3236"/>
      <c r="V42" s="3236"/>
      <c r="W42" s="3236"/>
      <c r="X42" s="3236"/>
      <c r="Y42" s="3236"/>
      <c r="Z42" s="1271"/>
      <c r="AA42" s="1272"/>
      <c r="AB42" s="1337" t="s">
        <v>1203</v>
      </c>
      <c r="AC42" s="1276"/>
      <c r="AD42" s="1276"/>
      <c r="AE42" s="1278"/>
      <c r="AF42" s="3375"/>
      <c r="AG42" s="3376"/>
      <c r="AH42" s="3376"/>
      <c r="AI42" s="3375"/>
      <c r="AJ42" s="3376"/>
      <c r="AK42" s="3376"/>
      <c r="AL42" s="2079"/>
      <c r="AM42" s="1917"/>
      <c r="AN42" s="1917"/>
      <c r="AO42" s="1917"/>
      <c r="AP42" s="1917"/>
      <c r="AQ42" s="1917"/>
      <c r="AR42" s="1917"/>
      <c r="AS42" s="1917"/>
      <c r="AT42" s="1917"/>
      <c r="AU42" s="1917"/>
      <c r="AV42" s="1917"/>
      <c r="AW42" s="1917"/>
      <c r="AX42" s="1917"/>
      <c r="AY42" s="1917"/>
      <c r="AZ42" s="1917"/>
      <c r="BA42" s="1917"/>
      <c r="BB42" s="1917"/>
      <c r="BC42" s="1917"/>
      <c r="BD42" s="1917"/>
      <c r="BE42" s="1917"/>
      <c r="BF42" s="1917"/>
    </row>
    <row s="10365" customFormat="1" customHeight="1" ht="11.25">
      <c r="A43" s="1262" t="s">
        <v>1194</v>
      </c>
      <c r="B43" s="1262"/>
      <c r="C43" s="1262"/>
      <c r="D43" s="1462"/>
      <c r="E43" s="1266"/>
      <c r="F43" s="3394"/>
      <c r="G43" s="3396"/>
      <c r="H43" s="3263"/>
      <c r="I43" s="3374"/>
      <c r="J43" s="3334"/>
      <c r="K43" s="3372"/>
      <c r="L43" s="3376"/>
      <c r="M43" s="2990"/>
      <c r="N43" s="1272"/>
      <c r="O43" s="1272"/>
      <c r="P43" s="1337" t="s">
        <v>1204</v>
      </c>
      <c r="Q43" s="1272"/>
      <c r="R43" s="1272"/>
      <c r="S43" s="1272"/>
      <c r="T43" s="1272"/>
      <c r="U43" s="1272"/>
      <c r="V43" s="1272"/>
      <c r="W43" s="1272"/>
      <c r="X43" s="1272"/>
      <c r="Y43" s="1272"/>
      <c r="Z43" s="1272"/>
      <c r="AA43" s="1272"/>
      <c r="AB43" s="1272"/>
      <c r="AC43" s="1272"/>
      <c r="AD43" s="1272"/>
      <c r="AE43" s="1279"/>
      <c r="AF43" s="3375"/>
      <c r="AG43" s="3376"/>
      <c r="AH43" s="3376"/>
      <c r="AI43" s="3375"/>
      <c r="AJ43" s="3376"/>
      <c r="AK43" s="3376"/>
      <c r="AL43" s="2079"/>
      <c r="AM43" s="1917"/>
      <c r="AN43" s="1917"/>
      <c r="AO43" s="1917"/>
      <c r="AP43" s="1917"/>
      <c r="AQ43" s="1917"/>
      <c r="AR43" s="1917"/>
      <c r="AS43" s="1917"/>
      <c r="AT43" s="1917"/>
      <c r="AU43" s="1917"/>
      <c r="AV43" s="1917"/>
      <c r="AW43" s="1917"/>
      <c r="AX43" s="1917"/>
      <c r="AY43" s="1917"/>
      <c r="AZ43" s="1917"/>
      <c r="BA43" s="1917"/>
      <c r="BB43" s="1917"/>
      <c r="BC43" s="1917"/>
      <c r="BD43" s="1917"/>
      <c r="BE43" s="1917"/>
      <c r="BF43" s="1917"/>
    </row>
    <row s="10365" customFormat="1" customHeight="1" ht="11.25">
      <c r="A44" s="1262" t="s">
        <v>1194</v>
      </c>
      <c r="B44" s="1262" t="s">
        <v>1195</v>
      </c>
      <c r="C44" s="1262"/>
      <c r="D44" s="1462"/>
      <c r="E44" s="1266"/>
      <c r="F44" s="3394"/>
      <c r="G44" s="3004" t="s">
        <v>103</v>
      </c>
      <c r="H44" s="3263" t="s">
        <v>102</v>
      </c>
      <c r="I44" s="3374" t="s">
        <v>1196</v>
      </c>
      <c r="J44" s="3334" t="s">
        <v>1197</v>
      </c>
      <c r="K44" s="3372" t="s">
        <v>1205</v>
      </c>
      <c r="L44" s="2989" t="s">
        <v>19</v>
      </c>
      <c r="M44" s="2990"/>
      <c r="N44" s="2077"/>
      <c r="O44" s="1273" t="s">
        <v>461</v>
      </c>
      <c r="P44" s="1274"/>
      <c r="Q44" s="1274"/>
      <c r="R44" s="1274"/>
      <c r="S44" s="1274"/>
      <c r="T44" s="1274"/>
      <c r="U44" s="1274"/>
      <c r="V44" s="1274"/>
      <c r="W44" s="1274"/>
      <c r="X44" s="1274"/>
      <c r="Y44" s="1274"/>
      <c r="Z44" s="1274"/>
      <c r="AA44" s="1274"/>
      <c r="AB44" s="1274"/>
      <c r="AC44" s="1274"/>
      <c r="AD44" s="1274"/>
      <c r="AE44" s="1274"/>
      <c r="AF44" s="3375">
        <v>10</v>
      </c>
      <c r="AG44" s="3376" t="s">
        <v>1206</v>
      </c>
      <c r="AH44" s="3376" t="s">
        <v>1207</v>
      </c>
      <c r="AI44" s="3375">
        <v>10</v>
      </c>
      <c r="AJ44" s="3376" t="s">
        <v>1206</v>
      </c>
      <c r="AK44" s="3376" t="s">
        <v>1207</v>
      </c>
      <c r="AL44" s="2079"/>
      <c r="AM44" s="1917"/>
      <c r="AN44" s="1917"/>
      <c r="AO44" s="1917"/>
      <c r="AP44" s="1917"/>
      <c r="AQ44" s="1917"/>
      <c r="AR44" s="1917"/>
      <c r="AS44" s="1917"/>
      <c r="AT44" s="1917"/>
      <c r="AU44" s="1917"/>
      <c r="AV44" s="1917"/>
      <c r="AW44" s="1917"/>
      <c r="AX44" s="1917"/>
      <c r="AY44" s="1917"/>
      <c r="AZ44" s="1917"/>
      <c r="BA44" s="1917"/>
      <c r="BB44" s="1917"/>
      <c r="BC44" s="1917"/>
      <c r="BD44" s="1917"/>
      <c r="BE44" s="1917"/>
      <c r="BF44" s="1917"/>
    </row>
    <row s="10365" customFormat="1" customHeight="1" ht="11.25">
      <c r="A45" s="1262" t="s">
        <v>1194</v>
      </c>
      <c r="B45" s="1262"/>
      <c r="C45" s="1262"/>
      <c r="D45" s="1462"/>
      <c r="E45" s="1266"/>
      <c r="F45" s="3394"/>
      <c r="G45" s="3396"/>
      <c r="H45" s="3263" t="s">
        <v>144</v>
      </c>
      <c r="I45" s="3374"/>
      <c r="J45" s="3334"/>
      <c r="K45" s="3372"/>
      <c r="L45" s="2989"/>
      <c r="M45" s="2990"/>
      <c r="N45" s="3341"/>
      <c r="O45" s="3377">
        <v>1</v>
      </c>
      <c r="P45" s="3343" t="s">
        <v>19</v>
      </c>
      <c r="Q45" s="3236" t="s">
        <v>22</v>
      </c>
      <c r="R45" s="3236" t="s">
        <v>22</v>
      </c>
      <c r="S45" s="3236" t="s">
        <v>22</v>
      </c>
      <c r="T45" s="3236" t="s">
        <v>22</v>
      </c>
      <c r="U45" s="3236" t="s">
        <v>22</v>
      </c>
      <c r="V45" s="3236" t="s">
        <v>22</v>
      </c>
      <c r="W45" s="3236" t="s">
        <v>22</v>
      </c>
      <c r="X45" s="3236" t="s">
        <v>22</v>
      </c>
      <c r="Y45" s="3236"/>
      <c r="Z45" s="1271"/>
      <c r="AA45" s="1272"/>
      <c r="AB45" s="1272"/>
      <c r="AC45" s="1276"/>
      <c r="AD45" s="1276"/>
      <c r="AE45" s="1277"/>
      <c r="AF45" s="3375"/>
      <c r="AG45" s="3376"/>
      <c r="AH45" s="3376"/>
      <c r="AI45" s="3375"/>
      <c r="AJ45" s="3376"/>
      <c r="AK45" s="3376"/>
      <c r="AL45" s="2079"/>
      <c r="AM45" s="1917"/>
      <c r="AN45" s="1917"/>
      <c r="AO45" s="1917"/>
      <c r="AP45" s="1917"/>
      <c r="AQ45" s="1917"/>
      <c r="AR45" s="1917"/>
      <c r="AS45" s="1917"/>
      <c r="AT45" s="1917"/>
      <c r="AU45" s="1917"/>
      <c r="AV45" s="1917"/>
      <c r="AW45" s="1917"/>
      <c r="AX45" s="1917"/>
      <c r="AY45" s="1917"/>
      <c r="AZ45" s="1917"/>
      <c r="BA45" s="1917"/>
      <c r="BB45" s="1917"/>
      <c r="BC45" s="1917"/>
      <c r="BD45" s="1917"/>
      <c r="BE45" s="1917"/>
      <c r="BF45" s="1917"/>
    </row>
    <row s="10365" customFormat="1" customHeight="1" ht="11.25">
      <c r="A46" s="1262" t="s">
        <v>1194</v>
      </c>
      <c r="B46" s="1262"/>
      <c r="C46" s="1262"/>
      <c r="D46" s="1462"/>
      <c r="E46" s="1266"/>
      <c r="F46" s="3394"/>
      <c r="G46" s="3396"/>
      <c r="H46" s="3263" t="s">
        <v>144</v>
      </c>
      <c r="I46" s="3374"/>
      <c r="J46" s="3334"/>
      <c r="K46" s="3372"/>
      <c r="L46" s="2989"/>
      <c r="M46" s="2990"/>
      <c r="N46" s="3341"/>
      <c r="O46" s="3377"/>
      <c r="P46" s="3344"/>
      <c r="Q46" s="3236"/>
      <c r="R46" s="3236"/>
      <c r="S46" s="3346"/>
      <c r="T46" s="3236"/>
      <c r="U46" s="3236"/>
      <c r="V46" s="3236"/>
      <c r="W46" s="3236"/>
      <c r="X46" s="3236"/>
      <c r="Y46" s="3236"/>
      <c r="Z46" s="1922"/>
      <c r="AA46" s="2198">
        <v>1</v>
      </c>
      <c r="AB46" s="1275" t="s">
        <v>1201</v>
      </c>
      <c r="AC46" s="1265">
        <v>3189.83</v>
      </c>
      <c r="AD46" s="1275" t="str">
        <f>AB46</f>
        <v>      Амортизационные отчисления с выделением результатов переоценки основных средств и нематериальных активов</v>
      </c>
      <c r="AE46" s="1265">
        <v>1546.29</v>
      </c>
      <c r="AF46" s="3375"/>
      <c r="AG46" s="3376"/>
      <c r="AH46" s="3376"/>
      <c r="AI46" s="3375"/>
      <c r="AJ46" s="3376"/>
      <c r="AK46" s="3376"/>
      <c r="AL46" s="2079"/>
      <c r="AM46" s="1917"/>
      <c r="AN46" s="1917"/>
      <c r="AO46" s="1917"/>
      <c r="AP46" s="1917"/>
      <c r="AQ46" s="1917"/>
      <c r="AR46" s="1917"/>
      <c r="AS46" s="1917"/>
      <c r="AT46" s="1917"/>
      <c r="AU46" s="1917"/>
      <c r="AV46" s="1917"/>
      <c r="AW46" s="1917"/>
      <c r="AX46" s="1917"/>
      <c r="AY46" s="1917"/>
      <c r="AZ46" s="1917"/>
      <c r="BA46" s="1917"/>
      <c r="BB46" s="1917"/>
      <c r="BC46" s="1917"/>
      <c r="BD46" s="1917"/>
      <c r="BE46" s="1917"/>
      <c r="BF46" s="1917"/>
    </row>
    <row s="10365" customFormat="1" customHeight="1" ht="11.25">
      <c r="A47" s="1262" t="s">
        <v>1194</v>
      </c>
      <c r="B47" s="1262"/>
      <c r="C47" s="1262"/>
      <c r="D47" s="1462"/>
      <c r="E47" s="1266"/>
      <c r="F47" s="3394"/>
      <c r="G47" s="3396"/>
      <c r="H47" s="3396"/>
      <c r="I47" s="3396"/>
      <c r="J47" s="3396"/>
      <c r="K47" s="3396"/>
      <c r="L47" s="3396"/>
      <c r="M47" s="3396"/>
      <c r="N47" s="3396"/>
      <c r="O47" s="3396"/>
      <c r="P47" s="3396"/>
      <c r="Q47" s="3396"/>
      <c r="R47" s="3396"/>
      <c r="S47" s="3396"/>
      <c r="T47" s="3396"/>
      <c r="U47" s="3396"/>
      <c r="V47" s="3396"/>
      <c r="W47" s="3396"/>
      <c r="X47" s="3396"/>
      <c r="Y47" s="3396"/>
      <c r="Z47" s="790" t="s">
        <v>103</v>
      </c>
      <c r="AA47" s="2195" t="s">
        <v>102</v>
      </c>
      <c r="AB47" s="1275" t="s">
        <v>1208</v>
      </c>
      <c r="AC47" s="1265">
        <v>637.96635</v>
      </c>
      <c r="AD47" s="1275" t="str">
        <f>AB47</f>
        <v>  Прочие собственные средства</v>
      </c>
      <c r="AE47" s="1265">
        <v>309.25802</v>
      </c>
      <c r="AF47" s="3397"/>
      <c r="AG47" s="3398"/>
      <c r="AH47" s="3398"/>
      <c r="AI47" s="3397"/>
      <c r="AJ47" s="3398"/>
      <c r="AK47" s="3399"/>
      <c r="AL47" s="2079"/>
      <c r="AM47" s="1917"/>
      <c r="AN47" s="1917"/>
      <c r="AO47" s="1917"/>
      <c r="AP47" s="1917"/>
      <c r="AQ47" s="1917"/>
      <c r="AR47" s="1917"/>
      <c r="AS47" s="1917"/>
      <c r="AT47" s="1917"/>
      <c r="AU47" s="1917"/>
      <c r="AV47" s="1917"/>
      <c r="AW47" s="1917"/>
      <c r="AX47" s="1917"/>
      <c r="AY47" s="1917"/>
      <c r="AZ47" s="1917"/>
      <c r="BA47" s="1917"/>
      <c r="BB47" s="1917"/>
      <c r="BC47" s="1917"/>
      <c r="BD47" s="1917"/>
      <c r="BE47" s="1917"/>
      <c r="BF47" s="1917"/>
    </row>
    <row s="10365" customFormat="1" customHeight="1" ht="11.25">
      <c r="A48" s="1262" t="s">
        <v>1194</v>
      </c>
      <c r="B48" s="1262"/>
      <c r="C48" s="1262"/>
      <c r="D48" s="1462"/>
      <c r="E48" s="1266"/>
      <c r="F48" s="3394"/>
      <c r="G48" s="3396"/>
      <c r="H48" s="3263" t="s">
        <v>144</v>
      </c>
      <c r="I48" s="3374"/>
      <c r="J48" s="3334"/>
      <c r="K48" s="3372"/>
      <c r="L48" s="2989"/>
      <c r="M48" s="2990"/>
      <c r="N48" s="3341"/>
      <c r="O48" s="3377"/>
      <c r="P48" s="3345"/>
      <c r="Q48" s="3236"/>
      <c r="R48" s="3236"/>
      <c r="S48" s="3346"/>
      <c r="T48" s="3236"/>
      <c r="U48" s="3236"/>
      <c r="V48" s="3236"/>
      <c r="W48" s="3236"/>
      <c r="X48" s="3236"/>
      <c r="Y48" s="3236"/>
      <c r="Z48" s="1271"/>
      <c r="AA48" s="1272"/>
      <c r="AB48" s="1337" t="s">
        <v>1203</v>
      </c>
      <c r="AC48" s="1276"/>
      <c r="AD48" s="1276"/>
      <c r="AE48" s="1278"/>
      <c r="AF48" s="3375"/>
      <c r="AG48" s="3376"/>
      <c r="AH48" s="3376"/>
      <c r="AI48" s="3375"/>
      <c r="AJ48" s="3376"/>
      <c r="AK48" s="3376"/>
      <c r="AL48" s="2079"/>
      <c r="AM48" s="1917"/>
      <c r="AN48" s="1917"/>
      <c r="AO48" s="1917"/>
      <c r="AP48" s="1917"/>
      <c r="AQ48" s="1917"/>
      <c r="AR48" s="1917"/>
      <c r="AS48" s="1917"/>
      <c r="AT48" s="1917"/>
      <c r="AU48" s="1917"/>
      <c r="AV48" s="1917"/>
      <c r="AW48" s="1917"/>
      <c r="AX48" s="1917"/>
      <c r="AY48" s="1917"/>
      <c r="AZ48" s="1917"/>
      <c r="BA48" s="1917"/>
      <c r="BB48" s="1917"/>
      <c r="BC48" s="1917"/>
      <c r="BD48" s="1917"/>
      <c r="BE48" s="1917"/>
      <c r="BF48" s="1917"/>
    </row>
    <row s="10365" customFormat="1" customHeight="1" ht="11.25">
      <c r="A49" s="1262" t="s">
        <v>1194</v>
      </c>
      <c r="B49" s="1262"/>
      <c r="C49" s="1262"/>
      <c r="D49" s="1462"/>
      <c r="E49" s="1266"/>
      <c r="F49" s="3394"/>
      <c r="G49" s="3396"/>
      <c r="H49" s="3263" t="s">
        <v>144</v>
      </c>
      <c r="I49" s="3374"/>
      <c r="J49" s="3334"/>
      <c r="K49" s="3372"/>
      <c r="L49" s="2989"/>
      <c r="M49" s="2990"/>
      <c r="N49" s="1271"/>
      <c r="O49" s="1272"/>
      <c r="P49" s="1337" t="s">
        <v>1204</v>
      </c>
      <c r="Q49" s="1272"/>
      <c r="R49" s="1272"/>
      <c r="S49" s="1272"/>
      <c r="T49" s="1272"/>
      <c r="U49" s="1272"/>
      <c r="V49" s="1272"/>
      <c r="W49" s="1272"/>
      <c r="X49" s="1272"/>
      <c r="Y49" s="1272"/>
      <c r="Z49" s="1272"/>
      <c r="AA49" s="1272"/>
      <c r="AB49" s="1272"/>
      <c r="AC49" s="1272"/>
      <c r="AD49" s="1272"/>
      <c r="AE49" s="1279"/>
      <c r="AF49" s="3375"/>
      <c r="AG49" s="3376"/>
      <c r="AH49" s="3376"/>
      <c r="AI49" s="3375"/>
      <c r="AJ49" s="3376"/>
      <c r="AK49" s="3376"/>
      <c r="AL49" s="2079"/>
      <c r="AM49" s="1917"/>
      <c r="AN49" s="1917"/>
      <c r="AO49" s="1917"/>
      <c r="AP49" s="1917"/>
      <c r="AQ49" s="1917"/>
      <c r="AR49" s="1917"/>
      <c r="AS49" s="1917"/>
      <c r="AT49" s="1917"/>
      <c r="AU49" s="1917"/>
      <c r="AV49" s="1917"/>
      <c r="AW49" s="1917"/>
      <c r="AX49" s="1917"/>
      <c r="AY49" s="1917"/>
      <c r="AZ49" s="1917"/>
      <c r="BA49" s="1917"/>
      <c r="BB49" s="1917"/>
      <c r="BC49" s="1917"/>
      <c r="BD49" s="1917"/>
      <c r="BE49" s="1917"/>
      <c r="BF49" s="1917"/>
    </row>
    <row s="10365" customFormat="1" customHeight="1" ht="11.25">
      <c r="A50" s="1262" t="s">
        <v>1194</v>
      </c>
      <c r="B50" s="1262" t="s">
        <v>1195</v>
      </c>
      <c r="C50" s="1262"/>
      <c r="D50" s="1462"/>
      <c r="E50" s="1266"/>
      <c r="F50" s="3394"/>
      <c r="G50" s="3004" t="s">
        <v>103</v>
      </c>
      <c r="H50" s="3263" t="s">
        <v>90</v>
      </c>
      <c r="I50" s="3374" t="s">
        <v>1196</v>
      </c>
      <c r="J50" s="3334" t="s">
        <v>1197</v>
      </c>
      <c r="K50" s="3372" t="s">
        <v>1209</v>
      </c>
      <c r="L50" s="2989" t="s">
        <v>19</v>
      </c>
      <c r="M50" s="2990"/>
      <c r="N50" s="2077"/>
      <c r="O50" s="1273" t="s">
        <v>461</v>
      </c>
      <c r="P50" s="1274"/>
      <c r="Q50" s="1274"/>
      <c r="R50" s="1274"/>
      <c r="S50" s="1274"/>
      <c r="T50" s="1274"/>
      <c r="U50" s="1274"/>
      <c r="V50" s="1274"/>
      <c r="W50" s="1274"/>
      <c r="X50" s="1274"/>
      <c r="Y50" s="1274"/>
      <c r="Z50" s="1274"/>
      <c r="AA50" s="1274"/>
      <c r="AB50" s="1274"/>
      <c r="AC50" s="1274"/>
      <c r="AD50" s="1274"/>
      <c r="AE50" s="1274"/>
      <c r="AF50" s="3375">
        <v>11</v>
      </c>
      <c r="AG50" s="3376" t="s">
        <v>1206</v>
      </c>
      <c r="AH50" s="3376" t="s">
        <v>1210</v>
      </c>
      <c r="AI50" s="3375">
        <v>11</v>
      </c>
      <c r="AJ50" s="3376" t="s">
        <v>1206</v>
      </c>
      <c r="AK50" s="3376" t="s">
        <v>1210</v>
      </c>
      <c r="AL50" s="2079"/>
      <c r="AM50" s="1917"/>
      <c r="AN50" s="1917"/>
      <c r="AO50" s="1917"/>
      <c r="AP50" s="1917"/>
      <c r="AQ50" s="1917"/>
      <c r="AR50" s="1917"/>
      <c r="AS50" s="1917"/>
      <c r="AT50" s="1917"/>
      <c r="AU50" s="1917"/>
      <c r="AV50" s="1917"/>
      <c r="AW50" s="1917"/>
      <c r="AX50" s="1917"/>
      <c r="AY50" s="1917"/>
      <c r="AZ50" s="1917"/>
      <c r="BA50" s="1917"/>
      <c r="BB50" s="1917"/>
      <c r="BC50" s="1917"/>
      <c r="BD50" s="1917"/>
      <c r="BE50" s="1917"/>
      <c r="BF50" s="1917"/>
    </row>
    <row s="10365" customFormat="1" customHeight="1" ht="11.25">
      <c r="A51" s="1262" t="s">
        <v>1194</v>
      </c>
      <c r="B51" s="1262"/>
      <c r="C51" s="1262"/>
      <c r="D51" s="1462"/>
      <c r="E51" s="1266"/>
      <c r="F51" s="3394"/>
      <c r="G51" s="3396"/>
      <c r="H51" s="3263" t="s">
        <v>102</v>
      </c>
      <c r="I51" s="3374"/>
      <c r="J51" s="3334"/>
      <c r="K51" s="3372"/>
      <c r="L51" s="2989"/>
      <c r="M51" s="2990"/>
      <c r="N51" s="3341"/>
      <c r="O51" s="3377">
        <v>1</v>
      </c>
      <c r="P51" s="3343" t="s">
        <v>19</v>
      </c>
      <c r="Q51" s="3236" t="s">
        <v>22</v>
      </c>
      <c r="R51" s="3236" t="s">
        <v>22</v>
      </c>
      <c r="S51" s="3236" t="s">
        <v>22</v>
      </c>
      <c r="T51" s="3236" t="s">
        <v>22</v>
      </c>
      <c r="U51" s="3236" t="s">
        <v>22</v>
      </c>
      <c r="V51" s="3236" t="s">
        <v>22</v>
      </c>
      <c r="W51" s="3236" t="s">
        <v>22</v>
      </c>
      <c r="X51" s="3236" t="s">
        <v>22</v>
      </c>
      <c r="Y51" s="3236"/>
      <c r="Z51" s="1271"/>
      <c r="AA51" s="1272"/>
      <c r="AB51" s="1272"/>
      <c r="AC51" s="1276"/>
      <c r="AD51" s="1276"/>
      <c r="AE51" s="1277"/>
      <c r="AF51" s="3375"/>
      <c r="AG51" s="3376"/>
      <c r="AH51" s="3376"/>
      <c r="AI51" s="3375"/>
      <c r="AJ51" s="3376"/>
      <c r="AK51" s="3376"/>
      <c r="AL51" s="2079"/>
      <c r="AM51" s="1917"/>
      <c r="AN51" s="1917"/>
      <c r="AO51" s="1917"/>
      <c r="AP51" s="1917"/>
      <c r="AQ51" s="1917"/>
      <c r="AR51" s="1917"/>
      <c r="AS51" s="1917"/>
      <c r="AT51" s="1917"/>
      <c r="AU51" s="1917"/>
      <c r="AV51" s="1917"/>
      <c r="AW51" s="1917"/>
      <c r="AX51" s="1917"/>
      <c r="AY51" s="1917"/>
      <c r="AZ51" s="1917"/>
      <c r="BA51" s="1917"/>
      <c r="BB51" s="1917"/>
      <c r="BC51" s="1917"/>
      <c r="BD51" s="1917"/>
      <c r="BE51" s="1917"/>
      <c r="BF51" s="1917"/>
    </row>
    <row s="10365" customFormat="1" customHeight="1" ht="11.25">
      <c r="A52" s="1262" t="s">
        <v>1194</v>
      </c>
      <c r="B52" s="1262"/>
      <c r="C52" s="1262"/>
      <c r="D52" s="1462"/>
      <c r="E52" s="1266"/>
      <c r="F52" s="3394"/>
      <c r="G52" s="3396"/>
      <c r="H52" s="3263" t="s">
        <v>102</v>
      </c>
      <c r="I52" s="3374"/>
      <c r="J52" s="3334"/>
      <c r="K52" s="3372"/>
      <c r="L52" s="2989"/>
      <c r="M52" s="2990"/>
      <c r="N52" s="3341"/>
      <c r="O52" s="3377"/>
      <c r="P52" s="3344"/>
      <c r="Q52" s="3236"/>
      <c r="R52" s="3236"/>
      <c r="S52" s="3346"/>
      <c r="T52" s="3236"/>
      <c r="U52" s="3236"/>
      <c r="V52" s="3236"/>
      <c r="W52" s="3236"/>
      <c r="X52" s="3236"/>
      <c r="Y52" s="3236"/>
      <c r="Z52" s="1922"/>
      <c r="AA52" s="2198">
        <v>1</v>
      </c>
      <c r="AB52" s="1275" t="s">
        <v>1201</v>
      </c>
      <c r="AC52" s="1265">
        <v>319.82</v>
      </c>
      <c r="AD52" s="1275" t="str">
        <f>AB52</f>
        <v>      Амортизационные отчисления с выделением результатов переоценки основных средств и нематериальных активов</v>
      </c>
      <c r="AE52" s="1265">
        <v>325.04</v>
      </c>
      <c r="AF52" s="3375"/>
      <c r="AG52" s="3376"/>
      <c r="AH52" s="3376"/>
      <c r="AI52" s="3375"/>
      <c r="AJ52" s="3376"/>
      <c r="AK52" s="3376"/>
      <c r="AL52" s="2079"/>
      <c r="AM52" s="1917"/>
      <c r="AN52" s="1917"/>
      <c r="AO52" s="1917"/>
      <c r="AP52" s="1917"/>
      <c r="AQ52" s="1917"/>
      <c r="AR52" s="1917"/>
      <c r="AS52" s="1917"/>
      <c r="AT52" s="1917"/>
      <c r="AU52" s="1917"/>
      <c r="AV52" s="1917"/>
      <c r="AW52" s="1917"/>
      <c r="AX52" s="1917"/>
      <c r="AY52" s="1917"/>
      <c r="AZ52" s="1917"/>
      <c r="BA52" s="1917"/>
      <c r="BB52" s="1917"/>
      <c r="BC52" s="1917"/>
      <c r="BD52" s="1917"/>
      <c r="BE52" s="1917"/>
      <c r="BF52" s="1917"/>
    </row>
    <row s="10365" customFormat="1" customHeight="1" ht="11.25">
      <c r="A53" s="1262" t="s">
        <v>1194</v>
      </c>
      <c r="B53" s="1262"/>
      <c r="C53" s="1262"/>
      <c r="D53" s="1462"/>
      <c r="E53" s="1266"/>
      <c r="F53" s="3394"/>
      <c r="G53" s="3396"/>
      <c r="H53" s="3396"/>
      <c r="I53" s="3396"/>
      <c r="J53" s="3396"/>
      <c r="K53" s="3396"/>
      <c r="L53" s="3396"/>
      <c r="M53" s="3396"/>
      <c r="N53" s="3396"/>
      <c r="O53" s="3396"/>
      <c r="P53" s="3396"/>
      <c r="Q53" s="3396"/>
      <c r="R53" s="3396"/>
      <c r="S53" s="3396"/>
      <c r="T53" s="3396"/>
      <c r="U53" s="3396"/>
      <c r="V53" s="3396"/>
      <c r="W53" s="3396"/>
      <c r="X53" s="3396"/>
      <c r="Y53" s="3396"/>
      <c r="Z53" s="790" t="s">
        <v>103</v>
      </c>
      <c r="AA53" s="2195" t="s">
        <v>102</v>
      </c>
      <c r="AB53" s="1275" t="s">
        <v>1208</v>
      </c>
      <c r="AC53" s="1265">
        <v>63.96319</v>
      </c>
      <c r="AD53" s="1275" t="str">
        <f>AB53</f>
        <v>  Прочие собственные средства</v>
      </c>
      <c r="AE53" s="1265">
        <v>58.73921</v>
      </c>
      <c r="AF53" s="3397"/>
      <c r="AG53" s="3398"/>
      <c r="AH53" s="3398"/>
      <c r="AI53" s="3397"/>
      <c r="AJ53" s="3398"/>
      <c r="AK53" s="3399"/>
      <c r="AL53" s="2079"/>
      <c r="AM53" s="1917"/>
      <c r="AN53" s="1917"/>
      <c r="AO53" s="1917"/>
      <c r="AP53" s="1917"/>
      <c r="AQ53" s="1917"/>
      <c r="AR53" s="1917"/>
      <c r="AS53" s="1917"/>
      <c r="AT53" s="1917"/>
      <c r="AU53" s="1917"/>
      <c r="AV53" s="1917"/>
      <c r="AW53" s="1917"/>
      <c r="AX53" s="1917"/>
      <c r="AY53" s="1917"/>
      <c r="AZ53" s="1917"/>
      <c r="BA53" s="1917"/>
      <c r="BB53" s="1917"/>
      <c r="BC53" s="1917"/>
      <c r="BD53" s="1917"/>
      <c r="BE53" s="1917"/>
      <c r="BF53" s="1917"/>
    </row>
    <row s="10365" customFormat="1" customHeight="1" ht="11.25">
      <c r="A54" s="1262" t="s">
        <v>1194</v>
      </c>
      <c r="B54" s="1262"/>
      <c r="C54" s="1262"/>
      <c r="D54" s="1462"/>
      <c r="E54" s="1266"/>
      <c r="F54" s="3394"/>
      <c r="G54" s="3396"/>
      <c r="H54" s="3263" t="s">
        <v>102</v>
      </c>
      <c r="I54" s="3374"/>
      <c r="J54" s="3334"/>
      <c r="K54" s="3372"/>
      <c r="L54" s="2989"/>
      <c r="M54" s="2990"/>
      <c r="N54" s="3341"/>
      <c r="O54" s="3377"/>
      <c r="P54" s="3345"/>
      <c r="Q54" s="3236"/>
      <c r="R54" s="3236"/>
      <c r="S54" s="3346"/>
      <c r="T54" s="3236"/>
      <c r="U54" s="3236"/>
      <c r="V54" s="3236"/>
      <c r="W54" s="3236"/>
      <c r="X54" s="3236"/>
      <c r="Y54" s="3236"/>
      <c r="Z54" s="1271"/>
      <c r="AA54" s="1272"/>
      <c r="AB54" s="1337" t="s">
        <v>1203</v>
      </c>
      <c r="AC54" s="1276"/>
      <c r="AD54" s="1276"/>
      <c r="AE54" s="1278"/>
      <c r="AF54" s="3375"/>
      <c r="AG54" s="3376"/>
      <c r="AH54" s="3376"/>
      <c r="AI54" s="3375"/>
      <c r="AJ54" s="3376"/>
      <c r="AK54" s="3376"/>
      <c r="AL54" s="2079"/>
      <c r="AM54" s="1917"/>
      <c r="AN54" s="1917"/>
      <c r="AO54" s="1917"/>
      <c r="AP54" s="1917"/>
      <c r="AQ54" s="1917"/>
      <c r="AR54" s="1917"/>
      <c r="AS54" s="1917"/>
      <c r="AT54" s="1917"/>
      <c r="AU54" s="1917"/>
      <c r="AV54" s="1917"/>
      <c r="AW54" s="1917"/>
      <c r="AX54" s="1917"/>
      <c r="AY54" s="1917"/>
      <c r="AZ54" s="1917"/>
      <c r="BA54" s="1917"/>
      <c r="BB54" s="1917"/>
      <c r="BC54" s="1917"/>
      <c r="BD54" s="1917"/>
      <c r="BE54" s="1917"/>
      <c r="BF54" s="1917"/>
    </row>
    <row s="10365" customFormat="1" customHeight="1" ht="11.25">
      <c r="A55" s="1262" t="s">
        <v>1194</v>
      </c>
      <c r="B55" s="1262"/>
      <c r="C55" s="1262"/>
      <c r="D55" s="1462"/>
      <c r="E55" s="1266"/>
      <c r="F55" s="3394"/>
      <c r="G55" s="3396"/>
      <c r="H55" s="3263" t="s">
        <v>102</v>
      </c>
      <c r="I55" s="3374"/>
      <c r="J55" s="3334"/>
      <c r="K55" s="3372"/>
      <c r="L55" s="2989"/>
      <c r="M55" s="2990"/>
      <c r="N55" s="1271"/>
      <c r="O55" s="1272"/>
      <c r="P55" s="1337" t="s">
        <v>1204</v>
      </c>
      <c r="Q55" s="1272"/>
      <c r="R55" s="1272"/>
      <c r="S55" s="1272"/>
      <c r="T55" s="1272"/>
      <c r="U55" s="1272"/>
      <c r="V55" s="1272"/>
      <c r="W55" s="1272"/>
      <c r="X55" s="1272"/>
      <c r="Y55" s="1272"/>
      <c r="Z55" s="1272"/>
      <c r="AA55" s="1272"/>
      <c r="AB55" s="1272"/>
      <c r="AC55" s="1272"/>
      <c r="AD55" s="1272"/>
      <c r="AE55" s="1279"/>
      <c r="AF55" s="3375"/>
      <c r="AG55" s="3376"/>
      <c r="AH55" s="3376"/>
      <c r="AI55" s="3375"/>
      <c r="AJ55" s="3376"/>
      <c r="AK55" s="3376"/>
      <c r="AL55" s="2079"/>
      <c r="AM55" s="1917"/>
      <c r="AN55" s="1917"/>
      <c r="AO55" s="1917"/>
      <c r="AP55" s="1917"/>
      <c r="AQ55" s="1917"/>
      <c r="AR55" s="1917"/>
      <c r="AS55" s="1917"/>
      <c r="AT55" s="1917"/>
      <c r="AU55" s="1917"/>
      <c r="AV55" s="1917"/>
      <c r="AW55" s="1917"/>
      <c r="AX55" s="1917"/>
      <c r="AY55" s="1917"/>
      <c r="AZ55" s="1917"/>
      <c r="BA55" s="1917"/>
      <c r="BB55" s="1917"/>
      <c r="BC55" s="1917"/>
      <c r="BD55" s="1917"/>
      <c r="BE55" s="1917"/>
      <c r="BF55" s="1917"/>
    </row>
    <row s="10365" customFormat="1" customHeight="1" ht="11.25">
      <c r="A56" s="1262" t="s">
        <v>1194</v>
      </c>
      <c r="B56" s="1262" t="s">
        <v>1195</v>
      </c>
      <c r="C56" s="1262"/>
      <c r="D56" s="1462"/>
      <c r="E56" s="1266"/>
      <c r="F56" s="3394"/>
      <c r="G56" s="3004" t="s">
        <v>103</v>
      </c>
      <c r="H56" s="3263" t="s">
        <v>91</v>
      </c>
      <c r="I56" s="3374" t="s">
        <v>1196</v>
      </c>
      <c r="J56" s="3334" t="s">
        <v>1197</v>
      </c>
      <c r="K56" s="3372" t="s">
        <v>1211</v>
      </c>
      <c r="L56" s="2989" t="s">
        <v>19</v>
      </c>
      <c r="M56" s="2990"/>
      <c r="N56" s="2077"/>
      <c r="O56" s="1273" t="s">
        <v>461</v>
      </c>
      <c r="P56" s="1274"/>
      <c r="Q56" s="1274"/>
      <c r="R56" s="1274"/>
      <c r="S56" s="1274"/>
      <c r="T56" s="1274"/>
      <c r="U56" s="1274"/>
      <c r="V56" s="1274"/>
      <c r="W56" s="1274"/>
      <c r="X56" s="1274"/>
      <c r="Y56" s="1274"/>
      <c r="Z56" s="1274"/>
      <c r="AA56" s="1274"/>
      <c r="AB56" s="1274"/>
      <c r="AC56" s="1274"/>
      <c r="AD56" s="1274"/>
      <c r="AE56" s="1274"/>
      <c r="AF56" s="3375">
        <v>8</v>
      </c>
      <c r="AG56" s="3376" t="s">
        <v>1206</v>
      </c>
      <c r="AH56" s="3376" t="s">
        <v>1207</v>
      </c>
      <c r="AI56" s="3375">
        <v>8</v>
      </c>
      <c r="AJ56" s="3376" t="s">
        <v>1206</v>
      </c>
      <c r="AK56" s="3376" t="s">
        <v>1207</v>
      </c>
      <c r="AL56" s="2079"/>
      <c r="AM56" s="1917"/>
      <c r="AN56" s="1917"/>
      <c r="AO56" s="1917"/>
      <c r="AP56" s="1917"/>
      <c r="AQ56" s="1917"/>
      <c r="AR56" s="1917"/>
      <c r="AS56" s="1917"/>
      <c r="AT56" s="1917"/>
      <c r="AU56" s="1917"/>
      <c r="AV56" s="1917"/>
      <c r="AW56" s="1917"/>
      <c r="AX56" s="1917"/>
      <c r="AY56" s="1917"/>
      <c r="AZ56" s="1917"/>
      <c r="BA56" s="1917"/>
      <c r="BB56" s="1917"/>
      <c r="BC56" s="1917"/>
      <c r="BD56" s="1917"/>
      <c r="BE56" s="1917"/>
      <c r="BF56" s="1917"/>
    </row>
    <row s="10365" customFormat="1" customHeight="1" ht="11.25">
      <c r="A57" s="1262" t="s">
        <v>1194</v>
      </c>
      <c r="B57" s="1262"/>
      <c r="C57" s="1262"/>
      <c r="D57" s="1462"/>
      <c r="E57" s="1266"/>
      <c r="F57" s="3394"/>
      <c r="G57" s="3396"/>
      <c r="H57" s="3263" t="s">
        <v>90</v>
      </c>
      <c r="I57" s="3374"/>
      <c r="J57" s="3334"/>
      <c r="K57" s="3372"/>
      <c r="L57" s="2989"/>
      <c r="M57" s="2990"/>
      <c r="N57" s="3341"/>
      <c r="O57" s="3377">
        <v>1</v>
      </c>
      <c r="P57" s="3343" t="s">
        <v>19</v>
      </c>
      <c r="Q57" s="3236" t="s">
        <v>22</v>
      </c>
      <c r="R57" s="3236" t="s">
        <v>22</v>
      </c>
      <c r="S57" s="3236" t="s">
        <v>22</v>
      </c>
      <c r="T57" s="3236" t="s">
        <v>22</v>
      </c>
      <c r="U57" s="3236" t="s">
        <v>22</v>
      </c>
      <c r="V57" s="3236" t="s">
        <v>22</v>
      </c>
      <c r="W57" s="3236" t="s">
        <v>22</v>
      </c>
      <c r="X57" s="3236" t="s">
        <v>22</v>
      </c>
      <c r="Y57" s="3236"/>
      <c r="Z57" s="1271"/>
      <c r="AA57" s="1272"/>
      <c r="AB57" s="1272"/>
      <c r="AC57" s="1276"/>
      <c r="AD57" s="1276"/>
      <c r="AE57" s="1277"/>
      <c r="AF57" s="3375"/>
      <c r="AG57" s="3376"/>
      <c r="AH57" s="3376"/>
      <c r="AI57" s="3375"/>
      <c r="AJ57" s="3376"/>
      <c r="AK57" s="3376"/>
      <c r="AL57" s="2079"/>
      <c r="AM57" s="1917"/>
      <c r="AN57" s="1917"/>
      <c r="AO57" s="1917"/>
      <c r="AP57" s="1917"/>
      <c r="AQ57" s="1917"/>
      <c r="AR57" s="1917"/>
      <c r="AS57" s="1917"/>
      <c r="AT57" s="1917"/>
      <c r="AU57" s="1917"/>
      <c r="AV57" s="1917"/>
      <c r="AW57" s="1917"/>
      <c r="AX57" s="1917"/>
      <c r="AY57" s="1917"/>
      <c r="AZ57" s="1917"/>
      <c r="BA57" s="1917"/>
      <c r="BB57" s="1917"/>
      <c r="BC57" s="1917"/>
      <c r="BD57" s="1917"/>
      <c r="BE57" s="1917"/>
      <c r="BF57" s="1917"/>
    </row>
    <row s="10365" customFormat="1" customHeight="1" ht="11.25">
      <c r="A58" s="1262" t="s">
        <v>1194</v>
      </c>
      <c r="B58" s="1262"/>
      <c r="C58" s="1262"/>
      <c r="D58" s="1462"/>
      <c r="E58" s="1266"/>
      <c r="F58" s="3394"/>
      <c r="G58" s="3396"/>
      <c r="H58" s="3263" t="s">
        <v>90</v>
      </c>
      <c r="I58" s="3374"/>
      <c r="J58" s="3334"/>
      <c r="K58" s="3372"/>
      <c r="L58" s="2989"/>
      <c r="M58" s="2990"/>
      <c r="N58" s="3341"/>
      <c r="O58" s="3377"/>
      <c r="P58" s="3344"/>
      <c r="Q58" s="3236"/>
      <c r="R58" s="3236"/>
      <c r="S58" s="3346"/>
      <c r="T58" s="3236"/>
      <c r="U58" s="3236"/>
      <c r="V58" s="3236"/>
      <c r="W58" s="3236"/>
      <c r="X58" s="3236"/>
      <c r="Y58" s="3236"/>
      <c r="Z58" s="1922"/>
      <c r="AA58" s="2198">
        <v>1</v>
      </c>
      <c r="AB58" s="1275" t="s">
        <v>1201</v>
      </c>
      <c r="AC58" s="1265">
        <v>16273.84</v>
      </c>
      <c r="AD58" s="1275" t="str">
        <f>AB58</f>
        <v>      Амортизационные отчисления с выделением результатов переоценки основных средств и нематериальных активов</v>
      </c>
      <c r="AE58" s="1265">
        <v>416.49</v>
      </c>
      <c r="AF58" s="3375"/>
      <c r="AG58" s="3376"/>
      <c r="AH58" s="3376"/>
      <c r="AI58" s="3375"/>
      <c r="AJ58" s="3376"/>
      <c r="AK58" s="3376"/>
      <c r="AL58" s="2079"/>
      <c r="AM58" s="1917"/>
      <c r="AN58" s="1917"/>
      <c r="AO58" s="1917"/>
      <c r="AP58" s="1917"/>
      <c r="AQ58" s="1917"/>
      <c r="AR58" s="1917"/>
      <c r="AS58" s="1917"/>
      <c r="AT58" s="1917"/>
      <c r="AU58" s="1917"/>
      <c r="AV58" s="1917"/>
      <c r="AW58" s="1917"/>
      <c r="AX58" s="1917"/>
      <c r="AY58" s="1917"/>
      <c r="AZ58" s="1917"/>
      <c r="BA58" s="1917"/>
      <c r="BB58" s="1917"/>
      <c r="BC58" s="1917"/>
      <c r="BD58" s="1917"/>
      <c r="BE58" s="1917"/>
      <c r="BF58" s="1917"/>
    </row>
    <row s="10365" customFormat="1" customHeight="1" ht="11.25">
      <c r="A59" s="1262" t="s">
        <v>1194</v>
      </c>
      <c r="B59" s="1262"/>
      <c r="C59" s="1262"/>
      <c r="D59" s="1462"/>
      <c r="E59" s="1266"/>
      <c r="F59" s="3394"/>
      <c r="G59" s="3396"/>
      <c r="H59" s="3396"/>
      <c r="I59" s="3396"/>
      <c r="J59" s="3396"/>
      <c r="K59" s="3396"/>
      <c r="L59" s="3396"/>
      <c r="M59" s="3396"/>
      <c r="N59" s="3396"/>
      <c r="O59" s="3396"/>
      <c r="P59" s="3396"/>
      <c r="Q59" s="3396"/>
      <c r="R59" s="3396"/>
      <c r="S59" s="3396"/>
      <c r="T59" s="3396"/>
      <c r="U59" s="3396"/>
      <c r="V59" s="3396"/>
      <c r="W59" s="3396"/>
      <c r="X59" s="3396"/>
      <c r="Y59" s="3396"/>
      <c r="Z59" s="790" t="s">
        <v>103</v>
      </c>
      <c r="AA59" s="2195" t="s">
        <v>102</v>
      </c>
      <c r="AB59" s="1275" t="s">
        <v>1208</v>
      </c>
      <c r="AC59" s="1265">
        <v>2766.03</v>
      </c>
      <c r="AD59" s="1275" t="str">
        <f>AB59</f>
        <v>  Прочие собственные средства</v>
      </c>
      <c r="AE59" s="1265">
        <v>0</v>
      </c>
      <c r="AF59" s="3397"/>
      <c r="AG59" s="3398"/>
      <c r="AH59" s="3398"/>
      <c r="AI59" s="3397"/>
      <c r="AJ59" s="3398"/>
      <c r="AK59" s="3399"/>
      <c r="AL59" s="2079"/>
      <c r="AM59" s="1917"/>
      <c r="AN59" s="1917"/>
      <c r="AO59" s="1917"/>
      <c r="AP59" s="1917"/>
      <c r="AQ59" s="1917"/>
      <c r="AR59" s="1917"/>
      <c r="AS59" s="1917"/>
      <c r="AT59" s="1917"/>
      <c r="AU59" s="1917"/>
      <c r="AV59" s="1917"/>
      <c r="AW59" s="1917"/>
      <c r="AX59" s="1917"/>
      <c r="AY59" s="1917"/>
      <c r="AZ59" s="1917"/>
      <c r="BA59" s="1917"/>
      <c r="BB59" s="1917"/>
      <c r="BC59" s="1917"/>
      <c r="BD59" s="1917"/>
      <c r="BE59" s="1917"/>
      <c r="BF59" s="1917"/>
    </row>
    <row s="10365" customFormat="1" customHeight="1" ht="11.25">
      <c r="A60" s="1262" t="s">
        <v>1194</v>
      </c>
      <c r="B60" s="1262"/>
      <c r="C60" s="1262"/>
      <c r="D60" s="1462"/>
      <c r="E60" s="1266"/>
      <c r="F60" s="3394"/>
      <c r="G60" s="3396"/>
      <c r="H60" s="3263" t="s">
        <v>90</v>
      </c>
      <c r="I60" s="3374"/>
      <c r="J60" s="3334"/>
      <c r="K60" s="3372"/>
      <c r="L60" s="2989"/>
      <c r="M60" s="2990"/>
      <c r="N60" s="3341"/>
      <c r="O60" s="3377"/>
      <c r="P60" s="3345"/>
      <c r="Q60" s="3236"/>
      <c r="R60" s="3236"/>
      <c r="S60" s="3346"/>
      <c r="T60" s="3236"/>
      <c r="U60" s="3236"/>
      <c r="V60" s="3236"/>
      <c r="W60" s="3236"/>
      <c r="X60" s="3236"/>
      <c r="Y60" s="3236"/>
      <c r="Z60" s="1271"/>
      <c r="AA60" s="1272"/>
      <c r="AB60" s="1337" t="s">
        <v>1203</v>
      </c>
      <c r="AC60" s="1276"/>
      <c r="AD60" s="1276"/>
      <c r="AE60" s="1278"/>
      <c r="AF60" s="3375"/>
      <c r="AG60" s="3376"/>
      <c r="AH60" s="3376"/>
      <c r="AI60" s="3375"/>
      <c r="AJ60" s="3376"/>
      <c r="AK60" s="3376"/>
      <c r="AL60" s="2079"/>
      <c r="AM60" s="1917"/>
      <c r="AN60" s="1917"/>
      <c r="AO60" s="1917"/>
      <c r="AP60" s="1917"/>
      <c r="AQ60" s="1917"/>
      <c r="AR60" s="1917"/>
      <c r="AS60" s="1917"/>
      <c r="AT60" s="1917"/>
      <c r="AU60" s="1917"/>
      <c r="AV60" s="1917"/>
      <c r="AW60" s="1917"/>
      <c r="AX60" s="1917"/>
      <c r="AY60" s="1917"/>
      <c r="AZ60" s="1917"/>
      <c r="BA60" s="1917"/>
      <c r="BB60" s="1917"/>
      <c r="BC60" s="1917"/>
      <c r="BD60" s="1917"/>
      <c r="BE60" s="1917"/>
      <c r="BF60" s="1917"/>
    </row>
    <row s="10365" customFormat="1" customHeight="1" ht="11.25">
      <c r="A61" s="1262" t="s">
        <v>1194</v>
      </c>
      <c r="B61" s="1262"/>
      <c r="C61" s="1262"/>
      <c r="D61" s="1462"/>
      <c r="E61" s="1266"/>
      <c r="F61" s="3394"/>
      <c r="G61" s="3396"/>
      <c r="H61" s="3263" t="s">
        <v>90</v>
      </c>
      <c r="I61" s="3374"/>
      <c r="J61" s="3334"/>
      <c r="K61" s="3372"/>
      <c r="L61" s="2989"/>
      <c r="M61" s="2990"/>
      <c r="N61" s="1271"/>
      <c r="O61" s="1272"/>
      <c r="P61" s="1337" t="s">
        <v>1204</v>
      </c>
      <c r="Q61" s="1272"/>
      <c r="R61" s="1272"/>
      <c r="S61" s="1272"/>
      <c r="T61" s="1272"/>
      <c r="U61" s="1272"/>
      <c r="V61" s="1272"/>
      <c r="W61" s="1272"/>
      <c r="X61" s="1272"/>
      <c r="Y61" s="1272"/>
      <c r="Z61" s="1272"/>
      <c r="AA61" s="1272"/>
      <c r="AB61" s="1272"/>
      <c r="AC61" s="1272"/>
      <c r="AD61" s="1272"/>
      <c r="AE61" s="1279"/>
      <c r="AF61" s="3375"/>
      <c r="AG61" s="3376"/>
      <c r="AH61" s="3376"/>
      <c r="AI61" s="3375"/>
      <c r="AJ61" s="3376"/>
      <c r="AK61" s="3376"/>
      <c r="AL61" s="2079"/>
      <c r="AM61" s="1917"/>
      <c r="AN61" s="1917"/>
      <c r="AO61" s="1917"/>
      <c r="AP61" s="1917"/>
      <c r="AQ61" s="1917"/>
      <c r="AR61" s="1917"/>
      <c r="AS61" s="1917"/>
      <c r="AT61" s="1917"/>
      <c r="AU61" s="1917"/>
      <c r="AV61" s="1917"/>
      <c r="AW61" s="1917"/>
      <c r="AX61" s="1917"/>
      <c r="AY61" s="1917"/>
      <c r="AZ61" s="1917"/>
      <c r="BA61" s="1917"/>
      <c r="BB61" s="1917"/>
      <c r="BC61" s="1917"/>
      <c r="BD61" s="1917"/>
      <c r="BE61" s="1917"/>
      <c r="BF61" s="1917"/>
    </row>
    <row s="10365" customFormat="1" customHeight="1" ht="11.25">
      <c r="A62" s="1262" t="s">
        <v>1194</v>
      </c>
      <c r="B62" s="1262" t="s">
        <v>1195</v>
      </c>
      <c r="C62" s="1262"/>
      <c r="D62" s="1462"/>
      <c r="E62" s="1266"/>
      <c r="F62" s="3394"/>
      <c r="G62" s="3004" t="s">
        <v>103</v>
      </c>
      <c r="H62" s="3263" t="s">
        <v>121</v>
      </c>
      <c r="I62" s="3374" t="s">
        <v>1196</v>
      </c>
      <c r="J62" s="3334" t="s">
        <v>1197</v>
      </c>
      <c r="K62" s="3372" t="s">
        <v>1212</v>
      </c>
      <c r="L62" s="2989" t="s">
        <v>19</v>
      </c>
      <c r="M62" s="2990"/>
      <c r="N62" s="2077"/>
      <c r="O62" s="1273" t="s">
        <v>461</v>
      </c>
      <c r="P62" s="1274"/>
      <c r="Q62" s="1274"/>
      <c r="R62" s="1274"/>
      <c r="S62" s="1274"/>
      <c r="T62" s="1274"/>
      <c r="U62" s="1274"/>
      <c r="V62" s="1274"/>
      <c r="W62" s="1274"/>
      <c r="X62" s="1274"/>
      <c r="Y62" s="1274"/>
      <c r="Z62" s="1274"/>
      <c r="AA62" s="1274"/>
      <c r="AB62" s="1274"/>
      <c r="AC62" s="1274"/>
      <c r="AD62" s="1274"/>
      <c r="AE62" s="1274"/>
      <c r="AF62" s="3375">
        <v>6</v>
      </c>
      <c r="AG62" s="3376" t="s">
        <v>1206</v>
      </c>
      <c r="AH62" s="3376" t="s">
        <v>1213</v>
      </c>
      <c r="AI62" s="3375">
        <v>6</v>
      </c>
      <c r="AJ62" s="3376" t="s">
        <v>1206</v>
      </c>
      <c r="AK62" s="3376" t="s">
        <v>1213</v>
      </c>
      <c r="AL62" s="2079"/>
      <c r="AM62" s="1917"/>
      <c r="AN62" s="1917"/>
      <c r="AO62" s="1917"/>
      <c r="AP62" s="1917"/>
      <c r="AQ62" s="1917"/>
      <c r="AR62" s="1917"/>
      <c r="AS62" s="1917"/>
      <c r="AT62" s="1917"/>
      <c r="AU62" s="1917"/>
      <c r="AV62" s="1917"/>
      <c r="AW62" s="1917"/>
      <c r="AX62" s="1917"/>
      <c r="AY62" s="1917"/>
      <c r="AZ62" s="1917"/>
      <c r="BA62" s="1917"/>
      <c r="BB62" s="1917"/>
      <c r="BC62" s="1917"/>
      <c r="BD62" s="1917"/>
      <c r="BE62" s="1917"/>
      <c r="BF62" s="1917"/>
    </row>
    <row s="10365" customFormat="1" customHeight="1" ht="11.25">
      <c r="A63" s="1262" t="s">
        <v>1194</v>
      </c>
      <c r="B63" s="1262"/>
      <c r="C63" s="1262"/>
      <c r="D63" s="1462"/>
      <c r="E63" s="1266"/>
      <c r="F63" s="3394"/>
      <c r="G63" s="3396"/>
      <c r="H63" s="3263" t="s">
        <v>91</v>
      </c>
      <c r="I63" s="3374"/>
      <c r="J63" s="3334"/>
      <c r="K63" s="3372"/>
      <c r="L63" s="2989"/>
      <c r="M63" s="2990"/>
      <c r="N63" s="3341"/>
      <c r="O63" s="3377">
        <v>1</v>
      </c>
      <c r="P63" s="3343" t="s">
        <v>19</v>
      </c>
      <c r="Q63" s="3236" t="s">
        <v>22</v>
      </c>
      <c r="R63" s="3236" t="s">
        <v>22</v>
      </c>
      <c r="S63" s="3236" t="s">
        <v>22</v>
      </c>
      <c r="T63" s="3236" t="s">
        <v>22</v>
      </c>
      <c r="U63" s="3236" t="s">
        <v>22</v>
      </c>
      <c r="V63" s="3236" t="s">
        <v>22</v>
      </c>
      <c r="W63" s="3236" t="s">
        <v>22</v>
      </c>
      <c r="X63" s="3236" t="s">
        <v>22</v>
      </c>
      <c r="Y63" s="3236"/>
      <c r="Z63" s="1271"/>
      <c r="AA63" s="1272"/>
      <c r="AB63" s="1272"/>
      <c r="AC63" s="1276"/>
      <c r="AD63" s="1276"/>
      <c r="AE63" s="1277"/>
      <c r="AF63" s="3375"/>
      <c r="AG63" s="3376"/>
      <c r="AH63" s="3376"/>
      <c r="AI63" s="3375"/>
      <c r="AJ63" s="3376"/>
      <c r="AK63" s="3376"/>
      <c r="AL63" s="2079"/>
      <c r="AM63" s="1917"/>
      <c r="AN63" s="1917"/>
      <c r="AO63" s="1917"/>
      <c r="AP63" s="1917"/>
      <c r="AQ63" s="1917"/>
      <c r="AR63" s="1917"/>
      <c r="AS63" s="1917"/>
      <c r="AT63" s="1917"/>
      <c r="AU63" s="1917"/>
      <c r="AV63" s="1917"/>
      <c r="AW63" s="1917"/>
      <c r="AX63" s="1917"/>
      <c r="AY63" s="1917"/>
      <c r="AZ63" s="1917"/>
      <c r="BA63" s="1917"/>
      <c r="BB63" s="1917"/>
      <c r="BC63" s="1917"/>
      <c r="BD63" s="1917"/>
      <c r="BE63" s="1917"/>
      <c r="BF63" s="1917"/>
    </row>
    <row s="10365" customFormat="1" customHeight="1" ht="11.25">
      <c r="A64" s="1262" t="s">
        <v>1194</v>
      </c>
      <c r="B64" s="1262"/>
      <c r="C64" s="1262"/>
      <c r="D64" s="1462"/>
      <c r="E64" s="1266"/>
      <c r="F64" s="3394"/>
      <c r="G64" s="3396"/>
      <c r="H64" s="3263" t="s">
        <v>91</v>
      </c>
      <c r="I64" s="3374"/>
      <c r="J64" s="3334"/>
      <c r="K64" s="3372"/>
      <c r="L64" s="2989"/>
      <c r="M64" s="2990"/>
      <c r="N64" s="3341"/>
      <c r="O64" s="3377"/>
      <c r="P64" s="3344"/>
      <c r="Q64" s="3236"/>
      <c r="R64" s="3236"/>
      <c r="S64" s="3346"/>
      <c r="T64" s="3236"/>
      <c r="U64" s="3236"/>
      <c r="V64" s="3236"/>
      <c r="W64" s="3236"/>
      <c r="X64" s="3236"/>
      <c r="Y64" s="3236"/>
      <c r="Z64" s="1922"/>
      <c r="AA64" s="2198">
        <v>1</v>
      </c>
      <c r="AB64" s="1275" t="s">
        <v>1201</v>
      </c>
      <c r="AC64" s="1265">
        <v>3016.67</v>
      </c>
      <c r="AD64" s="1275" t="str">
        <f>AB64</f>
        <v>      Амортизационные отчисления с выделением результатов переоценки основных средств и нематериальных активов</v>
      </c>
      <c r="AE64" s="1265">
        <v>0</v>
      </c>
      <c r="AF64" s="3375"/>
      <c r="AG64" s="3376"/>
      <c r="AH64" s="3376"/>
      <c r="AI64" s="3375"/>
      <c r="AJ64" s="3376"/>
      <c r="AK64" s="3376"/>
      <c r="AL64" s="2079"/>
      <c r="AM64" s="1917"/>
      <c r="AN64" s="1917"/>
      <c r="AO64" s="1917"/>
      <c r="AP64" s="1917"/>
      <c r="AQ64" s="1917"/>
      <c r="AR64" s="1917"/>
      <c r="AS64" s="1917"/>
      <c r="AT64" s="1917"/>
      <c r="AU64" s="1917"/>
      <c r="AV64" s="1917"/>
      <c r="AW64" s="1917"/>
      <c r="AX64" s="1917"/>
      <c r="AY64" s="1917"/>
      <c r="AZ64" s="1917"/>
      <c r="BA64" s="1917"/>
      <c r="BB64" s="1917"/>
      <c r="BC64" s="1917"/>
      <c r="BD64" s="1917"/>
      <c r="BE64" s="1917"/>
      <c r="BF64" s="1917"/>
    </row>
    <row s="10365" customFormat="1" customHeight="1" ht="11.25">
      <c r="A65" s="1262" t="s">
        <v>1194</v>
      </c>
      <c r="B65" s="1262"/>
      <c r="C65" s="1262"/>
      <c r="D65" s="1462"/>
      <c r="E65" s="1266"/>
      <c r="F65" s="3394"/>
      <c r="G65" s="3396"/>
      <c r="H65" s="3396"/>
      <c r="I65" s="3396"/>
      <c r="J65" s="3396"/>
      <c r="K65" s="3396"/>
      <c r="L65" s="3396"/>
      <c r="M65" s="3396"/>
      <c r="N65" s="3396"/>
      <c r="O65" s="3396"/>
      <c r="P65" s="3396"/>
      <c r="Q65" s="3396"/>
      <c r="R65" s="3396"/>
      <c r="S65" s="3396"/>
      <c r="T65" s="3396"/>
      <c r="U65" s="3396"/>
      <c r="V65" s="3396"/>
      <c r="W65" s="3396"/>
      <c r="X65" s="3396"/>
      <c r="Y65" s="3396"/>
      <c r="Z65" s="790" t="s">
        <v>103</v>
      </c>
      <c r="AA65" s="2195" t="s">
        <v>102</v>
      </c>
      <c r="AB65" s="1275" t="s">
        <v>1208</v>
      </c>
      <c r="AC65" s="1265">
        <v>603.33</v>
      </c>
      <c r="AD65" s="1275" t="str">
        <f>AB65</f>
        <v>  Прочие собственные средства</v>
      </c>
      <c r="AE65" s="1265">
        <v>0</v>
      </c>
      <c r="AF65" s="3397"/>
      <c r="AG65" s="3398"/>
      <c r="AH65" s="3398"/>
      <c r="AI65" s="3397"/>
      <c r="AJ65" s="3398"/>
      <c r="AK65" s="3399"/>
      <c r="AL65" s="2079"/>
      <c r="AM65" s="1917"/>
      <c r="AN65" s="1917"/>
      <c r="AO65" s="1917"/>
      <c r="AP65" s="1917"/>
      <c r="AQ65" s="1917"/>
      <c r="AR65" s="1917"/>
      <c r="AS65" s="1917"/>
      <c r="AT65" s="1917"/>
      <c r="AU65" s="1917"/>
      <c r="AV65" s="1917"/>
      <c r="AW65" s="1917"/>
      <c r="AX65" s="1917"/>
      <c r="AY65" s="1917"/>
      <c r="AZ65" s="1917"/>
      <c r="BA65" s="1917"/>
      <c r="BB65" s="1917"/>
      <c r="BC65" s="1917"/>
      <c r="BD65" s="1917"/>
      <c r="BE65" s="1917"/>
      <c r="BF65" s="1917"/>
    </row>
    <row s="10365" customFormat="1" customHeight="1" ht="11.25">
      <c r="A66" s="1262" t="s">
        <v>1194</v>
      </c>
      <c r="B66" s="1262"/>
      <c r="C66" s="1262"/>
      <c r="D66" s="1462"/>
      <c r="E66" s="1266"/>
      <c r="F66" s="3394"/>
      <c r="G66" s="3396"/>
      <c r="H66" s="3263" t="s">
        <v>91</v>
      </c>
      <c r="I66" s="3374"/>
      <c r="J66" s="3334"/>
      <c r="K66" s="3372"/>
      <c r="L66" s="2989"/>
      <c r="M66" s="2990"/>
      <c r="N66" s="3341"/>
      <c r="O66" s="3377"/>
      <c r="P66" s="3345"/>
      <c r="Q66" s="3236"/>
      <c r="R66" s="3236"/>
      <c r="S66" s="3346"/>
      <c r="T66" s="3236"/>
      <c r="U66" s="3236"/>
      <c r="V66" s="3236"/>
      <c r="W66" s="3236"/>
      <c r="X66" s="3236"/>
      <c r="Y66" s="3236"/>
      <c r="Z66" s="1271"/>
      <c r="AA66" s="1272"/>
      <c r="AB66" s="1337" t="s">
        <v>1203</v>
      </c>
      <c r="AC66" s="1276"/>
      <c r="AD66" s="1276"/>
      <c r="AE66" s="1278"/>
      <c r="AF66" s="3375"/>
      <c r="AG66" s="3376"/>
      <c r="AH66" s="3376"/>
      <c r="AI66" s="3375"/>
      <c r="AJ66" s="3376"/>
      <c r="AK66" s="3376"/>
      <c r="AL66" s="2079"/>
      <c r="AM66" s="1917"/>
      <c r="AN66" s="1917"/>
      <c r="AO66" s="1917"/>
      <c r="AP66" s="1917"/>
      <c r="AQ66" s="1917"/>
      <c r="AR66" s="1917"/>
      <c r="AS66" s="1917"/>
      <c r="AT66" s="1917"/>
      <c r="AU66" s="1917"/>
      <c r="AV66" s="1917"/>
      <c r="AW66" s="1917"/>
      <c r="AX66" s="1917"/>
      <c r="AY66" s="1917"/>
      <c r="AZ66" s="1917"/>
      <c r="BA66" s="1917"/>
      <c r="BB66" s="1917"/>
      <c r="BC66" s="1917"/>
      <c r="BD66" s="1917"/>
      <c r="BE66" s="1917"/>
      <c r="BF66" s="1917"/>
    </row>
    <row s="10365" customFormat="1" customHeight="1" ht="11.25">
      <c r="A67" s="1262" t="s">
        <v>1194</v>
      </c>
      <c r="B67" s="1262"/>
      <c r="C67" s="1262"/>
      <c r="D67" s="1462"/>
      <c r="E67" s="1266"/>
      <c r="F67" s="3394"/>
      <c r="G67" s="3396"/>
      <c r="H67" s="3263" t="s">
        <v>91</v>
      </c>
      <c r="I67" s="3374"/>
      <c r="J67" s="3334"/>
      <c r="K67" s="3372"/>
      <c r="L67" s="2989"/>
      <c r="M67" s="2990"/>
      <c r="N67" s="1271"/>
      <c r="O67" s="1272"/>
      <c r="P67" s="1337" t="s">
        <v>1204</v>
      </c>
      <c r="Q67" s="1272"/>
      <c r="R67" s="1272"/>
      <c r="S67" s="1272"/>
      <c r="T67" s="1272"/>
      <c r="U67" s="1272"/>
      <c r="V67" s="1272"/>
      <c r="W67" s="1272"/>
      <c r="X67" s="1272"/>
      <c r="Y67" s="1272"/>
      <c r="Z67" s="1272"/>
      <c r="AA67" s="1272"/>
      <c r="AB67" s="1272"/>
      <c r="AC67" s="1272"/>
      <c r="AD67" s="1272"/>
      <c r="AE67" s="1279"/>
      <c r="AF67" s="3375"/>
      <c r="AG67" s="3376"/>
      <c r="AH67" s="3376"/>
      <c r="AI67" s="3375"/>
      <c r="AJ67" s="3376"/>
      <c r="AK67" s="3376"/>
      <c r="AL67" s="2079"/>
      <c r="AM67" s="1917"/>
      <c r="AN67" s="1917"/>
      <c r="AO67" s="1917"/>
      <c r="AP67" s="1917"/>
      <c r="AQ67" s="1917"/>
      <c r="AR67" s="1917"/>
      <c r="AS67" s="1917"/>
      <c r="AT67" s="1917"/>
      <c r="AU67" s="1917"/>
      <c r="AV67" s="1917"/>
      <c r="AW67" s="1917"/>
      <c r="AX67" s="1917"/>
      <c r="AY67" s="1917"/>
      <c r="AZ67" s="1917"/>
      <c r="BA67" s="1917"/>
      <c r="BB67" s="1917"/>
      <c r="BC67" s="1917"/>
      <c r="BD67" s="1917"/>
      <c r="BE67" s="1917"/>
      <c r="BF67" s="1917"/>
    </row>
    <row s="10365" customFormat="1" customHeight="1" ht="11.25">
      <c r="A68" s="1262" t="s">
        <v>1194</v>
      </c>
      <c r="B68" s="1262" t="s">
        <v>1195</v>
      </c>
      <c r="C68" s="1262"/>
      <c r="D68" s="1462"/>
      <c r="E68" s="1266"/>
      <c r="F68" s="3394"/>
      <c r="G68" s="3004" t="s">
        <v>103</v>
      </c>
      <c r="H68" s="3263" t="s">
        <v>92</v>
      </c>
      <c r="I68" s="3374" t="s">
        <v>1196</v>
      </c>
      <c r="J68" s="3334" t="s">
        <v>1197</v>
      </c>
      <c r="K68" s="3372" t="s">
        <v>1214</v>
      </c>
      <c r="L68" s="2989" t="s">
        <v>19</v>
      </c>
      <c r="M68" s="2990"/>
      <c r="N68" s="2077"/>
      <c r="O68" s="1273" t="s">
        <v>461</v>
      </c>
      <c r="P68" s="1274"/>
      <c r="Q68" s="1274"/>
      <c r="R68" s="1274"/>
      <c r="S68" s="1274"/>
      <c r="T68" s="1274"/>
      <c r="U68" s="1274"/>
      <c r="V68" s="1274"/>
      <c r="W68" s="1274"/>
      <c r="X68" s="1274"/>
      <c r="Y68" s="1274"/>
      <c r="Z68" s="1274"/>
      <c r="AA68" s="1274"/>
      <c r="AB68" s="1274"/>
      <c r="AC68" s="1274"/>
      <c r="AD68" s="1274"/>
      <c r="AE68" s="1274"/>
      <c r="AF68" s="3375">
        <v>3</v>
      </c>
      <c r="AG68" s="3376" t="s">
        <v>1206</v>
      </c>
      <c r="AH68" s="3376" t="s">
        <v>1210</v>
      </c>
      <c r="AI68" s="3375">
        <v>3</v>
      </c>
      <c r="AJ68" s="3376" t="s">
        <v>1206</v>
      </c>
      <c r="AK68" s="3376" t="s">
        <v>1210</v>
      </c>
      <c r="AL68" s="2079"/>
      <c r="AM68" s="1917"/>
      <c r="AN68" s="1917"/>
      <c r="AO68" s="1917"/>
      <c r="AP68" s="1917"/>
      <c r="AQ68" s="1917"/>
      <c r="AR68" s="1917"/>
      <c r="AS68" s="1917"/>
      <c r="AT68" s="1917"/>
      <c r="AU68" s="1917"/>
      <c r="AV68" s="1917"/>
      <c r="AW68" s="1917"/>
      <c r="AX68" s="1917"/>
      <c r="AY68" s="1917"/>
      <c r="AZ68" s="1917"/>
      <c r="BA68" s="1917"/>
      <c r="BB68" s="1917"/>
      <c r="BC68" s="1917"/>
      <c r="BD68" s="1917"/>
      <c r="BE68" s="1917"/>
      <c r="BF68" s="1917"/>
    </row>
    <row s="10365" customFormat="1" customHeight="1" ht="11.25">
      <c r="A69" s="1262" t="s">
        <v>1194</v>
      </c>
      <c r="B69" s="1262"/>
      <c r="C69" s="1262"/>
      <c r="D69" s="1462"/>
      <c r="E69" s="1266"/>
      <c r="F69" s="3394"/>
      <c r="G69" s="3396"/>
      <c r="H69" s="3263" t="s">
        <v>121</v>
      </c>
      <c r="I69" s="3374"/>
      <c r="J69" s="3334"/>
      <c r="K69" s="3372"/>
      <c r="L69" s="2989"/>
      <c r="M69" s="2990"/>
      <c r="N69" s="3341"/>
      <c r="O69" s="3377">
        <v>1</v>
      </c>
      <c r="P69" s="3343" t="s">
        <v>19</v>
      </c>
      <c r="Q69" s="3236" t="s">
        <v>22</v>
      </c>
      <c r="R69" s="3236" t="s">
        <v>22</v>
      </c>
      <c r="S69" s="3236" t="s">
        <v>22</v>
      </c>
      <c r="T69" s="3236" t="s">
        <v>22</v>
      </c>
      <c r="U69" s="3236" t="s">
        <v>22</v>
      </c>
      <c r="V69" s="3236" t="s">
        <v>22</v>
      </c>
      <c r="W69" s="3236" t="s">
        <v>22</v>
      </c>
      <c r="X69" s="3236" t="s">
        <v>22</v>
      </c>
      <c r="Y69" s="3236"/>
      <c r="Z69" s="1271"/>
      <c r="AA69" s="1272"/>
      <c r="AB69" s="1272"/>
      <c r="AC69" s="1276"/>
      <c r="AD69" s="1276"/>
      <c r="AE69" s="1277"/>
      <c r="AF69" s="3375"/>
      <c r="AG69" s="3376"/>
      <c r="AH69" s="3376"/>
      <c r="AI69" s="3375"/>
      <c r="AJ69" s="3376"/>
      <c r="AK69" s="3376"/>
      <c r="AL69" s="2079"/>
      <c r="AM69" s="1917"/>
      <c r="AN69" s="1917"/>
      <c r="AO69" s="1917"/>
      <c r="AP69" s="1917"/>
      <c r="AQ69" s="1917"/>
      <c r="AR69" s="1917"/>
      <c r="AS69" s="1917"/>
      <c r="AT69" s="1917"/>
      <c r="AU69" s="1917"/>
      <c r="AV69" s="1917"/>
      <c r="AW69" s="1917"/>
      <c r="AX69" s="1917"/>
      <c r="AY69" s="1917"/>
      <c r="AZ69" s="1917"/>
      <c r="BA69" s="1917"/>
      <c r="BB69" s="1917"/>
      <c r="BC69" s="1917"/>
      <c r="BD69" s="1917"/>
      <c r="BE69" s="1917"/>
      <c r="BF69" s="1917"/>
    </row>
    <row s="10365" customFormat="1" customHeight="1" ht="11.25">
      <c r="A70" s="1262" t="s">
        <v>1194</v>
      </c>
      <c r="B70" s="1262"/>
      <c r="C70" s="1262"/>
      <c r="D70" s="1462"/>
      <c r="E70" s="1266"/>
      <c r="F70" s="3394"/>
      <c r="G70" s="3396"/>
      <c r="H70" s="3263" t="s">
        <v>121</v>
      </c>
      <c r="I70" s="3374"/>
      <c r="J70" s="3334"/>
      <c r="K70" s="3372"/>
      <c r="L70" s="2989"/>
      <c r="M70" s="2990"/>
      <c r="N70" s="3341"/>
      <c r="O70" s="3377"/>
      <c r="P70" s="3344"/>
      <c r="Q70" s="3236"/>
      <c r="R70" s="3236"/>
      <c r="S70" s="3346"/>
      <c r="T70" s="3236"/>
      <c r="U70" s="3236"/>
      <c r="V70" s="3236"/>
      <c r="W70" s="3236"/>
      <c r="X70" s="3236"/>
      <c r="Y70" s="3236"/>
      <c r="Z70" s="1922"/>
      <c r="AA70" s="2198">
        <v>1</v>
      </c>
      <c r="AB70" s="1275" t="s">
        <v>1201</v>
      </c>
      <c r="AC70" s="1265">
        <v>8423.38</v>
      </c>
      <c r="AD70" s="1275" t="str">
        <f>AB70</f>
        <v>      Амортизационные отчисления с выделением результатов переоценки основных средств и нематериальных активов</v>
      </c>
      <c r="AE70" s="1265">
        <v>7908.83</v>
      </c>
      <c r="AF70" s="3375"/>
      <c r="AG70" s="3376"/>
      <c r="AH70" s="3376"/>
      <c r="AI70" s="3375"/>
      <c r="AJ70" s="3376"/>
      <c r="AK70" s="3376"/>
      <c r="AL70" s="2079"/>
      <c r="AM70" s="1917"/>
      <c r="AN70" s="1917"/>
      <c r="AO70" s="1917"/>
      <c r="AP70" s="1917"/>
      <c r="AQ70" s="1917"/>
      <c r="AR70" s="1917"/>
      <c r="AS70" s="1917"/>
      <c r="AT70" s="1917"/>
      <c r="AU70" s="1917"/>
      <c r="AV70" s="1917"/>
      <c r="AW70" s="1917"/>
      <c r="AX70" s="1917"/>
      <c r="AY70" s="1917"/>
      <c r="AZ70" s="1917"/>
      <c r="BA70" s="1917"/>
      <c r="BB70" s="1917"/>
      <c r="BC70" s="1917"/>
      <c r="BD70" s="1917"/>
      <c r="BE70" s="1917"/>
      <c r="BF70" s="1917"/>
    </row>
    <row s="10365" customFormat="1" customHeight="1" ht="11.25">
      <c r="A71" s="1262" t="s">
        <v>1194</v>
      </c>
      <c r="B71" s="1262"/>
      <c r="C71" s="1262"/>
      <c r="D71" s="1462"/>
      <c r="E71" s="1266"/>
      <c r="F71" s="3394"/>
      <c r="G71" s="3396"/>
      <c r="H71" s="3396"/>
      <c r="I71" s="3396"/>
      <c r="J71" s="3396"/>
      <c r="K71" s="3396"/>
      <c r="L71" s="3396"/>
      <c r="M71" s="3396"/>
      <c r="N71" s="3396"/>
      <c r="O71" s="3396"/>
      <c r="P71" s="3396"/>
      <c r="Q71" s="3396"/>
      <c r="R71" s="3396"/>
      <c r="S71" s="3396"/>
      <c r="T71" s="3396"/>
      <c r="U71" s="3396"/>
      <c r="V71" s="3396"/>
      <c r="W71" s="3396"/>
      <c r="X71" s="3396"/>
      <c r="Y71" s="3396"/>
      <c r="Z71" s="790" t="s">
        <v>103</v>
      </c>
      <c r="AA71" s="2195" t="s">
        <v>102</v>
      </c>
      <c r="AB71" s="1275" t="s">
        <v>1208</v>
      </c>
      <c r="AC71" s="1265">
        <v>1593.88</v>
      </c>
      <c r="AD71" s="1275" t="str">
        <f>AB71</f>
        <v>  Прочие собственные средства</v>
      </c>
      <c r="AE71" s="1265">
        <v>1207.73871</v>
      </c>
      <c r="AF71" s="3397"/>
      <c r="AG71" s="3398"/>
      <c r="AH71" s="3398"/>
      <c r="AI71" s="3397"/>
      <c r="AJ71" s="3398"/>
      <c r="AK71" s="3399"/>
      <c r="AL71" s="2079"/>
      <c r="AM71" s="1917"/>
      <c r="AN71" s="1917"/>
      <c r="AO71" s="1917"/>
      <c r="AP71" s="1917"/>
      <c r="AQ71" s="1917"/>
      <c r="AR71" s="1917"/>
      <c r="AS71" s="1917"/>
      <c r="AT71" s="1917"/>
      <c r="AU71" s="1917"/>
      <c r="AV71" s="1917"/>
      <c r="AW71" s="1917"/>
      <c r="AX71" s="1917"/>
      <c r="AY71" s="1917"/>
      <c r="AZ71" s="1917"/>
      <c r="BA71" s="1917"/>
      <c r="BB71" s="1917"/>
      <c r="BC71" s="1917"/>
      <c r="BD71" s="1917"/>
      <c r="BE71" s="1917"/>
      <c r="BF71" s="1917"/>
    </row>
    <row s="10365" customFormat="1" customHeight="1" ht="11.25">
      <c r="A72" s="1262" t="s">
        <v>1194</v>
      </c>
      <c r="B72" s="1262"/>
      <c r="C72" s="1262"/>
      <c r="D72" s="1462"/>
      <c r="E72" s="1266"/>
      <c r="F72" s="3394"/>
      <c r="G72" s="3396"/>
      <c r="H72" s="3263" t="s">
        <v>121</v>
      </c>
      <c r="I72" s="3374"/>
      <c r="J72" s="3334"/>
      <c r="K72" s="3372"/>
      <c r="L72" s="2989"/>
      <c r="M72" s="2990"/>
      <c r="N72" s="3341"/>
      <c r="O72" s="3377"/>
      <c r="P72" s="3345"/>
      <c r="Q72" s="3236"/>
      <c r="R72" s="3236"/>
      <c r="S72" s="3346"/>
      <c r="T72" s="3236"/>
      <c r="U72" s="3236"/>
      <c r="V72" s="3236"/>
      <c r="W72" s="3236"/>
      <c r="X72" s="3236"/>
      <c r="Y72" s="3236"/>
      <c r="Z72" s="1271"/>
      <c r="AA72" s="1272"/>
      <c r="AB72" s="1337" t="s">
        <v>1203</v>
      </c>
      <c r="AC72" s="1276"/>
      <c r="AD72" s="1276"/>
      <c r="AE72" s="1278"/>
      <c r="AF72" s="3375"/>
      <c r="AG72" s="3376"/>
      <c r="AH72" s="3376"/>
      <c r="AI72" s="3375"/>
      <c r="AJ72" s="3376"/>
      <c r="AK72" s="3376"/>
      <c r="AL72" s="2079"/>
      <c r="AM72" s="1917"/>
      <c r="AN72" s="1917"/>
      <c r="AO72" s="1917"/>
      <c r="AP72" s="1917"/>
      <c r="AQ72" s="1917"/>
      <c r="AR72" s="1917"/>
      <c r="AS72" s="1917"/>
      <c r="AT72" s="1917"/>
      <c r="AU72" s="1917"/>
      <c r="AV72" s="1917"/>
      <c r="AW72" s="1917"/>
      <c r="AX72" s="1917"/>
      <c r="AY72" s="1917"/>
      <c r="AZ72" s="1917"/>
      <c r="BA72" s="1917"/>
      <c r="BB72" s="1917"/>
      <c r="BC72" s="1917"/>
      <c r="BD72" s="1917"/>
      <c r="BE72" s="1917"/>
      <c r="BF72" s="1917"/>
    </row>
    <row s="10365" customFormat="1" customHeight="1" ht="11.25">
      <c r="A73" s="1262" t="s">
        <v>1194</v>
      </c>
      <c r="B73" s="1262"/>
      <c r="C73" s="1262"/>
      <c r="D73" s="1462"/>
      <c r="E73" s="1266"/>
      <c r="F73" s="3394"/>
      <c r="G73" s="3396"/>
      <c r="H73" s="3263" t="s">
        <v>121</v>
      </c>
      <c r="I73" s="3374"/>
      <c r="J73" s="3334"/>
      <c r="K73" s="3372"/>
      <c r="L73" s="2989"/>
      <c r="M73" s="2990"/>
      <c r="N73" s="1271"/>
      <c r="O73" s="1272"/>
      <c r="P73" s="1337" t="s">
        <v>1204</v>
      </c>
      <c r="Q73" s="1272"/>
      <c r="R73" s="1272"/>
      <c r="S73" s="1272"/>
      <c r="T73" s="1272"/>
      <c r="U73" s="1272"/>
      <c r="V73" s="1272"/>
      <c r="W73" s="1272"/>
      <c r="X73" s="1272"/>
      <c r="Y73" s="1272"/>
      <c r="Z73" s="1272"/>
      <c r="AA73" s="1272"/>
      <c r="AB73" s="1272"/>
      <c r="AC73" s="1272"/>
      <c r="AD73" s="1272"/>
      <c r="AE73" s="1279"/>
      <c r="AF73" s="3375"/>
      <c r="AG73" s="3376"/>
      <c r="AH73" s="3376"/>
      <c r="AI73" s="3375"/>
      <c r="AJ73" s="3376"/>
      <c r="AK73" s="3376"/>
      <c r="AL73" s="2079"/>
      <c r="AM73" s="1917"/>
      <c r="AN73" s="1917"/>
      <c r="AO73" s="1917"/>
      <c r="AP73" s="1917"/>
      <c r="AQ73" s="1917"/>
      <c r="AR73" s="1917"/>
      <c r="AS73" s="1917"/>
      <c r="AT73" s="1917"/>
      <c r="AU73" s="1917"/>
      <c r="AV73" s="1917"/>
      <c r="AW73" s="1917"/>
      <c r="AX73" s="1917"/>
      <c r="AY73" s="1917"/>
      <c r="AZ73" s="1917"/>
      <c r="BA73" s="1917"/>
      <c r="BB73" s="1917"/>
      <c r="BC73" s="1917"/>
      <c r="BD73" s="1917"/>
      <c r="BE73" s="1917"/>
      <c r="BF73" s="1917"/>
    </row>
    <row s="10365" customFormat="1" customHeight="1" ht="11.25">
      <c r="A74" s="1262" t="s">
        <v>1194</v>
      </c>
      <c r="B74" s="1262" t="s">
        <v>22</v>
      </c>
      <c r="C74" s="1262"/>
      <c r="D74" s="1462"/>
      <c r="E74" s="1266"/>
      <c r="F74" s="3394"/>
      <c r="G74" s="3004" t="s">
        <v>103</v>
      </c>
      <c r="H74" s="3263" t="s">
        <v>93</v>
      </c>
      <c r="I74" s="3374" t="s">
        <v>1215</v>
      </c>
      <c r="J74" s="3400" t="s">
        <v>22</v>
      </c>
      <c r="K74" s="3372" t="s">
        <v>1216</v>
      </c>
      <c r="L74" s="2989" t="s">
        <v>19</v>
      </c>
      <c r="M74" s="2990"/>
      <c r="N74" s="2077"/>
      <c r="O74" s="1273" t="s">
        <v>461</v>
      </c>
      <c r="P74" s="1274"/>
      <c r="Q74" s="1274"/>
      <c r="R74" s="1274"/>
      <c r="S74" s="1274"/>
      <c r="T74" s="1274"/>
      <c r="U74" s="1274"/>
      <c r="V74" s="1274"/>
      <c r="W74" s="1274"/>
      <c r="X74" s="1274"/>
      <c r="Y74" s="1274"/>
      <c r="Z74" s="1274"/>
      <c r="AA74" s="1274"/>
      <c r="AB74" s="1274"/>
      <c r="AC74" s="1274"/>
      <c r="AD74" s="1274"/>
      <c r="AE74" s="1274"/>
      <c r="AF74" s="3375">
        <v>2</v>
      </c>
      <c r="AG74" s="3376" t="s">
        <v>1206</v>
      </c>
      <c r="AH74" s="3376" t="s">
        <v>1210</v>
      </c>
      <c r="AI74" s="3375">
        <v>2</v>
      </c>
      <c r="AJ74" s="3376" t="s">
        <v>1206</v>
      </c>
      <c r="AK74" s="3376" t="s">
        <v>1210</v>
      </c>
      <c r="AL74" s="2079"/>
      <c r="AM74" s="1917"/>
      <c r="AN74" s="1917"/>
      <c r="AO74" s="1917"/>
      <c r="AP74" s="1917"/>
      <c r="AQ74" s="1917"/>
      <c r="AR74" s="1917"/>
      <c r="AS74" s="1917"/>
      <c r="AT74" s="1917"/>
      <c r="AU74" s="1917"/>
      <c r="AV74" s="1917"/>
      <c r="AW74" s="1917"/>
      <c r="AX74" s="1917"/>
      <c r="AY74" s="1917"/>
      <c r="AZ74" s="1917"/>
      <c r="BA74" s="1917"/>
      <c r="BB74" s="1917"/>
      <c r="BC74" s="1917"/>
      <c r="BD74" s="1917"/>
      <c r="BE74" s="1917"/>
      <c r="BF74" s="1917"/>
    </row>
    <row s="10365" customFormat="1" customHeight="1" ht="11.25">
      <c r="A75" s="1262" t="s">
        <v>1194</v>
      </c>
      <c r="B75" s="1262"/>
      <c r="C75" s="1262"/>
      <c r="D75" s="1462"/>
      <c r="E75" s="1266"/>
      <c r="F75" s="3394"/>
      <c r="G75" s="3396"/>
      <c r="H75" s="3263" t="s">
        <v>92</v>
      </c>
      <c r="I75" s="3374"/>
      <c r="J75" s="3400"/>
      <c r="K75" s="3372"/>
      <c r="L75" s="2989"/>
      <c r="M75" s="2990"/>
      <c r="N75" s="3341"/>
      <c r="O75" s="3377">
        <v>1</v>
      </c>
      <c r="P75" s="3343" t="s">
        <v>19</v>
      </c>
      <c r="Q75" s="3236" t="s">
        <v>22</v>
      </c>
      <c r="R75" s="3236" t="s">
        <v>22</v>
      </c>
      <c r="S75" s="3236" t="s">
        <v>22</v>
      </c>
      <c r="T75" s="3236" t="s">
        <v>22</v>
      </c>
      <c r="U75" s="3236" t="s">
        <v>22</v>
      </c>
      <c r="V75" s="3236" t="s">
        <v>22</v>
      </c>
      <c r="W75" s="3236" t="s">
        <v>22</v>
      </c>
      <c r="X75" s="3236" t="s">
        <v>22</v>
      </c>
      <c r="Y75" s="3236"/>
      <c r="Z75" s="1271"/>
      <c r="AA75" s="1272"/>
      <c r="AB75" s="1272"/>
      <c r="AC75" s="1276"/>
      <c r="AD75" s="1276"/>
      <c r="AE75" s="1277"/>
      <c r="AF75" s="3375"/>
      <c r="AG75" s="3376"/>
      <c r="AH75" s="3376"/>
      <c r="AI75" s="3375"/>
      <c r="AJ75" s="3376"/>
      <c r="AK75" s="3376"/>
      <c r="AL75" s="2079"/>
      <c r="AM75" s="1917"/>
      <c r="AN75" s="1917"/>
      <c r="AO75" s="1917"/>
      <c r="AP75" s="1917"/>
      <c r="AQ75" s="1917"/>
      <c r="AR75" s="1917"/>
      <c r="AS75" s="1917"/>
      <c r="AT75" s="1917"/>
      <c r="AU75" s="1917"/>
      <c r="AV75" s="1917"/>
      <c r="AW75" s="1917"/>
      <c r="AX75" s="1917"/>
      <c r="AY75" s="1917"/>
      <c r="AZ75" s="1917"/>
      <c r="BA75" s="1917"/>
      <c r="BB75" s="1917"/>
      <c r="BC75" s="1917"/>
      <c r="BD75" s="1917"/>
      <c r="BE75" s="1917"/>
      <c r="BF75" s="1917"/>
    </row>
    <row s="10365" customFormat="1" customHeight="1" ht="11.25">
      <c r="A76" s="1262" t="s">
        <v>1194</v>
      </c>
      <c r="B76" s="1262"/>
      <c r="C76" s="1262"/>
      <c r="D76" s="1462"/>
      <c r="E76" s="1266"/>
      <c r="F76" s="3394"/>
      <c r="G76" s="3396"/>
      <c r="H76" s="3263" t="s">
        <v>92</v>
      </c>
      <c r="I76" s="3374"/>
      <c r="J76" s="3400"/>
      <c r="K76" s="3372"/>
      <c r="L76" s="2989"/>
      <c r="M76" s="2990"/>
      <c r="N76" s="3341"/>
      <c r="O76" s="3377"/>
      <c r="P76" s="3344"/>
      <c r="Q76" s="3236"/>
      <c r="R76" s="3236"/>
      <c r="S76" s="3346"/>
      <c r="T76" s="3236"/>
      <c r="U76" s="3236"/>
      <c r="V76" s="3236"/>
      <c r="W76" s="3236"/>
      <c r="X76" s="3236"/>
      <c r="Y76" s="3236"/>
      <c r="Z76" s="1922"/>
      <c r="AA76" s="2198">
        <v>1</v>
      </c>
      <c r="AB76" s="1275" t="s">
        <v>1201</v>
      </c>
      <c r="AC76" s="1265">
        <v>540</v>
      </c>
      <c r="AD76" s="1275" t="str">
        <f>AB76</f>
        <v>      Амортизационные отчисления с выделением результатов переоценки основных средств и нематериальных активов</v>
      </c>
      <c r="AE76" s="1265">
        <v>540</v>
      </c>
      <c r="AF76" s="3375"/>
      <c r="AG76" s="3376"/>
      <c r="AH76" s="3376"/>
      <c r="AI76" s="3375"/>
      <c r="AJ76" s="3376"/>
      <c r="AK76" s="3376"/>
      <c r="AL76" s="2079"/>
      <c r="AM76" s="1917"/>
      <c r="AN76" s="1917"/>
      <c r="AO76" s="1917"/>
      <c r="AP76" s="1917"/>
      <c r="AQ76" s="1917"/>
      <c r="AR76" s="1917"/>
      <c r="AS76" s="1917"/>
      <c r="AT76" s="1917"/>
      <c r="AU76" s="1917"/>
      <c r="AV76" s="1917"/>
      <c r="AW76" s="1917"/>
      <c r="AX76" s="1917"/>
      <c r="AY76" s="1917"/>
      <c r="AZ76" s="1917"/>
      <c r="BA76" s="1917"/>
      <c r="BB76" s="1917"/>
      <c r="BC76" s="1917"/>
      <c r="BD76" s="1917"/>
      <c r="BE76" s="1917"/>
      <c r="BF76" s="1917"/>
    </row>
    <row s="10365" customFormat="1" customHeight="1" ht="11.25">
      <c r="A77" s="1262" t="s">
        <v>1194</v>
      </c>
      <c r="B77" s="1262"/>
      <c r="C77" s="1262"/>
      <c r="D77" s="1462"/>
      <c r="E77" s="1266"/>
      <c r="F77" s="3394"/>
      <c r="G77" s="3396"/>
      <c r="H77" s="3396"/>
      <c r="I77" s="3396"/>
      <c r="J77" s="3396"/>
      <c r="K77" s="3396"/>
      <c r="L77" s="3396"/>
      <c r="M77" s="3396"/>
      <c r="N77" s="3396"/>
      <c r="O77" s="3396"/>
      <c r="P77" s="3396"/>
      <c r="Q77" s="3396"/>
      <c r="R77" s="3396"/>
      <c r="S77" s="3396"/>
      <c r="T77" s="3396"/>
      <c r="U77" s="3396"/>
      <c r="V77" s="3396"/>
      <c r="W77" s="3396"/>
      <c r="X77" s="3396"/>
      <c r="Y77" s="3396"/>
      <c r="Z77" s="790" t="s">
        <v>103</v>
      </c>
      <c r="AA77" s="2195" t="s">
        <v>102</v>
      </c>
      <c r="AB77" s="1275" t="s">
        <v>1208</v>
      </c>
      <c r="AC77" s="1265">
        <v>108</v>
      </c>
      <c r="AD77" s="1275" t="str">
        <f>AB77</f>
        <v>  Прочие собственные средства</v>
      </c>
      <c r="AE77" s="1265">
        <v>108</v>
      </c>
      <c r="AF77" s="3397"/>
      <c r="AG77" s="3398"/>
      <c r="AH77" s="3398"/>
      <c r="AI77" s="3397"/>
      <c r="AJ77" s="3398"/>
      <c r="AK77" s="3399"/>
      <c r="AL77" s="2079"/>
      <c r="AM77" s="1917"/>
      <c r="AN77" s="1917"/>
      <c r="AO77" s="1917"/>
      <c r="AP77" s="1917"/>
      <c r="AQ77" s="1917"/>
      <c r="AR77" s="1917"/>
      <c r="AS77" s="1917"/>
      <c r="AT77" s="1917"/>
      <c r="AU77" s="1917"/>
      <c r="AV77" s="1917"/>
      <c r="AW77" s="1917"/>
      <c r="AX77" s="1917"/>
      <c r="AY77" s="1917"/>
      <c r="AZ77" s="1917"/>
      <c r="BA77" s="1917"/>
      <c r="BB77" s="1917"/>
      <c r="BC77" s="1917"/>
      <c r="BD77" s="1917"/>
      <c r="BE77" s="1917"/>
      <c r="BF77" s="1917"/>
    </row>
    <row s="10365" customFormat="1" customHeight="1" ht="11.25">
      <c r="A78" s="1262" t="s">
        <v>1194</v>
      </c>
      <c r="B78" s="1262"/>
      <c r="C78" s="1262"/>
      <c r="D78" s="1462"/>
      <c r="E78" s="1266"/>
      <c r="F78" s="3394"/>
      <c r="G78" s="3396"/>
      <c r="H78" s="3263" t="s">
        <v>92</v>
      </c>
      <c r="I78" s="3374"/>
      <c r="J78" s="3400"/>
      <c r="K78" s="3372"/>
      <c r="L78" s="2989"/>
      <c r="M78" s="2990"/>
      <c r="N78" s="3341"/>
      <c r="O78" s="3377"/>
      <c r="P78" s="3345"/>
      <c r="Q78" s="3236"/>
      <c r="R78" s="3236"/>
      <c r="S78" s="3346"/>
      <c r="T78" s="3236"/>
      <c r="U78" s="3236"/>
      <c r="V78" s="3236"/>
      <c r="W78" s="3236"/>
      <c r="X78" s="3236"/>
      <c r="Y78" s="3236"/>
      <c r="Z78" s="1271"/>
      <c r="AA78" s="1272"/>
      <c r="AB78" s="1337" t="s">
        <v>1203</v>
      </c>
      <c r="AC78" s="1276"/>
      <c r="AD78" s="1276"/>
      <c r="AE78" s="1278"/>
      <c r="AF78" s="3375"/>
      <c r="AG78" s="3376"/>
      <c r="AH78" s="3376"/>
      <c r="AI78" s="3375"/>
      <c r="AJ78" s="3376"/>
      <c r="AK78" s="3376"/>
      <c r="AL78" s="2079"/>
      <c r="AM78" s="1917"/>
      <c r="AN78" s="1917"/>
      <c r="AO78" s="1917"/>
      <c r="AP78" s="1917"/>
      <c r="AQ78" s="1917"/>
      <c r="AR78" s="1917"/>
      <c r="AS78" s="1917"/>
      <c r="AT78" s="1917"/>
      <c r="AU78" s="1917"/>
      <c r="AV78" s="1917"/>
      <c r="AW78" s="1917"/>
      <c r="AX78" s="1917"/>
      <c r="AY78" s="1917"/>
      <c r="AZ78" s="1917"/>
      <c r="BA78" s="1917"/>
      <c r="BB78" s="1917"/>
      <c r="BC78" s="1917"/>
      <c r="BD78" s="1917"/>
      <c r="BE78" s="1917"/>
      <c r="BF78" s="1917"/>
    </row>
    <row s="10365" customFormat="1" customHeight="1" ht="11.25">
      <c r="A79" s="1262" t="s">
        <v>1194</v>
      </c>
      <c r="B79" s="1262"/>
      <c r="C79" s="1262"/>
      <c r="D79" s="1462"/>
      <c r="E79" s="1266"/>
      <c r="F79" s="3394"/>
      <c r="G79" s="3396"/>
      <c r="H79" s="3263" t="s">
        <v>92</v>
      </c>
      <c r="I79" s="3374"/>
      <c r="J79" s="3400"/>
      <c r="K79" s="3372"/>
      <c r="L79" s="2989"/>
      <c r="M79" s="2990"/>
      <c r="N79" s="1271"/>
      <c r="O79" s="1272"/>
      <c r="P79" s="1337" t="s">
        <v>1204</v>
      </c>
      <c r="Q79" s="1272"/>
      <c r="R79" s="1272"/>
      <c r="S79" s="1272"/>
      <c r="T79" s="1272"/>
      <c r="U79" s="1272"/>
      <c r="V79" s="1272"/>
      <c r="W79" s="1272"/>
      <c r="X79" s="1272"/>
      <c r="Y79" s="1272"/>
      <c r="Z79" s="1272"/>
      <c r="AA79" s="1272"/>
      <c r="AB79" s="1272"/>
      <c r="AC79" s="1272"/>
      <c r="AD79" s="1272"/>
      <c r="AE79" s="1279"/>
      <c r="AF79" s="3375"/>
      <c r="AG79" s="3376"/>
      <c r="AH79" s="3376"/>
      <c r="AI79" s="3375"/>
      <c r="AJ79" s="3376"/>
      <c r="AK79" s="3376"/>
      <c r="AL79" s="2079"/>
      <c r="AM79" s="1917"/>
      <c r="AN79" s="1917"/>
      <c r="AO79" s="1917"/>
      <c r="AP79" s="1917"/>
      <c r="AQ79" s="1917"/>
      <c r="AR79" s="1917"/>
      <c r="AS79" s="1917"/>
      <c r="AT79" s="1917"/>
      <c r="AU79" s="1917"/>
      <c r="AV79" s="1917"/>
      <c r="AW79" s="1917"/>
      <c r="AX79" s="1917"/>
      <c r="AY79" s="1917"/>
      <c r="AZ79" s="1917"/>
      <c r="BA79" s="1917"/>
      <c r="BB79" s="1917"/>
      <c r="BC79" s="1917"/>
      <c r="BD79" s="1917"/>
      <c r="BE79" s="1917"/>
      <c r="BF79" s="1917"/>
    </row>
    <row s="10365" customFormat="1" customHeight="1" ht="11.25">
      <c r="A80" s="1262" t="s">
        <v>1194</v>
      </c>
      <c r="B80" s="1262" t="s">
        <v>22</v>
      </c>
      <c r="C80" s="1262"/>
      <c r="D80" s="1462"/>
      <c r="E80" s="1266"/>
      <c r="F80" s="3394"/>
      <c r="G80" s="3004" t="s">
        <v>103</v>
      </c>
      <c r="H80" s="3263" t="s">
        <v>136</v>
      </c>
      <c r="I80" s="3374" t="s">
        <v>1217</v>
      </c>
      <c r="J80" s="3400" t="s">
        <v>22</v>
      </c>
      <c r="K80" s="3372" t="s">
        <v>1218</v>
      </c>
      <c r="L80" s="2989" t="s">
        <v>19</v>
      </c>
      <c r="M80" s="2990"/>
      <c r="N80" s="2077"/>
      <c r="O80" s="1273" t="s">
        <v>461</v>
      </c>
      <c r="P80" s="1274"/>
      <c r="Q80" s="1274"/>
      <c r="R80" s="1274"/>
      <c r="S80" s="1274"/>
      <c r="T80" s="1274"/>
      <c r="U80" s="1274"/>
      <c r="V80" s="1274"/>
      <c r="W80" s="1274"/>
      <c r="X80" s="1274"/>
      <c r="Y80" s="1274"/>
      <c r="Z80" s="1274"/>
      <c r="AA80" s="1274"/>
      <c r="AB80" s="1274"/>
      <c r="AC80" s="1274"/>
      <c r="AD80" s="1274"/>
      <c r="AE80" s="1274"/>
      <c r="AF80" s="3375">
        <v>1</v>
      </c>
      <c r="AG80" s="3376" t="s">
        <v>1206</v>
      </c>
      <c r="AH80" s="3376" t="s">
        <v>1210</v>
      </c>
      <c r="AI80" s="3375">
        <v>1</v>
      </c>
      <c r="AJ80" s="3376" t="s">
        <v>1206</v>
      </c>
      <c r="AK80" s="3376" t="s">
        <v>1210</v>
      </c>
      <c r="AL80" s="2079"/>
      <c r="AM80" s="1917"/>
      <c r="AN80" s="1917"/>
      <c r="AO80" s="1917"/>
      <c r="AP80" s="1917"/>
      <c r="AQ80" s="1917"/>
      <c r="AR80" s="1917"/>
      <c r="AS80" s="1917"/>
      <c r="AT80" s="1917"/>
      <c r="AU80" s="1917"/>
      <c r="AV80" s="1917"/>
      <c r="AW80" s="1917"/>
      <c r="AX80" s="1917"/>
      <c r="AY80" s="1917"/>
      <c r="AZ80" s="1917"/>
      <c r="BA80" s="1917"/>
      <c r="BB80" s="1917"/>
      <c r="BC80" s="1917"/>
      <c r="BD80" s="1917"/>
      <c r="BE80" s="1917"/>
      <c r="BF80" s="1917"/>
    </row>
    <row s="10365" customFormat="1" customHeight="1" ht="11.25">
      <c r="A81" s="1262" t="s">
        <v>1194</v>
      </c>
      <c r="B81" s="1262"/>
      <c r="C81" s="1262"/>
      <c r="D81" s="1462"/>
      <c r="E81" s="1266"/>
      <c r="F81" s="3394"/>
      <c r="G81" s="3396"/>
      <c r="H81" s="3263" t="s">
        <v>93</v>
      </c>
      <c r="I81" s="3374"/>
      <c r="J81" s="3400"/>
      <c r="K81" s="3372"/>
      <c r="L81" s="2989"/>
      <c r="M81" s="2990"/>
      <c r="N81" s="3341"/>
      <c r="O81" s="3377">
        <v>1</v>
      </c>
      <c r="P81" s="3343" t="s">
        <v>19</v>
      </c>
      <c r="Q81" s="3236" t="s">
        <v>22</v>
      </c>
      <c r="R81" s="3236" t="s">
        <v>22</v>
      </c>
      <c r="S81" s="3236" t="s">
        <v>22</v>
      </c>
      <c r="T81" s="3236" t="s">
        <v>22</v>
      </c>
      <c r="U81" s="3236" t="s">
        <v>22</v>
      </c>
      <c r="V81" s="3236" t="s">
        <v>22</v>
      </c>
      <c r="W81" s="3236" t="s">
        <v>22</v>
      </c>
      <c r="X81" s="3236" t="s">
        <v>22</v>
      </c>
      <c r="Y81" s="3236"/>
      <c r="Z81" s="1271"/>
      <c r="AA81" s="1272"/>
      <c r="AB81" s="1272"/>
      <c r="AC81" s="1276"/>
      <c r="AD81" s="1276"/>
      <c r="AE81" s="1277"/>
      <c r="AF81" s="3375"/>
      <c r="AG81" s="3376"/>
      <c r="AH81" s="3376"/>
      <c r="AI81" s="3375"/>
      <c r="AJ81" s="3376"/>
      <c r="AK81" s="3376"/>
      <c r="AL81" s="2079"/>
      <c r="AM81" s="1917"/>
      <c r="AN81" s="1917"/>
      <c r="AO81" s="1917"/>
      <c r="AP81" s="1917"/>
      <c r="AQ81" s="1917"/>
      <c r="AR81" s="1917"/>
      <c r="AS81" s="1917"/>
      <c r="AT81" s="1917"/>
      <c r="AU81" s="1917"/>
      <c r="AV81" s="1917"/>
      <c r="AW81" s="1917"/>
      <c r="AX81" s="1917"/>
      <c r="AY81" s="1917"/>
      <c r="AZ81" s="1917"/>
      <c r="BA81" s="1917"/>
      <c r="BB81" s="1917"/>
      <c r="BC81" s="1917"/>
      <c r="BD81" s="1917"/>
      <c r="BE81" s="1917"/>
      <c r="BF81" s="1917"/>
    </row>
    <row s="10365" customFormat="1" customHeight="1" ht="11.25">
      <c r="A82" s="1262" t="s">
        <v>1194</v>
      </c>
      <c r="B82" s="1262"/>
      <c r="C82" s="1262"/>
      <c r="D82" s="1462"/>
      <c r="E82" s="1266"/>
      <c r="F82" s="3394"/>
      <c r="G82" s="3396"/>
      <c r="H82" s="3263" t="s">
        <v>93</v>
      </c>
      <c r="I82" s="3374"/>
      <c r="J82" s="3400"/>
      <c r="K82" s="3372"/>
      <c r="L82" s="2989"/>
      <c r="M82" s="2990"/>
      <c r="N82" s="3341"/>
      <c r="O82" s="3377"/>
      <c r="P82" s="3344"/>
      <c r="Q82" s="3236"/>
      <c r="R82" s="3236"/>
      <c r="S82" s="3346"/>
      <c r="T82" s="3236"/>
      <c r="U82" s="3236"/>
      <c r="V82" s="3236"/>
      <c r="W82" s="3236"/>
      <c r="X82" s="3236"/>
      <c r="Y82" s="3236"/>
      <c r="Z82" s="1922"/>
      <c r="AA82" s="2198">
        <v>1</v>
      </c>
      <c r="AB82" s="1275" t="s">
        <v>1201</v>
      </c>
      <c r="AC82" s="1265">
        <v>2373.11</v>
      </c>
      <c r="AD82" s="1275" t="str">
        <f>AB82</f>
        <v>      Амортизационные отчисления с выделением результатов переоценки основных средств и нематериальных активов</v>
      </c>
      <c r="AE82" s="1265">
        <v>1955.68</v>
      </c>
      <c r="AF82" s="3375"/>
      <c r="AG82" s="3376"/>
      <c r="AH82" s="3376"/>
      <c r="AI82" s="3375"/>
      <c r="AJ82" s="3376"/>
      <c r="AK82" s="3376"/>
      <c r="AL82" s="2079"/>
      <c r="AM82" s="1917"/>
      <c r="AN82" s="1917"/>
      <c r="AO82" s="1917"/>
      <c r="AP82" s="1917"/>
      <c r="AQ82" s="1917"/>
      <c r="AR82" s="1917"/>
      <c r="AS82" s="1917"/>
      <c r="AT82" s="1917"/>
      <c r="AU82" s="1917"/>
      <c r="AV82" s="1917"/>
      <c r="AW82" s="1917"/>
      <c r="AX82" s="1917"/>
      <c r="AY82" s="1917"/>
      <c r="AZ82" s="1917"/>
      <c r="BA82" s="1917"/>
      <c r="BB82" s="1917"/>
      <c r="BC82" s="1917"/>
      <c r="BD82" s="1917"/>
      <c r="BE82" s="1917"/>
      <c r="BF82" s="1917"/>
    </row>
    <row s="10365" customFormat="1" customHeight="1" ht="11.25">
      <c r="A83" s="1262" t="s">
        <v>1194</v>
      </c>
      <c r="B83" s="1262"/>
      <c r="C83" s="1262"/>
      <c r="D83" s="1462"/>
      <c r="E83" s="1266"/>
      <c r="F83" s="3394"/>
      <c r="G83" s="3396"/>
      <c r="H83" s="3396"/>
      <c r="I83" s="3396"/>
      <c r="J83" s="3396"/>
      <c r="K83" s="3396"/>
      <c r="L83" s="3396"/>
      <c r="M83" s="3396"/>
      <c r="N83" s="3396"/>
      <c r="O83" s="3396"/>
      <c r="P83" s="3396"/>
      <c r="Q83" s="3396"/>
      <c r="R83" s="3396"/>
      <c r="S83" s="3396"/>
      <c r="T83" s="3396"/>
      <c r="U83" s="3396"/>
      <c r="V83" s="3396"/>
      <c r="W83" s="3396"/>
      <c r="X83" s="3396"/>
      <c r="Y83" s="3396"/>
      <c r="Z83" s="790" t="s">
        <v>103</v>
      </c>
      <c r="AA83" s="2195" t="s">
        <v>102</v>
      </c>
      <c r="AB83" s="1275" t="s">
        <v>1208</v>
      </c>
      <c r="AC83" s="1265">
        <v>474.62</v>
      </c>
      <c r="AD83" s="1275" t="str">
        <f>AB83</f>
        <v>  Прочие собственные средства</v>
      </c>
      <c r="AE83" s="1265">
        <v>391.13582</v>
      </c>
      <c r="AF83" s="3397"/>
      <c r="AG83" s="3398"/>
      <c r="AH83" s="3398"/>
      <c r="AI83" s="3397"/>
      <c r="AJ83" s="3398"/>
      <c r="AK83" s="3399"/>
      <c r="AL83" s="2079"/>
      <c r="AM83" s="1917"/>
      <c r="AN83" s="1917"/>
      <c r="AO83" s="1917"/>
      <c r="AP83" s="1917"/>
      <c r="AQ83" s="1917"/>
      <c r="AR83" s="1917"/>
      <c r="AS83" s="1917"/>
      <c r="AT83" s="1917"/>
      <c r="AU83" s="1917"/>
      <c r="AV83" s="1917"/>
      <c r="AW83" s="1917"/>
      <c r="AX83" s="1917"/>
      <c r="AY83" s="1917"/>
      <c r="AZ83" s="1917"/>
      <c r="BA83" s="1917"/>
      <c r="BB83" s="1917"/>
      <c r="BC83" s="1917"/>
      <c r="BD83" s="1917"/>
      <c r="BE83" s="1917"/>
      <c r="BF83" s="1917"/>
    </row>
    <row s="10365" customFormat="1" customHeight="1" ht="11.25">
      <c r="A84" s="1262" t="s">
        <v>1194</v>
      </c>
      <c r="B84" s="1262"/>
      <c r="C84" s="1262"/>
      <c r="D84" s="1462"/>
      <c r="E84" s="1266"/>
      <c r="F84" s="3394"/>
      <c r="G84" s="3396"/>
      <c r="H84" s="3263" t="s">
        <v>93</v>
      </c>
      <c r="I84" s="3374"/>
      <c r="J84" s="3400"/>
      <c r="K84" s="3372"/>
      <c r="L84" s="2989"/>
      <c r="M84" s="2990"/>
      <c r="N84" s="3341"/>
      <c r="O84" s="3377"/>
      <c r="P84" s="3345"/>
      <c r="Q84" s="3236"/>
      <c r="R84" s="3236"/>
      <c r="S84" s="3346"/>
      <c r="T84" s="3236"/>
      <c r="U84" s="3236"/>
      <c r="V84" s="3236"/>
      <c r="W84" s="3236"/>
      <c r="X84" s="3236"/>
      <c r="Y84" s="3236"/>
      <c r="Z84" s="1271"/>
      <c r="AA84" s="1272"/>
      <c r="AB84" s="1337" t="s">
        <v>1203</v>
      </c>
      <c r="AC84" s="1276"/>
      <c r="AD84" s="1276"/>
      <c r="AE84" s="1278"/>
      <c r="AF84" s="3375"/>
      <c r="AG84" s="3376"/>
      <c r="AH84" s="3376"/>
      <c r="AI84" s="3375"/>
      <c r="AJ84" s="3376"/>
      <c r="AK84" s="3376"/>
      <c r="AL84" s="2079"/>
      <c r="AM84" s="1917"/>
      <c r="AN84" s="1917"/>
      <c r="AO84" s="1917"/>
      <c r="AP84" s="1917"/>
      <c r="AQ84" s="1917"/>
      <c r="AR84" s="1917"/>
      <c r="AS84" s="1917"/>
      <c r="AT84" s="1917"/>
      <c r="AU84" s="1917"/>
      <c r="AV84" s="1917"/>
      <c r="AW84" s="1917"/>
      <c r="AX84" s="1917"/>
      <c r="AY84" s="1917"/>
      <c r="AZ84" s="1917"/>
      <c r="BA84" s="1917"/>
      <c r="BB84" s="1917"/>
      <c r="BC84" s="1917"/>
      <c r="BD84" s="1917"/>
      <c r="BE84" s="1917"/>
      <c r="BF84" s="1917"/>
    </row>
    <row s="10365" customFormat="1" customHeight="1" ht="11.25">
      <c r="A85" s="1262" t="s">
        <v>1194</v>
      </c>
      <c r="B85" s="1262"/>
      <c r="C85" s="1262"/>
      <c r="D85" s="1462"/>
      <c r="E85" s="1266"/>
      <c r="F85" s="3394"/>
      <c r="G85" s="3396"/>
      <c r="H85" s="3263" t="s">
        <v>93</v>
      </c>
      <c r="I85" s="3374"/>
      <c r="J85" s="3400"/>
      <c r="K85" s="3372"/>
      <c r="L85" s="2989"/>
      <c r="M85" s="2990"/>
      <c r="N85" s="1271"/>
      <c r="O85" s="1272"/>
      <c r="P85" s="1337" t="s">
        <v>1204</v>
      </c>
      <c r="Q85" s="1272"/>
      <c r="R85" s="1272"/>
      <c r="S85" s="1272"/>
      <c r="T85" s="1272"/>
      <c r="U85" s="1272"/>
      <c r="V85" s="1272"/>
      <c r="W85" s="1272"/>
      <c r="X85" s="1272"/>
      <c r="Y85" s="1272"/>
      <c r="Z85" s="1272"/>
      <c r="AA85" s="1272"/>
      <c r="AB85" s="1272"/>
      <c r="AC85" s="1272"/>
      <c r="AD85" s="1272"/>
      <c r="AE85" s="1279"/>
      <c r="AF85" s="3375"/>
      <c r="AG85" s="3376"/>
      <c r="AH85" s="3376"/>
      <c r="AI85" s="3375"/>
      <c r="AJ85" s="3376"/>
      <c r="AK85" s="3376"/>
      <c r="AL85" s="2079"/>
      <c r="AM85" s="1917"/>
      <c r="AN85" s="1917"/>
      <c r="AO85" s="1917"/>
      <c r="AP85" s="1917"/>
      <c r="AQ85" s="1917"/>
      <c r="AR85" s="1917"/>
      <c r="AS85" s="1917"/>
      <c r="AT85" s="1917"/>
      <c r="AU85" s="1917"/>
      <c r="AV85" s="1917"/>
      <c r="AW85" s="1917"/>
      <c r="AX85" s="1917"/>
      <c r="AY85" s="1917"/>
      <c r="AZ85" s="1917"/>
      <c r="BA85" s="1917"/>
      <c r="BB85" s="1917"/>
      <c r="BC85" s="1917"/>
      <c r="BD85" s="1917"/>
      <c r="BE85" s="1917"/>
      <c r="BF85" s="1917"/>
    </row>
    <row s="10365" customFormat="1" customHeight="1" ht="11.25">
      <c r="A86" s="1262" t="s">
        <v>1194</v>
      </c>
      <c r="B86" s="1262" t="s">
        <v>1195</v>
      </c>
      <c r="C86" s="1262"/>
      <c r="D86" s="1462"/>
      <c r="E86" s="1266"/>
      <c r="F86" s="3394"/>
      <c r="G86" s="3004" t="s">
        <v>103</v>
      </c>
      <c r="H86" s="3263" t="s">
        <v>235</v>
      </c>
      <c r="I86" s="3374" t="s">
        <v>1196</v>
      </c>
      <c r="J86" s="3334" t="s">
        <v>1219</v>
      </c>
      <c r="K86" s="3372" t="s">
        <v>1220</v>
      </c>
      <c r="L86" s="2989" t="s">
        <v>19</v>
      </c>
      <c r="M86" s="2990"/>
      <c r="N86" s="2077"/>
      <c r="O86" s="1273" t="s">
        <v>461</v>
      </c>
      <c r="P86" s="1274"/>
      <c r="Q86" s="1274"/>
      <c r="R86" s="1274"/>
      <c r="S86" s="1274"/>
      <c r="T86" s="1274"/>
      <c r="U86" s="1274"/>
      <c r="V86" s="1274"/>
      <c r="W86" s="1274"/>
      <c r="X86" s="1274"/>
      <c r="Y86" s="1274"/>
      <c r="Z86" s="1274"/>
      <c r="AA86" s="1274"/>
      <c r="AB86" s="1274"/>
      <c r="AC86" s="1274"/>
      <c r="AD86" s="1274"/>
      <c r="AE86" s="1274"/>
      <c r="AF86" s="3375">
        <v>10</v>
      </c>
      <c r="AG86" s="3376" t="s">
        <v>1199</v>
      </c>
      <c r="AH86" s="3376" t="s">
        <v>1200</v>
      </c>
      <c r="AI86" s="3375">
        <v>10</v>
      </c>
      <c r="AJ86" s="3376" t="s">
        <v>1199</v>
      </c>
      <c r="AK86" s="3376" t="s">
        <v>1200</v>
      </c>
      <c r="AL86" s="2079"/>
      <c r="AM86" s="1917"/>
      <c r="AN86" s="1917"/>
      <c r="AO86" s="1917"/>
      <c r="AP86" s="1917"/>
      <c r="AQ86" s="1917"/>
      <c r="AR86" s="1917"/>
      <c r="AS86" s="1917"/>
      <c r="AT86" s="1917"/>
      <c r="AU86" s="1917"/>
      <c r="AV86" s="1917"/>
      <c r="AW86" s="1917"/>
      <c r="AX86" s="1917"/>
      <c r="AY86" s="1917"/>
      <c r="AZ86" s="1917"/>
      <c r="BA86" s="1917"/>
      <c r="BB86" s="1917"/>
      <c r="BC86" s="1917"/>
      <c r="BD86" s="1917"/>
      <c r="BE86" s="1917"/>
      <c r="BF86" s="1917"/>
    </row>
    <row s="10365" customFormat="1" customHeight="1" ht="11.25">
      <c r="A87" s="1262" t="s">
        <v>1194</v>
      </c>
      <c r="B87" s="1262"/>
      <c r="C87" s="1262"/>
      <c r="D87" s="1462"/>
      <c r="E87" s="1266"/>
      <c r="F87" s="3394"/>
      <c r="G87" s="3396"/>
      <c r="H87" s="3263" t="s">
        <v>136</v>
      </c>
      <c r="I87" s="3374"/>
      <c r="J87" s="3334"/>
      <c r="K87" s="3372"/>
      <c r="L87" s="2989"/>
      <c r="M87" s="2990"/>
      <c r="N87" s="3341"/>
      <c r="O87" s="3377">
        <v>1</v>
      </c>
      <c r="P87" s="3343" t="s">
        <v>19</v>
      </c>
      <c r="Q87" s="3236" t="s">
        <v>22</v>
      </c>
      <c r="R87" s="3236" t="s">
        <v>22</v>
      </c>
      <c r="S87" s="3236" t="s">
        <v>22</v>
      </c>
      <c r="T87" s="3236" t="s">
        <v>22</v>
      </c>
      <c r="U87" s="3236" t="s">
        <v>22</v>
      </c>
      <c r="V87" s="3236" t="s">
        <v>22</v>
      </c>
      <c r="W87" s="3236" t="s">
        <v>22</v>
      </c>
      <c r="X87" s="3236" t="s">
        <v>22</v>
      </c>
      <c r="Y87" s="3236"/>
      <c r="Z87" s="1271"/>
      <c r="AA87" s="1272"/>
      <c r="AB87" s="1272"/>
      <c r="AC87" s="1276"/>
      <c r="AD87" s="1276"/>
      <c r="AE87" s="1277"/>
      <c r="AF87" s="3375"/>
      <c r="AG87" s="3376"/>
      <c r="AH87" s="3376"/>
      <c r="AI87" s="3375"/>
      <c r="AJ87" s="3376"/>
      <c r="AK87" s="3376"/>
      <c r="AL87" s="2079"/>
      <c r="AM87" s="1917"/>
      <c r="AN87" s="1917"/>
      <c r="AO87" s="1917"/>
      <c r="AP87" s="1917"/>
      <c r="AQ87" s="1917"/>
      <c r="AR87" s="1917"/>
      <c r="AS87" s="1917"/>
      <c r="AT87" s="1917"/>
      <c r="AU87" s="1917"/>
      <c r="AV87" s="1917"/>
      <c r="AW87" s="1917"/>
      <c r="AX87" s="1917"/>
      <c r="AY87" s="1917"/>
      <c r="AZ87" s="1917"/>
      <c r="BA87" s="1917"/>
      <c r="BB87" s="1917"/>
      <c r="BC87" s="1917"/>
      <c r="BD87" s="1917"/>
      <c r="BE87" s="1917"/>
      <c r="BF87" s="1917"/>
    </row>
    <row s="10365" customFormat="1" customHeight="1" ht="11.25">
      <c r="A88" s="1262" t="s">
        <v>1194</v>
      </c>
      <c r="B88" s="1262"/>
      <c r="C88" s="1262"/>
      <c r="D88" s="1462"/>
      <c r="E88" s="1266"/>
      <c r="F88" s="3394"/>
      <c r="G88" s="3396"/>
      <c r="H88" s="3263" t="s">
        <v>136</v>
      </c>
      <c r="I88" s="3374"/>
      <c r="J88" s="3334"/>
      <c r="K88" s="3372"/>
      <c r="L88" s="2989"/>
      <c r="M88" s="2990"/>
      <c r="N88" s="3341"/>
      <c r="O88" s="3377"/>
      <c r="P88" s="3344"/>
      <c r="Q88" s="3236"/>
      <c r="R88" s="3236"/>
      <c r="S88" s="3346"/>
      <c r="T88" s="3236"/>
      <c r="U88" s="3236"/>
      <c r="V88" s="3236"/>
      <c r="W88" s="3236"/>
      <c r="X88" s="3236"/>
      <c r="Y88" s="3236"/>
      <c r="Z88" s="1922"/>
      <c r="AA88" s="2198">
        <v>1</v>
      </c>
      <c r="AB88" s="1275" t="s">
        <v>1201</v>
      </c>
      <c r="AC88" s="1265">
        <v>3471.35</v>
      </c>
      <c r="AD88" s="1275" t="str">
        <f>AB88</f>
        <v>      Амортизационные отчисления с выделением результатов переоценки основных средств и нематериальных активов</v>
      </c>
      <c r="AE88" s="1265">
        <v>0</v>
      </c>
      <c r="AF88" s="3375"/>
      <c r="AG88" s="3376"/>
      <c r="AH88" s="3376"/>
      <c r="AI88" s="3375"/>
      <c r="AJ88" s="3376"/>
      <c r="AK88" s="3376"/>
      <c r="AL88" s="2079"/>
      <c r="AM88" s="1917"/>
      <c r="AN88" s="1917"/>
      <c r="AO88" s="1917"/>
      <c r="AP88" s="1917"/>
      <c r="AQ88" s="1917"/>
      <c r="AR88" s="1917"/>
      <c r="AS88" s="1917"/>
      <c r="AT88" s="1917"/>
      <c r="AU88" s="1917"/>
      <c r="AV88" s="1917"/>
      <c r="AW88" s="1917"/>
      <c r="AX88" s="1917"/>
      <c r="AY88" s="1917"/>
      <c r="AZ88" s="1917"/>
      <c r="BA88" s="1917"/>
      <c r="BB88" s="1917"/>
      <c r="BC88" s="1917"/>
      <c r="BD88" s="1917"/>
      <c r="BE88" s="1917"/>
      <c r="BF88" s="1917"/>
    </row>
    <row s="10365" customFormat="1" customHeight="1" ht="11.25">
      <c r="A89" s="1262" t="s">
        <v>1194</v>
      </c>
      <c r="B89" s="1262"/>
      <c r="C89" s="1262"/>
      <c r="D89" s="1462"/>
      <c r="E89" s="1266"/>
      <c r="F89" s="3394"/>
      <c r="G89" s="3396"/>
      <c r="H89" s="3396"/>
      <c r="I89" s="3396"/>
      <c r="J89" s="3396"/>
      <c r="K89" s="3396"/>
      <c r="L89" s="3396"/>
      <c r="M89" s="3396"/>
      <c r="N89" s="3396"/>
      <c r="O89" s="3396"/>
      <c r="P89" s="3396"/>
      <c r="Q89" s="3396"/>
      <c r="R89" s="3396"/>
      <c r="S89" s="3396"/>
      <c r="T89" s="3396"/>
      <c r="U89" s="3396"/>
      <c r="V89" s="3396"/>
      <c r="W89" s="3396"/>
      <c r="X89" s="3396"/>
      <c r="Y89" s="3396"/>
      <c r="Z89" s="790" t="s">
        <v>103</v>
      </c>
      <c r="AA89" s="2195" t="s">
        <v>102</v>
      </c>
      <c r="AB89" s="1275" t="s">
        <v>1208</v>
      </c>
      <c r="AC89" s="1265">
        <v>694.27</v>
      </c>
      <c r="AD89" s="1275" t="str">
        <f>AB89</f>
        <v>  Прочие собственные средства</v>
      </c>
      <c r="AE89" s="1265">
        <v>0</v>
      </c>
      <c r="AF89" s="3397"/>
      <c r="AG89" s="3398"/>
      <c r="AH89" s="3398"/>
      <c r="AI89" s="3397"/>
      <c r="AJ89" s="3398"/>
      <c r="AK89" s="3399"/>
      <c r="AL89" s="2079"/>
      <c r="AM89" s="1917"/>
      <c r="AN89" s="1917"/>
      <c r="AO89" s="1917"/>
      <c r="AP89" s="1917"/>
      <c r="AQ89" s="1917"/>
      <c r="AR89" s="1917"/>
      <c r="AS89" s="1917"/>
      <c r="AT89" s="1917"/>
      <c r="AU89" s="1917"/>
      <c r="AV89" s="1917"/>
      <c r="AW89" s="1917"/>
      <c r="AX89" s="1917"/>
      <c r="AY89" s="1917"/>
      <c r="AZ89" s="1917"/>
      <c r="BA89" s="1917"/>
      <c r="BB89" s="1917"/>
      <c r="BC89" s="1917"/>
      <c r="BD89" s="1917"/>
      <c r="BE89" s="1917"/>
      <c r="BF89" s="1917"/>
    </row>
    <row s="10365" customFormat="1" customHeight="1" ht="11.25">
      <c r="A90" s="1262" t="s">
        <v>1194</v>
      </c>
      <c r="B90" s="1262"/>
      <c r="C90" s="1262"/>
      <c r="D90" s="1462"/>
      <c r="E90" s="1266"/>
      <c r="F90" s="3394"/>
      <c r="G90" s="3396"/>
      <c r="H90" s="3263" t="s">
        <v>136</v>
      </c>
      <c r="I90" s="3374"/>
      <c r="J90" s="3334"/>
      <c r="K90" s="3372"/>
      <c r="L90" s="2989"/>
      <c r="M90" s="2990"/>
      <c r="N90" s="3341"/>
      <c r="O90" s="3377"/>
      <c r="P90" s="3345"/>
      <c r="Q90" s="3236"/>
      <c r="R90" s="3236"/>
      <c r="S90" s="3346"/>
      <c r="T90" s="3236"/>
      <c r="U90" s="3236"/>
      <c r="V90" s="3236"/>
      <c r="W90" s="3236"/>
      <c r="X90" s="3236"/>
      <c r="Y90" s="3236"/>
      <c r="Z90" s="1271"/>
      <c r="AA90" s="1272"/>
      <c r="AB90" s="1337" t="s">
        <v>1203</v>
      </c>
      <c r="AC90" s="1276"/>
      <c r="AD90" s="1276"/>
      <c r="AE90" s="1278"/>
      <c r="AF90" s="3375"/>
      <c r="AG90" s="3376"/>
      <c r="AH90" s="3376"/>
      <c r="AI90" s="3375"/>
      <c r="AJ90" s="3376"/>
      <c r="AK90" s="3376"/>
      <c r="AL90" s="2079"/>
      <c r="AM90" s="1917"/>
      <c r="AN90" s="1917"/>
      <c r="AO90" s="1917"/>
      <c r="AP90" s="1917"/>
      <c r="AQ90" s="1917"/>
      <c r="AR90" s="1917"/>
      <c r="AS90" s="1917"/>
      <c r="AT90" s="1917"/>
      <c r="AU90" s="1917"/>
      <c r="AV90" s="1917"/>
      <c r="AW90" s="1917"/>
      <c r="AX90" s="1917"/>
      <c r="AY90" s="1917"/>
      <c r="AZ90" s="1917"/>
      <c r="BA90" s="1917"/>
      <c r="BB90" s="1917"/>
      <c r="BC90" s="1917"/>
      <c r="BD90" s="1917"/>
      <c r="BE90" s="1917"/>
      <c r="BF90" s="1917"/>
    </row>
    <row s="10365" customFormat="1" customHeight="1" ht="11.25">
      <c r="A91" s="1262" t="s">
        <v>1194</v>
      </c>
      <c r="B91" s="1262"/>
      <c r="C91" s="1262"/>
      <c r="D91" s="1462"/>
      <c r="E91" s="1266"/>
      <c r="F91" s="3394"/>
      <c r="G91" s="3396"/>
      <c r="H91" s="3263" t="s">
        <v>136</v>
      </c>
      <c r="I91" s="3374"/>
      <c r="J91" s="3334"/>
      <c r="K91" s="3372"/>
      <c r="L91" s="2989"/>
      <c r="M91" s="2990"/>
      <c r="N91" s="1271"/>
      <c r="O91" s="1272"/>
      <c r="P91" s="1337" t="s">
        <v>1204</v>
      </c>
      <c r="Q91" s="1272"/>
      <c r="R91" s="1272"/>
      <c r="S91" s="1272"/>
      <c r="T91" s="1272"/>
      <c r="U91" s="1272"/>
      <c r="V91" s="1272"/>
      <c r="W91" s="1272"/>
      <c r="X91" s="1272"/>
      <c r="Y91" s="1272"/>
      <c r="Z91" s="1272"/>
      <c r="AA91" s="1272"/>
      <c r="AB91" s="1272"/>
      <c r="AC91" s="1272"/>
      <c r="AD91" s="1272"/>
      <c r="AE91" s="1279"/>
      <c r="AF91" s="3375"/>
      <c r="AG91" s="3376"/>
      <c r="AH91" s="3376"/>
      <c r="AI91" s="3375"/>
      <c r="AJ91" s="3376"/>
      <c r="AK91" s="3376"/>
      <c r="AL91" s="2079"/>
      <c r="AM91" s="1917"/>
      <c r="AN91" s="1917"/>
      <c r="AO91" s="1917"/>
      <c r="AP91" s="1917"/>
      <c r="AQ91" s="1917"/>
      <c r="AR91" s="1917"/>
      <c r="AS91" s="1917"/>
      <c r="AT91" s="1917"/>
      <c r="AU91" s="1917"/>
      <c r="AV91" s="1917"/>
      <c r="AW91" s="1917"/>
      <c r="AX91" s="1917"/>
      <c r="AY91" s="1917"/>
      <c r="AZ91" s="1917"/>
      <c r="BA91" s="1917"/>
      <c r="BB91" s="1917"/>
      <c r="BC91" s="1917"/>
      <c r="BD91" s="1917"/>
      <c r="BE91" s="1917"/>
      <c r="BF91" s="1917"/>
    </row>
    <row s="10365" customFormat="1" customHeight="1" ht="11.25">
      <c r="A92" s="1262" t="s">
        <v>1194</v>
      </c>
      <c r="B92" s="1262" t="s">
        <v>1195</v>
      </c>
      <c r="C92" s="1262"/>
      <c r="D92" s="1462"/>
      <c r="E92" s="1266"/>
      <c r="F92" s="3394"/>
      <c r="G92" s="3004" t="s">
        <v>103</v>
      </c>
      <c r="H92" s="3263" t="s">
        <v>236</v>
      </c>
      <c r="I92" s="3374" t="s">
        <v>1196</v>
      </c>
      <c r="J92" s="3334" t="s">
        <v>1219</v>
      </c>
      <c r="K92" s="3372" t="s">
        <v>1221</v>
      </c>
      <c r="L92" s="2989" t="s">
        <v>19</v>
      </c>
      <c r="M92" s="2990"/>
      <c r="N92" s="2077"/>
      <c r="O92" s="1273" t="s">
        <v>461</v>
      </c>
      <c r="P92" s="1274"/>
      <c r="Q92" s="1274"/>
      <c r="R92" s="1274"/>
      <c r="S92" s="1274"/>
      <c r="T92" s="1274"/>
      <c r="U92" s="1274"/>
      <c r="V92" s="1274"/>
      <c r="W92" s="1274"/>
      <c r="X92" s="1274"/>
      <c r="Y92" s="1274"/>
      <c r="Z92" s="1274"/>
      <c r="AA92" s="1274"/>
      <c r="AB92" s="1274"/>
      <c r="AC92" s="1274"/>
      <c r="AD92" s="1274"/>
      <c r="AE92" s="1274"/>
      <c r="AF92" s="3375">
        <v>13</v>
      </c>
      <c r="AG92" s="3376" t="s">
        <v>1199</v>
      </c>
      <c r="AH92" s="3376" t="s">
        <v>1222</v>
      </c>
      <c r="AI92" s="3375">
        <v>13</v>
      </c>
      <c r="AJ92" s="3376" t="s">
        <v>1199</v>
      </c>
      <c r="AK92" s="3376" t="s">
        <v>1222</v>
      </c>
      <c r="AL92" s="2079"/>
      <c r="AM92" s="1917"/>
      <c r="AN92" s="1917"/>
      <c r="AO92" s="1917"/>
      <c r="AP92" s="1917"/>
      <c r="AQ92" s="1917"/>
      <c r="AR92" s="1917"/>
      <c r="AS92" s="1917"/>
      <c r="AT92" s="1917"/>
      <c r="AU92" s="1917"/>
      <c r="AV92" s="1917"/>
      <c r="AW92" s="1917"/>
      <c r="AX92" s="1917"/>
      <c r="AY92" s="1917"/>
      <c r="AZ92" s="1917"/>
      <c r="BA92" s="1917"/>
      <c r="BB92" s="1917"/>
      <c r="BC92" s="1917"/>
      <c r="BD92" s="1917"/>
      <c r="BE92" s="1917"/>
      <c r="BF92" s="1917"/>
    </row>
    <row s="10365" customFormat="1" customHeight="1" ht="11.25">
      <c r="A93" s="1262" t="s">
        <v>1194</v>
      </c>
      <c r="B93" s="1262"/>
      <c r="C93" s="1262"/>
      <c r="D93" s="1462"/>
      <c r="E93" s="1266"/>
      <c r="F93" s="3394"/>
      <c r="G93" s="3396"/>
      <c r="H93" s="3263" t="s">
        <v>235</v>
      </c>
      <c r="I93" s="3374"/>
      <c r="J93" s="3334"/>
      <c r="K93" s="3372"/>
      <c r="L93" s="2989"/>
      <c r="M93" s="2990"/>
      <c r="N93" s="3341"/>
      <c r="O93" s="3377">
        <v>1</v>
      </c>
      <c r="P93" s="3343" t="s">
        <v>19</v>
      </c>
      <c r="Q93" s="3236" t="s">
        <v>22</v>
      </c>
      <c r="R93" s="3236" t="s">
        <v>22</v>
      </c>
      <c r="S93" s="3236" t="s">
        <v>22</v>
      </c>
      <c r="T93" s="3236" t="s">
        <v>22</v>
      </c>
      <c r="U93" s="3236" t="s">
        <v>22</v>
      </c>
      <c r="V93" s="3236" t="s">
        <v>22</v>
      </c>
      <c r="W93" s="3236" t="s">
        <v>22</v>
      </c>
      <c r="X93" s="3236" t="s">
        <v>22</v>
      </c>
      <c r="Y93" s="3236"/>
      <c r="Z93" s="1271"/>
      <c r="AA93" s="1272"/>
      <c r="AB93" s="1272"/>
      <c r="AC93" s="1276"/>
      <c r="AD93" s="1276"/>
      <c r="AE93" s="1277"/>
      <c r="AF93" s="3375"/>
      <c r="AG93" s="3376"/>
      <c r="AH93" s="3376"/>
      <c r="AI93" s="3375"/>
      <c r="AJ93" s="3376"/>
      <c r="AK93" s="3376"/>
      <c r="AL93" s="2079"/>
      <c r="AM93" s="1917"/>
      <c r="AN93" s="1917"/>
      <c r="AO93" s="1917"/>
      <c r="AP93" s="1917"/>
      <c r="AQ93" s="1917"/>
      <c r="AR93" s="1917"/>
      <c r="AS93" s="1917"/>
      <c r="AT93" s="1917"/>
      <c r="AU93" s="1917"/>
      <c r="AV93" s="1917"/>
      <c r="AW93" s="1917"/>
      <c r="AX93" s="1917"/>
      <c r="AY93" s="1917"/>
      <c r="AZ93" s="1917"/>
      <c r="BA93" s="1917"/>
      <c r="BB93" s="1917"/>
      <c r="BC93" s="1917"/>
      <c r="BD93" s="1917"/>
      <c r="BE93" s="1917"/>
      <c r="BF93" s="1917"/>
    </row>
    <row s="10365" customFormat="1" customHeight="1" ht="11.25">
      <c r="A94" s="1262" t="s">
        <v>1194</v>
      </c>
      <c r="B94" s="1262"/>
      <c r="C94" s="1262"/>
      <c r="D94" s="1462"/>
      <c r="E94" s="1266"/>
      <c r="F94" s="3394"/>
      <c r="G94" s="3396"/>
      <c r="H94" s="3263" t="s">
        <v>235</v>
      </c>
      <c r="I94" s="3374"/>
      <c r="J94" s="3334"/>
      <c r="K94" s="3372"/>
      <c r="L94" s="2989"/>
      <c r="M94" s="2990"/>
      <c r="N94" s="3341"/>
      <c r="O94" s="3377"/>
      <c r="P94" s="3344"/>
      <c r="Q94" s="3236"/>
      <c r="R94" s="3236"/>
      <c r="S94" s="3346"/>
      <c r="T94" s="3236"/>
      <c r="U94" s="3236"/>
      <c r="V94" s="3236"/>
      <c r="W94" s="3236"/>
      <c r="X94" s="3236"/>
      <c r="Y94" s="3236"/>
      <c r="Z94" s="1922"/>
      <c r="AA94" s="2198">
        <v>1</v>
      </c>
      <c r="AB94" s="1275" t="s">
        <v>1201</v>
      </c>
      <c r="AC94" s="1265">
        <v>15019.33</v>
      </c>
      <c r="AD94" s="1275" t="str">
        <f>AB94</f>
        <v>      Амортизационные отчисления с выделением результатов переоценки основных средств и нематериальных активов</v>
      </c>
      <c r="AE94" s="1265">
        <v>15905.74</v>
      </c>
      <c r="AF94" s="3375"/>
      <c r="AG94" s="3376"/>
      <c r="AH94" s="3376"/>
      <c r="AI94" s="3375"/>
      <c r="AJ94" s="3376"/>
      <c r="AK94" s="3376"/>
      <c r="AL94" s="2079"/>
      <c r="AM94" s="1917"/>
      <c r="AN94" s="1917"/>
      <c r="AO94" s="1917"/>
      <c r="AP94" s="1917"/>
      <c r="AQ94" s="1917"/>
      <c r="AR94" s="1917"/>
      <c r="AS94" s="1917"/>
      <c r="AT94" s="1917"/>
      <c r="AU94" s="1917"/>
      <c r="AV94" s="1917"/>
      <c r="AW94" s="1917"/>
      <c r="AX94" s="1917"/>
      <c r="AY94" s="1917"/>
      <c r="AZ94" s="1917"/>
      <c r="BA94" s="1917"/>
      <c r="BB94" s="1917"/>
      <c r="BC94" s="1917"/>
      <c r="BD94" s="1917"/>
      <c r="BE94" s="1917"/>
      <c r="BF94" s="1917"/>
    </row>
    <row s="10365" customFormat="1" customHeight="1" ht="11.25">
      <c r="A95" s="1262" t="s">
        <v>1194</v>
      </c>
      <c r="B95" s="1262"/>
      <c r="C95" s="1262"/>
      <c r="D95" s="1462"/>
      <c r="E95" s="1266"/>
      <c r="F95" s="3394"/>
      <c r="G95" s="3396"/>
      <c r="H95" s="3396"/>
      <c r="I95" s="3396"/>
      <c r="J95" s="3396"/>
      <c r="K95" s="3396"/>
      <c r="L95" s="3396"/>
      <c r="M95" s="3396"/>
      <c r="N95" s="3396"/>
      <c r="O95" s="3396"/>
      <c r="P95" s="3396"/>
      <c r="Q95" s="3396"/>
      <c r="R95" s="3396"/>
      <c r="S95" s="3396"/>
      <c r="T95" s="3396"/>
      <c r="U95" s="3396"/>
      <c r="V95" s="3396"/>
      <c r="W95" s="3396"/>
      <c r="X95" s="3396"/>
      <c r="Y95" s="3396"/>
      <c r="Z95" s="790" t="s">
        <v>103</v>
      </c>
      <c r="AA95" s="2195" t="s">
        <v>102</v>
      </c>
      <c r="AB95" s="1275" t="s">
        <v>1208</v>
      </c>
      <c r="AC95" s="1265">
        <v>2836.39</v>
      </c>
      <c r="AD95" s="1275" t="str">
        <f>AB95</f>
        <v>  Прочие собственные средства</v>
      </c>
      <c r="AE95" s="1265">
        <v>3014.92926</v>
      </c>
      <c r="AF95" s="3397"/>
      <c r="AG95" s="3398"/>
      <c r="AH95" s="3398"/>
      <c r="AI95" s="3397"/>
      <c r="AJ95" s="3398"/>
      <c r="AK95" s="3399"/>
      <c r="AL95" s="2079"/>
      <c r="AM95" s="1917"/>
      <c r="AN95" s="1917"/>
      <c r="AO95" s="1917"/>
      <c r="AP95" s="1917"/>
      <c r="AQ95" s="1917"/>
      <c r="AR95" s="1917"/>
      <c r="AS95" s="1917"/>
      <c r="AT95" s="1917"/>
      <c r="AU95" s="1917"/>
      <c r="AV95" s="1917"/>
      <c r="AW95" s="1917"/>
      <c r="AX95" s="1917"/>
      <c r="AY95" s="1917"/>
      <c r="AZ95" s="1917"/>
      <c r="BA95" s="1917"/>
      <c r="BB95" s="1917"/>
      <c r="BC95" s="1917"/>
      <c r="BD95" s="1917"/>
      <c r="BE95" s="1917"/>
      <c r="BF95" s="1917"/>
    </row>
    <row s="10365" customFormat="1" customHeight="1" ht="11.25">
      <c r="A96" s="1262" t="s">
        <v>1194</v>
      </c>
      <c r="B96" s="1262"/>
      <c r="C96" s="1262"/>
      <c r="D96" s="1462"/>
      <c r="E96" s="1266"/>
      <c r="F96" s="3394"/>
      <c r="G96" s="3396"/>
      <c r="H96" s="3263" t="s">
        <v>235</v>
      </c>
      <c r="I96" s="3374"/>
      <c r="J96" s="3334"/>
      <c r="K96" s="3372"/>
      <c r="L96" s="2989"/>
      <c r="M96" s="2990"/>
      <c r="N96" s="3341"/>
      <c r="O96" s="3377"/>
      <c r="P96" s="3345"/>
      <c r="Q96" s="3236"/>
      <c r="R96" s="3236"/>
      <c r="S96" s="3346"/>
      <c r="T96" s="3236"/>
      <c r="U96" s="3236"/>
      <c r="V96" s="3236"/>
      <c r="W96" s="3236"/>
      <c r="X96" s="3236"/>
      <c r="Y96" s="3236"/>
      <c r="Z96" s="1271"/>
      <c r="AA96" s="1272"/>
      <c r="AB96" s="1337" t="s">
        <v>1203</v>
      </c>
      <c r="AC96" s="1276"/>
      <c r="AD96" s="1276"/>
      <c r="AE96" s="1278"/>
      <c r="AF96" s="3375"/>
      <c r="AG96" s="3376"/>
      <c r="AH96" s="3376"/>
      <c r="AI96" s="3375"/>
      <c r="AJ96" s="3376"/>
      <c r="AK96" s="3376"/>
      <c r="AL96" s="2079"/>
      <c r="AM96" s="1917"/>
      <c r="AN96" s="1917"/>
      <c r="AO96" s="1917"/>
      <c r="AP96" s="1917"/>
      <c r="AQ96" s="1917"/>
      <c r="AR96" s="1917"/>
      <c r="AS96" s="1917"/>
      <c r="AT96" s="1917"/>
      <c r="AU96" s="1917"/>
      <c r="AV96" s="1917"/>
      <c r="AW96" s="1917"/>
      <c r="AX96" s="1917"/>
      <c r="AY96" s="1917"/>
      <c r="AZ96" s="1917"/>
      <c r="BA96" s="1917"/>
      <c r="BB96" s="1917"/>
      <c r="BC96" s="1917"/>
      <c r="BD96" s="1917"/>
      <c r="BE96" s="1917"/>
      <c r="BF96" s="1917"/>
    </row>
    <row s="10365" customFormat="1" customHeight="1" ht="11.25">
      <c r="A97" s="1262" t="s">
        <v>1194</v>
      </c>
      <c r="B97" s="1262"/>
      <c r="C97" s="1262"/>
      <c r="D97" s="1462"/>
      <c r="E97" s="1266"/>
      <c r="F97" s="3394"/>
      <c r="G97" s="3396"/>
      <c r="H97" s="3263" t="s">
        <v>235</v>
      </c>
      <c r="I97" s="3374"/>
      <c r="J97" s="3334"/>
      <c r="K97" s="3372"/>
      <c r="L97" s="2989"/>
      <c r="M97" s="2990"/>
      <c r="N97" s="1271"/>
      <c r="O97" s="1272"/>
      <c r="P97" s="1337" t="s">
        <v>1204</v>
      </c>
      <c r="Q97" s="1272"/>
      <c r="R97" s="1272"/>
      <c r="S97" s="1272"/>
      <c r="T97" s="1272"/>
      <c r="U97" s="1272"/>
      <c r="V97" s="1272"/>
      <c r="W97" s="1272"/>
      <c r="X97" s="1272"/>
      <c r="Y97" s="1272"/>
      <c r="Z97" s="1272"/>
      <c r="AA97" s="1272"/>
      <c r="AB97" s="1272"/>
      <c r="AC97" s="1272"/>
      <c r="AD97" s="1272"/>
      <c r="AE97" s="1279"/>
      <c r="AF97" s="3375"/>
      <c r="AG97" s="3376"/>
      <c r="AH97" s="3376"/>
      <c r="AI97" s="3375"/>
      <c r="AJ97" s="3376"/>
      <c r="AK97" s="3376"/>
      <c r="AL97" s="2079"/>
      <c r="AM97" s="1917"/>
      <c r="AN97" s="1917"/>
      <c r="AO97" s="1917"/>
      <c r="AP97" s="1917"/>
      <c r="AQ97" s="1917"/>
      <c r="AR97" s="1917"/>
      <c r="AS97" s="1917"/>
      <c r="AT97" s="1917"/>
      <c r="AU97" s="1917"/>
      <c r="AV97" s="1917"/>
      <c r="AW97" s="1917"/>
      <c r="AX97" s="1917"/>
      <c r="AY97" s="1917"/>
      <c r="AZ97" s="1917"/>
      <c r="BA97" s="1917"/>
      <c r="BB97" s="1917"/>
      <c r="BC97" s="1917"/>
      <c r="BD97" s="1917"/>
      <c r="BE97" s="1917"/>
      <c r="BF97" s="1917"/>
    </row>
    <row s="10365" customFormat="1" customHeight="1" ht="11.25">
      <c r="A98" s="1262" t="s">
        <v>1194</v>
      </c>
      <c r="B98" s="1262" t="s">
        <v>1195</v>
      </c>
      <c r="C98" s="1262"/>
      <c r="D98" s="1462"/>
      <c r="E98" s="1266"/>
      <c r="F98" s="3394"/>
      <c r="G98" s="3004" t="s">
        <v>103</v>
      </c>
      <c r="H98" s="3263" t="s">
        <v>237</v>
      </c>
      <c r="I98" s="3374" t="s">
        <v>1196</v>
      </c>
      <c r="J98" s="3334" t="s">
        <v>1219</v>
      </c>
      <c r="K98" s="3372" t="s">
        <v>1223</v>
      </c>
      <c r="L98" s="2989" t="s">
        <v>19</v>
      </c>
      <c r="M98" s="2990"/>
      <c r="N98" s="2077"/>
      <c r="O98" s="1273" t="s">
        <v>461</v>
      </c>
      <c r="P98" s="1274"/>
      <c r="Q98" s="1274"/>
      <c r="R98" s="1274"/>
      <c r="S98" s="1274"/>
      <c r="T98" s="1274"/>
      <c r="U98" s="1274"/>
      <c r="V98" s="1274"/>
      <c r="W98" s="1274"/>
      <c r="X98" s="1274"/>
      <c r="Y98" s="1274"/>
      <c r="Z98" s="1274"/>
      <c r="AA98" s="1274"/>
      <c r="AB98" s="1274"/>
      <c r="AC98" s="1274"/>
      <c r="AD98" s="1274"/>
      <c r="AE98" s="1274"/>
      <c r="AF98" s="3375">
        <v>11</v>
      </c>
      <c r="AG98" s="3376" t="s">
        <v>1199</v>
      </c>
      <c r="AH98" s="3376" t="s">
        <v>1224</v>
      </c>
      <c r="AI98" s="3375">
        <v>11</v>
      </c>
      <c r="AJ98" s="3376" t="s">
        <v>1199</v>
      </c>
      <c r="AK98" s="3376" t="s">
        <v>1224</v>
      </c>
      <c r="AL98" s="2079"/>
      <c r="AM98" s="1917"/>
      <c r="AN98" s="1917"/>
      <c r="AO98" s="1917"/>
      <c r="AP98" s="1917"/>
      <c r="AQ98" s="1917"/>
      <c r="AR98" s="1917"/>
      <c r="AS98" s="1917"/>
      <c r="AT98" s="1917"/>
      <c r="AU98" s="1917"/>
      <c r="AV98" s="1917"/>
      <c r="AW98" s="1917"/>
      <c r="AX98" s="1917"/>
      <c r="AY98" s="1917"/>
      <c r="AZ98" s="1917"/>
      <c r="BA98" s="1917"/>
      <c r="BB98" s="1917"/>
      <c r="BC98" s="1917"/>
      <c r="BD98" s="1917"/>
      <c r="BE98" s="1917"/>
      <c r="BF98" s="1917"/>
    </row>
    <row s="10365" customFormat="1" customHeight="1" ht="11.25">
      <c r="A99" s="1262" t="s">
        <v>1194</v>
      </c>
      <c r="B99" s="1262"/>
      <c r="C99" s="1262"/>
      <c r="D99" s="1462"/>
      <c r="E99" s="1266"/>
      <c r="F99" s="3394"/>
      <c r="G99" s="3396"/>
      <c r="H99" s="3263" t="s">
        <v>236</v>
      </c>
      <c r="I99" s="3374"/>
      <c r="J99" s="3334"/>
      <c r="K99" s="3372"/>
      <c r="L99" s="2989"/>
      <c r="M99" s="2990"/>
      <c r="N99" s="3341"/>
      <c r="O99" s="3377">
        <v>1</v>
      </c>
      <c r="P99" s="3343" t="s">
        <v>19</v>
      </c>
      <c r="Q99" s="3236" t="s">
        <v>22</v>
      </c>
      <c r="R99" s="3236" t="s">
        <v>22</v>
      </c>
      <c r="S99" s="3236" t="s">
        <v>22</v>
      </c>
      <c r="T99" s="3236" t="s">
        <v>22</v>
      </c>
      <c r="U99" s="3236" t="s">
        <v>22</v>
      </c>
      <c r="V99" s="3236" t="s">
        <v>22</v>
      </c>
      <c r="W99" s="3236" t="s">
        <v>22</v>
      </c>
      <c r="X99" s="3236" t="s">
        <v>22</v>
      </c>
      <c r="Y99" s="3236"/>
      <c r="Z99" s="1271"/>
      <c r="AA99" s="1272"/>
      <c r="AB99" s="1272"/>
      <c r="AC99" s="1276"/>
      <c r="AD99" s="1276"/>
      <c r="AE99" s="1277"/>
      <c r="AF99" s="3375"/>
      <c r="AG99" s="3376"/>
      <c r="AH99" s="3376"/>
      <c r="AI99" s="3375"/>
      <c r="AJ99" s="3376"/>
      <c r="AK99" s="3376"/>
      <c r="AL99" s="2079"/>
      <c r="AM99" s="1917"/>
      <c r="AN99" s="1917"/>
      <c r="AO99" s="1917"/>
      <c r="AP99" s="1917"/>
      <c r="AQ99" s="1917"/>
      <c r="AR99" s="1917"/>
      <c r="AS99" s="1917"/>
      <c r="AT99" s="1917"/>
      <c r="AU99" s="1917"/>
      <c r="AV99" s="1917"/>
      <c r="AW99" s="1917"/>
      <c r="AX99" s="1917"/>
      <c r="AY99" s="1917"/>
      <c r="AZ99" s="1917"/>
      <c r="BA99" s="1917"/>
      <c r="BB99" s="1917"/>
      <c r="BC99" s="1917"/>
      <c r="BD99" s="1917"/>
      <c r="BE99" s="1917"/>
      <c r="BF99" s="1917"/>
    </row>
    <row s="10365" customFormat="1" customHeight="1" ht="11.25">
      <c r="A100" s="1262" t="s">
        <v>1194</v>
      </c>
      <c r="B100" s="1262"/>
      <c r="C100" s="1262"/>
      <c r="D100" s="1462"/>
      <c r="E100" s="1266"/>
      <c r="F100" s="3394"/>
      <c r="G100" s="3396"/>
      <c r="H100" s="3263" t="s">
        <v>236</v>
      </c>
      <c r="I100" s="3374"/>
      <c r="J100" s="3334"/>
      <c r="K100" s="3372"/>
      <c r="L100" s="2989"/>
      <c r="M100" s="2990"/>
      <c r="N100" s="3341"/>
      <c r="O100" s="3377"/>
      <c r="P100" s="3344"/>
      <c r="Q100" s="3236"/>
      <c r="R100" s="3236"/>
      <c r="S100" s="3346"/>
      <c r="T100" s="3236"/>
      <c r="U100" s="3236"/>
      <c r="V100" s="3236"/>
      <c r="W100" s="3236"/>
      <c r="X100" s="3236"/>
      <c r="Y100" s="3236"/>
      <c r="Z100" s="1922"/>
      <c r="AA100" s="2198">
        <v>1</v>
      </c>
      <c r="AB100" s="1275" t="s">
        <v>1201</v>
      </c>
      <c r="AC100" s="1265">
        <v>34209.69</v>
      </c>
      <c r="AD100" s="1275" t="str">
        <f>AB100</f>
        <v>      Амортизационные отчисления с выделением результатов переоценки основных средств и нематериальных активов</v>
      </c>
      <c r="AE100" s="1265">
        <v>33897.8</v>
      </c>
      <c r="AF100" s="3375"/>
      <c r="AG100" s="3376"/>
      <c r="AH100" s="3376"/>
      <c r="AI100" s="3375"/>
      <c r="AJ100" s="3376"/>
      <c r="AK100" s="3376"/>
      <c r="AL100" s="2079"/>
      <c r="AM100" s="1917"/>
      <c r="AN100" s="1917"/>
      <c r="AO100" s="1917"/>
      <c r="AP100" s="1917"/>
      <c r="AQ100" s="1917"/>
      <c r="AR100" s="1917"/>
      <c r="AS100" s="1917"/>
      <c r="AT100" s="1917"/>
      <c r="AU100" s="1917"/>
      <c r="AV100" s="1917"/>
      <c r="AW100" s="1917"/>
      <c r="AX100" s="1917"/>
      <c r="AY100" s="1917"/>
      <c r="AZ100" s="1917"/>
      <c r="BA100" s="1917"/>
      <c r="BB100" s="1917"/>
      <c r="BC100" s="1917"/>
      <c r="BD100" s="1917"/>
      <c r="BE100" s="1917"/>
      <c r="BF100" s="1917"/>
    </row>
    <row s="10365" customFormat="1" customHeight="1" ht="11.25">
      <c r="A101" s="1262" t="s">
        <v>1194</v>
      </c>
      <c r="B101" s="1262"/>
      <c r="C101" s="1262"/>
      <c r="D101" s="1462"/>
      <c r="E101" s="1266"/>
      <c r="F101" s="3394"/>
      <c r="G101" s="3396"/>
      <c r="H101" s="3396"/>
      <c r="I101" s="3396"/>
      <c r="J101" s="3396"/>
      <c r="K101" s="3396"/>
      <c r="L101" s="3396"/>
      <c r="M101" s="3396"/>
      <c r="N101" s="3396"/>
      <c r="O101" s="3396"/>
      <c r="P101" s="3396"/>
      <c r="Q101" s="3396"/>
      <c r="R101" s="3396"/>
      <c r="S101" s="3396"/>
      <c r="T101" s="3396"/>
      <c r="U101" s="3396"/>
      <c r="V101" s="3396"/>
      <c r="W101" s="3396"/>
      <c r="X101" s="3396"/>
      <c r="Y101" s="3396"/>
      <c r="Z101" s="790" t="s">
        <v>103</v>
      </c>
      <c r="AA101" s="2195" t="s">
        <v>102</v>
      </c>
      <c r="AB101" s="1275" t="s">
        <v>1208</v>
      </c>
      <c r="AC101" s="1265">
        <v>6379.95</v>
      </c>
      <c r="AD101" s="1275" t="str">
        <f>AB101</f>
        <v>  Прочие собственные средства</v>
      </c>
      <c r="AE101" s="1265">
        <v>6395.4858</v>
      </c>
      <c r="AF101" s="3397"/>
      <c r="AG101" s="3398"/>
      <c r="AH101" s="3398"/>
      <c r="AI101" s="3397"/>
      <c r="AJ101" s="3398"/>
      <c r="AK101" s="3399"/>
      <c r="AL101" s="2079"/>
      <c r="AM101" s="1917"/>
      <c r="AN101" s="1917"/>
      <c r="AO101" s="1917"/>
      <c r="AP101" s="1917"/>
      <c r="AQ101" s="1917"/>
      <c r="AR101" s="1917"/>
      <c r="AS101" s="1917"/>
      <c r="AT101" s="1917"/>
      <c r="AU101" s="1917"/>
      <c r="AV101" s="1917"/>
      <c r="AW101" s="1917"/>
      <c r="AX101" s="1917"/>
      <c r="AY101" s="1917"/>
      <c r="AZ101" s="1917"/>
      <c r="BA101" s="1917"/>
      <c r="BB101" s="1917"/>
      <c r="BC101" s="1917"/>
      <c r="BD101" s="1917"/>
      <c r="BE101" s="1917"/>
      <c r="BF101" s="1917"/>
    </row>
    <row s="10365" customFormat="1" customHeight="1" ht="11.25">
      <c r="A102" s="1262" t="s">
        <v>1194</v>
      </c>
      <c r="B102" s="1262"/>
      <c r="C102" s="1262"/>
      <c r="D102" s="1462"/>
      <c r="E102" s="1266"/>
      <c r="F102" s="3394"/>
      <c r="G102" s="3396"/>
      <c r="H102" s="3263" t="s">
        <v>236</v>
      </c>
      <c r="I102" s="3374"/>
      <c r="J102" s="3334"/>
      <c r="K102" s="3372"/>
      <c r="L102" s="2989"/>
      <c r="M102" s="2990"/>
      <c r="N102" s="3341"/>
      <c r="O102" s="3377"/>
      <c r="P102" s="3345"/>
      <c r="Q102" s="3236"/>
      <c r="R102" s="3236"/>
      <c r="S102" s="3346"/>
      <c r="T102" s="3236"/>
      <c r="U102" s="3236"/>
      <c r="V102" s="3236"/>
      <c r="W102" s="3236"/>
      <c r="X102" s="3236"/>
      <c r="Y102" s="3236"/>
      <c r="Z102" s="1271"/>
      <c r="AA102" s="1272"/>
      <c r="AB102" s="1337" t="s">
        <v>1203</v>
      </c>
      <c r="AC102" s="1276"/>
      <c r="AD102" s="1276"/>
      <c r="AE102" s="1278"/>
      <c r="AF102" s="3375"/>
      <c r="AG102" s="3376"/>
      <c r="AH102" s="3376"/>
      <c r="AI102" s="3375"/>
      <c r="AJ102" s="3376"/>
      <c r="AK102" s="3376"/>
      <c r="AL102" s="2079"/>
      <c r="AM102" s="1917"/>
      <c r="AN102" s="1917"/>
      <c r="AO102" s="1917"/>
      <c r="AP102" s="1917"/>
      <c r="AQ102" s="1917"/>
      <c r="AR102" s="1917"/>
      <c r="AS102" s="1917"/>
      <c r="AT102" s="1917"/>
      <c r="AU102" s="1917"/>
      <c r="AV102" s="1917"/>
      <c r="AW102" s="1917"/>
      <c r="AX102" s="1917"/>
      <c r="AY102" s="1917"/>
      <c r="AZ102" s="1917"/>
      <c r="BA102" s="1917"/>
      <c r="BB102" s="1917"/>
      <c r="BC102" s="1917"/>
      <c r="BD102" s="1917"/>
      <c r="BE102" s="1917"/>
      <c r="BF102" s="1917"/>
    </row>
    <row s="10365" customFormat="1" customHeight="1" ht="11.25">
      <c r="A103" s="1262" t="s">
        <v>1194</v>
      </c>
      <c r="B103" s="1262"/>
      <c r="C103" s="1262"/>
      <c r="D103" s="1462"/>
      <c r="E103" s="1266"/>
      <c r="F103" s="3394"/>
      <c r="G103" s="3396"/>
      <c r="H103" s="3263" t="s">
        <v>236</v>
      </c>
      <c r="I103" s="3374"/>
      <c r="J103" s="3334"/>
      <c r="K103" s="3372"/>
      <c r="L103" s="2989"/>
      <c r="M103" s="2990"/>
      <c r="N103" s="1271"/>
      <c r="O103" s="1272"/>
      <c r="P103" s="1337" t="s">
        <v>1204</v>
      </c>
      <c r="Q103" s="1272"/>
      <c r="R103" s="1272"/>
      <c r="S103" s="1272"/>
      <c r="T103" s="1272"/>
      <c r="U103" s="1272"/>
      <c r="V103" s="1272"/>
      <c r="W103" s="1272"/>
      <c r="X103" s="1272"/>
      <c r="Y103" s="1272"/>
      <c r="Z103" s="1272"/>
      <c r="AA103" s="1272"/>
      <c r="AB103" s="1272"/>
      <c r="AC103" s="1272"/>
      <c r="AD103" s="1272"/>
      <c r="AE103" s="1279"/>
      <c r="AF103" s="3375"/>
      <c r="AG103" s="3376"/>
      <c r="AH103" s="3376"/>
      <c r="AI103" s="3375"/>
      <c r="AJ103" s="3376"/>
      <c r="AK103" s="3376"/>
      <c r="AL103" s="2079"/>
      <c r="AM103" s="1917"/>
      <c r="AN103" s="1917"/>
      <c r="AO103" s="1917"/>
      <c r="AP103" s="1917"/>
      <c r="AQ103" s="1917"/>
      <c r="AR103" s="1917"/>
      <c r="AS103" s="1917"/>
      <c r="AT103" s="1917"/>
      <c r="AU103" s="1917"/>
      <c r="AV103" s="1917"/>
      <c r="AW103" s="1917"/>
      <c r="AX103" s="1917"/>
      <c r="AY103" s="1917"/>
      <c r="AZ103" s="1917"/>
      <c r="BA103" s="1917"/>
      <c r="BB103" s="1917"/>
      <c r="BC103" s="1917"/>
      <c r="BD103" s="1917"/>
      <c r="BE103" s="1917"/>
      <c r="BF103" s="1917"/>
    </row>
    <row s="10365" customFormat="1" customHeight="1" ht="11.25">
      <c r="A104" s="1262" t="s">
        <v>1194</v>
      </c>
      <c r="B104" s="1262" t="s">
        <v>1195</v>
      </c>
      <c r="C104" s="1262"/>
      <c r="D104" s="1462"/>
      <c r="E104" s="1266"/>
      <c r="F104" s="3394"/>
      <c r="G104" s="3004" t="s">
        <v>103</v>
      </c>
      <c r="H104" s="3263" t="s">
        <v>238</v>
      </c>
      <c r="I104" s="3374" t="s">
        <v>1196</v>
      </c>
      <c r="J104" s="3334" t="s">
        <v>1219</v>
      </c>
      <c r="K104" s="3372" t="s">
        <v>1225</v>
      </c>
      <c r="L104" s="2989" t="s">
        <v>19</v>
      </c>
      <c r="M104" s="2990"/>
      <c r="N104" s="2077"/>
      <c r="O104" s="1273" t="s">
        <v>461</v>
      </c>
      <c r="P104" s="1274"/>
      <c r="Q104" s="1274"/>
      <c r="R104" s="1274"/>
      <c r="S104" s="1274"/>
      <c r="T104" s="1274"/>
      <c r="U104" s="1274"/>
      <c r="V104" s="1274"/>
      <c r="W104" s="1274"/>
      <c r="X104" s="1274"/>
      <c r="Y104" s="1274"/>
      <c r="Z104" s="1274"/>
      <c r="AA104" s="1274"/>
      <c r="AB104" s="1274"/>
      <c r="AC104" s="1274"/>
      <c r="AD104" s="1274"/>
      <c r="AE104" s="1274"/>
      <c r="AF104" s="3375">
        <v>11</v>
      </c>
      <c r="AG104" s="3376" t="s">
        <v>1199</v>
      </c>
      <c r="AH104" s="3376" t="s">
        <v>1224</v>
      </c>
      <c r="AI104" s="3375">
        <v>11</v>
      </c>
      <c r="AJ104" s="3376" t="s">
        <v>1199</v>
      </c>
      <c r="AK104" s="3376" t="s">
        <v>1224</v>
      </c>
      <c r="AL104" s="2079"/>
      <c r="AM104" s="1917"/>
      <c r="AN104" s="1917"/>
      <c r="AO104" s="1917"/>
      <c r="AP104" s="1917"/>
      <c r="AQ104" s="1917"/>
      <c r="AR104" s="1917"/>
      <c r="AS104" s="1917"/>
      <c r="AT104" s="1917"/>
      <c r="AU104" s="1917"/>
      <c r="AV104" s="1917"/>
      <c r="AW104" s="1917"/>
      <c r="AX104" s="1917"/>
      <c r="AY104" s="1917"/>
      <c r="AZ104" s="1917"/>
      <c r="BA104" s="1917"/>
      <c r="BB104" s="1917"/>
      <c r="BC104" s="1917"/>
      <c r="BD104" s="1917"/>
      <c r="BE104" s="1917"/>
      <c r="BF104" s="1917"/>
    </row>
    <row s="10365" customFormat="1" customHeight="1" ht="11.25">
      <c r="A105" s="1262" t="s">
        <v>1194</v>
      </c>
      <c r="B105" s="1262"/>
      <c r="C105" s="1262"/>
      <c r="D105" s="1462"/>
      <c r="E105" s="1266"/>
      <c r="F105" s="3394"/>
      <c r="G105" s="3396"/>
      <c r="H105" s="3263" t="s">
        <v>237</v>
      </c>
      <c r="I105" s="3374"/>
      <c r="J105" s="3334"/>
      <c r="K105" s="3372"/>
      <c r="L105" s="2989"/>
      <c r="M105" s="2990"/>
      <c r="N105" s="3341"/>
      <c r="O105" s="3377">
        <v>1</v>
      </c>
      <c r="P105" s="3343" t="s">
        <v>19</v>
      </c>
      <c r="Q105" s="3236" t="s">
        <v>22</v>
      </c>
      <c r="R105" s="3236" t="s">
        <v>22</v>
      </c>
      <c r="S105" s="3236" t="s">
        <v>22</v>
      </c>
      <c r="T105" s="3236" t="s">
        <v>22</v>
      </c>
      <c r="U105" s="3236" t="s">
        <v>22</v>
      </c>
      <c r="V105" s="3236" t="s">
        <v>22</v>
      </c>
      <c r="W105" s="3236" t="s">
        <v>22</v>
      </c>
      <c r="X105" s="3236" t="s">
        <v>22</v>
      </c>
      <c r="Y105" s="3236"/>
      <c r="Z105" s="1271"/>
      <c r="AA105" s="1272"/>
      <c r="AB105" s="1272"/>
      <c r="AC105" s="1276"/>
      <c r="AD105" s="1276"/>
      <c r="AE105" s="1277"/>
      <c r="AF105" s="3375"/>
      <c r="AG105" s="3376"/>
      <c r="AH105" s="3376"/>
      <c r="AI105" s="3375"/>
      <c r="AJ105" s="3376"/>
      <c r="AK105" s="3376"/>
      <c r="AL105" s="2079"/>
      <c r="AM105" s="1917"/>
      <c r="AN105" s="1917"/>
      <c r="AO105" s="1917"/>
      <c r="AP105" s="1917"/>
      <c r="AQ105" s="1917"/>
      <c r="AR105" s="1917"/>
      <c r="AS105" s="1917"/>
      <c r="AT105" s="1917"/>
      <c r="AU105" s="1917"/>
      <c r="AV105" s="1917"/>
      <c r="AW105" s="1917"/>
      <c r="AX105" s="1917"/>
      <c r="AY105" s="1917"/>
      <c r="AZ105" s="1917"/>
      <c r="BA105" s="1917"/>
      <c r="BB105" s="1917"/>
      <c r="BC105" s="1917"/>
      <c r="BD105" s="1917"/>
      <c r="BE105" s="1917"/>
      <c r="BF105" s="1917"/>
    </row>
    <row s="10365" customFormat="1" customHeight="1" ht="11.25">
      <c r="A106" s="1262" t="s">
        <v>1194</v>
      </c>
      <c r="B106" s="1262"/>
      <c r="C106" s="1262"/>
      <c r="D106" s="1462"/>
      <c r="E106" s="1266"/>
      <c r="F106" s="3394"/>
      <c r="G106" s="3396"/>
      <c r="H106" s="3263" t="s">
        <v>237</v>
      </c>
      <c r="I106" s="3374"/>
      <c r="J106" s="3334"/>
      <c r="K106" s="3372"/>
      <c r="L106" s="2989"/>
      <c r="M106" s="2990"/>
      <c r="N106" s="3341"/>
      <c r="O106" s="3377"/>
      <c r="P106" s="3344"/>
      <c r="Q106" s="3236"/>
      <c r="R106" s="3236"/>
      <c r="S106" s="3346"/>
      <c r="T106" s="3236"/>
      <c r="U106" s="3236"/>
      <c r="V106" s="3236"/>
      <c r="W106" s="3236"/>
      <c r="X106" s="3236"/>
      <c r="Y106" s="3236"/>
      <c r="Z106" s="1922"/>
      <c r="AA106" s="2198">
        <v>1</v>
      </c>
      <c r="AB106" s="1275" t="s">
        <v>1201</v>
      </c>
      <c r="AC106" s="1265">
        <v>22057.81</v>
      </c>
      <c r="AD106" s="1275" t="str">
        <f>AB106</f>
        <v>      Амортизационные отчисления с выделением результатов переоценки основных средств и нематериальных активов</v>
      </c>
      <c r="AE106" s="1265">
        <v>22581.99</v>
      </c>
      <c r="AF106" s="3375"/>
      <c r="AG106" s="3376"/>
      <c r="AH106" s="3376"/>
      <c r="AI106" s="3375"/>
      <c r="AJ106" s="3376"/>
      <c r="AK106" s="3376"/>
      <c r="AL106" s="2079"/>
      <c r="AM106" s="1917"/>
      <c r="AN106" s="1917"/>
      <c r="AO106" s="1917"/>
      <c r="AP106" s="1917"/>
      <c r="AQ106" s="1917"/>
      <c r="AR106" s="1917"/>
      <c r="AS106" s="1917"/>
      <c r="AT106" s="1917"/>
      <c r="AU106" s="1917"/>
      <c r="AV106" s="1917"/>
      <c r="AW106" s="1917"/>
      <c r="AX106" s="1917"/>
      <c r="AY106" s="1917"/>
      <c r="AZ106" s="1917"/>
      <c r="BA106" s="1917"/>
      <c r="BB106" s="1917"/>
      <c r="BC106" s="1917"/>
      <c r="BD106" s="1917"/>
      <c r="BE106" s="1917"/>
      <c r="BF106" s="1917"/>
    </row>
    <row s="10365" customFormat="1" customHeight="1" ht="11.25">
      <c r="A107" s="1262" t="s">
        <v>1194</v>
      </c>
      <c r="B107" s="1262"/>
      <c r="C107" s="1262"/>
      <c r="D107" s="1462"/>
      <c r="E107" s="1266"/>
      <c r="F107" s="3394"/>
      <c r="G107" s="3396"/>
      <c r="H107" s="3396"/>
      <c r="I107" s="3396"/>
      <c r="J107" s="3396"/>
      <c r="K107" s="3396"/>
      <c r="L107" s="3396"/>
      <c r="M107" s="3396"/>
      <c r="N107" s="3396"/>
      <c r="O107" s="3396"/>
      <c r="P107" s="3396"/>
      <c r="Q107" s="3396"/>
      <c r="R107" s="3396"/>
      <c r="S107" s="3396"/>
      <c r="T107" s="3396"/>
      <c r="U107" s="3396"/>
      <c r="V107" s="3396"/>
      <c r="W107" s="3396"/>
      <c r="X107" s="3396"/>
      <c r="Y107" s="3396"/>
      <c r="Z107" s="790" t="s">
        <v>103</v>
      </c>
      <c r="AA107" s="2195" t="s">
        <v>102</v>
      </c>
      <c r="AB107" s="1275" t="s">
        <v>1208</v>
      </c>
      <c r="AC107" s="1265">
        <v>4297.16</v>
      </c>
      <c r="AD107" s="1275" t="str">
        <f>AB107</f>
        <v>  Прочие собственные средства</v>
      </c>
      <c r="AE107" s="1265">
        <v>4261.40384</v>
      </c>
      <c r="AF107" s="3397"/>
      <c r="AG107" s="3398"/>
      <c r="AH107" s="3398"/>
      <c r="AI107" s="3397"/>
      <c r="AJ107" s="3398"/>
      <c r="AK107" s="3399"/>
      <c r="AL107" s="2079"/>
      <c r="AM107" s="1917"/>
      <c r="AN107" s="1917"/>
      <c r="AO107" s="1917"/>
      <c r="AP107" s="1917"/>
      <c r="AQ107" s="1917"/>
      <c r="AR107" s="1917"/>
      <c r="AS107" s="1917"/>
      <c r="AT107" s="1917"/>
      <c r="AU107" s="1917"/>
      <c r="AV107" s="1917"/>
      <c r="AW107" s="1917"/>
      <c r="AX107" s="1917"/>
      <c r="AY107" s="1917"/>
      <c r="AZ107" s="1917"/>
      <c r="BA107" s="1917"/>
      <c r="BB107" s="1917"/>
      <c r="BC107" s="1917"/>
      <c r="BD107" s="1917"/>
      <c r="BE107" s="1917"/>
      <c r="BF107" s="1917"/>
    </row>
    <row s="10365" customFormat="1" customHeight="1" ht="11.25">
      <c r="A108" s="1262" t="s">
        <v>1194</v>
      </c>
      <c r="B108" s="1262"/>
      <c r="C108" s="1262"/>
      <c r="D108" s="1462"/>
      <c r="E108" s="1266"/>
      <c r="F108" s="3394"/>
      <c r="G108" s="3396"/>
      <c r="H108" s="3263" t="s">
        <v>237</v>
      </c>
      <c r="I108" s="3374"/>
      <c r="J108" s="3334"/>
      <c r="K108" s="3372"/>
      <c r="L108" s="2989"/>
      <c r="M108" s="2990"/>
      <c r="N108" s="3341"/>
      <c r="O108" s="3377"/>
      <c r="P108" s="3345"/>
      <c r="Q108" s="3236"/>
      <c r="R108" s="3236"/>
      <c r="S108" s="3346"/>
      <c r="T108" s="3236"/>
      <c r="U108" s="3236"/>
      <c r="V108" s="3236"/>
      <c r="W108" s="3236"/>
      <c r="X108" s="3236"/>
      <c r="Y108" s="3236"/>
      <c r="Z108" s="1271"/>
      <c r="AA108" s="1272"/>
      <c r="AB108" s="1337" t="s">
        <v>1203</v>
      </c>
      <c r="AC108" s="1276"/>
      <c r="AD108" s="1276"/>
      <c r="AE108" s="1278"/>
      <c r="AF108" s="3375"/>
      <c r="AG108" s="3376"/>
      <c r="AH108" s="3376"/>
      <c r="AI108" s="3375"/>
      <c r="AJ108" s="3376"/>
      <c r="AK108" s="3376"/>
      <c r="AL108" s="2079"/>
      <c r="AM108" s="1917"/>
      <c r="AN108" s="1917"/>
      <c r="AO108" s="1917"/>
      <c r="AP108" s="1917"/>
      <c r="AQ108" s="1917"/>
      <c r="AR108" s="1917"/>
      <c r="AS108" s="1917"/>
      <c r="AT108" s="1917"/>
      <c r="AU108" s="1917"/>
      <c r="AV108" s="1917"/>
      <c r="AW108" s="1917"/>
      <c r="AX108" s="1917"/>
      <c r="AY108" s="1917"/>
      <c r="AZ108" s="1917"/>
      <c r="BA108" s="1917"/>
      <c r="BB108" s="1917"/>
      <c r="BC108" s="1917"/>
      <c r="BD108" s="1917"/>
      <c r="BE108" s="1917"/>
      <c r="BF108" s="1917"/>
    </row>
    <row s="10365" customFormat="1" customHeight="1" ht="11.25">
      <c r="A109" s="1262" t="s">
        <v>1194</v>
      </c>
      <c r="B109" s="1262"/>
      <c r="C109" s="1262"/>
      <c r="D109" s="1462"/>
      <c r="E109" s="1266"/>
      <c r="F109" s="3394"/>
      <c r="G109" s="3396"/>
      <c r="H109" s="3263" t="s">
        <v>237</v>
      </c>
      <c r="I109" s="3374"/>
      <c r="J109" s="3334"/>
      <c r="K109" s="3372"/>
      <c r="L109" s="2989"/>
      <c r="M109" s="2990"/>
      <c r="N109" s="1271"/>
      <c r="O109" s="1272"/>
      <c r="P109" s="1337" t="s">
        <v>1204</v>
      </c>
      <c r="Q109" s="1272"/>
      <c r="R109" s="1272"/>
      <c r="S109" s="1272"/>
      <c r="T109" s="1272"/>
      <c r="U109" s="1272"/>
      <c r="V109" s="1272"/>
      <c r="W109" s="1272"/>
      <c r="X109" s="1272"/>
      <c r="Y109" s="1272"/>
      <c r="Z109" s="1272"/>
      <c r="AA109" s="1272"/>
      <c r="AB109" s="1272"/>
      <c r="AC109" s="1272"/>
      <c r="AD109" s="1272"/>
      <c r="AE109" s="1279"/>
      <c r="AF109" s="3375"/>
      <c r="AG109" s="3376"/>
      <c r="AH109" s="3376"/>
      <c r="AI109" s="3375"/>
      <c r="AJ109" s="3376"/>
      <c r="AK109" s="3376"/>
      <c r="AL109" s="2079"/>
      <c r="AM109" s="1917"/>
      <c r="AN109" s="1917"/>
      <c r="AO109" s="1917"/>
      <c r="AP109" s="1917"/>
      <c r="AQ109" s="1917"/>
      <c r="AR109" s="1917"/>
      <c r="AS109" s="1917"/>
      <c r="AT109" s="1917"/>
      <c r="AU109" s="1917"/>
      <c r="AV109" s="1917"/>
      <c r="AW109" s="1917"/>
      <c r="AX109" s="1917"/>
      <c r="AY109" s="1917"/>
      <c r="AZ109" s="1917"/>
      <c r="BA109" s="1917"/>
      <c r="BB109" s="1917"/>
      <c r="BC109" s="1917"/>
      <c r="BD109" s="1917"/>
      <c r="BE109" s="1917"/>
      <c r="BF109" s="1917"/>
    </row>
    <row s="10365" customFormat="1" customHeight="1" ht="11.25">
      <c r="A110" s="1262" t="s">
        <v>1194</v>
      </c>
      <c r="B110" s="1262" t="s">
        <v>1195</v>
      </c>
      <c r="C110" s="1262"/>
      <c r="D110" s="1462"/>
      <c r="E110" s="1266"/>
      <c r="F110" s="3394"/>
      <c r="G110" s="3004" t="s">
        <v>103</v>
      </c>
      <c r="H110" s="3263" t="s">
        <v>239</v>
      </c>
      <c r="I110" s="3374" t="s">
        <v>1196</v>
      </c>
      <c r="J110" s="3334" t="s">
        <v>1219</v>
      </c>
      <c r="K110" s="3372" t="s">
        <v>1226</v>
      </c>
      <c r="L110" s="2989" t="s">
        <v>19</v>
      </c>
      <c r="M110" s="2990"/>
      <c r="N110" s="2077"/>
      <c r="O110" s="1273" t="s">
        <v>461</v>
      </c>
      <c r="P110" s="1274"/>
      <c r="Q110" s="1274"/>
      <c r="R110" s="1274"/>
      <c r="S110" s="1274"/>
      <c r="T110" s="1274"/>
      <c r="U110" s="1274"/>
      <c r="V110" s="1274"/>
      <c r="W110" s="1274"/>
      <c r="X110" s="1274"/>
      <c r="Y110" s="1274"/>
      <c r="Z110" s="1274"/>
      <c r="AA110" s="1274"/>
      <c r="AB110" s="1274"/>
      <c r="AC110" s="1274"/>
      <c r="AD110" s="1274"/>
      <c r="AE110" s="1274"/>
      <c r="AF110" s="3375">
        <v>13</v>
      </c>
      <c r="AG110" s="3376" t="s">
        <v>1199</v>
      </c>
      <c r="AH110" s="3376" t="s">
        <v>1222</v>
      </c>
      <c r="AI110" s="3375">
        <v>13</v>
      </c>
      <c r="AJ110" s="3376" t="s">
        <v>1199</v>
      </c>
      <c r="AK110" s="3376" t="s">
        <v>1222</v>
      </c>
      <c r="AL110" s="2079"/>
      <c r="AM110" s="1917"/>
      <c r="AN110" s="1917"/>
      <c r="AO110" s="1917"/>
      <c r="AP110" s="1917"/>
      <c r="AQ110" s="1917"/>
      <c r="AR110" s="1917"/>
      <c r="AS110" s="1917"/>
      <c r="AT110" s="1917"/>
      <c r="AU110" s="1917"/>
      <c r="AV110" s="1917"/>
      <c r="AW110" s="1917"/>
      <c r="AX110" s="1917"/>
      <c r="AY110" s="1917"/>
      <c r="AZ110" s="1917"/>
      <c r="BA110" s="1917"/>
      <c r="BB110" s="1917"/>
      <c r="BC110" s="1917"/>
      <c r="BD110" s="1917"/>
      <c r="BE110" s="1917"/>
      <c r="BF110" s="1917"/>
    </row>
    <row s="10365" customFormat="1" customHeight="1" ht="11.25">
      <c r="A111" s="1262" t="s">
        <v>1194</v>
      </c>
      <c r="B111" s="1262"/>
      <c r="C111" s="1262"/>
      <c r="D111" s="1462"/>
      <c r="E111" s="1266"/>
      <c r="F111" s="3394"/>
      <c r="G111" s="3396"/>
      <c r="H111" s="3263" t="s">
        <v>238</v>
      </c>
      <c r="I111" s="3374"/>
      <c r="J111" s="3334"/>
      <c r="K111" s="3372"/>
      <c r="L111" s="2989"/>
      <c r="M111" s="2990"/>
      <c r="N111" s="3341"/>
      <c r="O111" s="3377">
        <v>1</v>
      </c>
      <c r="P111" s="3343" t="s">
        <v>19</v>
      </c>
      <c r="Q111" s="3236" t="s">
        <v>22</v>
      </c>
      <c r="R111" s="3236" t="s">
        <v>22</v>
      </c>
      <c r="S111" s="3236" t="s">
        <v>22</v>
      </c>
      <c r="T111" s="3236" t="s">
        <v>22</v>
      </c>
      <c r="U111" s="3236" t="s">
        <v>22</v>
      </c>
      <c r="V111" s="3236" t="s">
        <v>22</v>
      </c>
      <c r="W111" s="3236" t="s">
        <v>22</v>
      </c>
      <c r="X111" s="3236" t="s">
        <v>22</v>
      </c>
      <c r="Y111" s="3236"/>
      <c r="Z111" s="1271"/>
      <c r="AA111" s="1272"/>
      <c r="AB111" s="1272"/>
      <c r="AC111" s="1276"/>
      <c r="AD111" s="1276"/>
      <c r="AE111" s="1277"/>
      <c r="AF111" s="3375"/>
      <c r="AG111" s="3376"/>
      <c r="AH111" s="3376"/>
      <c r="AI111" s="3375"/>
      <c r="AJ111" s="3376"/>
      <c r="AK111" s="3376"/>
      <c r="AL111" s="2079"/>
      <c r="AM111" s="1917"/>
      <c r="AN111" s="1917"/>
      <c r="AO111" s="1917"/>
      <c r="AP111" s="1917"/>
      <c r="AQ111" s="1917"/>
      <c r="AR111" s="1917"/>
      <c r="AS111" s="1917"/>
      <c r="AT111" s="1917"/>
      <c r="AU111" s="1917"/>
      <c r="AV111" s="1917"/>
      <c r="AW111" s="1917"/>
      <c r="AX111" s="1917"/>
      <c r="AY111" s="1917"/>
      <c r="AZ111" s="1917"/>
      <c r="BA111" s="1917"/>
      <c r="BB111" s="1917"/>
      <c r="BC111" s="1917"/>
      <c r="BD111" s="1917"/>
      <c r="BE111" s="1917"/>
      <c r="BF111" s="1917"/>
    </row>
    <row s="10365" customFormat="1" customHeight="1" ht="11.25">
      <c r="A112" s="1262" t="s">
        <v>1194</v>
      </c>
      <c r="B112" s="1262"/>
      <c r="C112" s="1262"/>
      <c r="D112" s="1462"/>
      <c r="E112" s="1266"/>
      <c r="F112" s="3394"/>
      <c r="G112" s="3396"/>
      <c r="H112" s="3263" t="s">
        <v>238</v>
      </c>
      <c r="I112" s="3374"/>
      <c r="J112" s="3334"/>
      <c r="K112" s="3372"/>
      <c r="L112" s="2989"/>
      <c r="M112" s="2990"/>
      <c r="N112" s="3341"/>
      <c r="O112" s="3377"/>
      <c r="P112" s="3344"/>
      <c r="Q112" s="3236"/>
      <c r="R112" s="3236"/>
      <c r="S112" s="3346"/>
      <c r="T112" s="3236"/>
      <c r="U112" s="3236"/>
      <c r="V112" s="3236"/>
      <c r="W112" s="3236"/>
      <c r="X112" s="3236"/>
      <c r="Y112" s="3236"/>
      <c r="Z112" s="1922"/>
      <c r="AA112" s="2198">
        <v>1</v>
      </c>
      <c r="AB112" s="1275" t="s">
        <v>1201</v>
      </c>
      <c r="AC112" s="1265">
        <v>12885.08</v>
      </c>
      <c r="AD112" s="1275" t="str">
        <f>AB112</f>
        <v>      Амортизационные отчисления с выделением результатов переоценки основных средств и нематериальных активов</v>
      </c>
      <c r="AE112" s="1265">
        <v>11872.07</v>
      </c>
      <c r="AF112" s="3375"/>
      <c r="AG112" s="3376"/>
      <c r="AH112" s="3376"/>
      <c r="AI112" s="3375"/>
      <c r="AJ112" s="3376"/>
      <c r="AK112" s="3376"/>
      <c r="AL112" s="2079"/>
      <c r="AM112" s="1917"/>
      <c r="AN112" s="1917"/>
      <c r="AO112" s="1917"/>
      <c r="AP112" s="1917"/>
      <c r="AQ112" s="1917"/>
      <c r="AR112" s="1917"/>
      <c r="AS112" s="1917"/>
      <c r="AT112" s="1917"/>
      <c r="AU112" s="1917"/>
      <c r="AV112" s="1917"/>
      <c r="AW112" s="1917"/>
      <c r="AX112" s="1917"/>
      <c r="AY112" s="1917"/>
      <c r="AZ112" s="1917"/>
      <c r="BA112" s="1917"/>
      <c r="BB112" s="1917"/>
      <c r="BC112" s="1917"/>
      <c r="BD112" s="1917"/>
      <c r="BE112" s="1917"/>
      <c r="BF112" s="1917"/>
    </row>
    <row s="10365" customFormat="1" customHeight="1" ht="11.25">
      <c r="A113" s="1262" t="s">
        <v>1194</v>
      </c>
      <c r="B113" s="1262"/>
      <c r="C113" s="1262"/>
      <c r="D113" s="1462"/>
      <c r="E113" s="1266"/>
      <c r="F113" s="3394"/>
      <c r="G113" s="3396"/>
      <c r="H113" s="3396"/>
      <c r="I113" s="3396"/>
      <c r="J113" s="3396"/>
      <c r="K113" s="3396"/>
      <c r="L113" s="3396"/>
      <c r="M113" s="3396"/>
      <c r="N113" s="3396"/>
      <c r="O113" s="3396"/>
      <c r="P113" s="3396"/>
      <c r="Q113" s="3396"/>
      <c r="R113" s="3396"/>
      <c r="S113" s="3396"/>
      <c r="T113" s="3396"/>
      <c r="U113" s="3396"/>
      <c r="V113" s="3396"/>
      <c r="W113" s="3396"/>
      <c r="X113" s="3396"/>
      <c r="Y113" s="3396"/>
      <c r="Z113" s="790" t="s">
        <v>103</v>
      </c>
      <c r="AA113" s="2195" t="s">
        <v>102</v>
      </c>
      <c r="AB113" s="1275" t="s">
        <v>1208</v>
      </c>
      <c r="AC113" s="1265">
        <v>2495.62</v>
      </c>
      <c r="AD113" s="1275" t="str">
        <f>AB113</f>
        <v>  Прочие собственные средства</v>
      </c>
      <c r="AE113" s="1265">
        <v>2293.01277</v>
      </c>
      <c r="AF113" s="3397"/>
      <c r="AG113" s="3398"/>
      <c r="AH113" s="3398"/>
      <c r="AI113" s="3397"/>
      <c r="AJ113" s="3398"/>
      <c r="AK113" s="3399"/>
      <c r="AL113" s="2079"/>
      <c r="AM113" s="1917"/>
      <c r="AN113" s="1917"/>
      <c r="AO113" s="1917"/>
      <c r="AP113" s="1917"/>
      <c r="AQ113" s="1917"/>
      <c r="AR113" s="1917"/>
      <c r="AS113" s="1917"/>
      <c r="AT113" s="1917"/>
      <c r="AU113" s="1917"/>
      <c r="AV113" s="1917"/>
      <c r="AW113" s="1917"/>
      <c r="AX113" s="1917"/>
      <c r="AY113" s="1917"/>
      <c r="AZ113" s="1917"/>
      <c r="BA113" s="1917"/>
      <c r="BB113" s="1917"/>
      <c r="BC113" s="1917"/>
      <c r="BD113" s="1917"/>
      <c r="BE113" s="1917"/>
      <c r="BF113" s="1917"/>
    </row>
    <row s="10365" customFormat="1" customHeight="1" ht="11.25">
      <c r="A114" s="1262" t="s">
        <v>1194</v>
      </c>
      <c r="B114" s="1262"/>
      <c r="C114" s="1262"/>
      <c r="D114" s="1462"/>
      <c r="E114" s="1266"/>
      <c r="F114" s="3394"/>
      <c r="G114" s="3396"/>
      <c r="H114" s="3263" t="s">
        <v>238</v>
      </c>
      <c r="I114" s="3374"/>
      <c r="J114" s="3334"/>
      <c r="K114" s="3372"/>
      <c r="L114" s="2989"/>
      <c r="M114" s="2990"/>
      <c r="N114" s="3341"/>
      <c r="O114" s="3377"/>
      <c r="P114" s="3345"/>
      <c r="Q114" s="3236"/>
      <c r="R114" s="3236"/>
      <c r="S114" s="3346"/>
      <c r="T114" s="3236"/>
      <c r="U114" s="3236"/>
      <c r="V114" s="3236"/>
      <c r="W114" s="3236"/>
      <c r="X114" s="3236"/>
      <c r="Y114" s="3236"/>
      <c r="Z114" s="1271"/>
      <c r="AA114" s="1272"/>
      <c r="AB114" s="1337" t="s">
        <v>1203</v>
      </c>
      <c r="AC114" s="1276"/>
      <c r="AD114" s="1276"/>
      <c r="AE114" s="1278"/>
      <c r="AF114" s="3375"/>
      <c r="AG114" s="3376"/>
      <c r="AH114" s="3376"/>
      <c r="AI114" s="3375"/>
      <c r="AJ114" s="3376"/>
      <c r="AK114" s="3376"/>
      <c r="AL114" s="2079"/>
      <c r="AM114" s="1917"/>
      <c r="AN114" s="1917"/>
      <c r="AO114" s="1917"/>
      <c r="AP114" s="1917"/>
      <c r="AQ114" s="1917"/>
      <c r="AR114" s="1917"/>
      <c r="AS114" s="1917"/>
      <c r="AT114" s="1917"/>
      <c r="AU114" s="1917"/>
      <c r="AV114" s="1917"/>
      <c r="AW114" s="1917"/>
      <c r="AX114" s="1917"/>
      <c r="AY114" s="1917"/>
      <c r="AZ114" s="1917"/>
      <c r="BA114" s="1917"/>
      <c r="BB114" s="1917"/>
      <c r="BC114" s="1917"/>
      <c r="BD114" s="1917"/>
      <c r="BE114" s="1917"/>
      <c r="BF114" s="1917"/>
    </row>
    <row s="10365" customFormat="1" customHeight="1" ht="11.25">
      <c r="A115" s="1262" t="s">
        <v>1194</v>
      </c>
      <c r="B115" s="1262"/>
      <c r="C115" s="1262"/>
      <c r="D115" s="1462"/>
      <c r="E115" s="1266"/>
      <c r="F115" s="3394"/>
      <c r="G115" s="3396"/>
      <c r="H115" s="3263" t="s">
        <v>238</v>
      </c>
      <c r="I115" s="3374"/>
      <c r="J115" s="3334"/>
      <c r="K115" s="3372"/>
      <c r="L115" s="2989"/>
      <c r="M115" s="2990"/>
      <c r="N115" s="1271"/>
      <c r="O115" s="1272"/>
      <c r="P115" s="1337" t="s">
        <v>1204</v>
      </c>
      <c r="Q115" s="1272"/>
      <c r="R115" s="1272"/>
      <c r="S115" s="1272"/>
      <c r="T115" s="1272"/>
      <c r="U115" s="1272"/>
      <c r="V115" s="1272"/>
      <c r="W115" s="1272"/>
      <c r="X115" s="1272"/>
      <c r="Y115" s="1272"/>
      <c r="Z115" s="1272"/>
      <c r="AA115" s="1272"/>
      <c r="AB115" s="1272"/>
      <c r="AC115" s="1272"/>
      <c r="AD115" s="1272"/>
      <c r="AE115" s="1279"/>
      <c r="AF115" s="3375"/>
      <c r="AG115" s="3376"/>
      <c r="AH115" s="3376"/>
      <c r="AI115" s="3375"/>
      <c r="AJ115" s="3376"/>
      <c r="AK115" s="3376"/>
      <c r="AL115" s="2079"/>
      <c r="AM115" s="1917"/>
      <c r="AN115" s="1917"/>
      <c r="AO115" s="1917"/>
      <c r="AP115" s="1917"/>
      <c r="AQ115" s="1917"/>
      <c r="AR115" s="1917"/>
      <c r="AS115" s="1917"/>
      <c r="AT115" s="1917"/>
      <c r="AU115" s="1917"/>
      <c r="AV115" s="1917"/>
      <c r="AW115" s="1917"/>
      <c r="AX115" s="1917"/>
      <c r="AY115" s="1917"/>
      <c r="AZ115" s="1917"/>
      <c r="BA115" s="1917"/>
      <c r="BB115" s="1917"/>
      <c r="BC115" s="1917"/>
      <c r="BD115" s="1917"/>
      <c r="BE115" s="1917"/>
      <c r="BF115" s="1917"/>
    </row>
    <row s="10365" customFormat="1" customHeight="1" ht="11.25">
      <c r="A116" s="1262" t="s">
        <v>1194</v>
      </c>
      <c r="B116" s="1262" t="s">
        <v>1195</v>
      </c>
      <c r="C116" s="1262"/>
      <c r="D116" s="1462"/>
      <c r="E116" s="1266"/>
      <c r="F116" s="3394"/>
      <c r="G116" s="3004" t="s">
        <v>103</v>
      </c>
      <c r="H116" s="3263" t="s">
        <v>240</v>
      </c>
      <c r="I116" s="3374" t="s">
        <v>1196</v>
      </c>
      <c r="J116" s="3334" t="s">
        <v>1219</v>
      </c>
      <c r="K116" s="3372" t="s">
        <v>1227</v>
      </c>
      <c r="L116" s="2989" t="s">
        <v>19</v>
      </c>
      <c r="M116" s="2990"/>
      <c r="N116" s="2077"/>
      <c r="O116" s="1273" t="s">
        <v>461</v>
      </c>
      <c r="P116" s="1274"/>
      <c r="Q116" s="1274"/>
      <c r="R116" s="1274"/>
      <c r="S116" s="1274"/>
      <c r="T116" s="1274"/>
      <c r="U116" s="1274"/>
      <c r="V116" s="1274"/>
      <c r="W116" s="1274"/>
      <c r="X116" s="1274"/>
      <c r="Y116" s="1274"/>
      <c r="Z116" s="1274"/>
      <c r="AA116" s="1274"/>
      <c r="AB116" s="1274"/>
      <c r="AC116" s="1274"/>
      <c r="AD116" s="1274"/>
      <c r="AE116" s="1274"/>
      <c r="AF116" s="3375">
        <v>8</v>
      </c>
      <c r="AG116" s="3376" t="s">
        <v>1199</v>
      </c>
      <c r="AH116" s="3376" t="s">
        <v>1207</v>
      </c>
      <c r="AI116" s="3375">
        <v>8</v>
      </c>
      <c r="AJ116" s="3376" t="s">
        <v>1199</v>
      </c>
      <c r="AK116" s="3376" t="s">
        <v>1207</v>
      </c>
      <c r="AL116" s="2079"/>
      <c r="AM116" s="1917"/>
      <c r="AN116" s="1917"/>
      <c r="AO116" s="1917"/>
      <c r="AP116" s="1917"/>
      <c r="AQ116" s="1917"/>
      <c r="AR116" s="1917"/>
      <c r="AS116" s="1917"/>
      <c r="AT116" s="1917"/>
      <c r="AU116" s="1917"/>
      <c r="AV116" s="1917"/>
      <c r="AW116" s="1917"/>
      <c r="AX116" s="1917"/>
      <c r="AY116" s="1917"/>
      <c r="AZ116" s="1917"/>
      <c r="BA116" s="1917"/>
      <c r="BB116" s="1917"/>
      <c r="BC116" s="1917"/>
      <c r="BD116" s="1917"/>
      <c r="BE116" s="1917"/>
      <c r="BF116" s="1917"/>
    </row>
    <row s="10365" customFormat="1" customHeight="1" ht="11.25">
      <c r="A117" s="1262" t="s">
        <v>1194</v>
      </c>
      <c r="B117" s="1262"/>
      <c r="C117" s="1262"/>
      <c r="D117" s="1462"/>
      <c r="E117" s="1266"/>
      <c r="F117" s="3394"/>
      <c r="G117" s="3396"/>
      <c r="H117" s="3263" t="s">
        <v>239</v>
      </c>
      <c r="I117" s="3374"/>
      <c r="J117" s="3334"/>
      <c r="K117" s="3372"/>
      <c r="L117" s="2989"/>
      <c r="M117" s="2990"/>
      <c r="N117" s="3341"/>
      <c r="O117" s="3377">
        <v>1</v>
      </c>
      <c r="P117" s="3343" t="s">
        <v>19</v>
      </c>
      <c r="Q117" s="3236" t="s">
        <v>22</v>
      </c>
      <c r="R117" s="3236" t="s">
        <v>22</v>
      </c>
      <c r="S117" s="3236" t="s">
        <v>22</v>
      </c>
      <c r="T117" s="3236" t="s">
        <v>22</v>
      </c>
      <c r="U117" s="3236" t="s">
        <v>22</v>
      </c>
      <c r="V117" s="3236" t="s">
        <v>22</v>
      </c>
      <c r="W117" s="3236" t="s">
        <v>22</v>
      </c>
      <c r="X117" s="3236" t="s">
        <v>22</v>
      </c>
      <c r="Y117" s="3236"/>
      <c r="Z117" s="1271"/>
      <c r="AA117" s="1272"/>
      <c r="AB117" s="1272"/>
      <c r="AC117" s="1276"/>
      <c r="AD117" s="1276"/>
      <c r="AE117" s="1277"/>
      <c r="AF117" s="3375"/>
      <c r="AG117" s="3376"/>
      <c r="AH117" s="3376"/>
      <c r="AI117" s="3375"/>
      <c r="AJ117" s="3376"/>
      <c r="AK117" s="3376"/>
      <c r="AL117" s="2079"/>
      <c r="AM117" s="1917"/>
      <c r="AN117" s="1917"/>
      <c r="AO117" s="1917"/>
      <c r="AP117" s="1917"/>
      <c r="AQ117" s="1917"/>
      <c r="AR117" s="1917"/>
      <c r="AS117" s="1917"/>
      <c r="AT117" s="1917"/>
      <c r="AU117" s="1917"/>
      <c r="AV117" s="1917"/>
      <c r="AW117" s="1917"/>
      <c r="AX117" s="1917"/>
      <c r="AY117" s="1917"/>
      <c r="AZ117" s="1917"/>
      <c r="BA117" s="1917"/>
      <c r="BB117" s="1917"/>
      <c r="BC117" s="1917"/>
      <c r="BD117" s="1917"/>
      <c r="BE117" s="1917"/>
      <c r="BF117" s="1917"/>
    </row>
    <row s="10365" customFormat="1" customHeight="1" ht="11.25">
      <c r="A118" s="1262" t="s">
        <v>1194</v>
      </c>
      <c r="B118" s="1262"/>
      <c r="C118" s="1262"/>
      <c r="D118" s="1462"/>
      <c r="E118" s="1266"/>
      <c r="F118" s="3394"/>
      <c r="G118" s="3396"/>
      <c r="H118" s="3263" t="s">
        <v>239</v>
      </c>
      <c r="I118" s="3374"/>
      <c r="J118" s="3334"/>
      <c r="K118" s="3372"/>
      <c r="L118" s="2989"/>
      <c r="M118" s="2990"/>
      <c r="N118" s="3341"/>
      <c r="O118" s="3377"/>
      <c r="P118" s="3344"/>
      <c r="Q118" s="3236"/>
      <c r="R118" s="3236"/>
      <c r="S118" s="3346"/>
      <c r="T118" s="3236"/>
      <c r="U118" s="3236"/>
      <c r="V118" s="3236"/>
      <c r="W118" s="3236"/>
      <c r="X118" s="3236"/>
      <c r="Y118" s="3236"/>
      <c r="Z118" s="1922"/>
      <c r="AA118" s="2198">
        <v>1</v>
      </c>
      <c r="AB118" s="1275" t="s">
        <v>1201</v>
      </c>
      <c r="AC118" s="1265">
        <v>12.6</v>
      </c>
      <c r="AD118" s="1275" t="str">
        <f>AB118</f>
        <v>      Амортизационные отчисления с выделением результатов переоценки основных средств и нематериальных активов</v>
      </c>
      <c r="AE118" s="1265">
        <v>15.12</v>
      </c>
      <c r="AF118" s="3375"/>
      <c r="AG118" s="3376"/>
      <c r="AH118" s="3376"/>
      <c r="AI118" s="3375"/>
      <c r="AJ118" s="3376"/>
      <c r="AK118" s="3376"/>
      <c r="AL118" s="2079"/>
      <c r="AM118" s="1917"/>
      <c r="AN118" s="1917"/>
      <c r="AO118" s="1917"/>
      <c r="AP118" s="1917"/>
      <c r="AQ118" s="1917"/>
      <c r="AR118" s="1917"/>
      <c r="AS118" s="1917"/>
      <c r="AT118" s="1917"/>
      <c r="AU118" s="1917"/>
      <c r="AV118" s="1917"/>
      <c r="AW118" s="1917"/>
      <c r="AX118" s="1917"/>
      <c r="AY118" s="1917"/>
      <c r="AZ118" s="1917"/>
      <c r="BA118" s="1917"/>
      <c r="BB118" s="1917"/>
      <c r="BC118" s="1917"/>
      <c r="BD118" s="1917"/>
      <c r="BE118" s="1917"/>
      <c r="BF118" s="1917"/>
    </row>
    <row s="10365" customFormat="1" customHeight="1" ht="11.25">
      <c r="A119" s="1262" t="s">
        <v>1194</v>
      </c>
      <c r="B119" s="1262"/>
      <c r="C119" s="1262"/>
      <c r="D119" s="1462"/>
      <c r="E119" s="1266"/>
      <c r="F119" s="3394"/>
      <c r="G119" s="3396"/>
      <c r="H119" s="3396"/>
      <c r="I119" s="3396"/>
      <c r="J119" s="3396"/>
      <c r="K119" s="3396"/>
      <c r="L119" s="3396"/>
      <c r="M119" s="3396"/>
      <c r="N119" s="3396"/>
      <c r="O119" s="3396"/>
      <c r="P119" s="3396"/>
      <c r="Q119" s="3396"/>
      <c r="R119" s="3396"/>
      <c r="S119" s="3396"/>
      <c r="T119" s="3396"/>
      <c r="U119" s="3396"/>
      <c r="V119" s="3396"/>
      <c r="W119" s="3396"/>
      <c r="X119" s="3396"/>
      <c r="Y119" s="3396"/>
      <c r="Z119" s="790" t="s">
        <v>103</v>
      </c>
      <c r="AA119" s="2195" t="s">
        <v>102</v>
      </c>
      <c r="AB119" s="1275" t="s">
        <v>1208</v>
      </c>
      <c r="AC119" s="1265">
        <v>2.52</v>
      </c>
      <c r="AD119" s="1275" t="str">
        <f>AB119</f>
        <v>  Прочие собственные средства</v>
      </c>
      <c r="AE119" s="1265">
        <v>0</v>
      </c>
      <c r="AF119" s="3397"/>
      <c r="AG119" s="3398"/>
      <c r="AH119" s="3398"/>
      <c r="AI119" s="3397"/>
      <c r="AJ119" s="3398"/>
      <c r="AK119" s="3399"/>
      <c r="AL119" s="2079"/>
      <c r="AM119" s="1917"/>
      <c r="AN119" s="1917"/>
      <c r="AO119" s="1917"/>
      <c r="AP119" s="1917"/>
      <c r="AQ119" s="1917"/>
      <c r="AR119" s="1917"/>
      <c r="AS119" s="1917"/>
      <c r="AT119" s="1917"/>
      <c r="AU119" s="1917"/>
      <c r="AV119" s="1917"/>
      <c r="AW119" s="1917"/>
      <c r="AX119" s="1917"/>
      <c r="AY119" s="1917"/>
      <c r="AZ119" s="1917"/>
      <c r="BA119" s="1917"/>
      <c r="BB119" s="1917"/>
      <c r="BC119" s="1917"/>
      <c r="BD119" s="1917"/>
      <c r="BE119" s="1917"/>
      <c r="BF119" s="1917"/>
    </row>
    <row s="10365" customFormat="1" customHeight="1" ht="11.25">
      <c r="A120" s="1262" t="s">
        <v>1194</v>
      </c>
      <c r="B120" s="1262"/>
      <c r="C120" s="1262"/>
      <c r="D120" s="1462"/>
      <c r="E120" s="1266"/>
      <c r="F120" s="3394"/>
      <c r="G120" s="3396"/>
      <c r="H120" s="3263" t="s">
        <v>239</v>
      </c>
      <c r="I120" s="3374"/>
      <c r="J120" s="3334"/>
      <c r="K120" s="3372"/>
      <c r="L120" s="2989"/>
      <c r="M120" s="2990"/>
      <c r="N120" s="3341"/>
      <c r="O120" s="3377"/>
      <c r="P120" s="3345"/>
      <c r="Q120" s="3236"/>
      <c r="R120" s="3236"/>
      <c r="S120" s="3346"/>
      <c r="T120" s="3236"/>
      <c r="U120" s="3236"/>
      <c r="V120" s="3236"/>
      <c r="W120" s="3236"/>
      <c r="X120" s="3236"/>
      <c r="Y120" s="3236"/>
      <c r="Z120" s="1271"/>
      <c r="AA120" s="1272"/>
      <c r="AB120" s="1337" t="s">
        <v>1203</v>
      </c>
      <c r="AC120" s="1276"/>
      <c r="AD120" s="1276"/>
      <c r="AE120" s="1278"/>
      <c r="AF120" s="3375"/>
      <c r="AG120" s="3376"/>
      <c r="AH120" s="3376"/>
      <c r="AI120" s="3375"/>
      <c r="AJ120" s="3376"/>
      <c r="AK120" s="3376"/>
      <c r="AL120" s="2079"/>
      <c r="AM120" s="1917"/>
      <c r="AN120" s="1917"/>
      <c r="AO120" s="1917"/>
      <c r="AP120" s="1917"/>
      <c r="AQ120" s="1917"/>
      <c r="AR120" s="1917"/>
      <c r="AS120" s="1917"/>
      <c r="AT120" s="1917"/>
      <c r="AU120" s="1917"/>
      <c r="AV120" s="1917"/>
      <c r="AW120" s="1917"/>
      <c r="AX120" s="1917"/>
      <c r="AY120" s="1917"/>
      <c r="AZ120" s="1917"/>
      <c r="BA120" s="1917"/>
      <c r="BB120" s="1917"/>
      <c r="BC120" s="1917"/>
      <c r="BD120" s="1917"/>
      <c r="BE120" s="1917"/>
      <c r="BF120" s="1917"/>
    </row>
    <row s="10365" customFormat="1" customHeight="1" ht="11.25">
      <c r="A121" s="1262" t="s">
        <v>1194</v>
      </c>
      <c r="B121" s="1262"/>
      <c r="C121" s="1262"/>
      <c r="D121" s="1462"/>
      <c r="E121" s="1266"/>
      <c r="F121" s="3394"/>
      <c r="G121" s="3396"/>
      <c r="H121" s="3263" t="s">
        <v>239</v>
      </c>
      <c r="I121" s="3374"/>
      <c r="J121" s="3334"/>
      <c r="K121" s="3372"/>
      <c r="L121" s="2989"/>
      <c r="M121" s="2990"/>
      <c r="N121" s="1271"/>
      <c r="O121" s="1272"/>
      <c r="P121" s="1337" t="s">
        <v>1204</v>
      </c>
      <c r="Q121" s="1272"/>
      <c r="R121" s="1272"/>
      <c r="S121" s="1272"/>
      <c r="T121" s="1272"/>
      <c r="U121" s="1272"/>
      <c r="V121" s="1272"/>
      <c r="W121" s="1272"/>
      <c r="X121" s="1272"/>
      <c r="Y121" s="1272"/>
      <c r="Z121" s="1272"/>
      <c r="AA121" s="1272"/>
      <c r="AB121" s="1272"/>
      <c r="AC121" s="1272"/>
      <c r="AD121" s="1272"/>
      <c r="AE121" s="1279"/>
      <c r="AF121" s="3375"/>
      <c r="AG121" s="3376"/>
      <c r="AH121" s="3376"/>
      <c r="AI121" s="3375"/>
      <c r="AJ121" s="3376"/>
      <c r="AK121" s="3376"/>
      <c r="AL121" s="2079"/>
      <c r="AM121" s="1917"/>
      <c r="AN121" s="1917"/>
      <c r="AO121" s="1917"/>
      <c r="AP121" s="1917"/>
      <c r="AQ121" s="1917"/>
      <c r="AR121" s="1917"/>
      <c r="AS121" s="1917"/>
      <c r="AT121" s="1917"/>
      <c r="AU121" s="1917"/>
      <c r="AV121" s="1917"/>
      <c r="AW121" s="1917"/>
      <c r="AX121" s="1917"/>
      <c r="AY121" s="1917"/>
      <c r="AZ121" s="1917"/>
      <c r="BA121" s="1917"/>
      <c r="BB121" s="1917"/>
      <c r="BC121" s="1917"/>
      <c r="BD121" s="1917"/>
      <c r="BE121" s="1917"/>
      <c r="BF121" s="1917"/>
    </row>
    <row s="10365" customFormat="1" customHeight="1" ht="11.25">
      <c r="A122" s="1262" t="s">
        <v>1194</v>
      </c>
      <c r="B122" s="1262" t="s">
        <v>1195</v>
      </c>
      <c r="C122" s="1262"/>
      <c r="D122" s="1462"/>
      <c r="E122" s="1266"/>
      <c r="F122" s="3394"/>
      <c r="G122" s="3004" t="s">
        <v>103</v>
      </c>
      <c r="H122" s="3263" t="s">
        <v>1228</v>
      </c>
      <c r="I122" s="3374" t="s">
        <v>1196</v>
      </c>
      <c r="J122" s="3334" t="s">
        <v>1219</v>
      </c>
      <c r="K122" s="3372" t="s">
        <v>1229</v>
      </c>
      <c r="L122" s="2989" t="s">
        <v>19</v>
      </c>
      <c r="M122" s="2990"/>
      <c r="N122" s="2077"/>
      <c r="O122" s="1273" t="s">
        <v>461</v>
      </c>
      <c r="P122" s="1274"/>
      <c r="Q122" s="1274"/>
      <c r="R122" s="1274"/>
      <c r="S122" s="1274"/>
      <c r="T122" s="1274"/>
      <c r="U122" s="1274"/>
      <c r="V122" s="1274"/>
      <c r="W122" s="1274"/>
      <c r="X122" s="1274"/>
      <c r="Y122" s="1274"/>
      <c r="Z122" s="1274"/>
      <c r="AA122" s="1274"/>
      <c r="AB122" s="1274"/>
      <c r="AC122" s="1274"/>
      <c r="AD122" s="1274"/>
      <c r="AE122" s="1274"/>
      <c r="AF122" s="3375">
        <v>6</v>
      </c>
      <c r="AG122" s="3376" t="s">
        <v>1199</v>
      </c>
      <c r="AH122" s="3376" t="s">
        <v>1213</v>
      </c>
      <c r="AI122" s="3375">
        <v>6</v>
      </c>
      <c r="AJ122" s="3376" t="s">
        <v>1199</v>
      </c>
      <c r="AK122" s="3376" t="s">
        <v>1213</v>
      </c>
      <c r="AL122" s="2079"/>
      <c r="AM122" s="1917"/>
      <c r="AN122" s="1917"/>
      <c r="AO122" s="1917"/>
      <c r="AP122" s="1917"/>
      <c r="AQ122" s="1917"/>
      <c r="AR122" s="1917"/>
      <c r="AS122" s="1917"/>
      <c r="AT122" s="1917"/>
      <c r="AU122" s="1917"/>
      <c r="AV122" s="1917"/>
      <c r="AW122" s="1917"/>
      <c r="AX122" s="1917"/>
      <c r="AY122" s="1917"/>
      <c r="AZ122" s="1917"/>
      <c r="BA122" s="1917"/>
      <c r="BB122" s="1917"/>
      <c r="BC122" s="1917"/>
      <c r="BD122" s="1917"/>
      <c r="BE122" s="1917"/>
      <c r="BF122" s="1917"/>
    </row>
    <row s="10365" customFormat="1" customHeight="1" ht="11.25">
      <c r="A123" s="1262" t="s">
        <v>1194</v>
      </c>
      <c r="B123" s="1262"/>
      <c r="C123" s="1262"/>
      <c r="D123" s="1462"/>
      <c r="E123" s="1266"/>
      <c r="F123" s="3394"/>
      <c r="G123" s="3396"/>
      <c r="H123" s="3263" t="s">
        <v>240</v>
      </c>
      <c r="I123" s="3374"/>
      <c r="J123" s="3334"/>
      <c r="K123" s="3372"/>
      <c r="L123" s="2989"/>
      <c r="M123" s="2990"/>
      <c r="N123" s="3341"/>
      <c r="O123" s="3377">
        <v>1</v>
      </c>
      <c r="P123" s="3343" t="s">
        <v>19</v>
      </c>
      <c r="Q123" s="3236" t="s">
        <v>22</v>
      </c>
      <c r="R123" s="3236" t="s">
        <v>22</v>
      </c>
      <c r="S123" s="3236" t="s">
        <v>22</v>
      </c>
      <c r="T123" s="3236" t="s">
        <v>22</v>
      </c>
      <c r="U123" s="3236" t="s">
        <v>22</v>
      </c>
      <c r="V123" s="3236" t="s">
        <v>22</v>
      </c>
      <c r="W123" s="3236" t="s">
        <v>22</v>
      </c>
      <c r="X123" s="3236" t="s">
        <v>22</v>
      </c>
      <c r="Y123" s="3236"/>
      <c r="Z123" s="1271"/>
      <c r="AA123" s="1272"/>
      <c r="AB123" s="1272"/>
      <c r="AC123" s="1276"/>
      <c r="AD123" s="1276"/>
      <c r="AE123" s="1277"/>
      <c r="AF123" s="3375"/>
      <c r="AG123" s="3376"/>
      <c r="AH123" s="3376"/>
      <c r="AI123" s="3375"/>
      <c r="AJ123" s="3376"/>
      <c r="AK123" s="3376"/>
      <c r="AL123" s="2079"/>
      <c r="AM123" s="1917"/>
      <c r="AN123" s="1917"/>
      <c r="AO123" s="1917"/>
      <c r="AP123" s="1917"/>
      <c r="AQ123" s="1917"/>
      <c r="AR123" s="1917"/>
      <c r="AS123" s="1917"/>
      <c r="AT123" s="1917"/>
      <c r="AU123" s="1917"/>
      <c r="AV123" s="1917"/>
      <c r="AW123" s="1917"/>
      <c r="AX123" s="1917"/>
      <c r="AY123" s="1917"/>
      <c r="AZ123" s="1917"/>
      <c r="BA123" s="1917"/>
      <c r="BB123" s="1917"/>
      <c r="BC123" s="1917"/>
      <c r="BD123" s="1917"/>
      <c r="BE123" s="1917"/>
      <c r="BF123" s="1917"/>
    </row>
    <row s="10365" customFormat="1" customHeight="1" ht="11.25">
      <c r="A124" s="1262" t="s">
        <v>1194</v>
      </c>
      <c r="B124" s="1262"/>
      <c r="C124" s="1262"/>
      <c r="D124" s="1462"/>
      <c r="E124" s="1266"/>
      <c r="F124" s="3394"/>
      <c r="G124" s="3396"/>
      <c r="H124" s="3263" t="s">
        <v>240</v>
      </c>
      <c r="I124" s="3374"/>
      <c r="J124" s="3334"/>
      <c r="K124" s="3372"/>
      <c r="L124" s="2989"/>
      <c r="M124" s="2990"/>
      <c r="N124" s="3341"/>
      <c r="O124" s="3377"/>
      <c r="P124" s="3344"/>
      <c r="Q124" s="3236"/>
      <c r="R124" s="3236"/>
      <c r="S124" s="3346"/>
      <c r="T124" s="3236"/>
      <c r="U124" s="3236"/>
      <c r="V124" s="3236"/>
      <c r="W124" s="3236"/>
      <c r="X124" s="3236"/>
      <c r="Y124" s="3236"/>
      <c r="Z124" s="1922"/>
      <c r="AA124" s="2198">
        <v>1</v>
      </c>
      <c r="AB124" s="1275" t="s">
        <v>1201</v>
      </c>
      <c r="AC124" s="1265">
        <v>9612.76</v>
      </c>
      <c r="AD124" s="1275" t="str">
        <f>AB124</f>
        <v>      Амортизационные отчисления с выделением результатов переоценки основных средств и нематериальных активов</v>
      </c>
      <c r="AE124" s="1265">
        <v>8432.24</v>
      </c>
      <c r="AF124" s="3375"/>
      <c r="AG124" s="3376"/>
      <c r="AH124" s="3376"/>
      <c r="AI124" s="3375"/>
      <c r="AJ124" s="3376"/>
      <c r="AK124" s="3376"/>
      <c r="AL124" s="2079"/>
      <c r="AM124" s="1917"/>
      <c r="AN124" s="1917"/>
      <c r="AO124" s="1917"/>
      <c r="AP124" s="1917"/>
      <c r="AQ124" s="1917"/>
      <c r="AR124" s="1917"/>
      <c r="AS124" s="1917"/>
      <c r="AT124" s="1917"/>
      <c r="AU124" s="1917"/>
      <c r="AV124" s="1917"/>
      <c r="AW124" s="1917"/>
      <c r="AX124" s="1917"/>
      <c r="AY124" s="1917"/>
      <c r="AZ124" s="1917"/>
      <c r="BA124" s="1917"/>
      <c r="BB124" s="1917"/>
      <c r="BC124" s="1917"/>
      <c r="BD124" s="1917"/>
      <c r="BE124" s="1917"/>
      <c r="BF124" s="1917"/>
    </row>
    <row s="10365" customFormat="1" customHeight="1" ht="11.25">
      <c r="A125" s="1262" t="s">
        <v>1194</v>
      </c>
      <c r="B125" s="1262"/>
      <c r="C125" s="1262"/>
      <c r="D125" s="1462"/>
      <c r="E125" s="1266"/>
      <c r="F125" s="3394"/>
      <c r="G125" s="3396"/>
      <c r="H125" s="3396"/>
      <c r="I125" s="3396"/>
      <c r="J125" s="3396"/>
      <c r="K125" s="3396"/>
      <c r="L125" s="3396"/>
      <c r="M125" s="3396"/>
      <c r="N125" s="3396"/>
      <c r="O125" s="3396"/>
      <c r="P125" s="3396"/>
      <c r="Q125" s="3396"/>
      <c r="R125" s="3396"/>
      <c r="S125" s="3396"/>
      <c r="T125" s="3396"/>
      <c r="U125" s="3396"/>
      <c r="V125" s="3396"/>
      <c r="W125" s="3396"/>
      <c r="X125" s="3396"/>
      <c r="Y125" s="3396"/>
      <c r="Z125" s="790" t="s">
        <v>103</v>
      </c>
      <c r="AA125" s="2195" t="s">
        <v>102</v>
      </c>
      <c r="AB125" s="1275" t="s">
        <v>1208</v>
      </c>
      <c r="AC125" s="1265">
        <v>1805.5</v>
      </c>
      <c r="AD125" s="1275" t="str">
        <f>AB125</f>
        <v>  Прочие собственные средства</v>
      </c>
      <c r="AE125" s="1265">
        <v>1594.10427</v>
      </c>
      <c r="AF125" s="3397"/>
      <c r="AG125" s="3398"/>
      <c r="AH125" s="3398"/>
      <c r="AI125" s="3397"/>
      <c r="AJ125" s="3398"/>
      <c r="AK125" s="3399"/>
      <c r="AL125" s="2079"/>
      <c r="AM125" s="1917"/>
      <c r="AN125" s="1917"/>
      <c r="AO125" s="1917"/>
      <c r="AP125" s="1917"/>
      <c r="AQ125" s="1917"/>
      <c r="AR125" s="1917"/>
      <c r="AS125" s="1917"/>
      <c r="AT125" s="1917"/>
      <c r="AU125" s="1917"/>
      <c r="AV125" s="1917"/>
      <c r="AW125" s="1917"/>
      <c r="AX125" s="1917"/>
      <c r="AY125" s="1917"/>
      <c r="AZ125" s="1917"/>
      <c r="BA125" s="1917"/>
      <c r="BB125" s="1917"/>
      <c r="BC125" s="1917"/>
      <c r="BD125" s="1917"/>
      <c r="BE125" s="1917"/>
      <c r="BF125" s="1917"/>
    </row>
    <row s="10365" customFormat="1" customHeight="1" ht="11.25">
      <c r="A126" s="1262" t="s">
        <v>1194</v>
      </c>
      <c r="B126" s="1262"/>
      <c r="C126" s="1262"/>
      <c r="D126" s="1462"/>
      <c r="E126" s="1266"/>
      <c r="F126" s="3394"/>
      <c r="G126" s="3396"/>
      <c r="H126" s="3263" t="s">
        <v>240</v>
      </c>
      <c r="I126" s="3374"/>
      <c r="J126" s="3334"/>
      <c r="K126" s="3372"/>
      <c r="L126" s="2989"/>
      <c r="M126" s="2990"/>
      <c r="N126" s="3341"/>
      <c r="O126" s="3377"/>
      <c r="P126" s="3345"/>
      <c r="Q126" s="3236"/>
      <c r="R126" s="3236"/>
      <c r="S126" s="3346"/>
      <c r="T126" s="3236"/>
      <c r="U126" s="3236"/>
      <c r="V126" s="3236"/>
      <c r="W126" s="3236"/>
      <c r="X126" s="3236"/>
      <c r="Y126" s="3236"/>
      <c r="Z126" s="1271"/>
      <c r="AA126" s="1272"/>
      <c r="AB126" s="1337" t="s">
        <v>1203</v>
      </c>
      <c r="AC126" s="1276"/>
      <c r="AD126" s="1276"/>
      <c r="AE126" s="1278"/>
      <c r="AF126" s="3375"/>
      <c r="AG126" s="3376"/>
      <c r="AH126" s="3376"/>
      <c r="AI126" s="3375"/>
      <c r="AJ126" s="3376"/>
      <c r="AK126" s="3376"/>
      <c r="AL126" s="2079"/>
      <c r="AM126" s="1917"/>
      <c r="AN126" s="1917"/>
      <c r="AO126" s="1917"/>
      <c r="AP126" s="1917"/>
      <c r="AQ126" s="1917"/>
      <c r="AR126" s="1917"/>
      <c r="AS126" s="1917"/>
      <c r="AT126" s="1917"/>
      <c r="AU126" s="1917"/>
      <c r="AV126" s="1917"/>
      <c r="AW126" s="1917"/>
      <c r="AX126" s="1917"/>
      <c r="AY126" s="1917"/>
      <c r="AZ126" s="1917"/>
      <c r="BA126" s="1917"/>
      <c r="BB126" s="1917"/>
      <c r="BC126" s="1917"/>
      <c r="BD126" s="1917"/>
      <c r="BE126" s="1917"/>
      <c r="BF126" s="1917"/>
    </row>
    <row s="10365" customFormat="1" customHeight="1" ht="11.25">
      <c r="A127" s="1262" t="s">
        <v>1194</v>
      </c>
      <c r="B127" s="1262"/>
      <c r="C127" s="1262"/>
      <c r="D127" s="1462"/>
      <c r="E127" s="1266"/>
      <c r="F127" s="3394"/>
      <c r="G127" s="3396"/>
      <c r="H127" s="3263" t="s">
        <v>240</v>
      </c>
      <c r="I127" s="3374"/>
      <c r="J127" s="3334"/>
      <c r="K127" s="3372"/>
      <c r="L127" s="2989"/>
      <c r="M127" s="2990"/>
      <c r="N127" s="1271"/>
      <c r="O127" s="1272"/>
      <c r="P127" s="1337" t="s">
        <v>1204</v>
      </c>
      <c r="Q127" s="1272"/>
      <c r="R127" s="1272"/>
      <c r="S127" s="1272"/>
      <c r="T127" s="1272"/>
      <c r="U127" s="1272"/>
      <c r="V127" s="1272"/>
      <c r="W127" s="1272"/>
      <c r="X127" s="1272"/>
      <c r="Y127" s="1272"/>
      <c r="Z127" s="1272"/>
      <c r="AA127" s="1272"/>
      <c r="AB127" s="1272"/>
      <c r="AC127" s="1272"/>
      <c r="AD127" s="1272"/>
      <c r="AE127" s="1279"/>
      <c r="AF127" s="3375"/>
      <c r="AG127" s="3376"/>
      <c r="AH127" s="3376"/>
      <c r="AI127" s="3375"/>
      <c r="AJ127" s="3376"/>
      <c r="AK127" s="3376"/>
      <c r="AL127" s="2079"/>
      <c r="AM127" s="1917"/>
      <c r="AN127" s="1917"/>
      <c r="AO127" s="1917"/>
      <c r="AP127" s="1917"/>
      <c r="AQ127" s="1917"/>
      <c r="AR127" s="1917"/>
      <c r="AS127" s="1917"/>
      <c r="AT127" s="1917"/>
      <c r="AU127" s="1917"/>
      <c r="AV127" s="1917"/>
      <c r="AW127" s="1917"/>
      <c r="AX127" s="1917"/>
      <c r="AY127" s="1917"/>
      <c r="AZ127" s="1917"/>
      <c r="BA127" s="1917"/>
      <c r="BB127" s="1917"/>
      <c r="BC127" s="1917"/>
      <c r="BD127" s="1917"/>
      <c r="BE127" s="1917"/>
      <c r="BF127" s="1917"/>
    </row>
    <row s="10365" customFormat="1" customHeight="1" ht="11.25">
      <c r="A128" s="1262" t="s">
        <v>1194</v>
      </c>
      <c r="B128" s="1262" t="s">
        <v>1195</v>
      </c>
      <c r="C128" s="1262"/>
      <c r="D128" s="1462"/>
      <c r="E128" s="1266"/>
      <c r="F128" s="3394"/>
      <c r="G128" s="3004" t="s">
        <v>103</v>
      </c>
      <c r="H128" s="3263" t="s">
        <v>1230</v>
      </c>
      <c r="I128" s="3374" t="s">
        <v>1196</v>
      </c>
      <c r="J128" s="3334" t="s">
        <v>1219</v>
      </c>
      <c r="K128" s="3372" t="s">
        <v>1231</v>
      </c>
      <c r="L128" s="2989" t="s">
        <v>19</v>
      </c>
      <c r="M128" s="2990"/>
      <c r="N128" s="2077"/>
      <c r="O128" s="1273" t="s">
        <v>461</v>
      </c>
      <c r="P128" s="1274"/>
      <c r="Q128" s="1274"/>
      <c r="R128" s="1274"/>
      <c r="S128" s="1274"/>
      <c r="T128" s="1274"/>
      <c r="U128" s="1274"/>
      <c r="V128" s="1274"/>
      <c r="W128" s="1274"/>
      <c r="X128" s="1274"/>
      <c r="Y128" s="1274"/>
      <c r="Z128" s="1274"/>
      <c r="AA128" s="1274"/>
      <c r="AB128" s="1274"/>
      <c r="AC128" s="1274"/>
      <c r="AD128" s="1274"/>
      <c r="AE128" s="1274"/>
      <c r="AF128" s="3375">
        <v>2</v>
      </c>
      <c r="AG128" s="3376" t="s">
        <v>1199</v>
      </c>
      <c r="AH128" s="3376" t="s">
        <v>1200</v>
      </c>
      <c r="AI128" s="3375">
        <v>2</v>
      </c>
      <c r="AJ128" s="3376" t="s">
        <v>1199</v>
      </c>
      <c r="AK128" s="3376" t="s">
        <v>1200</v>
      </c>
      <c r="AL128" s="2079"/>
      <c r="AM128" s="1917"/>
      <c r="AN128" s="1917"/>
      <c r="AO128" s="1917"/>
      <c r="AP128" s="1917"/>
      <c r="AQ128" s="1917"/>
      <c r="AR128" s="1917"/>
      <c r="AS128" s="1917"/>
      <c r="AT128" s="1917"/>
      <c r="AU128" s="1917"/>
      <c r="AV128" s="1917"/>
      <c r="AW128" s="1917"/>
      <c r="AX128" s="1917"/>
      <c r="AY128" s="1917"/>
      <c r="AZ128" s="1917"/>
      <c r="BA128" s="1917"/>
      <c r="BB128" s="1917"/>
      <c r="BC128" s="1917"/>
      <c r="BD128" s="1917"/>
      <c r="BE128" s="1917"/>
      <c r="BF128" s="1917"/>
    </row>
    <row s="10365" customFormat="1" customHeight="1" ht="11.25">
      <c r="A129" s="1262" t="s">
        <v>1194</v>
      </c>
      <c r="B129" s="1262"/>
      <c r="C129" s="1262"/>
      <c r="D129" s="1462"/>
      <c r="E129" s="1266"/>
      <c r="F129" s="3394"/>
      <c r="G129" s="3396"/>
      <c r="H129" s="3263" t="s">
        <v>1228</v>
      </c>
      <c r="I129" s="3374"/>
      <c r="J129" s="3334"/>
      <c r="K129" s="3372"/>
      <c r="L129" s="2989"/>
      <c r="M129" s="2990"/>
      <c r="N129" s="3341"/>
      <c r="O129" s="3377">
        <v>1</v>
      </c>
      <c r="P129" s="3343" t="s">
        <v>19</v>
      </c>
      <c r="Q129" s="3236" t="s">
        <v>22</v>
      </c>
      <c r="R129" s="3236" t="s">
        <v>22</v>
      </c>
      <c r="S129" s="3236" t="s">
        <v>22</v>
      </c>
      <c r="T129" s="3236" t="s">
        <v>22</v>
      </c>
      <c r="U129" s="3236" t="s">
        <v>22</v>
      </c>
      <c r="V129" s="3236" t="s">
        <v>22</v>
      </c>
      <c r="W129" s="3236" t="s">
        <v>22</v>
      </c>
      <c r="X129" s="3236" t="s">
        <v>22</v>
      </c>
      <c r="Y129" s="3236"/>
      <c r="Z129" s="1271"/>
      <c r="AA129" s="1272"/>
      <c r="AB129" s="1272"/>
      <c r="AC129" s="1276"/>
      <c r="AD129" s="1276"/>
      <c r="AE129" s="1277"/>
      <c r="AF129" s="3375"/>
      <c r="AG129" s="3376"/>
      <c r="AH129" s="3376"/>
      <c r="AI129" s="3375"/>
      <c r="AJ129" s="3376"/>
      <c r="AK129" s="3376"/>
      <c r="AL129" s="2079"/>
      <c r="AM129" s="1917"/>
      <c r="AN129" s="1917"/>
      <c r="AO129" s="1917"/>
      <c r="AP129" s="1917"/>
      <c r="AQ129" s="1917"/>
      <c r="AR129" s="1917"/>
      <c r="AS129" s="1917"/>
      <c r="AT129" s="1917"/>
      <c r="AU129" s="1917"/>
      <c r="AV129" s="1917"/>
      <c r="AW129" s="1917"/>
      <c r="AX129" s="1917"/>
      <c r="AY129" s="1917"/>
      <c r="AZ129" s="1917"/>
      <c r="BA129" s="1917"/>
      <c r="BB129" s="1917"/>
      <c r="BC129" s="1917"/>
      <c r="BD129" s="1917"/>
      <c r="BE129" s="1917"/>
      <c r="BF129" s="1917"/>
    </row>
    <row s="10365" customFormat="1" customHeight="1" ht="11.25">
      <c r="A130" s="1262" t="s">
        <v>1194</v>
      </c>
      <c r="B130" s="1262"/>
      <c r="C130" s="1262"/>
      <c r="D130" s="1462"/>
      <c r="E130" s="1266"/>
      <c r="F130" s="3394"/>
      <c r="G130" s="3396"/>
      <c r="H130" s="3263" t="s">
        <v>1228</v>
      </c>
      <c r="I130" s="3374"/>
      <c r="J130" s="3334"/>
      <c r="K130" s="3372"/>
      <c r="L130" s="2989"/>
      <c r="M130" s="2990"/>
      <c r="N130" s="3341"/>
      <c r="O130" s="3377"/>
      <c r="P130" s="3344"/>
      <c r="Q130" s="3236"/>
      <c r="R130" s="3236"/>
      <c r="S130" s="3346"/>
      <c r="T130" s="3236"/>
      <c r="U130" s="3236"/>
      <c r="V130" s="3236"/>
      <c r="W130" s="3236"/>
      <c r="X130" s="3236"/>
      <c r="Y130" s="3236"/>
      <c r="Z130" s="1922"/>
      <c r="AA130" s="2198">
        <v>1</v>
      </c>
      <c r="AB130" s="1275" t="s">
        <v>1201</v>
      </c>
      <c r="AC130" s="1265">
        <v>7129</v>
      </c>
      <c r="AD130" s="1275" t="str">
        <f>AB130</f>
        <v>      Амортизационные отчисления с выделением результатов переоценки основных средств и нематериальных активов</v>
      </c>
      <c r="AE130" s="1265">
        <v>6373.05</v>
      </c>
      <c r="AF130" s="3375"/>
      <c r="AG130" s="3376"/>
      <c r="AH130" s="3376"/>
      <c r="AI130" s="3375"/>
      <c r="AJ130" s="3376"/>
      <c r="AK130" s="3376"/>
      <c r="AL130" s="2079"/>
      <c r="AM130" s="1917"/>
      <c r="AN130" s="1917"/>
      <c r="AO130" s="1917"/>
      <c r="AP130" s="1917"/>
      <c r="AQ130" s="1917"/>
      <c r="AR130" s="1917"/>
      <c r="AS130" s="1917"/>
      <c r="AT130" s="1917"/>
      <c r="AU130" s="1917"/>
      <c r="AV130" s="1917"/>
      <c r="AW130" s="1917"/>
      <c r="AX130" s="1917"/>
      <c r="AY130" s="1917"/>
      <c r="AZ130" s="1917"/>
      <c r="BA130" s="1917"/>
      <c r="BB130" s="1917"/>
      <c r="BC130" s="1917"/>
      <c r="BD130" s="1917"/>
      <c r="BE130" s="1917"/>
      <c r="BF130" s="1917"/>
    </row>
    <row s="10365" customFormat="1" customHeight="1" ht="11.25">
      <c r="A131" s="1262" t="s">
        <v>1194</v>
      </c>
      <c r="B131" s="1262"/>
      <c r="C131" s="1262"/>
      <c r="D131" s="1462"/>
      <c r="E131" s="1266"/>
      <c r="F131" s="3394"/>
      <c r="G131" s="3396"/>
      <c r="H131" s="3396"/>
      <c r="I131" s="3396"/>
      <c r="J131" s="3396"/>
      <c r="K131" s="3396"/>
      <c r="L131" s="3396"/>
      <c r="M131" s="3396"/>
      <c r="N131" s="3396"/>
      <c r="O131" s="3396"/>
      <c r="P131" s="3396"/>
      <c r="Q131" s="3396"/>
      <c r="R131" s="3396"/>
      <c r="S131" s="3396"/>
      <c r="T131" s="3396"/>
      <c r="U131" s="3396"/>
      <c r="V131" s="3396"/>
      <c r="W131" s="3396"/>
      <c r="X131" s="3396"/>
      <c r="Y131" s="3396"/>
      <c r="Z131" s="790" t="s">
        <v>103</v>
      </c>
      <c r="AA131" s="2195" t="s">
        <v>102</v>
      </c>
      <c r="AB131" s="1275" t="s">
        <v>1208</v>
      </c>
      <c r="AC131" s="1265">
        <v>1323.96</v>
      </c>
      <c r="AD131" s="1275" t="str">
        <f>AB131</f>
        <v>  Прочие собственные средства</v>
      </c>
      <c r="AE131" s="1265">
        <v>1192.15406</v>
      </c>
      <c r="AF131" s="3397"/>
      <c r="AG131" s="3398"/>
      <c r="AH131" s="3398"/>
      <c r="AI131" s="3397"/>
      <c r="AJ131" s="3398"/>
      <c r="AK131" s="3399"/>
      <c r="AL131" s="2079"/>
      <c r="AM131" s="1917"/>
      <c r="AN131" s="1917"/>
      <c r="AO131" s="1917"/>
      <c r="AP131" s="1917"/>
      <c r="AQ131" s="1917"/>
      <c r="AR131" s="1917"/>
      <c r="AS131" s="1917"/>
      <c r="AT131" s="1917"/>
      <c r="AU131" s="1917"/>
      <c r="AV131" s="1917"/>
      <c r="AW131" s="1917"/>
      <c r="AX131" s="1917"/>
      <c r="AY131" s="1917"/>
      <c r="AZ131" s="1917"/>
      <c r="BA131" s="1917"/>
      <c r="BB131" s="1917"/>
      <c r="BC131" s="1917"/>
      <c r="BD131" s="1917"/>
      <c r="BE131" s="1917"/>
      <c r="BF131" s="1917"/>
    </row>
    <row s="10365" customFormat="1" customHeight="1" ht="11.25">
      <c r="A132" s="1262" t="s">
        <v>1194</v>
      </c>
      <c r="B132" s="1262"/>
      <c r="C132" s="1262"/>
      <c r="D132" s="1462"/>
      <c r="E132" s="1266"/>
      <c r="F132" s="3394"/>
      <c r="G132" s="3396"/>
      <c r="H132" s="3263" t="s">
        <v>1228</v>
      </c>
      <c r="I132" s="3374"/>
      <c r="J132" s="3334"/>
      <c r="K132" s="3372"/>
      <c r="L132" s="2989"/>
      <c r="M132" s="2990"/>
      <c r="N132" s="3341"/>
      <c r="O132" s="3377"/>
      <c r="P132" s="3345"/>
      <c r="Q132" s="3236"/>
      <c r="R132" s="3236"/>
      <c r="S132" s="3346"/>
      <c r="T132" s="3236"/>
      <c r="U132" s="3236"/>
      <c r="V132" s="3236"/>
      <c r="W132" s="3236"/>
      <c r="X132" s="3236"/>
      <c r="Y132" s="3236"/>
      <c r="Z132" s="1271"/>
      <c r="AA132" s="1272"/>
      <c r="AB132" s="1337" t="s">
        <v>1203</v>
      </c>
      <c r="AC132" s="1276"/>
      <c r="AD132" s="1276"/>
      <c r="AE132" s="1278"/>
      <c r="AF132" s="3375"/>
      <c r="AG132" s="3376"/>
      <c r="AH132" s="3376"/>
      <c r="AI132" s="3375"/>
      <c r="AJ132" s="3376"/>
      <c r="AK132" s="3376"/>
      <c r="AL132" s="2079"/>
      <c r="AM132" s="1917"/>
      <c r="AN132" s="1917"/>
      <c r="AO132" s="1917"/>
      <c r="AP132" s="1917"/>
      <c r="AQ132" s="1917"/>
      <c r="AR132" s="1917"/>
      <c r="AS132" s="1917"/>
      <c r="AT132" s="1917"/>
      <c r="AU132" s="1917"/>
      <c r="AV132" s="1917"/>
      <c r="AW132" s="1917"/>
      <c r="AX132" s="1917"/>
      <c r="AY132" s="1917"/>
      <c r="AZ132" s="1917"/>
      <c r="BA132" s="1917"/>
      <c r="BB132" s="1917"/>
      <c r="BC132" s="1917"/>
      <c r="BD132" s="1917"/>
      <c r="BE132" s="1917"/>
      <c r="BF132" s="1917"/>
    </row>
    <row s="10365" customFormat="1" customHeight="1" ht="11.25">
      <c r="A133" s="1262" t="s">
        <v>1194</v>
      </c>
      <c r="B133" s="1262"/>
      <c r="C133" s="1262"/>
      <c r="D133" s="1462"/>
      <c r="E133" s="1266"/>
      <c r="F133" s="3394"/>
      <c r="G133" s="3396"/>
      <c r="H133" s="3263" t="s">
        <v>1228</v>
      </c>
      <c r="I133" s="3374"/>
      <c r="J133" s="3334"/>
      <c r="K133" s="3372"/>
      <c r="L133" s="2989"/>
      <c r="M133" s="2990"/>
      <c r="N133" s="1271"/>
      <c r="O133" s="1272"/>
      <c r="P133" s="1337" t="s">
        <v>1204</v>
      </c>
      <c r="Q133" s="1272"/>
      <c r="R133" s="1272"/>
      <c r="S133" s="1272"/>
      <c r="T133" s="1272"/>
      <c r="U133" s="1272"/>
      <c r="V133" s="1272"/>
      <c r="W133" s="1272"/>
      <c r="X133" s="1272"/>
      <c r="Y133" s="1272"/>
      <c r="Z133" s="1272"/>
      <c r="AA133" s="1272"/>
      <c r="AB133" s="1272"/>
      <c r="AC133" s="1272"/>
      <c r="AD133" s="1272"/>
      <c r="AE133" s="1279"/>
      <c r="AF133" s="3375"/>
      <c r="AG133" s="3376"/>
      <c r="AH133" s="3376"/>
      <c r="AI133" s="3375"/>
      <c r="AJ133" s="3376"/>
      <c r="AK133" s="3376"/>
      <c r="AL133" s="2079"/>
      <c r="AM133" s="1917"/>
      <c r="AN133" s="1917"/>
      <c r="AO133" s="1917"/>
      <c r="AP133" s="1917"/>
      <c r="AQ133" s="1917"/>
      <c r="AR133" s="1917"/>
      <c r="AS133" s="1917"/>
      <c r="AT133" s="1917"/>
      <c r="AU133" s="1917"/>
      <c r="AV133" s="1917"/>
      <c r="AW133" s="1917"/>
      <c r="AX133" s="1917"/>
      <c r="AY133" s="1917"/>
      <c r="AZ133" s="1917"/>
      <c r="BA133" s="1917"/>
      <c r="BB133" s="1917"/>
      <c r="BC133" s="1917"/>
      <c r="BD133" s="1917"/>
      <c r="BE133" s="1917"/>
      <c r="BF133" s="1917"/>
    </row>
    <row s="10365" customFormat="1" customHeight="1" ht="11.25">
      <c r="A134" s="1262" t="s">
        <v>1194</v>
      </c>
      <c r="B134" s="1262" t="s">
        <v>1195</v>
      </c>
      <c r="C134" s="1262"/>
      <c r="D134" s="1462"/>
      <c r="E134" s="1266"/>
      <c r="F134" s="3394"/>
      <c r="G134" s="3004" t="s">
        <v>103</v>
      </c>
      <c r="H134" s="3263" t="s">
        <v>1232</v>
      </c>
      <c r="I134" s="3374" t="s">
        <v>1196</v>
      </c>
      <c r="J134" s="3334" t="s">
        <v>1197</v>
      </c>
      <c r="K134" s="3372" t="s">
        <v>1233</v>
      </c>
      <c r="L134" s="2989" t="s">
        <v>19</v>
      </c>
      <c r="M134" s="2990"/>
      <c r="N134" s="2077"/>
      <c r="O134" s="1273" t="s">
        <v>461</v>
      </c>
      <c r="P134" s="1274"/>
      <c r="Q134" s="1274"/>
      <c r="R134" s="1274"/>
      <c r="S134" s="1274"/>
      <c r="T134" s="1274"/>
      <c r="U134" s="1274"/>
      <c r="V134" s="1274"/>
      <c r="W134" s="1274"/>
      <c r="X134" s="1274"/>
      <c r="Y134" s="1274"/>
      <c r="Z134" s="1274"/>
      <c r="AA134" s="1274"/>
      <c r="AB134" s="1274"/>
      <c r="AC134" s="1274"/>
      <c r="AD134" s="1274"/>
      <c r="AE134" s="1274"/>
      <c r="AF134" s="3375">
        <v>3</v>
      </c>
      <c r="AG134" s="3376" t="s">
        <v>1206</v>
      </c>
      <c r="AH134" s="3376" t="s">
        <v>1210</v>
      </c>
      <c r="AI134" s="3375">
        <v>3</v>
      </c>
      <c r="AJ134" s="3376" t="s">
        <v>1206</v>
      </c>
      <c r="AK134" s="3376" t="s">
        <v>1210</v>
      </c>
      <c r="AL134" s="2079"/>
      <c r="AM134" s="1917"/>
      <c r="AN134" s="1917"/>
      <c r="AO134" s="1917"/>
      <c r="AP134" s="1917"/>
      <c r="AQ134" s="1917"/>
      <c r="AR134" s="1917"/>
      <c r="AS134" s="1917"/>
      <c r="AT134" s="1917"/>
      <c r="AU134" s="1917"/>
      <c r="AV134" s="1917"/>
      <c r="AW134" s="1917"/>
      <c r="AX134" s="1917"/>
      <c r="AY134" s="1917"/>
      <c r="AZ134" s="1917"/>
      <c r="BA134" s="1917"/>
      <c r="BB134" s="1917"/>
      <c r="BC134" s="1917"/>
      <c r="BD134" s="1917"/>
      <c r="BE134" s="1917"/>
      <c r="BF134" s="1917"/>
    </row>
    <row s="10365" customFormat="1" customHeight="1" ht="11.25">
      <c r="A135" s="1262" t="s">
        <v>1194</v>
      </c>
      <c r="B135" s="1262"/>
      <c r="C135" s="1262"/>
      <c r="D135" s="1462"/>
      <c r="E135" s="1266"/>
      <c r="F135" s="3394"/>
      <c r="G135" s="3396"/>
      <c r="H135" s="3263" t="s">
        <v>1230</v>
      </c>
      <c r="I135" s="3374"/>
      <c r="J135" s="3334"/>
      <c r="K135" s="3372"/>
      <c r="L135" s="2989"/>
      <c r="M135" s="2990"/>
      <c r="N135" s="3341"/>
      <c r="O135" s="3377">
        <v>1</v>
      </c>
      <c r="P135" s="3343" t="s">
        <v>19</v>
      </c>
      <c r="Q135" s="3236" t="s">
        <v>22</v>
      </c>
      <c r="R135" s="3236" t="s">
        <v>22</v>
      </c>
      <c r="S135" s="3236" t="s">
        <v>22</v>
      </c>
      <c r="T135" s="3236" t="s">
        <v>22</v>
      </c>
      <c r="U135" s="3236" t="s">
        <v>22</v>
      </c>
      <c r="V135" s="3236" t="s">
        <v>22</v>
      </c>
      <c r="W135" s="3236" t="s">
        <v>22</v>
      </c>
      <c r="X135" s="3236" t="s">
        <v>22</v>
      </c>
      <c r="Y135" s="3236"/>
      <c r="Z135" s="1271"/>
      <c r="AA135" s="1272"/>
      <c r="AB135" s="1272"/>
      <c r="AC135" s="1276"/>
      <c r="AD135" s="1276"/>
      <c r="AE135" s="1277"/>
      <c r="AF135" s="3375"/>
      <c r="AG135" s="3376"/>
      <c r="AH135" s="3376"/>
      <c r="AI135" s="3375"/>
      <c r="AJ135" s="3376"/>
      <c r="AK135" s="3376"/>
      <c r="AL135" s="2079"/>
      <c r="AM135" s="1917"/>
      <c r="AN135" s="1917"/>
      <c r="AO135" s="1917"/>
      <c r="AP135" s="1917"/>
      <c r="AQ135" s="1917"/>
      <c r="AR135" s="1917"/>
      <c r="AS135" s="1917"/>
      <c r="AT135" s="1917"/>
      <c r="AU135" s="1917"/>
      <c r="AV135" s="1917"/>
      <c r="AW135" s="1917"/>
      <c r="AX135" s="1917"/>
      <c r="AY135" s="1917"/>
      <c r="AZ135" s="1917"/>
      <c r="BA135" s="1917"/>
      <c r="BB135" s="1917"/>
      <c r="BC135" s="1917"/>
      <c r="BD135" s="1917"/>
      <c r="BE135" s="1917"/>
      <c r="BF135" s="1917"/>
    </row>
    <row s="10365" customFormat="1" customHeight="1" ht="11.25">
      <c r="A136" s="1262" t="s">
        <v>1194</v>
      </c>
      <c r="B136" s="1262"/>
      <c r="C136" s="1262"/>
      <c r="D136" s="1462"/>
      <c r="E136" s="1266"/>
      <c r="F136" s="3394"/>
      <c r="G136" s="3396"/>
      <c r="H136" s="3263" t="s">
        <v>1230</v>
      </c>
      <c r="I136" s="3374"/>
      <c r="J136" s="3334"/>
      <c r="K136" s="3372"/>
      <c r="L136" s="2989"/>
      <c r="M136" s="2990"/>
      <c r="N136" s="3341"/>
      <c r="O136" s="3377"/>
      <c r="P136" s="3344"/>
      <c r="Q136" s="3236"/>
      <c r="R136" s="3236"/>
      <c r="S136" s="3346"/>
      <c r="T136" s="3236"/>
      <c r="U136" s="3236"/>
      <c r="V136" s="3236"/>
      <c r="W136" s="3236"/>
      <c r="X136" s="3236"/>
      <c r="Y136" s="3236"/>
      <c r="Z136" s="1922"/>
      <c r="AA136" s="2198">
        <v>1</v>
      </c>
      <c r="AB136" s="1275" t="s">
        <v>1201</v>
      </c>
      <c r="AC136" s="1265">
        <v>6080.66</v>
      </c>
      <c r="AD136" s="1275" t="str">
        <f>AB136</f>
        <v>      Амортизационные отчисления с выделением результатов переоценки основных средств и нематериальных активов</v>
      </c>
      <c r="AE136" s="1265">
        <v>6213.13</v>
      </c>
      <c r="AF136" s="3375"/>
      <c r="AG136" s="3376"/>
      <c r="AH136" s="3376"/>
      <c r="AI136" s="3375"/>
      <c r="AJ136" s="3376"/>
      <c r="AK136" s="3376"/>
      <c r="AL136" s="2079"/>
      <c r="AM136" s="1917"/>
      <c r="AN136" s="1917"/>
      <c r="AO136" s="1917"/>
      <c r="AP136" s="1917"/>
      <c r="AQ136" s="1917"/>
      <c r="AR136" s="1917"/>
      <c r="AS136" s="1917"/>
      <c r="AT136" s="1917"/>
      <c r="AU136" s="1917"/>
      <c r="AV136" s="1917"/>
      <c r="AW136" s="1917"/>
      <c r="AX136" s="1917"/>
      <c r="AY136" s="1917"/>
      <c r="AZ136" s="1917"/>
      <c r="BA136" s="1917"/>
      <c r="BB136" s="1917"/>
      <c r="BC136" s="1917"/>
      <c r="BD136" s="1917"/>
      <c r="BE136" s="1917"/>
      <c r="BF136" s="1917"/>
    </row>
    <row s="10365" customFormat="1" customHeight="1" ht="11.25">
      <c r="A137" s="1262" t="s">
        <v>1194</v>
      </c>
      <c r="B137" s="1262"/>
      <c r="C137" s="1262"/>
      <c r="D137" s="1462"/>
      <c r="E137" s="1266"/>
      <c r="F137" s="3394"/>
      <c r="G137" s="3396"/>
      <c r="H137" s="3396"/>
      <c r="I137" s="3396"/>
      <c r="J137" s="3396"/>
      <c r="K137" s="3396"/>
      <c r="L137" s="3396"/>
      <c r="M137" s="3396"/>
      <c r="N137" s="3396"/>
      <c r="O137" s="3396"/>
      <c r="P137" s="3396"/>
      <c r="Q137" s="3396"/>
      <c r="R137" s="3396"/>
      <c r="S137" s="3396"/>
      <c r="T137" s="3396"/>
      <c r="U137" s="3396"/>
      <c r="V137" s="3396"/>
      <c r="W137" s="3396"/>
      <c r="X137" s="3396"/>
      <c r="Y137" s="3396"/>
      <c r="Z137" s="790" t="s">
        <v>103</v>
      </c>
      <c r="AA137" s="2195" t="s">
        <v>102</v>
      </c>
      <c r="AB137" s="1275" t="s">
        <v>1208</v>
      </c>
      <c r="AC137" s="1265">
        <v>1216.13</v>
      </c>
      <c r="AD137" s="1275" t="str">
        <f>AB137</f>
        <v>  Прочие собственные средства</v>
      </c>
      <c r="AE137" s="1265">
        <v>870.64395</v>
      </c>
      <c r="AF137" s="3397"/>
      <c r="AG137" s="3398"/>
      <c r="AH137" s="3398"/>
      <c r="AI137" s="3397"/>
      <c r="AJ137" s="3398"/>
      <c r="AK137" s="3399"/>
      <c r="AL137" s="2079"/>
      <c r="AM137" s="1917"/>
      <c r="AN137" s="1917"/>
      <c r="AO137" s="1917"/>
      <c r="AP137" s="1917"/>
      <c r="AQ137" s="1917"/>
      <c r="AR137" s="1917"/>
      <c r="AS137" s="1917"/>
      <c r="AT137" s="1917"/>
      <c r="AU137" s="1917"/>
      <c r="AV137" s="1917"/>
      <c r="AW137" s="1917"/>
      <c r="AX137" s="1917"/>
      <c r="AY137" s="1917"/>
      <c r="AZ137" s="1917"/>
      <c r="BA137" s="1917"/>
      <c r="BB137" s="1917"/>
      <c r="BC137" s="1917"/>
      <c r="BD137" s="1917"/>
      <c r="BE137" s="1917"/>
      <c r="BF137" s="1917"/>
    </row>
    <row s="10365" customFormat="1" customHeight="1" ht="11.25">
      <c r="A138" s="1262" t="s">
        <v>1194</v>
      </c>
      <c r="B138" s="1262"/>
      <c r="C138" s="1262"/>
      <c r="D138" s="1462"/>
      <c r="E138" s="1266"/>
      <c r="F138" s="3394"/>
      <c r="G138" s="3396"/>
      <c r="H138" s="3263" t="s">
        <v>1230</v>
      </c>
      <c r="I138" s="3374"/>
      <c r="J138" s="3334"/>
      <c r="K138" s="3372"/>
      <c r="L138" s="2989"/>
      <c r="M138" s="2990"/>
      <c r="N138" s="3341"/>
      <c r="O138" s="3377"/>
      <c r="P138" s="3345"/>
      <c r="Q138" s="3236"/>
      <c r="R138" s="3236"/>
      <c r="S138" s="3346"/>
      <c r="T138" s="3236"/>
      <c r="U138" s="3236"/>
      <c r="V138" s="3236"/>
      <c r="W138" s="3236"/>
      <c r="X138" s="3236"/>
      <c r="Y138" s="3236"/>
      <c r="Z138" s="1271"/>
      <c r="AA138" s="1272"/>
      <c r="AB138" s="1337" t="s">
        <v>1203</v>
      </c>
      <c r="AC138" s="1276"/>
      <c r="AD138" s="1276"/>
      <c r="AE138" s="1278"/>
      <c r="AF138" s="3375"/>
      <c r="AG138" s="3376"/>
      <c r="AH138" s="3376"/>
      <c r="AI138" s="3375"/>
      <c r="AJ138" s="3376"/>
      <c r="AK138" s="3376"/>
      <c r="AL138" s="2079"/>
      <c r="AM138" s="1917"/>
      <c r="AN138" s="1917"/>
      <c r="AO138" s="1917"/>
      <c r="AP138" s="1917"/>
      <c r="AQ138" s="1917"/>
      <c r="AR138" s="1917"/>
      <c r="AS138" s="1917"/>
      <c r="AT138" s="1917"/>
      <c r="AU138" s="1917"/>
      <c r="AV138" s="1917"/>
      <c r="AW138" s="1917"/>
      <c r="AX138" s="1917"/>
      <c r="AY138" s="1917"/>
      <c r="AZ138" s="1917"/>
      <c r="BA138" s="1917"/>
      <c r="BB138" s="1917"/>
      <c r="BC138" s="1917"/>
      <c r="BD138" s="1917"/>
      <c r="BE138" s="1917"/>
      <c r="BF138" s="1917"/>
    </row>
    <row s="10365" customFormat="1" customHeight="1" ht="11.25">
      <c r="A139" s="1262" t="s">
        <v>1194</v>
      </c>
      <c r="B139" s="1262"/>
      <c r="C139" s="1262"/>
      <c r="D139" s="1462"/>
      <c r="E139" s="1266"/>
      <c r="F139" s="3394"/>
      <c r="G139" s="3396"/>
      <c r="H139" s="3263" t="s">
        <v>1230</v>
      </c>
      <c r="I139" s="3374"/>
      <c r="J139" s="3334"/>
      <c r="K139" s="3372"/>
      <c r="L139" s="2989"/>
      <c r="M139" s="2990"/>
      <c r="N139" s="1271"/>
      <c r="O139" s="1272"/>
      <c r="P139" s="1337" t="s">
        <v>1204</v>
      </c>
      <c r="Q139" s="1272"/>
      <c r="R139" s="1272"/>
      <c r="S139" s="1272"/>
      <c r="T139" s="1272"/>
      <c r="U139" s="1272"/>
      <c r="V139" s="1272"/>
      <c r="W139" s="1272"/>
      <c r="X139" s="1272"/>
      <c r="Y139" s="1272"/>
      <c r="Z139" s="1272"/>
      <c r="AA139" s="1272"/>
      <c r="AB139" s="1272"/>
      <c r="AC139" s="1272"/>
      <c r="AD139" s="1272"/>
      <c r="AE139" s="1279"/>
      <c r="AF139" s="3375"/>
      <c r="AG139" s="3376"/>
      <c r="AH139" s="3376"/>
      <c r="AI139" s="3375"/>
      <c r="AJ139" s="3376"/>
      <c r="AK139" s="3376"/>
      <c r="AL139" s="2079"/>
      <c r="AM139" s="1917"/>
      <c r="AN139" s="1917"/>
      <c r="AO139" s="1917"/>
      <c r="AP139" s="1917"/>
      <c r="AQ139" s="1917"/>
      <c r="AR139" s="1917"/>
      <c r="AS139" s="1917"/>
      <c r="AT139" s="1917"/>
      <c r="AU139" s="1917"/>
      <c r="AV139" s="1917"/>
      <c r="AW139" s="1917"/>
      <c r="AX139" s="1917"/>
      <c r="AY139" s="1917"/>
      <c r="AZ139" s="1917"/>
      <c r="BA139" s="1917"/>
      <c r="BB139" s="1917"/>
      <c r="BC139" s="1917"/>
      <c r="BD139" s="1917"/>
      <c r="BE139" s="1917"/>
      <c r="BF139" s="1917"/>
    </row>
    <row s="10365" customFormat="1" customHeight="1" ht="11.25">
      <c r="A140" s="1262" t="s">
        <v>1194</v>
      </c>
      <c r="B140" s="1262" t="s">
        <v>1195</v>
      </c>
      <c r="C140" s="1262"/>
      <c r="D140" s="1462"/>
      <c r="E140" s="1266"/>
      <c r="F140" s="3394"/>
      <c r="G140" s="3004" t="s">
        <v>103</v>
      </c>
      <c r="H140" s="3263" t="s">
        <v>1234</v>
      </c>
      <c r="I140" s="3374" t="s">
        <v>1196</v>
      </c>
      <c r="J140" s="3334" t="s">
        <v>1197</v>
      </c>
      <c r="K140" s="3372" t="s">
        <v>1235</v>
      </c>
      <c r="L140" s="2989" t="s">
        <v>19</v>
      </c>
      <c r="M140" s="2990"/>
      <c r="N140" s="2077"/>
      <c r="O140" s="1273" t="s">
        <v>461</v>
      </c>
      <c r="P140" s="1274"/>
      <c r="Q140" s="1274"/>
      <c r="R140" s="1274"/>
      <c r="S140" s="1274"/>
      <c r="T140" s="1274"/>
      <c r="U140" s="1274"/>
      <c r="V140" s="1274"/>
      <c r="W140" s="1274"/>
      <c r="X140" s="1274"/>
      <c r="Y140" s="1274"/>
      <c r="Z140" s="1274"/>
      <c r="AA140" s="1274"/>
      <c r="AB140" s="1274"/>
      <c r="AC140" s="1274"/>
      <c r="AD140" s="1274"/>
      <c r="AE140" s="1274"/>
      <c r="AF140" s="3375">
        <v>1</v>
      </c>
      <c r="AG140" s="3376" t="s">
        <v>1206</v>
      </c>
      <c r="AH140" s="3376" t="s">
        <v>1210</v>
      </c>
      <c r="AI140" s="3375">
        <v>1</v>
      </c>
      <c r="AJ140" s="3376" t="s">
        <v>1206</v>
      </c>
      <c r="AK140" s="3376" t="s">
        <v>1210</v>
      </c>
      <c r="AL140" s="2079"/>
      <c r="AM140" s="1917"/>
      <c r="AN140" s="1917"/>
      <c r="AO140" s="1917"/>
      <c r="AP140" s="1917"/>
      <c r="AQ140" s="1917"/>
      <c r="AR140" s="1917"/>
      <c r="AS140" s="1917"/>
      <c r="AT140" s="1917"/>
      <c r="AU140" s="1917"/>
      <c r="AV140" s="1917"/>
      <c r="AW140" s="1917"/>
      <c r="AX140" s="1917"/>
      <c r="AY140" s="1917"/>
      <c r="AZ140" s="1917"/>
      <c r="BA140" s="1917"/>
      <c r="BB140" s="1917"/>
      <c r="BC140" s="1917"/>
      <c r="BD140" s="1917"/>
      <c r="BE140" s="1917"/>
      <c r="BF140" s="1917"/>
    </row>
    <row s="10365" customFormat="1" customHeight="1" ht="11.25">
      <c r="A141" s="1262" t="s">
        <v>1194</v>
      </c>
      <c r="B141" s="1262"/>
      <c r="C141" s="1262"/>
      <c r="D141" s="1462"/>
      <c r="E141" s="1266"/>
      <c r="F141" s="3394"/>
      <c r="G141" s="3396"/>
      <c r="H141" s="3263" t="s">
        <v>1232</v>
      </c>
      <c r="I141" s="3374"/>
      <c r="J141" s="3334"/>
      <c r="K141" s="3372"/>
      <c r="L141" s="2989"/>
      <c r="M141" s="2990"/>
      <c r="N141" s="3341"/>
      <c r="O141" s="3377">
        <v>1</v>
      </c>
      <c r="P141" s="3343" t="s">
        <v>19</v>
      </c>
      <c r="Q141" s="3236" t="s">
        <v>22</v>
      </c>
      <c r="R141" s="3236" t="s">
        <v>22</v>
      </c>
      <c r="S141" s="3236" t="s">
        <v>22</v>
      </c>
      <c r="T141" s="3236" t="s">
        <v>22</v>
      </c>
      <c r="U141" s="3236" t="s">
        <v>22</v>
      </c>
      <c r="V141" s="3236" t="s">
        <v>22</v>
      </c>
      <c r="W141" s="3236" t="s">
        <v>22</v>
      </c>
      <c r="X141" s="3236" t="s">
        <v>22</v>
      </c>
      <c r="Y141" s="3236"/>
      <c r="Z141" s="1271"/>
      <c r="AA141" s="1272"/>
      <c r="AB141" s="1272"/>
      <c r="AC141" s="1276"/>
      <c r="AD141" s="1276"/>
      <c r="AE141" s="1277"/>
      <c r="AF141" s="3375"/>
      <c r="AG141" s="3376"/>
      <c r="AH141" s="3376"/>
      <c r="AI141" s="3375"/>
      <c r="AJ141" s="3376"/>
      <c r="AK141" s="3376"/>
      <c r="AL141" s="2079"/>
      <c r="AM141" s="1917"/>
      <c r="AN141" s="1917"/>
      <c r="AO141" s="1917"/>
      <c r="AP141" s="1917"/>
      <c r="AQ141" s="1917"/>
      <c r="AR141" s="1917"/>
      <c r="AS141" s="1917"/>
      <c r="AT141" s="1917"/>
      <c r="AU141" s="1917"/>
      <c r="AV141" s="1917"/>
      <c r="AW141" s="1917"/>
      <c r="AX141" s="1917"/>
      <c r="AY141" s="1917"/>
      <c r="AZ141" s="1917"/>
      <c r="BA141" s="1917"/>
      <c r="BB141" s="1917"/>
      <c r="BC141" s="1917"/>
      <c r="BD141" s="1917"/>
      <c r="BE141" s="1917"/>
      <c r="BF141" s="1917"/>
    </row>
    <row s="10365" customFormat="1" customHeight="1" ht="11.25">
      <c r="A142" s="1262" t="s">
        <v>1194</v>
      </c>
      <c r="B142" s="1262"/>
      <c r="C142" s="1262"/>
      <c r="D142" s="1462"/>
      <c r="E142" s="1266"/>
      <c r="F142" s="3394"/>
      <c r="G142" s="3396"/>
      <c r="H142" s="3263" t="s">
        <v>1232</v>
      </c>
      <c r="I142" s="3374"/>
      <c r="J142" s="3334"/>
      <c r="K142" s="3372"/>
      <c r="L142" s="2989"/>
      <c r="M142" s="2990"/>
      <c r="N142" s="3341"/>
      <c r="O142" s="3377"/>
      <c r="P142" s="3344"/>
      <c r="Q142" s="3236"/>
      <c r="R142" s="3236"/>
      <c r="S142" s="3346"/>
      <c r="T142" s="3236"/>
      <c r="U142" s="3236"/>
      <c r="V142" s="3236"/>
      <c r="W142" s="3236"/>
      <c r="X142" s="3236"/>
      <c r="Y142" s="3236"/>
      <c r="Z142" s="1922"/>
      <c r="AA142" s="2198">
        <v>1</v>
      </c>
      <c r="AB142" s="1275" t="s">
        <v>1201</v>
      </c>
      <c r="AC142" s="1265">
        <v>429</v>
      </c>
      <c r="AD142" s="1275" t="str">
        <f>AB142</f>
        <v>      Амортизационные отчисления с выделением результатов переоценки основных средств и нематериальных активов</v>
      </c>
      <c r="AE142" s="1265">
        <v>735.61</v>
      </c>
      <c r="AF142" s="3375"/>
      <c r="AG142" s="3376"/>
      <c r="AH142" s="3376"/>
      <c r="AI142" s="3375"/>
      <c r="AJ142" s="3376"/>
      <c r="AK142" s="3376"/>
      <c r="AL142" s="2079"/>
      <c r="AM142" s="1917"/>
      <c r="AN142" s="1917"/>
      <c r="AO142" s="1917"/>
      <c r="AP142" s="1917"/>
      <c r="AQ142" s="1917"/>
      <c r="AR142" s="1917"/>
      <c r="AS142" s="1917"/>
      <c r="AT142" s="1917"/>
      <c r="AU142" s="1917"/>
      <c r="AV142" s="1917"/>
      <c r="AW142" s="1917"/>
      <c r="AX142" s="1917"/>
      <c r="AY142" s="1917"/>
      <c r="AZ142" s="1917"/>
      <c r="BA142" s="1917"/>
      <c r="BB142" s="1917"/>
      <c r="BC142" s="1917"/>
      <c r="BD142" s="1917"/>
      <c r="BE142" s="1917"/>
      <c r="BF142" s="1917"/>
    </row>
    <row s="10365" customFormat="1" customHeight="1" ht="11.25">
      <c r="A143" s="1262" t="s">
        <v>1194</v>
      </c>
      <c r="B143" s="1262"/>
      <c r="C143" s="1262"/>
      <c r="D143" s="1462"/>
      <c r="E143" s="1266"/>
      <c r="F143" s="3394"/>
      <c r="G143" s="3396"/>
      <c r="H143" s="3396"/>
      <c r="I143" s="3396"/>
      <c r="J143" s="3396"/>
      <c r="K143" s="3396"/>
      <c r="L143" s="3396"/>
      <c r="M143" s="3396"/>
      <c r="N143" s="3396"/>
      <c r="O143" s="3396"/>
      <c r="P143" s="3396"/>
      <c r="Q143" s="3396"/>
      <c r="R143" s="3396"/>
      <c r="S143" s="3396"/>
      <c r="T143" s="3396"/>
      <c r="U143" s="3396"/>
      <c r="V143" s="3396"/>
      <c r="W143" s="3396"/>
      <c r="X143" s="3396"/>
      <c r="Y143" s="3396"/>
      <c r="Z143" s="790" t="s">
        <v>103</v>
      </c>
      <c r="AA143" s="2195" t="s">
        <v>102</v>
      </c>
      <c r="AB143" s="1275" t="s">
        <v>1236</v>
      </c>
      <c r="AC143" s="1265">
        <v>3914.1</v>
      </c>
      <c r="AD143" s="1275" t="str">
        <f>AB143</f>
        <v>      Прочие займы</v>
      </c>
      <c r="AE143" s="1265">
        <v>2661.75</v>
      </c>
      <c r="AF143" s="3397"/>
      <c r="AG143" s="3398"/>
      <c r="AH143" s="3398"/>
      <c r="AI143" s="3397"/>
      <c r="AJ143" s="3398"/>
      <c r="AK143" s="3399"/>
      <c r="AL143" s="2079"/>
      <c r="AM143" s="1917"/>
      <c r="AN143" s="1917"/>
      <c r="AO143" s="1917"/>
      <c r="AP143" s="1917"/>
      <c r="AQ143" s="1917"/>
      <c r="AR143" s="1917"/>
      <c r="AS143" s="1917"/>
      <c r="AT143" s="1917"/>
      <c r="AU143" s="1917"/>
      <c r="AV143" s="1917"/>
      <c r="AW143" s="1917"/>
      <c r="AX143" s="1917"/>
      <c r="AY143" s="1917"/>
      <c r="AZ143" s="1917"/>
      <c r="BA143" s="1917"/>
      <c r="BB143" s="1917"/>
      <c r="BC143" s="1917"/>
      <c r="BD143" s="1917"/>
      <c r="BE143" s="1917"/>
      <c r="BF143" s="1917"/>
    </row>
    <row s="10365" customFormat="1" customHeight="1" ht="11.25">
      <c r="A144" s="1262" t="s">
        <v>1194</v>
      </c>
      <c r="B144" s="1262"/>
      <c r="C144" s="1262"/>
      <c r="D144" s="1462"/>
      <c r="E144" s="1266"/>
      <c r="F144" s="3394"/>
      <c r="G144" s="3396"/>
      <c r="H144" s="3396"/>
      <c r="I144" s="3396"/>
      <c r="J144" s="3396"/>
      <c r="K144" s="3396"/>
      <c r="L144" s="3396"/>
      <c r="M144" s="3396"/>
      <c r="N144" s="3396"/>
      <c r="O144" s="3396"/>
      <c r="P144" s="3396"/>
      <c r="Q144" s="3396"/>
      <c r="R144" s="3396"/>
      <c r="S144" s="3396"/>
      <c r="T144" s="3396"/>
      <c r="U144" s="3396"/>
      <c r="V144" s="3396"/>
      <c r="W144" s="3396"/>
      <c r="X144" s="3396"/>
      <c r="Y144" s="3396"/>
      <c r="Z144" s="790" t="s">
        <v>103</v>
      </c>
      <c r="AA144" s="2195" t="s">
        <v>90</v>
      </c>
      <c r="AB144" s="1275" t="s">
        <v>1208</v>
      </c>
      <c r="AC144" s="1265">
        <v>0</v>
      </c>
      <c r="AD144" s="1275" t="str">
        <f>AB144</f>
        <v>  Прочие собственные средства</v>
      </c>
      <c r="AE144" s="1265">
        <v>22.092</v>
      </c>
      <c r="AF144" s="3397"/>
      <c r="AG144" s="3398"/>
      <c r="AH144" s="3398"/>
      <c r="AI144" s="3397"/>
      <c r="AJ144" s="3398"/>
      <c r="AK144" s="3399"/>
      <c r="AL144" s="2079"/>
      <c r="AM144" s="1917"/>
      <c r="AN144" s="1917"/>
      <c r="AO144" s="1917"/>
      <c r="AP144" s="1917"/>
      <c r="AQ144" s="1917"/>
      <c r="AR144" s="1917"/>
      <c r="AS144" s="1917"/>
      <c r="AT144" s="1917"/>
      <c r="AU144" s="1917"/>
      <c r="AV144" s="1917"/>
      <c r="AW144" s="1917"/>
      <c r="AX144" s="1917"/>
      <c r="AY144" s="1917"/>
      <c r="AZ144" s="1917"/>
      <c r="BA144" s="1917"/>
      <c r="BB144" s="1917"/>
      <c r="BC144" s="1917"/>
      <c r="BD144" s="1917"/>
      <c r="BE144" s="1917"/>
      <c r="BF144" s="1917"/>
    </row>
    <row s="10365" customFormat="1" customHeight="1" ht="11.25">
      <c r="A145" s="1262" t="s">
        <v>1194</v>
      </c>
      <c r="B145" s="1262"/>
      <c r="C145" s="1262"/>
      <c r="D145" s="1462"/>
      <c r="E145" s="1266"/>
      <c r="F145" s="3394"/>
      <c r="G145" s="3396"/>
      <c r="H145" s="3263" t="s">
        <v>1232</v>
      </c>
      <c r="I145" s="3374"/>
      <c r="J145" s="3334"/>
      <c r="K145" s="3372"/>
      <c r="L145" s="2989"/>
      <c r="M145" s="2990"/>
      <c r="N145" s="3341"/>
      <c r="O145" s="3377"/>
      <c r="P145" s="3345"/>
      <c r="Q145" s="3236"/>
      <c r="R145" s="3236"/>
      <c r="S145" s="3346"/>
      <c r="T145" s="3236"/>
      <c r="U145" s="3236"/>
      <c r="V145" s="3236"/>
      <c r="W145" s="3236"/>
      <c r="X145" s="3236"/>
      <c r="Y145" s="3236"/>
      <c r="Z145" s="1271"/>
      <c r="AA145" s="1272"/>
      <c r="AB145" s="1337" t="s">
        <v>1203</v>
      </c>
      <c r="AC145" s="1276"/>
      <c r="AD145" s="1276"/>
      <c r="AE145" s="1278"/>
      <c r="AF145" s="3375"/>
      <c r="AG145" s="3376"/>
      <c r="AH145" s="3376"/>
      <c r="AI145" s="3375"/>
      <c r="AJ145" s="3376"/>
      <c r="AK145" s="3376"/>
      <c r="AL145" s="2079"/>
      <c r="AM145" s="1917"/>
      <c r="AN145" s="1917"/>
      <c r="AO145" s="1917"/>
      <c r="AP145" s="1917"/>
      <c r="AQ145" s="1917"/>
      <c r="AR145" s="1917"/>
      <c r="AS145" s="1917"/>
      <c r="AT145" s="1917"/>
      <c r="AU145" s="1917"/>
      <c r="AV145" s="1917"/>
      <c r="AW145" s="1917"/>
      <c r="AX145" s="1917"/>
      <c r="AY145" s="1917"/>
      <c r="AZ145" s="1917"/>
      <c r="BA145" s="1917"/>
      <c r="BB145" s="1917"/>
      <c r="BC145" s="1917"/>
      <c r="BD145" s="1917"/>
      <c r="BE145" s="1917"/>
      <c r="BF145" s="1917"/>
    </row>
    <row s="10365" customFormat="1" customHeight="1" ht="11.25">
      <c r="A146" s="1262" t="s">
        <v>1194</v>
      </c>
      <c r="B146" s="1262"/>
      <c r="C146" s="1262"/>
      <c r="D146" s="1462"/>
      <c r="E146" s="1266"/>
      <c r="F146" s="3394"/>
      <c r="G146" s="3396"/>
      <c r="H146" s="3263" t="s">
        <v>1232</v>
      </c>
      <c r="I146" s="3374"/>
      <c r="J146" s="3334"/>
      <c r="K146" s="3372"/>
      <c r="L146" s="2989"/>
      <c r="M146" s="2990"/>
      <c r="N146" s="1271"/>
      <c r="O146" s="1272"/>
      <c r="P146" s="1337" t="s">
        <v>1204</v>
      </c>
      <c r="Q146" s="1272"/>
      <c r="R146" s="1272"/>
      <c r="S146" s="1272"/>
      <c r="T146" s="1272"/>
      <c r="U146" s="1272"/>
      <c r="V146" s="1272"/>
      <c r="W146" s="1272"/>
      <c r="X146" s="1272"/>
      <c r="Y146" s="1272"/>
      <c r="Z146" s="1272"/>
      <c r="AA146" s="1272"/>
      <c r="AB146" s="1272"/>
      <c r="AC146" s="1272"/>
      <c r="AD146" s="1272"/>
      <c r="AE146" s="1279"/>
      <c r="AF146" s="3375"/>
      <c r="AG146" s="3376"/>
      <c r="AH146" s="3376"/>
      <c r="AI146" s="3375"/>
      <c r="AJ146" s="3376"/>
      <c r="AK146" s="3376"/>
      <c r="AL146" s="2079"/>
      <c r="AM146" s="1917"/>
      <c r="AN146" s="1917"/>
      <c r="AO146" s="1917"/>
      <c r="AP146" s="1917"/>
      <c r="AQ146" s="1917"/>
      <c r="AR146" s="1917"/>
      <c r="AS146" s="1917"/>
      <c r="AT146" s="1917"/>
      <c r="AU146" s="1917"/>
      <c r="AV146" s="1917"/>
      <c r="AW146" s="1917"/>
      <c r="AX146" s="1917"/>
      <c r="AY146" s="1917"/>
      <c r="AZ146" s="1917"/>
      <c r="BA146" s="1917"/>
      <c r="BB146" s="1917"/>
      <c r="BC146" s="1917"/>
      <c r="BD146" s="1917"/>
      <c r="BE146" s="1917"/>
      <c r="BF146" s="1917"/>
    </row>
    <row s="10365" customFormat="1" customHeight="1" ht="11.25">
      <c r="A147" s="1262" t="s">
        <v>1194</v>
      </c>
      <c r="B147" s="1262" t="s">
        <v>22</v>
      </c>
      <c r="C147" s="1262"/>
      <c r="D147" s="1462"/>
      <c r="E147" s="1266"/>
      <c r="F147" s="3394"/>
      <c r="G147" s="3004" t="s">
        <v>103</v>
      </c>
      <c r="H147" s="3263" t="s">
        <v>1237</v>
      </c>
      <c r="I147" s="3374" t="s">
        <v>1238</v>
      </c>
      <c r="J147" s="3400" t="s">
        <v>22</v>
      </c>
      <c r="K147" s="3372" t="s">
        <v>1239</v>
      </c>
      <c r="L147" s="2989" t="s">
        <v>19</v>
      </c>
      <c r="M147" s="2990"/>
      <c r="N147" s="2077"/>
      <c r="O147" s="1273" t="s">
        <v>461</v>
      </c>
      <c r="P147" s="1274"/>
      <c r="Q147" s="1274"/>
      <c r="R147" s="1274"/>
      <c r="S147" s="1274"/>
      <c r="T147" s="1274"/>
      <c r="U147" s="1274"/>
      <c r="V147" s="1274"/>
      <c r="W147" s="1274"/>
      <c r="X147" s="1274"/>
      <c r="Y147" s="1274"/>
      <c r="Z147" s="1274"/>
      <c r="AA147" s="1274"/>
      <c r="AB147" s="1274"/>
      <c r="AC147" s="1274"/>
      <c r="AD147" s="1274"/>
      <c r="AE147" s="1274"/>
      <c r="AF147" s="3375">
        <v>7</v>
      </c>
      <c r="AG147" s="3376" t="s">
        <v>1199</v>
      </c>
      <c r="AH147" s="3376" t="s">
        <v>1210</v>
      </c>
      <c r="AI147" s="3375">
        <v>7</v>
      </c>
      <c r="AJ147" s="3376" t="s">
        <v>1199</v>
      </c>
      <c r="AK147" s="3376" t="s">
        <v>1210</v>
      </c>
      <c r="AL147" s="2079"/>
      <c r="AM147" s="1917"/>
      <c r="AN147" s="1917"/>
      <c r="AO147" s="1917"/>
      <c r="AP147" s="1917"/>
      <c r="AQ147" s="1917"/>
      <c r="AR147" s="1917"/>
      <c r="AS147" s="1917"/>
      <c r="AT147" s="1917"/>
      <c r="AU147" s="1917"/>
      <c r="AV147" s="1917"/>
      <c r="AW147" s="1917"/>
      <c r="AX147" s="1917"/>
      <c r="AY147" s="1917"/>
      <c r="AZ147" s="1917"/>
      <c r="BA147" s="1917"/>
      <c r="BB147" s="1917"/>
      <c r="BC147" s="1917"/>
      <c r="BD147" s="1917"/>
      <c r="BE147" s="1917"/>
      <c r="BF147" s="1917"/>
    </row>
    <row s="10365" customFormat="1" customHeight="1" ht="11.25">
      <c r="A148" s="1262" t="s">
        <v>1194</v>
      </c>
      <c r="B148" s="1262"/>
      <c r="C148" s="1262"/>
      <c r="D148" s="1462"/>
      <c r="E148" s="1266"/>
      <c r="F148" s="3394"/>
      <c r="G148" s="3396"/>
      <c r="H148" s="3263" t="s">
        <v>1234</v>
      </c>
      <c r="I148" s="3374"/>
      <c r="J148" s="3400"/>
      <c r="K148" s="3372"/>
      <c r="L148" s="2989"/>
      <c r="M148" s="2990"/>
      <c r="N148" s="3341"/>
      <c r="O148" s="3377">
        <v>1</v>
      </c>
      <c r="P148" s="3343" t="s">
        <v>19</v>
      </c>
      <c r="Q148" s="3236" t="s">
        <v>22</v>
      </c>
      <c r="R148" s="3236" t="s">
        <v>22</v>
      </c>
      <c r="S148" s="3236" t="s">
        <v>22</v>
      </c>
      <c r="T148" s="3236" t="s">
        <v>22</v>
      </c>
      <c r="U148" s="3236" t="s">
        <v>22</v>
      </c>
      <c r="V148" s="3236" t="s">
        <v>22</v>
      </c>
      <c r="W148" s="3236" t="s">
        <v>22</v>
      </c>
      <c r="X148" s="3236" t="s">
        <v>22</v>
      </c>
      <c r="Y148" s="3236"/>
      <c r="Z148" s="1271"/>
      <c r="AA148" s="1272"/>
      <c r="AB148" s="1272"/>
      <c r="AC148" s="1276"/>
      <c r="AD148" s="1276"/>
      <c r="AE148" s="1277"/>
      <c r="AF148" s="3375"/>
      <c r="AG148" s="3376"/>
      <c r="AH148" s="3376"/>
      <c r="AI148" s="3375"/>
      <c r="AJ148" s="3376"/>
      <c r="AK148" s="3376"/>
      <c r="AL148" s="2079"/>
      <c r="AM148" s="1917"/>
      <c r="AN148" s="1917"/>
      <c r="AO148" s="1917"/>
      <c r="AP148" s="1917"/>
      <c r="AQ148" s="1917"/>
      <c r="AR148" s="1917"/>
      <c r="AS148" s="1917"/>
      <c r="AT148" s="1917"/>
      <c r="AU148" s="1917"/>
      <c r="AV148" s="1917"/>
      <c r="AW148" s="1917"/>
      <c r="AX148" s="1917"/>
      <c r="AY148" s="1917"/>
      <c r="AZ148" s="1917"/>
      <c r="BA148" s="1917"/>
      <c r="BB148" s="1917"/>
      <c r="BC148" s="1917"/>
      <c r="BD148" s="1917"/>
      <c r="BE148" s="1917"/>
      <c r="BF148" s="1917"/>
    </row>
    <row s="10365" customFormat="1" customHeight="1" ht="11.25">
      <c r="A149" s="1262" t="s">
        <v>1194</v>
      </c>
      <c r="B149" s="1262"/>
      <c r="C149" s="1262"/>
      <c r="D149" s="1462"/>
      <c r="E149" s="1266"/>
      <c r="F149" s="3394"/>
      <c r="G149" s="3396"/>
      <c r="H149" s="3263" t="s">
        <v>1234</v>
      </c>
      <c r="I149" s="3374"/>
      <c r="J149" s="3400"/>
      <c r="K149" s="3372"/>
      <c r="L149" s="2989"/>
      <c r="M149" s="2990"/>
      <c r="N149" s="3341"/>
      <c r="O149" s="3377"/>
      <c r="P149" s="3344"/>
      <c r="Q149" s="3236"/>
      <c r="R149" s="3236"/>
      <c r="S149" s="3346"/>
      <c r="T149" s="3236"/>
      <c r="U149" s="3236"/>
      <c r="V149" s="3236"/>
      <c r="W149" s="3236"/>
      <c r="X149" s="3236"/>
      <c r="Y149" s="3236"/>
      <c r="Z149" s="1922"/>
      <c r="AA149" s="2198">
        <v>1</v>
      </c>
      <c r="AB149" s="1275" t="s">
        <v>1201</v>
      </c>
      <c r="AC149" s="1265">
        <v>9734.09</v>
      </c>
      <c r="AD149" s="1275" t="str">
        <f>AB149</f>
        <v>      Амортизационные отчисления с выделением результатов переоценки основных средств и нематериальных активов</v>
      </c>
      <c r="AE149" s="1265">
        <v>9337.79</v>
      </c>
      <c r="AF149" s="3375"/>
      <c r="AG149" s="3376"/>
      <c r="AH149" s="3376"/>
      <c r="AI149" s="3375"/>
      <c r="AJ149" s="3376"/>
      <c r="AK149" s="3376"/>
      <c r="AL149" s="2079"/>
      <c r="AM149" s="1917"/>
      <c r="AN149" s="1917"/>
      <c r="AO149" s="1917"/>
      <c r="AP149" s="1917"/>
      <c r="AQ149" s="1917"/>
      <c r="AR149" s="1917"/>
      <c r="AS149" s="1917"/>
      <c r="AT149" s="1917"/>
      <c r="AU149" s="1917"/>
      <c r="AV149" s="1917"/>
      <c r="AW149" s="1917"/>
      <c r="AX149" s="1917"/>
      <c r="AY149" s="1917"/>
      <c r="AZ149" s="1917"/>
      <c r="BA149" s="1917"/>
      <c r="BB149" s="1917"/>
      <c r="BC149" s="1917"/>
      <c r="BD149" s="1917"/>
      <c r="BE149" s="1917"/>
      <c r="BF149" s="1917"/>
    </row>
    <row s="10365" customFormat="1" customHeight="1" ht="11.25">
      <c r="A150" s="1262" t="s">
        <v>1194</v>
      </c>
      <c r="B150" s="1262"/>
      <c r="C150" s="1262"/>
      <c r="D150" s="1462"/>
      <c r="E150" s="1266"/>
      <c r="F150" s="3394"/>
      <c r="G150" s="3396"/>
      <c r="H150" s="3396"/>
      <c r="I150" s="3396"/>
      <c r="J150" s="3396"/>
      <c r="K150" s="3396"/>
      <c r="L150" s="3396"/>
      <c r="M150" s="3396"/>
      <c r="N150" s="3396"/>
      <c r="O150" s="3396"/>
      <c r="P150" s="3396"/>
      <c r="Q150" s="3396"/>
      <c r="R150" s="3396"/>
      <c r="S150" s="3396"/>
      <c r="T150" s="3396"/>
      <c r="U150" s="3396"/>
      <c r="V150" s="3396"/>
      <c r="W150" s="3396"/>
      <c r="X150" s="3396"/>
      <c r="Y150" s="3396"/>
      <c r="Z150" s="790" t="s">
        <v>103</v>
      </c>
      <c r="AA150" s="2195" t="s">
        <v>102</v>
      </c>
      <c r="AB150" s="1275" t="s">
        <v>1208</v>
      </c>
      <c r="AC150" s="1265">
        <v>1946.82</v>
      </c>
      <c r="AD150" s="1275" t="str">
        <f>AB150</f>
        <v>  Прочие собственные средства</v>
      </c>
      <c r="AE150" s="1265">
        <v>1818.65629</v>
      </c>
      <c r="AF150" s="3397"/>
      <c r="AG150" s="3398"/>
      <c r="AH150" s="3398"/>
      <c r="AI150" s="3397"/>
      <c r="AJ150" s="3398"/>
      <c r="AK150" s="3399"/>
      <c r="AL150" s="2079"/>
      <c r="AM150" s="1917"/>
      <c r="AN150" s="1917"/>
      <c r="AO150" s="1917"/>
      <c r="AP150" s="1917"/>
      <c r="AQ150" s="1917"/>
      <c r="AR150" s="1917"/>
      <c r="AS150" s="1917"/>
      <c r="AT150" s="1917"/>
      <c r="AU150" s="1917"/>
      <c r="AV150" s="1917"/>
      <c r="AW150" s="1917"/>
      <c r="AX150" s="1917"/>
      <c r="AY150" s="1917"/>
      <c r="AZ150" s="1917"/>
      <c r="BA150" s="1917"/>
      <c r="BB150" s="1917"/>
      <c r="BC150" s="1917"/>
      <c r="BD150" s="1917"/>
      <c r="BE150" s="1917"/>
      <c r="BF150" s="1917"/>
    </row>
    <row s="10365" customFormat="1" customHeight="1" ht="11.25">
      <c r="A151" s="1262" t="s">
        <v>1194</v>
      </c>
      <c r="B151" s="1262"/>
      <c r="C151" s="1262"/>
      <c r="D151" s="1462"/>
      <c r="E151" s="1266"/>
      <c r="F151" s="3394"/>
      <c r="G151" s="3396"/>
      <c r="H151" s="3263" t="s">
        <v>1234</v>
      </c>
      <c r="I151" s="3374"/>
      <c r="J151" s="3400"/>
      <c r="K151" s="3372"/>
      <c r="L151" s="2989"/>
      <c r="M151" s="2990"/>
      <c r="N151" s="3341"/>
      <c r="O151" s="3377"/>
      <c r="P151" s="3345"/>
      <c r="Q151" s="3236"/>
      <c r="R151" s="3236"/>
      <c r="S151" s="3346"/>
      <c r="T151" s="3236"/>
      <c r="U151" s="3236"/>
      <c r="V151" s="3236"/>
      <c r="W151" s="3236"/>
      <c r="X151" s="3236"/>
      <c r="Y151" s="3236"/>
      <c r="Z151" s="1271"/>
      <c r="AA151" s="1272"/>
      <c r="AB151" s="1337" t="s">
        <v>1203</v>
      </c>
      <c r="AC151" s="1276"/>
      <c r="AD151" s="1276"/>
      <c r="AE151" s="1278"/>
      <c r="AF151" s="3375"/>
      <c r="AG151" s="3376"/>
      <c r="AH151" s="3376"/>
      <c r="AI151" s="3375"/>
      <c r="AJ151" s="3376"/>
      <c r="AK151" s="3376"/>
      <c r="AL151" s="2079"/>
      <c r="AM151" s="1917"/>
      <c r="AN151" s="1917"/>
      <c r="AO151" s="1917"/>
      <c r="AP151" s="1917"/>
      <c r="AQ151" s="1917"/>
      <c r="AR151" s="1917"/>
      <c r="AS151" s="1917"/>
      <c r="AT151" s="1917"/>
      <c r="AU151" s="1917"/>
      <c r="AV151" s="1917"/>
      <c r="AW151" s="1917"/>
      <c r="AX151" s="1917"/>
      <c r="AY151" s="1917"/>
      <c r="AZ151" s="1917"/>
      <c r="BA151" s="1917"/>
      <c r="BB151" s="1917"/>
      <c r="BC151" s="1917"/>
      <c r="BD151" s="1917"/>
      <c r="BE151" s="1917"/>
      <c r="BF151" s="1917"/>
    </row>
    <row s="10365" customFormat="1" customHeight="1" ht="11.25">
      <c r="A152" s="1262" t="s">
        <v>1194</v>
      </c>
      <c r="B152" s="1262"/>
      <c r="C152" s="1262"/>
      <c r="D152" s="1462"/>
      <c r="E152" s="1266"/>
      <c r="F152" s="3394"/>
      <c r="G152" s="3396"/>
      <c r="H152" s="3263" t="s">
        <v>1234</v>
      </c>
      <c r="I152" s="3374"/>
      <c r="J152" s="3400"/>
      <c r="K152" s="3372"/>
      <c r="L152" s="2989"/>
      <c r="M152" s="2990"/>
      <c r="N152" s="1271"/>
      <c r="O152" s="1272"/>
      <c r="P152" s="1337" t="s">
        <v>1204</v>
      </c>
      <c r="Q152" s="1272"/>
      <c r="R152" s="1272"/>
      <c r="S152" s="1272"/>
      <c r="T152" s="1272"/>
      <c r="U152" s="1272"/>
      <c r="V152" s="1272"/>
      <c r="W152" s="1272"/>
      <c r="X152" s="1272"/>
      <c r="Y152" s="1272"/>
      <c r="Z152" s="1272"/>
      <c r="AA152" s="1272"/>
      <c r="AB152" s="1272"/>
      <c r="AC152" s="1272"/>
      <c r="AD152" s="1272"/>
      <c r="AE152" s="1279"/>
      <c r="AF152" s="3375"/>
      <c r="AG152" s="3376"/>
      <c r="AH152" s="3376"/>
      <c r="AI152" s="3375"/>
      <c r="AJ152" s="3376"/>
      <c r="AK152" s="3376"/>
      <c r="AL152" s="2079"/>
      <c r="AM152" s="1917"/>
      <c r="AN152" s="1917"/>
      <c r="AO152" s="1917"/>
      <c r="AP152" s="1917"/>
      <c r="AQ152" s="1917"/>
      <c r="AR152" s="1917"/>
      <c r="AS152" s="1917"/>
      <c r="AT152" s="1917"/>
      <c r="AU152" s="1917"/>
      <c r="AV152" s="1917"/>
      <c r="AW152" s="1917"/>
      <c r="AX152" s="1917"/>
      <c r="AY152" s="1917"/>
      <c r="AZ152" s="1917"/>
      <c r="BA152" s="1917"/>
      <c r="BB152" s="1917"/>
      <c r="BC152" s="1917"/>
      <c r="BD152" s="1917"/>
      <c r="BE152" s="1917"/>
      <c r="BF152" s="1917"/>
    </row>
    <row s="10365" customFormat="1" customHeight="1" ht="11.25">
      <c r="A153" s="1262" t="s">
        <v>1194</v>
      </c>
      <c r="B153" s="1262" t="s">
        <v>22</v>
      </c>
      <c r="C153" s="1262"/>
      <c r="D153" s="1462"/>
      <c r="E153" s="1266"/>
      <c r="F153" s="3394"/>
      <c r="G153" s="3004" t="s">
        <v>103</v>
      </c>
      <c r="H153" s="3263" t="s">
        <v>1240</v>
      </c>
      <c r="I153" s="3374" t="s">
        <v>1217</v>
      </c>
      <c r="J153" s="3400" t="s">
        <v>22</v>
      </c>
      <c r="K153" s="3372" t="s">
        <v>1241</v>
      </c>
      <c r="L153" s="2989" t="s">
        <v>19</v>
      </c>
      <c r="M153" s="2990"/>
      <c r="N153" s="2077"/>
      <c r="O153" s="1273" t="s">
        <v>461</v>
      </c>
      <c r="P153" s="1274"/>
      <c r="Q153" s="1274"/>
      <c r="R153" s="1274"/>
      <c r="S153" s="1274"/>
      <c r="T153" s="1274"/>
      <c r="U153" s="1274"/>
      <c r="V153" s="1274"/>
      <c r="W153" s="1274"/>
      <c r="X153" s="1274"/>
      <c r="Y153" s="1274"/>
      <c r="Z153" s="1274"/>
      <c r="AA153" s="1274"/>
      <c r="AB153" s="1274"/>
      <c r="AC153" s="1274"/>
      <c r="AD153" s="1274"/>
      <c r="AE153" s="1274"/>
      <c r="AF153" s="3375">
        <v>1</v>
      </c>
      <c r="AG153" s="3376" t="s">
        <v>1206</v>
      </c>
      <c r="AH153" s="3376" t="s">
        <v>1210</v>
      </c>
      <c r="AI153" s="3375">
        <v>1</v>
      </c>
      <c r="AJ153" s="3376" t="s">
        <v>1206</v>
      </c>
      <c r="AK153" s="3376" t="s">
        <v>1210</v>
      </c>
      <c r="AL153" s="2079"/>
      <c r="AM153" s="1917"/>
      <c r="AN153" s="1917"/>
      <c r="AO153" s="1917"/>
      <c r="AP153" s="1917"/>
      <c r="AQ153" s="1917"/>
      <c r="AR153" s="1917"/>
      <c r="AS153" s="1917"/>
      <c r="AT153" s="1917"/>
      <c r="AU153" s="1917"/>
      <c r="AV153" s="1917"/>
      <c r="AW153" s="1917"/>
      <c r="AX153" s="1917"/>
      <c r="AY153" s="1917"/>
      <c r="AZ153" s="1917"/>
      <c r="BA153" s="1917"/>
      <c r="BB153" s="1917"/>
      <c r="BC153" s="1917"/>
      <c r="BD153" s="1917"/>
      <c r="BE153" s="1917"/>
      <c r="BF153" s="1917"/>
    </row>
    <row s="10365" customFormat="1" customHeight="1" ht="11.25">
      <c r="A154" s="1262" t="s">
        <v>1194</v>
      </c>
      <c r="B154" s="1262"/>
      <c r="C154" s="1262"/>
      <c r="D154" s="1462"/>
      <c r="E154" s="1266"/>
      <c r="F154" s="3394"/>
      <c r="G154" s="3396"/>
      <c r="H154" s="3263" t="s">
        <v>1237</v>
      </c>
      <c r="I154" s="3374"/>
      <c r="J154" s="3400"/>
      <c r="K154" s="3372"/>
      <c r="L154" s="2989"/>
      <c r="M154" s="2990"/>
      <c r="N154" s="3341"/>
      <c r="O154" s="3377">
        <v>1</v>
      </c>
      <c r="P154" s="3343" t="s">
        <v>19</v>
      </c>
      <c r="Q154" s="3236" t="s">
        <v>22</v>
      </c>
      <c r="R154" s="3236" t="s">
        <v>22</v>
      </c>
      <c r="S154" s="3236" t="s">
        <v>22</v>
      </c>
      <c r="T154" s="3236" t="s">
        <v>22</v>
      </c>
      <c r="U154" s="3236" t="s">
        <v>22</v>
      </c>
      <c r="V154" s="3236" t="s">
        <v>22</v>
      </c>
      <c r="W154" s="3236" t="s">
        <v>22</v>
      </c>
      <c r="X154" s="3236" t="s">
        <v>22</v>
      </c>
      <c r="Y154" s="3236"/>
      <c r="Z154" s="1271"/>
      <c r="AA154" s="1272"/>
      <c r="AB154" s="1272"/>
      <c r="AC154" s="1276"/>
      <c r="AD154" s="1276"/>
      <c r="AE154" s="1277"/>
      <c r="AF154" s="3375"/>
      <c r="AG154" s="3376"/>
      <c r="AH154" s="3376"/>
      <c r="AI154" s="3375"/>
      <c r="AJ154" s="3376"/>
      <c r="AK154" s="3376"/>
      <c r="AL154" s="2079"/>
      <c r="AM154" s="1917"/>
      <c r="AN154" s="1917"/>
      <c r="AO154" s="1917"/>
      <c r="AP154" s="1917"/>
      <c r="AQ154" s="1917"/>
      <c r="AR154" s="1917"/>
      <c r="AS154" s="1917"/>
      <c r="AT154" s="1917"/>
      <c r="AU154" s="1917"/>
      <c r="AV154" s="1917"/>
      <c r="AW154" s="1917"/>
      <c r="AX154" s="1917"/>
      <c r="AY154" s="1917"/>
      <c r="AZ154" s="1917"/>
      <c r="BA154" s="1917"/>
      <c r="BB154" s="1917"/>
      <c r="BC154" s="1917"/>
      <c r="BD154" s="1917"/>
      <c r="BE154" s="1917"/>
      <c r="BF154" s="1917"/>
    </row>
    <row s="10365" customFormat="1" customHeight="1" ht="11.25">
      <c r="A155" s="1262" t="s">
        <v>1194</v>
      </c>
      <c r="B155" s="1262"/>
      <c r="C155" s="1262"/>
      <c r="D155" s="1462"/>
      <c r="E155" s="1266"/>
      <c r="F155" s="3394"/>
      <c r="G155" s="3396"/>
      <c r="H155" s="3263" t="s">
        <v>1237</v>
      </c>
      <c r="I155" s="3374"/>
      <c r="J155" s="3400"/>
      <c r="K155" s="3372"/>
      <c r="L155" s="2989"/>
      <c r="M155" s="2990"/>
      <c r="N155" s="3341"/>
      <c r="O155" s="3377"/>
      <c r="P155" s="3344"/>
      <c r="Q155" s="3236"/>
      <c r="R155" s="3236"/>
      <c r="S155" s="3346"/>
      <c r="T155" s="3236"/>
      <c r="U155" s="3236"/>
      <c r="V155" s="3236"/>
      <c r="W155" s="3236"/>
      <c r="X155" s="3236"/>
      <c r="Y155" s="3236"/>
      <c r="Z155" s="1922"/>
      <c r="AA155" s="2198">
        <v>1</v>
      </c>
      <c r="AB155" s="1275" t="s">
        <v>1242</v>
      </c>
      <c r="AC155" s="1265">
        <v>20374.91</v>
      </c>
      <c r="AD155" s="1275" t="str">
        <f>AB155</f>
        <v>  За счет платы за технологическое присоединение</v>
      </c>
      <c r="AE155" s="1265">
        <v>9800.19</v>
      </c>
      <c r="AF155" s="3375"/>
      <c r="AG155" s="3376"/>
      <c r="AH155" s="3376"/>
      <c r="AI155" s="3375"/>
      <c r="AJ155" s="3376"/>
      <c r="AK155" s="3376"/>
      <c r="AL155" s="2079"/>
      <c r="AM155" s="1917"/>
      <c r="AN155" s="1917"/>
      <c r="AO155" s="1917"/>
      <c r="AP155" s="1917"/>
      <c r="AQ155" s="1917"/>
      <c r="AR155" s="1917"/>
      <c r="AS155" s="1917"/>
      <c r="AT155" s="1917"/>
      <c r="AU155" s="1917"/>
      <c r="AV155" s="1917"/>
      <c r="AW155" s="1917"/>
      <c r="AX155" s="1917"/>
      <c r="AY155" s="1917"/>
      <c r="AZ155" s="1917"/>
      <c r="BA155" s="1917"/>
      <c r="BB155" s="1917"/>
      <c r="BC155" s="1917"/>
      <c r="BD155" s="1917"/>
      <c r="BE155" s="1917"/>
      <c r="BF155" s="1917"/>
    </row>
    <row s="10365" customFormat="1" customHeight="1" ht="11.25">
      <c r="A156" s="1262" t="s">
        <v>1194</v>
      </c>
      <c r="B156" s="1262"/>
      <c r="C156" s="1262"/>
      <c r="D156" s="1462"/>
      <c r="E156" s="1266"/>
      <c r="F156" s="3394"/>
      <c r="G156" s="3396"/>
      <c r="H156" s="3396"/>
      <c r="I156" s="3396"/>
      <c r="J156" s="3396"/>
      <c r="K156" s="3396"/>
      <c r="L156" s="3396"/>
      <c r="M156" s="3396"/>
      <c r="N156" s="3396"/>
      <c r="O156" s="3396"/>
      <c r="P156" s="3396"/>
      <c r="Q156" s="3396"/>
      <c r="R156" s="3396"/>
      <c r="S156" s="3396"/>
      <c r="T156" s="3396"/>
      <c r="U156" s="3396"/>
      <c r="V156" s="3396"/>
      <c r="W156" s="3396"/>
      <c r="X156" s="3396"/>
      <c r="Y156" s="3396"/>
      <c r="Z156" s="790" t="s">
        <v>103</v>
      </c>
      <c r="AA156" s="2195" t="s">
        <v>102</v>
      </c>
      <c r="AB156" s="1275" t="s">
        <v>1236</v>
      </c>
      <c r="AC156" s="1265">
        <v>1234.48</v>
      </c>
      <c r="AD156" s="1275" t="str">
        <f>AB156</f>
        <v>      Прочие займы</v>
      </c>
      <c r="AE156" s="1265">
        <v>0</v>
      </c>
      <c r="AF156" s="3397"/>
      <c r="AG156" s="3398"/>
      <c r="AH156" s="3398"/>
      <c r="AI156" s="3397"/>
      <c r="AJ156" s="3398"/>
      <c r="AK156" s="3399"/>
      <c r="AL156" s="2079"/>
      <c r="AM156" s="1917"/>
      <c r="AN156" s="1917"/>
      <c r="AO156" s="1917"/>
      <c r="AP156" s="1917"/>
      <c r="AQ156" s="1917"/>
      <c r="AR156" s="1917"/>
      <c r="AS156" s="1917"/>
      <c r="AT156" s="1917"/>
      <c r="AU156" s="1917"/>
      <c r="AV156" s="1917"/>
      <c r="AW156" s="1917"/>
      <c r="AX156" s="1917"/>
      <c r="AY156" s="1917"/>
      <c r="AZ156" s="1917"/>
      <c r="BA156" s="1917"/>
      <c r="BB156" s="1917"/>
      <c r="BC156" s="1917"/>
      <c r="BD156" s="1917"/>
      <c r="BE156" s="1917"/>
      <c r="BF156" s="1917"/>
    </row>
    <row s="10365" customFormat="1" customHeight="1" ht="11.25">
      <c r="A157" s="1262" t="s">
        <v>1194</v>
      </c>
      <c r="B157" s="1262"/>
      <c r="C157" s="1262"/>
      <c r="D157" s="1462"/>
      <c r="E157" s="1266"/>
      <c r="F157" s="3394"/>
      <c r="G157" s="3396"/>
      <c r="H157" s="3396"/>
      <c r="I157" s="3396"/>
      <c r="J157" s="3396"/>
      <c r="K157" s="3396"/>
      <c r="L157" s="3396"/>
      <c r="M157" s="3396"/>
      <c r="N157" s="3396"/>
      <c r="O157" s="3396"/>
      <c r="P157" s="3396"/>
      <c r="Q157" s="3396"/>
      <c r="R157" s="3396"/>
      <c r="S157" s="3396"/>
      <c r="T157" s="3396"/>
      <c r="U157" s="3396"/>
      <c r="V157" s="3396"/>
      <c r="W157" s="3396"/>
      <c r="X157" s="3396"/>
      <c r="Y157" s="3396"/>
      <c r="Z157" s="790" t="s">
        <v>103</v>
      </c>
      <c r="AA157" s="2195" t="s">
        <v>90</v>
      </c>
      <c r="AB157" s="1275" t="s">
        <v>1208</v>
      </c>
      <c r="AC157" s="1265">
        <v>4074.98</v>
      </c>
      <c r="AD157" s="1275" t="str">
        <f>AB157</f>
        <v>  Прочие собственные средства</v>
      </c>
      <c r="AE157" s="1265">
        <v>17944.27</v>
      </c>
      <c r="AF157" s="3397"/>
      <c r="AG157" s="3398"/>
      <c r="AH157" s="3398"/>
      <c r="AI157" s="3397"/>
      <c r="AJ157" s="3398"/>
      <c r="AK157" s="3399"/>
      <c r="AL157" s="2079"/>
      <c r="AM157" s="1917"/>
      <c r="AN157" s="1917"/>
      <c r="AO157" s="1917"/>
      <c r="AP157" s="1917"/>
      <c r="AQ157" s="1917"/>
      <c r="AR157" s="1917"/>
      <c r="AS157" s="1917"/>
      <c r="AT157" s="1917"/>
      <c r="AU157" s="1917"/>
      <c r="AV157" s="1917"/>
      <c r="AW157" s="1917"/>
      <c r="AX157" s="1917"/>
      <c r="AY157" s="1917"/>
      <c r="AZ157" s="1917"/>
      <c r="BA157" s="1917"/>
      <c r="BB157" s="1917"/>
      <c r="BC157" s="1917"/>
      <c r="BD157" s="1917"/>
      <c r="BE157" s="1917"/>
      <c r="BF157" s="1917"/>
    </row>
    <row s="10365" customFormat="1" customHeight="1" ht="11.25">
      <c r="A158" s="1262" t="s">
        <v>1194</v>
      </c>
      <c r="B158" s="1262"/>
      <c r="C158" s="1262"/>
      <c r="D158" s="1462"/>
      <c r="E158" s="1266"/>
      <c r="F158" s="3394"/>
      <c r="G158" s="3396"/>
      <c r="H158" s="3263" t="s">
        <v>1237</v>
      </c>
      <c r="I158" s="3374"/>
      <c r="J158" s="3400"/>
      <c r="K158" s="3372"/>
      <c r="L158" s="2989"/>
      <c r="M158" s="2990"/>
      <c r="N158" s="3341"/>
      <c r="O158" s="3377"/>
      <c r="P158" s="3345"/>
      <c r="Q158" s="3236"/>
      <c r="R158" s="3236"/>
      <c r="S158" s="3346"/>
      <c r="T158" s="3236"/>
      <c r="U158" s="3236"/>
      <c r="V158" s="3236"/>
      <c r="W158" s="3236"/>
      <c r="X158" s="3236"/>
      <c r="Y158" s="3236"/>
      <c r="Z158" s="1271"/>
      <c r="AA158" s="1272"/>
      <c r="AB158" s="1337" t="s">
        <v>1203</v>
      </c>
      <c r="AC158" s="1276"/>
      <c r="AD158" s="1276"/>
      <c r="AE158" s="1278"/>
      <c r="AF158" s="3375"/>
      <c r="AG158" s="3376"/>
      <c r="AH158" s="3376"/>
      <c r="AI158" s="3375"/>
      <c r="AJ158" s="3376"/>
      <c r="AK158" s="3376"/>
      <c r="AL158" s="2079"/>
      <c r="AM158" s="1917"/>
      <c r="AN158" s="1917"/>
      <c r="AO158" s="1917"/>
      <c r="AP158" s="1917"/>
      <c r="AQ158" s="1917"/>
      <c r="AR158" s="1917"/>
      <c r="AS158" s="1917"/>
      <c r="AT158" s="1917"/>
      <c r="AU158" s="1917"/>
      <c r="AV158" s="1917"/>
      <c r="AW158" s="1917"/>
      <c r="AX158" s="1917"/>
      <c r="AY158" s="1917"/>
      <c r="AZ158" s="1917"/>
      <c r="BA158" s="1917"/>
      <c r="BB158" s="1917"/>
      <c r="BC158" s="1917"/>
      <c r="BD158" s="1917"/>
      <c r="BE158" s="1917"/>
      <c r="BF158" s="1917"/>
    </row>
    <row s="10365" customFormat="1" customHeight="1" ht="11.25">
      <c r="A159" s="1262" t="s">
        <v>1194</v>
      </c>
      <c r="B159" s="1262"/>
      <c r="C159" s="1262"/>
      <c r="D159" s="1462"/>
      <c r="E159" s="1266"/>
      <c r="F159" s="3394"/>
      <c r="G159" s="3396"/>
      <c r="H159" s="3263" t="s">
        <v>1237</v>
      </c>
      <c r="I159" s="3374"/>
      <c r="J159" s="3400"/>
      <c r="K159" s="3372"/>
      <c r="L159" s="2989"/>
      <c r="M159" s="2990"/>
      <c r="N159" s="1271"/>
      <c r="O159" s="1272"/>
      <c r="P159" s="1337" t="s">
        <v>1204</v>
      </c>
      <c r="Q159" s="1272"/>
      <c r="R159" s="1272"/>
      <c r="S159" s="1272"/>
      <c r="T159" s="1272"/>
      <c r="U159" s="1272"/>
      <c r="V159" s="1272"/>
      <c r="W159" s="1272"/>
      <c r="X159" s="1272"/>
      <c r="Y159" s="1272"/>
      <c r="Z159" s="1272"/>
      <c r="AA159" s="1272"/>
      <c r="AB159" s="1272"/>
      <c r="AC159" s="1272"/>
      <c r="AD159" s="1272"/>
      <c r="AE159" s="1279"/>
      <c r="AF159" s="3375"/>
      <c r="AG159" s="3376"/>
      <c r="AH159" s="3376"/>
      <c r="AI159" s="3375"/>
      <c r="AJ159" s="3376"/>
      <c r="AK159" s="3376"/>
      <c r="AL159" s="2079"/>
      <c r="AM159" s="1917"/>
      <c r="AN159" s="1917"/>
      <c r="AO159" s="1917"/>
      <c r="AP159" s="1917"/>
      <c r="AQ159" s="1917"/>
      <c r="AR159" s="1917"/>
      <c r="AS159" s="1917"/>
      <c r="AT159" s="1917"/>
      <c r="AU159" s="1917"/>
      <c r="AV159" s="1917"/>
      <c r="AW159" s="1917"/>
      <c r="AX159" s="1917"/>
      <c r="AY159" s="1917"/>
      <c r="AZ159" s="1917"/>
      <c r="BA159" s="1917"/>
      <c r="BB159" s="1917"/>
      <c r="BC159" s="1917"/>
      <c r="BD159" s="1917"/>
      <c r="BE159" s="1917"/>
      <c r="BF159" s="1917"/>
    </row>
    <row s="10365" customFormat="1" customHeight="1" ht="11.25">
      <c r="A160" s="1262" t="s">
        <v>1194</v>
      </c>
      <c r="B160" s="1262" t="s">
        <v>1195</v>
      </c>
      <c r="C160" s="1262"/>
      <c r="D160" s="1462"/>
      <c r="E160" s="1266"/>
      <c r="F160" s="3394"/>
      <c r="G160" s="3004" t="s">
        <v>103</v>
      </c>
      <c r="H160" s="3263" t="s">
        <v>1243</v>
      </c>
      <c r="I160" s="3374" t="s">
        <v>1196</v>
      </c>
      <c r="J160" s="3334" t="s">
        <v>1219</v>
      </c>
      <c r="K160" s="3372" t="s">
        <v>1244</v>
      </c>
      <c r="L160" s="2989" t="s">
        <v>19</v>
      </c>
      <c r="M160" s="2990"/>
      <c r="N160" s="2077"/>
      <c r="O160" s="1273" t="s">
        <v>461</v>
      </c>
      <c r="P160" s="1274"/>
      <c r="Q160" s="1274"/>
      <c r="R160" s="1274"/>
      <c r="S160" s="1274"/>
      <c r="T160" s="1274"/>
      <c r="U160" s="1274"/>
      <c r="V160" s="1274"/>
      <c r="W160" s="1274"/>
      <c r="X160" s="1274"/>
      <c r="Y160" s="1274"/>
      <c r="Z160" s="1274"/>
      <c r="AA160" s="1274"/>
      <c r="AB160" s="1274"/>
      <c r="AC160" s="1274"/>
      <c r="AD160" s="1274"/>
      <c r="AE160" s="1274"/>
      <c r="AF160" s="3375">
        <v>9</v>
      </c>
      <c r="AG160" s="3376" t="s">
        <v>1199</v>
      </c>
      <c r="AH160" s="3376" t="s">
        <v>1245</v>
      </c>
      <c r="AI160" s="3375">
        <v>9</v>
      </c>
      <c r="AJ160" s="3376" t="s">
        <v>1199</v>
      </c>
      <c r="AK160" s="3376" t="s">
        <v>1245</v>
      </c>
      <c r="AL160" s="2079"/>
      <c r="AM160" s="1917"/>
      <c r="AN160" s="1917"/>
      <c r="AO160" s="1917"/>
      <c r="AP160" s="1917"/>
      <c r="AQ160" s="1917"/>
      <c r="AR160" s="1917"/>
      <c r="AS160" s="1917"/>
      <c r="AT160" s="1917"/>
      <c r="AU160" s="1917"/>
      <c r="AV160" s="1917"/>
      <c r="AW160" s="1917"/>
      <c r="AX160" s="1917"/>
      <c r="AY160" s="1917"/>
      <c r="AZ160" s="1917"/>
      <c r="BA160" s="1917"/>
      <c r="BB160" s="1917"/>
      <c r="BC160" s="1917"/>
      <c r="BD160" s="1917"/>
      <c r="BE160" s="1917"/>
      <c r="BF160" s="1917"/>
    </row>
    <row s="10365" customFormat="1" customHeight="1" ht="11.25">
      <c r="A161" s="1262" t="s">
        <v>1194</v>
      </c>
      <c r="B161" s="1262"/>
      <c r="C161" s="1262"/>
      <c r="D161" s="1462"/>
      <c r="E161" s="1266"/>
      <c r="F161" s="3394"/>
      <c r="G161" s="3396"/>
      <c r="H161" s="3263" t="s">
        <v>1240</v>
      </c>
      <c r="I161" s="3374"/>
      <c r="J161" s="3334"/>
      <c r="K161" s="3372"/>
      <c r="L161" s="2989"/>
      <c r="M161" s="2990"/>
      <c r="N161" s="3341"/>
      <c r="O161" s="3377">
        <v>1</v>
      </c>
      <c r="P161" s="3343" t="s">
        <v>19</v>
      </c>
      <c r="Q161" s="3236" t="s">
        <v>22</v>
      </c>
      <c r="R161" s="3236" t="s">
        <v>22</v>
      </c>
      <c r="S161" s="3236" t="s">
        <v>22</v>
      </c>
      <c r="T161" s="3236" t="s">
        <v>22</v>
      </c>
      <c r="U161" s="3236" t="s">
        <v>22</v>
      </c>
      <c r="V161" s="3236" t="s">
        <v>22</v>
      </c>
      <c r="W161" s="3236" t="s">
        <v>22</v>
      </c>
      <c r="X161" s="3236" t="s">
        <v>22</v>
      </c>
      <c r="Y161" s="3236"/>
      <c r="Z161" s="1271"/>
      <c r="AA161" s="1272"/>
      <c r="AB161" s="1272"/>
      <c r="AC161" s="1276"/>
      <c r="AD161" s="1276"/>
      <c r="AE161" s="1277"/>
      <c r="AF161" s="3375"/>
      <c r="AG161" s="3376"/>
      <c r="AH161" s="3376"/>
      <c r="AI161" s="3375"/>
      <c r="AJ161" s="3376"/>
      <c r="AK161" s="3376"/>
      <c r="AL161" s="2079"/>
      <c r="AM161" s="1917"/>
      <c r="AN161" s="1917"/>
      <c r="AO161" s="1917"/>
      <c r="AP161" s="1917"/>
      <c r="AQ161" s="1917"/>
      <c r="AR161" s="1917"/>
      <c r="AS161" s="1917"/>
      <c r="AT161" s="1917"/>
      <c r="AU161" s="1917"/>
      <c r="AV161" s="1917"/>
      <c r="AW161" s="1917"/>
      <c r="AX161" s="1917"/>
      <c r="AY161" s="1917"/>
      <c r="AZ161" s="1917"/>
      <c r="BA161" s="1917"/>
      <c r="BB161" s="1917"/>
      <c r="BC161" s="1917"/>
      <c r="BD161" s="1917"/>
      <c r="BE161" s="1917"/>
      <c r="BF161" s="1917"/>
    </row>
    <row s="10365" customFormat="1" customHeight="1" ht="11.25">
      <c r="A162" s="1262" t="s">
        <v>1194</v>
      </c>
      <c r="B162" s="1262"/>
      <c r="C162" s="1262"/>
      <c r="D162" s="1462"/>
      <c r="E162" s="1266"/>
      <c r="F162" s="3394"/>
      <c r="G162" s="3396"/>
      <c r="H162" s="3263" t="s">
        <v>1240</v>
      </c>
      <c r="I162" s="3374"/>
      <c r="J162" s="3334"/>
      <c r="K162" s="3372"/>
      <c r="L162" s="2989"/>
      <c r="M162" s="2990"/>
      <c r="N162" s="3341"/>
      <c r="O162" s="3377"/>
      <c r="P162" s="3344"/>
      <c r="Q162" s="3236"/>
      <c r="R162" s="3236"/>
      <c r="S162" s="3346"/>
      <c r="T162" s="3236"/>
      <c r="U162" s="3236"/>
      <c r="V162" s="3236"/>
      <c r="W162" s="3236"/>
      <c r="X162" s="3236"/>
      <c r="Y162" s="3236"/>
      <c r="Z162" s="1922"/>
      <c r="AA162" s="2198">
        <v>1</v>
      </c>
      <c r="AB162" s="1275" t="s">
        <v>1242</v>
      </c>
      <c r="AC162" s="1265">
        <v>80707.9</v>
      </c>
      <c r="AD162" s="1275" t="str">
        <f>AB162</f>
        <v>  За счет платы за технологическое присоединение</v>
      </c>
      <c r="AE162" s="1265">
        <v>68087.49</v>
      </c>
      <c r="AF162" s="3375"/>
      <c r="AG162" s="3376"/>
      <c r="AH162" s="3376"/>
      <c r="AI162" s="3375"/>
      <c r="AJ162" s="3376"/>
      <c r="AK162" s="3376"/>
      <c r="AL162" s="2079"/>
      <c r="AM162" s="1917"/>
      <c r="AN162" s="1917"/>
      <c r="AO162" s="1917"/>
      <c r="AP162" s="1917"/>
      <c r="AQ162" s="1917"/>
      <c r="AR162" s="1917"/>
      <c r="AS162" s="1917"/>
      <c r="AT162" s="1917"/>
      <c r="AU162" s="1917"/>
      <c r="AV162" s="1917"/>
      <c r="AW162" s="1917"/>
      <c r="AX162" s="1917"/>
      <c r="AY162" s="1917"/>
      <c r="AZ162" s="1917"/>
      <c r="BA162" s="1917"/>
      <c r="BB162" s="1917"/>
      <c r="BC162" s="1917"/>
      <c r="BD162" s="1917"/>
      <c r="BE162" s="1917"/>
      <c r="BF162" s="1917"/>
    </row>
    <row s="10365" customFormat="1" customHeight="1" ht="11.25">
      <c r="A163" s="1262" t="s">
        <v>1194</v>
      </c>
      <c r="B163" s="1262"/>
      <c r="C163" s="1262"/>
      <c r="D163" s="1462"/>
      <c r="E163" s="1266"/>
      <c r="F163" s="3394"/>
      <c r="G163" s="3396"/>
      <c r="H163" s="3396"/>
      <c r="I163" s="3396"/>
      <c r="J163" s="3396"/>
      <c r="K163" s="3396"/>
      <c r="L163" s="3396"/>
      <c r="M163" s="3396"/>
      <c r="N163" s="3396"/>
      <c r="O163" s="3396"/>
      <c r="P163" s="3396"/>
      <c r="Q163" s="3396"/>
      <c r="R163" s="3396"/>
      <c r="S163" s="3396"/>
      <c r="T163" s="3396"/>
      <c r="U163" s="3396"/>
      <c r="V163" s="3396"/>
      <c r="W163" s="3396"/>
      <c r="X163" s="3396"/>
      <c r="Y163" s="3396"/>
      <c r="Z163" s="790" t="s">
        <v>103</v>
      </c>
      <c r="AA163" s="2195" t="s">
        <v>102</v>
      </c>
      <c r="AB163" s="1275" t="s">
        <v>1208</v>
      </c>
      <c r="AC163" s="1265">
        <v>16141.58</v>
      </c>
      <c r="AD163" s="1275" t="str">
        <f>AB163</f>
        <v>  Прочие собственные средства</v>
      </c>
      <c r="AE163" s="1265">
        <v>13617.49818</v>
      </c>
      <c r="AF163" s="3397"/>
      <c r="AG163" s="3398"/>
      <c r="AH163" s="3398"/>
      <c r="AI163" s="3397"/>
      <c r="AJ163" s="3398"/>
      <c r="AK163" s="3399"/>
      <c r="AL163" s="2079"/>
      <c r="AM163" s="1917"/>
      <c r="AN163" s="1917"/>
      <c r="AO163" s="1917"/>
      <c r="AP163" s="1917"/>
      <c r="AQ163" s="1917"/>
      <c r="AR163" s="1917"/>
      <c r="AS163" s="1917"/>
      <c r="AT163" s="1917"/>
      <c r="AU163" s="1917"/>
      <c r="AV163" s="1917"/>
      <c r="AW163" s="1917"/>
      <c r="AX163" s="1917"/>
      <c r="AY163" s="1917"/>
      <c r="AZ163" s="1917"/>
      <c r="BA163" s="1917"/>
      <c r="BB163" s="1917"/>
      <c r="BC163" s="1917"/>
      <c r="BD163" s="1917"/>
      <c r="BE163" s="1917"/>
      <c r="BF163" s="1917"/>
    </row>
    <row s="10365" customFormat="1" customHeight="1" ht="11.25">
      <c r="A164" s="1262" t="s">
        <v>1194</v>
      </c>
      <c r="B164" s="1262"/>
      <c r="C164" s="1262"/>
      <c r="D164" s="1462"/>
      <c r="E164" s="1266"/>
      <c r="F164" s="3394"/>
      <c r="G164" s="3396"/>
      <c r="H164" s="3263" t="s">
        <v>1240</v>
      </c>
      <c r="I164" s="3374"/>
      <c r="J164" s="3334"/>
      <c r="K164" s="3372"/>
      <c r="L164" s="2989"/>
      <c r="M164" s="2990"/>
      <c r="N164" s="3341"/>
      <c r="O164" s="3377"/>
      <c r="P164" s="3345"/>
      <c r="Q164" s="3236"/>
      <c r="R164" s="3236"/>
      <c r="S164" s="3346"/>
      <c r="T164" s="3236"/>
      <c r="U164" s="3236"/>
      <c r="V164" s="3236"/>
      <c r="W164" s="3236"/>
      <c r="X164" s="3236"/>
      <c r="Y164" s="3236"/>
      <c r="Z164" s="1271"/>
      <c r="AA164" s="1272"/>
      <c r="AB164" s="1337" t="s">
        <v>1203</v>
      </c>
      <c r="AC164" s="1276"/>
      <c r="AD164" s="1276"/>
      <c r="AE164" s="1278"/>
      <c r="AF164" s="3375"/>
      <c r="AG164" s="3376"/>
      <c r="AH164" s="3376"/>
      <c r="AI164" s="3375"/>
      <c r="AJ164" s="3376"/>
      <c r="AK164" s="3376"/>
      <c r="AL164" s="2079"/>
      <c r="AM164" s="1917"/>
      <c r="AN164" s="1917"/>
      <c r="AO164" s="1917"/>
      <c r="AP164" s="1917"/>
      <c r="AQ164" s="1917"/>
      <c r="AR164" s="1917"/>
      <c r="AS164" s="1917"/>
      <c r="AT164" s="1917"/>
      <c r="AU164" s="1917"/>
      <c r="AV164" s="1917"/>
      <c r="AW164" s="1917"/>
      <c r="AX164" s="1917"/>
      <c r="AY164" s="1917"/>
      <c r="AZ164" s="1917"/>
      <c r="BA164" s="1917"/>
      <c r="BB164" s="1917"/>
      <c r="BC164" s="1917"/>
      <c r="BD164" s="1917"/>
      <c r="BE164" s="1917"/>
      <c r="BF164" s="1917"/>
    </row>
    <row s="10365" customFormat="1" customHeight="1" ht="11.25">
      <c r="A165" s="1262" t="s">
        <v>1194</v>
      </c>
      <c r="B165" s="1262"/>
      <c r="C165" s="1262"/>
      <c r="D165" s="1462"/>
      <c r="E165" s="1266"/>
      <c r="F165" s="3394"/>
      <c r="G165" s="3396"/>
      <c r="H165" s="3263" t="s">
        <v>1240</v>
      </c>
      <c r="I165" s="3374"/>
      <c r="J165" s="3334"/>
      <c r="K165" s="3372"/>
      <c r="L165" s="2989"/>
      <c r="M165" s="2990"/>
      <c r="N165" s="1271"/>
      <c r="O165" s="1272"/>
      <c r="P165" s="1337" t="s">
        <v>1204</v>
      </c>
      <c r="Q165" s="1272"/>
      <c r="R165" s="1272"/>
      <c r="S165" s="1272"/>
      <c r="T165" s="1272"/>
      <c r="U165" s="1272"/>
      <c r="V165" s="1272"/>
      <c r="W165" s="1272"/>
      <c r="X165" s="1272"/>
      <c r="Y165" s="1272"/>
      <c r="Z165" s="1272"/>
      <c r="AA165" s="1272"/>
      <c r="AB165" s="1272"/>
      <c r="AC165" s="1272"/>
      <c r="AD165" s="1272"/>
      <c r="AE165" s="1279"/>
      <c r="AF165" s="3375"/>
      <c r="AG165" s="3376"/>
      <c r="AH165" s="3376"/>
      <c r="AI165" s="3375"/>
      <c r="AJ165" s="3376"/>
      <c r="AK165" s="3376"/>
      <c r="AL165" s="2079"/>
      <c r="AM165" s="1917"/>
      <c r="AN165" s="1917"/>
      <c r="AO165" s="1917"/>
      <c r="AP165" s="1917"/>
      <c r="AQ165" s="1917"/>
      <c r="AR165" s="1917"/>
      <c r="AS165" s="1917"/>
      <c r="AT165" s="1917"/>
      <c r="AU165" s="1917"/>
      <c r="AV165" s="1917"/>
      <c r="AW165" s="1917"/>
      <c r="AX165" s="1917"/>
      <c r="AY165" s="1917"/>
      <c r="AZ165" s="1917"/>
      <c r="BA165" s="1917"/>
      <c r="BB165" s="1917"/>
      <c r="BC165" s="1917"/>
      <c r="BD165" s="1917"/>
      <c r="BE165" s="1917"/>
      <c r="BF165" s="1917"/>
    </row>
    <row s="10365" customFormat="1" customHeight="1" ht="11.25">
      <c r="A166" s="1262" t="s">
        <v>1194</v>
      </c>
      <c r="B166" s="1262" t="s">
        <v>1195</v>
      </c>
      <c r="C166" s="1262"/>
      <c r="D166" s="1462"/>
      <c r="E166" s="1266"/>
      <c r="F166" s="3394"/>
      <c r="G166" s="3004" t="s">
        <v>103</v>
      </c>
      <c r="H166" s="3263" t="s">
        <v>1246</v>
      </c>
      <c r="I166" s="3374" t="s">
        <v>1196</v>
      </c>
      <c r="J166" s="3334" t="s">
        <v>1219</v>
      </c>
      <c r="K166" s="3372" t="s">
        <v>1247</v>
      </c>
      <c r="L166" s="2989" t="s">
        <v>19</v>
      </c>
      <c r="M166" s="2990"/>
      <c r="N166" s="2077"/>
      <c r="O166" s="1273" t="s">
        <v>461</v>
      </c>
      <c r="P166" s="1274"/>
      <c r="Q166" s="1274"/>
      <c r="R166" s="1274"/>
      <c r="S166" s="1274"/>
      <c r="T166" s="1274"/>
      <c r="U166" s="1274"/>
      <c r="V166" s="1274"/>
      <c r="W166" s="1274"/>
      <c r="X166" s="1274"/>
      <c r="Y166" s="1274"/>
      <c r="Z166" s="1274"/>
      <c r="AA166" s="1274"/>
      <c r="AB166" s="1274"/>
      <c r="AC166" s="1274"/>
      <c r="AD166" s="1274"/>
      <c r="AE166" s="1274"/>
      <c r="AF166" s="3375">
        <v>8</v>
      </c>
      <c r="AG166" s="3376" t="s">
        <v>1199</v>
      </c>
      <c r="AH166" s="3376" t="s">
        <v>1245</v>
      </c>
      <c r="AI166" s="3375">
        <v>8</v>
      </c>
      <c r="AJ166" s="3376" t="s">
        <v>1199</v>
      </c>
      <c r="AK166" s="3376" t="s">
        <v>1245</v>
      </c>
      <c r="AL166" s="2079"/>
      <c r="AM166" s="1917"/>
      <c r="AN166" s="1917"/>
      <c r="AO166" s="1917"/>
      <c r="AP166" s="1917"/>
      <c r="AQ166" s="1917"/>
      <c r="AR166" s="1917"/>
      <c r="AS166" s="1917"/>
      <c r="AT166" s="1917"/>
      <c r="AU166" s="1917"/>
      <c r="AV166" s="1917"/>
      <c r="AW166" s="1917"/>
      <c r="AX166" s="1917"/>
      <c r="AY166" s="1917"/>
      <c r="AZ166" s="1917"/>
      <c r="BA166" s="1917"/>
      <c r="BB166" s="1917"/>
      <c r="BC166" s="1917"/>
      <c r="BD166" s="1917"/>
      <c r="BE166" s="1917"/>
      <c r="BF166" s="1917"/>
    </row>
    <row s="10365" customFormat="1" customHeight="1" ht="11.25">
      <c r="A167" s="1262" t="s">
        <v>1194</v>
      </c>
      <c r="B167" s="1262"/>
      <c r="C167" s="1262"/>
      <c r="D167" s="1462"/>
      <c r="E167" s="1266"/>
      <c r="F167" s="3394"/>
      <c r="G167" s="3396"/>
      <c r="H167" s="3263" t="s">
        <v>1243</v>
      </c>
      <c r="I167" s="3374"/>
      <c r="J167" s="3334"/>
      <c r="K167" s="3372"/>
      <c r="L167" s="2989"/>
      <c r="M167" s="2990"/>
      <c r="N167" s="3341"/>
      <c r="O167" s="3377">
        <v>1</v>
      </c>
      <c r="P167" s="3343" t="s">
        <v>19</v>
      </c>
      <c r="Q167" s="3236" t="s">
        <v>22</v>
      </c>
      <c r="R167" s="3236" t="s">
        <v>22</v>
      </c>
      <c r="S167" s="3236" t="s">
        <v>22</v>
      </c>
      <c r="T167" s="3236" t="s">
        <v>22</v>
      </c>
      <c r="U167" s="3236" t="s">
        <v>22</v>
      </c>
      <c r="V167" s="3236" t="s">
        <v>22</v>
      </c>
      <c r="W167" s="3236" t="s">
        <v>22</v>
      </c>
      <c r="X167" s="3236" t="s">
        <v>22</v>
      </c>
      <c r="Y167" s="3236"/>
      <c r="Z167" s="1271"/>
      <c r="AA167" s="1272"/>
      <c r="AB167" s="1272"/>
      <c r="AC167" s="1276"/>
      <c r="AD167" s="1276"/>
      <c r="AE167" s="1277"/>
      <c r="AF167" s="3375"/>
      <c r="AG167" s="3376"/>
      <c r="AH167" s="3376"/>
      <c r="AI167" s="3375"/>
      <c r="AJ167" s="3376"/>
      <c r="AK167" s="3376"/>
      <c r="AL167" s="2079"/>
      <c r="AM167" s="1917"/>
      <c r="AN167" s="1917"/>
      <c r="AO167" s="1917"/>
      <c r="AP167" s="1917"/>
      <c r="AQ167" s="1917"/>
      <c r="AR167" s="1917"/>
      <c r="AS167" s="1917"/>
      <c r="AT167" s="1917"/>
      <c r="AU167" s="1917"/>
      <c r="AV167" s="1917"/>
      <c r="AW167" s="1917"/>
      <c r="AX167" s="1917"/>
      <c r="AY167" s="1917"/>
      <c r="AZ167" s="1917"/>
      <c r="BA167" s="1917"/>
      <c r="BB167" s="1917"/>
      <c r="BC167" s="1917"/>
      <c r="BD167" s="1917"/>
      <c r="BE167" s="1917"/>
      <c r="BF167" s="1917"/>
    </row>
    <row s="10365" customFormat="1" customHeight="1" ht="11.25">
      <c r="A168" s="1262" t="s">
        <v>1194</v>
      </c>
      <c r="B168" s="1262"/>
      <c r="C168" s="1262"/>
      <c r="D168" s="1462"/>
      <c r="E168" s="1266"/>
      <c r="F168" s="3394"/>
      <c r="G168" s="3396"/>
      <c r="H168" s="3263" t="s">
        <v>1243</v>
      </c>
      <c r="I168" s="3374"/>
      <c r="J168" s="3334"/>
      <c r="K168" s="3372"/>
      <c r="L168" s="2989"/>
      <c r="M168" s="2990"/>
      <c r="N168" s="3341"/>
      <c r="O168" s="3377"/>
      <c r="P168" s="3344"/>
      <c r="Q168" s="3236"/>
      <c r="R168" s="3236"/>
      <c r="S168" s="3346"/>
      <c r="T168" s="3236"/>
      <c r="U168" s="3236"/>
      <c r="V168" s="3236"/>
      <c r="W168" s="3236"/>
      <c r="X168" s="3236"/>
      <c r="Y168" s="3236"/>
      <c r="Z168" s="1922"/>
      <c r="AA168" s="2198">
        <v>1</v>
      </c>
      <c r="AB168" s="1275" t="s">
        <v>1242</v>
      </c>
      <c r="AC168" s="1265">
        <v>27169.84</v>
      </c>
      <c r="AD168" s="1275" t="str">
        <f>AB168</f>
        <v>  За счет платы за технологическое присоединение</v>
      </c>
      <c r="AE168" s="1265">
        <v>23708.6</v>
      </c>
      <c r="AF168" s="3375"/>
      <c r="AG168" s="3376"/>
      <c r="AH168" s="3376"/>
      <c r="AI168" s="3375"/>
      <c r="AJ168" s="3376"/>
      <c r="AK168" s="3376"/>
      <c r="AL168" s="2079"/>
      <c r="AM168" s="1917"/>
      <c r="AN168" s="1917"/>
      <c r="AO168" s="1917"/>
      <c r="AP168" s="1917"/>
      <c r="AQ168" s="1917"/>
      <c r="AR168" s="1917"/>
      <c r="AS168" s="1917"/>
      <c r="AT168" s="1917"/>
      <c r="AU168" s="1917"/>
      <c r="AV168" s="1917"/>
      <c r="AW168" s="1917"/>
      <c r="AX168" s="1917"/>
      <c r="AY168" s="1917"/>
      <c r="AZ168" s="1917"/>
      <c r="BA168" s="1917"/>
      <c r="BB168" s="1917"/>
      <c r="BC168" s="1917"/>
      <c r="BD168" s="1917"/>
      <c r="BE168" s="1917"/>
      <c r="BF168" s="1917"/>
    </row>
    <row s="10365" customFormat="1" customHeight="1" ht="11.25">
      <c r="A169" s="1262" t="s">
        <v>1194</v>
      </c>
      <c r="B169" s="1262"/>
      <c r="C169" s="1262"/>
      <c r="D169" s="1462"/>
      <c r="E169" s="1266"/>
      <c r="F169" s="3394"/>
      <c r="G169" s="3396"/>
      <c r="H169" s="3396"/>
      <c r="I169" s="3396"/>
      <c r="J169" s="3396"/>
      <c r="K169" s="3396"/>
      <c r="L169" s="3396"/>
      <c r="M169" s="3396"/>
      <c r="N169" s="3396"/>
      <c r="O169" s="3396"/>
      <c r="P169" s="3396"/>
      <c r="Q169" s="3396"/>
      <c r="R169" s="3396"/>
      <c r="S169" s="3396"/>
      <c r="T169" s="3396"/>
      <c r="U169" s="3396"/>
      <c r="V169" s="3396"/>
      <c r="W169" s="3396"/>
      <c r="X169" s="3396"/>
      <c r="Y169" s="3396"/>
      <c r="Z169" s="790" t="s">
        <v>103</v>
      </c>
      <c r="AA169" s="2195" t="s">
        <v>102</v>
      </c>
      <c r="AB169" s="1275" t="s">
        <v>1208</v>
      </c>
      <c r="AC169" s="1265">
        <v>5433.97</v>
      </c>
      <c r="AD169" s="1275" t="str">
        <f>AB169</f>
        <v>  Прочие собственные средства</v>
      </c>
      <c r="AE169" s="1265">
        <v>4741.72103</v>
      </c>
      <c r="AF169" s="3397"/>
      <c r="AG169" s="3398"/>
      <c r="AH169" s="3398"/>
      <c r="AI169" s="3397"/>
      <c r="AJ169" s="3398"/>
      <c r="AK169" s="3399"/>
      <c r="AL169" s="2079"/>
      <c r="AM169" s="1917"/>
      <c r="AN169" s="1917"/>
      <c r="AO169" s="1917"/>
      <c r="AP169" s="1917"/>
      <c r="AQ169" s="1917"/>
      <c r="AR169" s="1917"/>
      <c r="AS169" s="1917"/>
      <c r="AT169" s="1917"/>
      <c r="AU169" s="1917"/>
      <c r="AV169" s="1917"/>
      <c r="AW169" s="1917"/>
      <c r="AX169" s="1917"/>
      <c r="AY169" s="1917"/>
      <c r="AZ169" s="1917"/>
      <c r="BA169" s="1917"/>
      <c r="BB169" s="1917"/>
      <c r="BC169" s="1917"/>
      <c r="BD169" s="1917"/>
      <c r="BE169" s="1917"/>
      <c r="BF169" s="1917"/>
    </row>
    <row s="10365" customFormat="1" customHeight="1" ht="11.25">
      <c r="A170" s="1262" t="s">
        <v>1194</v>
      </c>
      <c r="B170" s="1262"/>
      <c r="C170" s="1262"/>
      <c r="D170" s="1462"/>
      <c r="E170" s="1266"/>
      <c r="F170" s="3394"/>
      <c r="G170" s="3396"/>
      <c r="H170" s="3263" t="s">
        <v>1243</v>
      </c>
      <c r="I170" s="3374"/>
      <c r="J170" s="3334"/>
      <c r="K170" s="3372"/>
      <c r="L170" s="2989"/>
      <c r="M170" s="2990"/>
      <c r="N170" s="3341"/>
      <c r="O170" s="3377"/>
      <c r="P170" s="3345"/>
      <c r="Q170" s="3236"/>
      <c r="R170" s="3236"/>
      <c r="S170" s="3346"/>
      <c r="T170" s="3236"/>
      <c r="U170" s="3236"/>
      <c r="V170" s="3236"/>
      <c r="W170" s="3236"/>
      <c r="X170" s="3236"/>
      <c r="Y170" s="3236"/>
      <c r="Z170" s="1271"/>
      <c r="AA170" s="1272"/>
      <c r="AB170" s="1337" t="s">
        <v>1203</v>
      </c>
      <c r="AC170" s="1276"/>
      <c r="AD170" s="1276"/>
      <c r="AE170" s="1278"/>
      <c r="AF170" s="3375"/>
      <c r="AG170" s="3376"/>
      <c r="AH170" s="3376"/>
      <c r="AI170" s="3375"/>
      <c r="AJ170" s="3376"/>
      <c r="AK170" s="3376"/>
      <c r="AL170" s="2079"/>
      <c r="AM170" s="1917"/>
      <c r="AN170" s="1917"/>
      <c r="AO170" s="1917"/>
      <c r="AP170" s="1917"/>
      <c r="AQ170" s="1917"/>
      <c r="AR170" s="1917"/>
      <c r="AS170" s="1917"/>
      <c r="AT170" s="1917"/>
      <c r="AU170" s="1917"/>
      <c r="AV170" s="1917"/>
      <c r="AW170" s="1917"/>
      <c r="AX170" s="1917"/>
      <c r="AY170" s="1917"/>
      <c r="AZ170" s="1917"/>
      <c r="BA170" s="1917"/>
      <c r="BB170" s="1917"/>
      <c r="BC170" s="1917"/>
      <c r="BD170" s="1917"/>
      <c r="BE170" s="1917"/>
      <c r="BF170" s="1917"/>
    </row>
    <row s="10365" customFormat="1" customHeight="1" ht="11.25">
      <c r="A171" s="1262" t="s">
        <v>1194</v>
      </c>
      <c r="B171" s="1262"/>
      <c r="C171" s="1262"/>
      <c r="D171" s="1462"/>
      <c r="E171" s="1266"/>
      <c r="F171" s="3394"/>
      <c r="G171" s="3396"/>
      <c r="H171" s="3263" t="s">
        <v>1243</v>
      </c>
      <c r="I171" s="3374"/>
      <c r="J171" s="3334"/>
      <c r="K171" s="3372"/>
      <c r="L171" s="2989"/>
      <c r="M171" s="2990"/>
      <c r="N171" s="1271"/>
      <c r="O171" s="1272"/>
      <c r="P171" s="1337" t="s">
        <v>1204</v>
      </c>
      <c r="Q171" s="1272"/>
      <c r="R171" s="1272"/>
      <c r="S171" s="1272"/>
      <c r="T171" s="1272"/>
      <c r="U171" s="1272"/>
      <c r="V171" s="1272"/>
      <c r="W171" s="1272"/>
      <c r="X171" s="1272"/>
      <c r="Y171" s="1272"/>
      <c r="Z171" s="1272"/>
      <c r="AA171" s="1272"/>
      <c r="AB171" s="1272"/>
      <c r="AC171" s="1272"/>
      <c r="AD171" s="1272"/>
      <c r="AE171" s="1279"/>
      <c r="AF171" s="3375"/>
      <c r="AG171" s="3376"/>
      <c r="AH171" s="3376"/>
      <c r="AI171" s="3375"/>
      <c r="AJ171" s="3376"/>
      <c r="AK171" s="3376"/>
      <c r="AL171" s="2079"/>
      <c r="AM171" s="1917"/>
      <c r="AN171" s="1917"/>
      <c r="AO171" s="1917"/>
      <c r="AP171" s="1917"/>
      <c r="AQ171" s="1917"/>
      <c r="AR171" s="1917"/>
      <c r="AS171" s="1917"/>
      <c r="AT171" s="1917"/>
      <c r="AU171" s="1917"/>
      <c r="AV171" s="1917"/>
      <c r="AW171" s="1917"/>
      <c r="AX171" s="1917"/>
      <c r="AY171" s="1917"/>
      <c r="AZ171" s="1917"/>
      <c r="BA171" s="1917"/>
      <c r="BB171" s="1917"/>
      <c r="BC171" s="1917"/>
      <c r="BD171" s="1917"/>
      <c r="BE171" s="1917"/>
      <c r="BF171" s="1917"/>
    </row>
    <row s="10365" customFormat="1" customHeight="1" ht="11.25">
      <c r="A172" s="1262" t="s">
        <v>1194</v>
      </c>
      <c r="B172" s="1262" t="s">
        <v>1195</v>
      </c>
      <c r="C172" s="1262"/>
      <c r="D172" s="1462"/>
      <c r="E172" s="1266"/>
      <c r="F172" s="3394"/>
      <c r="G172" s="3004" t="s">
        <v>103</v>
      </c>
      <c r="H172" s="3263" t="s">
        <v>1248</v>
      </c>
      <c r="I172" s="3374" t="s">
        <v>1196</v>
      </c>
      <c r="J172" s="3334" t="s">
        <v>1219</v>
      </c>
      <c r="K172" s="3372" t="s">
        <v>1249</v>
      </c>
      <c r="L172" s="2989" t="s">
        <v>19</v>
      </c>
      <c r="M172" s="2990"/>
      <c r="N172" s="2077"/>
      <c r="O172" s="1273" t="s">
        <v>461</v>
      </c>
      <c r="P172" s="1274"/>
      <c r="Q172" s="1274"/>
      <c r="R172" s="1274"/>
      <c r="S172" s="1274"/>
      <c r="T172" s="1274"/>
      <c r="U172" s="1274"/>
      <c r="V172" s="1274"/>
      <c r="W172" s="1274"/>
      <c r="X172" s="1274"/>
      <c r="Y172" s="1274"/>
      <c r="Z172" s="1274"/>
      <c r="AA172" s="1274"/>
      <c r="AB172" s="1274"/>
      <c r="AC172" s="1274"/>
      <c r="AD172" s="1274"/>
      <c r="AE172" s="1274"/>
      <c r="AF172" s="3375">
        <v>8</v>
      </c>
      <c r="AG172" s="3376" t="s">
        <v>1199</v>
      </c>
      <c r="AH172" s="3376" t="s">
        <v>1245</v>
      </c>
      <c r="AI172" s="3375">
        <v>8</v>
      </c>
      <c r="AJ172" s="3376" t="s">
        <v>1199</v>
      </c>
      <c r="AK172" s="3376" t="s">
        <v>1245</v>
      </c>
      <c r="AL172" s="2079"/>
      <c r="AM172" s="1917"/>
      <c r="AN172" s="1917"/>
      <c r="AO172" s="1917"/>
      <c r="AP172" s="1917"/>
      <c r="AQ172" s="1917"/>
      <c r="AR172" s="1917"/>
      <c r="AS172" s="1917"/>
      <c r="AT172" s="1917"/>
      <c r="AU172" s="1917"/>
      <c r="AV172" s="1917"/>
      <c r="AW172" s="1917"/>
      <c r="AX172" s="1917"/>
      <c r="AY172" s="1917"/>
      <c r="AZ172" s="1917"/>
      <c r="BA172" s="1917"/>
      <c r="BB172" s="1917"/>
      <c r="BC172" s="1917"/>
      <c r="BD172" s="1917"/>
      <c r="BE172" s="1917"/>
      <c r="BF172" s="1917"/>
    </row>
    <row s="10365" customFormat="1" customHeight="1" ht="11.25">
      <c r="A173" s="1262" t="s">
        <v>1194</v>
      </c>
      <c r="B173" s="1262"/>
      <c r="C173" s="1262"/>
      <c r="D173" s="1462"/>
      <c r="E173" s="1266"/>
      <c r="F173" s="3394"/>
      <c r="G173" s="3396"/>
      <c r="H173" s="3263" t="s">
        <v>1246</v>
      </c>
      <c r="I173" s="3374"/>
      <c r="J173" s="3334"/>
      <c r="K173" s="3372"/>
      <c r="L173" s="2989"/>
      <c r="M173" s="2990"/>
      <c r="N173" s="3341"/>
      <c r="O173" s="3377">
        <v>1</v>
      </c>
      <c r="P173" s="3343" t="s">
        <v>19</v>
      </c>
      <c r="Q173" s="3236" t="s">
        <v>22</v>
      </c>
      <c r="R173" s="3236" t="s">
        <v>22</v>
      </c>
      <c r="S173" s="3236" t="s">
        <v>22</v>
      </c>
      <c r="T173" s="3236" t="s">
        <v>22</v>
      </c>
      <c r="U173" s="3236" t="s">
        <v>22</v>
      </c>
      <c r="V173" s="3236" t="s">
        <v>22</v>
      </c>
      <c r="W173" s="3236" t="s">
        <v>22</v>
      </c>
      <c r="X173" s="3236" t="s">
        <v>22</v>
      </c>
      <c r="Y173" s="3236"/>
      <c r="Z173" s="1271"/>
      <c r="AA173" s="1272"/>
      <c r="AB173" s="1272"/>
      <c r="AC173" s="1276"/>
      <c r="AD173" s="1276"/>
      <c r="AE173" s="1277"/>
      <c r="AF173" s="3375"/>
      <c r="AG173" s="3376"/>
      <c r="AH173" s="3376"/>
      <c r="AI173" s="3375"/>
      <c r="AJ173" s="3376"/>
      <c r="AK173" s="3376"/>
      <c r="AL173" s="2079"/>
      <c r="AM173" s="1917"/>
      <c r="AN173" s="1917"/>
      <c r="AO173" s="1917"/>
      <c r="AP173" s="1917"/>
      <c r="AQ173" s="1917"/>
      <c r="AR173" s="1917"/>
      <c r="AS173" s="1917"/>
      <c r="AT173" s="1917"/>
      <c r="AU173" s="1917"/>
      <c r="AV173" s="1917"/>
      <c r="AW173" s="1917"/>
      <c r="AX173" s="1917"/>
      <c r="AY173" s="1917"/>
      <c r="AZ173" s="1917"/>
      <c r="BA173" s="1917"/>
      <c r="BB173" s="1917"/>
      <c r="BC173" s="1917"/>
      <c r="BD173" s="1917"/>
      <c r="BE173" s="1917"/>
      <c r="BF173" s="1917"/>
    </row>
    <row s="10365" customFormat="1" customHeight="1" ht="11.25">
      <c r="A174" s="1262" t="s">
        <v>1194</v>
      </c>
      <c r="B174" s="1262"/>
      <c r="C174" s="1262"/>
      <c r="D174" s="1462"/>
      <c r="E174" s="1266"/>
      <c r="F174" s="3394"/>
      <c r="G174" s="3396"/>
      <c r="H174" s="3263" t="s">
        <v>1246</v>
      </c>
      <c r="I174" s="3374"/>
      <c r="J174" s="3334"/>
      <c r="K174" s="3372"/>
      <c r="L174" s="2989"/>
      <c r="M174" s="2990"/>
      <c r="N174" s="3341"/>
      <c r="O174" s="3377"/>
      <c r="P174" s="3344"/>
      <c r="Q174" s="3236"/>
      <c r="R174" s="3236"/>
      <c r="S174" s="3346"/>
      <c r="T174" s="3236"/>
      <c r="U174" s="3236"/>
      <c r="V174" s="3236"/>
      <c r="W174" s="3236"/>
      <c r="X174" s="3236"/>
      <c r="Y174" s="3236"/>
      <c r="Z174" s="1922"/>
      <c r="AA174" s="2198">
        <v>1</v>
      </c>
      <c r="AB174" s="1275" t="s">
        <v>1242</v>
      </c>
      <c r="AC174" s="1265">
        <v>18090</v>
      </c>
      <c r="AD174" s="1275" t="str">
        <f>AB174</f>
        <v>  За счет платы за технологическое присоединение</v>
      </c>
      <c r="AE174" s="1265">
        <v>5763.83648</v>
      </c>
      <c r="AF174" s="3375"/>
      <c r="AG174" s="3376"/>
      <c r="AH174" s="3376"/>
      <c r="AI174" s="3375"/>
      <c r="AJ174" s="3376"/>
      <c r="AK174" s="3376"/>
      <c r="AL174" s="2079"/>
      <c r="AM174" s="1917"/>
      <c r="AN174" s="1917"/>
      <c r="AO174" s="1917"/>
      <c r="AP174" s="1917"/>
      <c r="AQ174" s="1917"/>
      <c r="AR174" s="1917"/>
      <c r="AS174" s="1917"/>
      <c r="AT174" s="1917"/>
      <c r="AU174" s="1917"/>
      <c r="AV174" s="1917"/>
      <c r="AW174" s="1917"/>
      <c r="AX174" s="1917"/>
      <c r="AY174" s="1917"/>
      <c r="AZ174" s="1917"/>
      <c r="BA174" s="1917"/>
      <c r="BB174" s="1917"/>
      <c r="BC174" s="1917"/>
      <c r="BD174" s="1917"/>
      <c r="BE174" s="1917"/>
      <c r="BF174" s="1917"/>
    </row>
    <row s="10365" customFormat="1" customHeight="1" ht="11.25">
      <c r="A175" s="1262" t="s">
        <v>1194</v>
      </c>
      <c r="B175" s="1262"/>
      <c r="C175" s="1262"/>
      <c r="D175" s="1462"/>
      <c r="E175" s="1266"/>
      <c r="F175" s="3394"/>
      <c r="G175" s="3396"/>
      <c r="H175" s="3396"/>
      <c r="I175" s="3396"/>
      <c r="J175" s="3396"/>
      <c r="K175" s="3396"/>
      <c r="L175" s="3396"/>
      <c r="M175" s="3396"/>
      <c r="N175" s="3396"/>
      <c r="O175" s="3396"/>
      <c r="P175" s="3396"/>
      <c r="Q175" s="3396"/>
      <c r="R175" s="3396"/>
      <c r="S175" s="3396"/>
      <c r="T175" s="3396"/>
      <c r="U175" s="3396"/>
      <c r="V175" s="3396"/>
      <c r="W175" s="3396"/>
      <c r="X175" s="3396"/>
      <c r="Y175" s="3396"/>
      <c r="Z175" s="790" t="s">
        <v>103</v>
      </c>
      <c r="AA175" s="2195" t="s">
        <v>102</v>
      </c>
      <c r="AB175" s="1275" t="s">
        <v>1208</v>
      </c>
      <c r="AC175" s="1265">
        <v>3618</v>
      </c>
      <c r="AD175" s="1275" t="str">
        <f>AB175</f>
        <v>  Прочие собственные средства</v>
      </c>
      <c r="AE175" s="1265">
        <v>0</v>
      </c>
      <c r="AF175" s="3397"/>
      <c r="AG175" s="3398"/>
      <c r="AH175" s="3398"/>
      <c r="AI175" s="3397"/>
      <c r="AJ175" s="3398"/>
      <c r="AK175" s="3399"/>
      <c r="AL175" s="2079"/>
      <c r="AM175" s="1917"/>
      <c r="AN175" s="1917"/>
      <c r="AO175" s="1917"/>
      <c r="AP175" s="1917"/>
      <c r="AQ175" s="1917"/>
      <c r="AR175" s="1917"/>
      <c r="AS175" s="1917"/>
      <c r="AT175" s="1917"/>
      <c r="AU175" s="1917"/>
      <c r="AV175" s="1917"/>
      <c r="AW175" s="1917"/>
      <c r="AX175" s="1917"/>
      <c r="AY175" s="1917"/>
      <c r="AZ175" s="1917"/>
      <c r="BA175" s="1917"/>
      <c r="BB175" s="1917"/>
      <c r="BC175" s="1917"/>
      <c r="BD175" s="1917"/>
      <c r="BE175" s="1917"/>
      <c r="BF175" s="1917"/>
    </row>
    <row s="10365" customFormat="1" customHeight="1" ht="11.25">
      <c r="A176" s="1262" t="s">
        <v>1194</v>
      </c>
      <c r="B176" s="1262"/>
      <c r="C176" s="1262"/>
      <c r="D176" s="1462"/>
      <c r="E176" s="1266"/>
      <c r="F176" s="3394"/>
      <c r="G176" s="3396"/>
      <c r="H176" s="3263" t="s">
        <v>1246</v>
      </c>
      <c r="I176" s="3374"/>
      <c r="J176" s="3334"/>
      <c r="K176" s="3372"/>
      <c r="L176" s="2989"/>
      <c r="M176" s="2990"/>
      <c r="N176" s="3341"/>
      <c r="O176" s="3377"/>
      <c r="P176" s="3345"/>
      <c r="Q176" s="3236"/>
      <c r="R176" s="3236"/>
      <c r="S176" s="3346"/>
      <c r="T176" s="3236"/>
      <c r="U176" s="3236"/>
      <c r="V176" s="3236"/>
      <c r="W176" s="3236"/>
      <c r="X176" s="3236"/>
      <c r="Y176" s="3236"/>
      <c r="Z176" s="1271"/>
      <c r="AA176" s="1272"/>
      <c r="AB176" s="1337" t="s">
        <v>1203</v>
      </c>
      <c r="AC176" s="1276"/>
      <c r="AD176" s="1276"/>
      <c r="AE176" s="1278"/>
      <c r="AF176" s="3375"/>
      <c r="AG176" s="3376"/>
      <c r="AH176" s="3376"/>
      <c r="AI176" s="3375"/>
      <c r="AJ176" s="3376"/>
      <c r="AK176" s="3376"/>
      <c r="AL176" s="2079"/>
      <c r="AM176" s="1917"/>
      <c r="AN176" s="1917"/>
      <c r="AO176" s="1917"/>
      <c r="AP176" s="1917"/>
      <c r="AQ176" s="1917"/>
      <c r="AR176" s="1917"/>
      <c r="AS176" s="1917"/>
      <c r="AT176" s="1917"/>
      <c r="AU176" s="1917"/>
      <c r="AV176" s="1917"/>
      <c r="AW176" s="1917"/>
      <c r="AX176" s="1917"/>
      <c r="AY176" s="1917"/>
      <c r="AZ176" s="1917"/>
      <c r="BA176" s="1917"/>
      <c r="BB176" s="1917"/>
      <c r="BC176" s="1917"/>
      <c r="BD176" s="1917"/>
      <c r="BE176" s="1917"/>
      <c r="BF176" s="1917"/>
    </row>
    <row s="10365" customFormat="1" customHeight="1" ht="11.25">
      <c r="A177" s="1262" t="s">
        <v>1194</v>
      </c>
      <c r="B177" s="1262"/>
      <c r="C177" s="1262"/>
      <c r="D177" s="1462"/>
      <c r="E177" s="1266"/>
      <c r="F177" s="3394"/>
      <c r="G177" s="3396"/>
      <c r="H177" s="3263" t="s">
        <v>1246</v>
      </c>
      <c r="I177" s="3374"/>
      <c r="J177" s="3334"/>
      <c r="K177" s="3372"/>
      <c r="L177" s="2989"/>
      <c r="M177" s="2990"/>
      <c r="N177" s="1271"/>
      <c r="O177" s="1272"/>
      <c r="P177" s="1337" t="s">
        <v>1204</v>
      </c>
      <c r="Q177" s="1272"/>
      <c r="R177" s="1272"/>
      <c r="S177" s="1272"/>
      <c r="T177" s="1272"/>
      <c r="U177" s="1272"/>
      <c r="V177" s="1272"/>
      <c r="W177" s="1272"/>
      <c r="X177" s="1272"/>
      <c r="Y177" s="1272"/>
      <c r="Z177" s="1272"/>
      <c r="AA177" s="1272"/>
      <c r="AB177" s="1272"/>
      <c r="AC177" s="1272"/>
      <c r="AD177" s="1272"/>
      <c r="AE177" s="1279"/>
      <c r="AF177" s="3375"/>
      <c r="AG177" s="3376"/>
      <c r="AH177" s="3376"/>
      <c r="AI177" s="3375"/>
      <c r="AJ177" s="3376"/>
      <c r="AK177" s="3376"/>
      <c r="AL177" s="2079"/>
      <c r="AM177" s="1917"/>
      <c r="AN177" s="1917"/>
      <c r="AO177" s="1917"/>
      <c r="AP177" s="1917"/>
      <c r="AQ177" s="1917"/>
      <c r="AR177" s="1917"/>
      <c r="AS177" s="1917"/>
      <c r="AT177" s="1917"/>
      <c r="AU177" s="1917"/>
      <c r="AV177" s="1917"/>
      <c r="AW177" s="1917"/>
      <c r="AX177" s="1917"/>
      <c r="AY177" s="1917"/>
      <c r="AZ177" s="1917"/>
      <c r="BA177" s="1917"/>
      <c r="BB177" s="1917"/>
      <c r="BC177" s="1917"/>
      <c r="BD177" s="1917"/>
      <c r="BE177" s="1917"/>
      <c r="BF177" s="1917"/>
    </row>
    <row s="10365" customFormat="1" customHeight="1" ht="11.25">
      <c r="A178" s="1262" t="s">
        <v>1194</v>
      </c>
      <c r="B178" s="1262" t="s">
        <v>1195</v>
      </c>
      <c r="C178" s="1262"/>
      <c r="D178" s="1462"/>
      <c r="E178" s="1266"/>
      <c r="F178" s="3394"/>
      <c r="G178" s="3004" t="s">
        <v>103</v>
      </c>
      <c r="H178" s="3263" t="s">
        <v>1250</v>
      </c>
      <c r="I178" s="3374" t="s">
        <v>1196</v>
      </c>
      <c r="J178" s="3334" t="s">
        <v>1219</v>
      </c>
      <c r="K178" s="3372" t="s">
        <v>1251</v>
      </c>
      <c r="L178" s="2989" t="s">
        <v>19</v>
      </c>
      <c r="M178" s="2990"/>
      <c r="N178" s="2077"/>
      <c r="O178" s="1273" t="s">
        <v>461</v>
      </c>
      <c r="P178" s="1274"/>
      <c r="Q178" s="1274"/>
      <c r="R178" s="1274"/>
      <c r="S178" s="1274"/>
      <c r="T178" s="1274"/>
      <c r="U178" s="1274"/>
      <c r="V178" s="1274"/>
      <c r="W178" s="1274"/>
      <c r="X178" s="1274"/>
      <c r="Y178" s="1274"/>
      <c r="Z178" s="1274"/>
      <c r="AA178" s="1274"/>
      <c r="AB178" s="1274"/>
      <c r="AC178" s="1274"/>
      <c r="AD178" s="1274"/>
      <c r="AE178" s="1274"/>
      <c r="AF178" s="3375">
        <v>2</v>
      </c>
      <c r="AG178" s="3376" t="s">
        <v>1199</v>
      </c>
      <c r="AH178" s="3376" t="s">
        <v>1210</v>
      </c>
      <c r="AI178" s="3375">
        <v>2</v>
      </c>
      <c r="AJ178" s="3376" t="s">
        <v>1199</v>
      </c>
      <c r="AK178" s="3376" t="s">
        <v>1210</v>
      </c>
      <c r="AL178" s="2079"/>
      <c r="AM178" s="1917"/>
      <c r="AN178" s="1917"/>
      <c r="AO178" s="1917"/>
      <c r="AP178" s="1917"/>
      <c r="AQ178" s="1917"/>
      <c r="AR178" s="1917"/>
      <c r="AS178" s="1917"/>
      <c r="AT178" s="1917"/>
      <c r="AU178" s="1917"/>
      <c r="AV178" s="1917"/>
      <c r="AW178" s="1917"/>
      <c r="AX178" s="1917"/>
      <c r="AY178" s="1917"/>
      <c r="AZ178" s="1917"/>
      <c r="BA178" s="1917"/>
      <c r="BB178" s="1917"/>
      <c r="BC178" s="1917"/>
      <c r="BD178" s="1917"/>
      <c r="BE178" s="1917"/>
      <c r="BF178" s="1917"/>
    </row>
    <row s="10365" customFormat="1" customHeight="1" ht="11.25">
      <c r="A179" s="1262" t="s">
        <v>1194</v>
      </c>
      <c r="B179" s="1262"/>
      <c r="C179" s="1262"/>
      <c r="D179" s="1462"/>
      <c r="E179" s="1266"/>
      <c r="F179" s="3394"/>
      <c r="G179" s="3396"/>
      <c r="H179" s="3263" t="s">
        <v>1248</v>
      </c>
      <c r="I179" s="3374"/>
      <c r="J179" s="3334"/>
      <c r="K179" s="3372"/>
      <c r="L179" s="2989"/>
      <c r="M179" s="2990"/>
      <c r="N179" s="3341"/>
      <c r="O179" s="3377">
        <v>1</v>
      </c>
      <c r="P179" s="3343" t="s">
        <v>19</v>
      </c>
      <c r="Q179" s="3236" t="s">
        <v>22</v>
      </c>
      <c r="R179" s="3236" t="s">
        <v>22</v>
      </c>
      <c r="S179" s="3236" t="s">
        <v>22</v>
      </c>
      <c r="T179" s="3236" t="s">
        <v>22</v>
      </c>
      <c r="U179" s="3236" t="s">
        <v>22</v>
      </c>
      <c r="V179" s="3236" t="s">
        <v>22</v>
      </c>
      <c r="W179" s="3236" t="s">
        <v>22</v>
      </c>
      <c r="X179" s="3236" t="s">
        <v>22</v>
      </c>
      <c r="Y179" s="3236"/>
      <c r="Z179" s="1271"/>
      <c r="AA179" s="1272"/>
      <c r="AB179" s="1272"/>
      <c r="AC179" s="1276"/>
      <c r="AD179" s="1276"/>
      <c r="AE179" s="1277"/>
      <c r="AF179" s="3375"/>
      <c r="AG179" s="3376"/>
      <c r="AH179" s="3376"/>
      <c r="AI179" s="3375"/>
      <c r="AJ179" s="3376"/>
      <c r="AK179" s="3376"/>
      <c r="AL179" s="2079"/>
      <c r="AM179" s="1917"/>
      <c r="AN179" s="1917"/>
      <c r="AO179" s="1917"/>
      <c r="AP179" s="1917"/>
      <c r="AQ179" s="1917"/>
      <c r="AR179" s="1917"/>
      <c r="AS179" s="1917"/>
      <c r="AT179" s="1917"/>
      <c r="AU179" s="1917"/>
      <c r="AV179" s="1917"/>
      <c r="AW179" s="1917"/>
      <c r="AX179" s="1917"/>
      <c r="AY179" s="1917"/>
      <c r="AZ179" s="1917"/>
      <c r="BA179" s="1917"/>
      <c r="BB179" s="1917"/>
      <c r="BC179" s="1917"/>
      <c r="BD179" s="1917"/>
      <c r="BE179" s="1917"/>
      <c r="BF179" s="1917"/>
    </row>
    <row s="10365" customFormat="1" customHeight="1" ht="11.25">
      <c r="A180" s="1262" t="s">
        <v>1194</v>
      </c>
      <c r="B180" s="1262"/>
      <c r="C180" s="1262"/>
      <c r="D180" s="1462"/>
      <c r="E180" s="1266"/>
      <c r="F180" s="3394"/>
      <c r="G180" s="3396"/>
      <c r="H180" s="3263" t="s">
        <v>1248</v>
      </c>
      <c r="I180" s="3374"/>
      <c r="J180" s="3334"/>
      <c r="K180" s="3372"/>
      <c r="L180" s="2989"/>
      <c r="M180" s="2990"/>
      <c r="N180" s="3341"/>
      <c r="O180" s="3377"/>
      <c r="P180" s="3344"/>
      <c r="Q180" s="3236"/>
      <c r="R180" s="3236"/>
      <c r="S180" s="3346"/>
      <c r="T180" s="3236"/>
      <c r="U180" s="3236"/>
      <c r="V180" s="3236"/>
      <c r="W180" s="3236"/>
      <c r="X180" s="3236"/>
      <c r="Y180" s="3236"/>
      <c r="Z180" s="1922"/>
      <c r="AA180" s="2198">
        <v>1</v>
      </c>
      <c r="AB180" s="1275" t="s">
        <v>1242</v>
      </c>
      <c r="AC180" s="1265">
        <v>280.91</v>
      </c>
      <c r="AD180" s="1275" t="str">
        <f>AB180</f>
        <v>  За счет платы за технологическое присоединение</v>
      </c>
      <c r="AE180" s="1265">
        <v>280.9069</v>
      </c>
      <c r="AF180" s="3375"/>
      <c r="AG180" s="3376"/>
      <c r="AH180" s="3376"/>
      <c r="AI180" s="3375"/>
      <c r="AJ180" s="3376"/>
      <c r="AK180" s="3376"/>
      <c r="AL180" s="2079"/>
      <c r="AM180" s="1917"/>
      <c r="AN180" s="1917"/>
      <c r="AO180" s="1917"/>
      <c r="AP180" s="1917"/>
      <c r="AQ180" s="1917"/>
      <c r="AR180" s="1917"/>
      <c r="AS180" s="1917"/>
      <c r="AT180" s="1917"/>
      <c r="AU180" s="1917"/>
      <c r="AV180" s="1917"/>
      <c r="AW180" s="1917"/>
      <c r="AX180" s="1917"/>
      <c r="AY180" s="1917"/>
      <c r="AZ180" s="1917"/>
      <c r="BA180" s="1917"/>
      <c r="BB180" s="1917"/>
      <c r="BC180" s="1917"/>
      <c r="BD180" s="1917"/>
      <c r="BE180" s="1917"/>
      <c r="BF180" s="1917"/>
    </row>
    <row s="10365" customFormat="1" customHeight="1" ht="11.25">
      <c r="A181" s="1262" t="s">
        <v>1194</v>
      </c>
      <c r="B181" s="1262"/>
      <c r="C181" s="1262"/>
      <c r="D181" s="1462"/>
      <c r="E181" s="1266"/>
      <c r="F181" s="3394"/>
      <c r="G181" s="3396"/>
      <c r="H181" s="3396"/>
      <c r="I181" s="3396"/>
      <c r="J181" s="3396"/>
      <c r="K181" s="3396"/>
      <c r="L181" s="3396"/>
      <c r="M181" s="3396"/>
      <c r="N181" s="3396"/>
      <c r="O181" s="3396"/>
      <c r="P181" s="3396"/>
      <c r="Q181" s="3396"/>
      <c r="R181" s="3396"/>
      <c r="S181" s="3396"/>
      <c r="T181" s="3396"/>
      <c r="U181" s="3396"/>
      <c r="V181" s="3396"/>
      <c r="W181" s="3396"/>
      <c r="X181" s="3396"/>
      <c r="Y181" s="3396"/>
      <c r="Z181" s="790" t="s">
        <v>103</v>
      </c>
      <c r="AA181" s="2195" t="s">
        <v>102</v>
      </c>
      <c r="AB181" s="1275" t="s">
        <v>1208</v>
      </c>
      <c r="AC181" s="1265">
        <v>56.18</v>
      </c>
      <c r="AD181" s="1275" t="str">
        <f>AB181</f>
        <v>  Прочие собственные средства</v>
      </c>
      <c r="AE181" s="1265">
        <v>56.18138</v>
      </c>
      <c r="AF181" s="3397"/>
      <c r="AG181" s="3398"/>
      <c r="AH181" s="3398"/>
      <c r="AI181" s="3397"/>
      <c r="AJ181" s="3398"/>
      <c r="AK181" s="3399"/>
      <c r="AL181" s="2079"/>
      <c r="AM181" s="1917"/>
      <c r="AN181" s="1917"/>
      <c r="AO181" s="1917"/>
      <c r="AP181" s="1917"/>
      <c r="AQ181" s="1917"/>
      <c r="AR181" s="1917"/>
      <c r="AS181" s="1917"/>
      <c r="AT181" s="1917"/>
      <c r="AU181" s="1917"/>
      <c r="AV181" s="1917"/>
      <c r="AW181" s="1917"/>
      <c r="AX181" s="1917"/>
      <c r="AY181" s="1917"/>
      <c r="AZ181" s="1917"/>
      <c r="BA181" s="1917"/>
      <c r="BB181" s="1917"/>
      <c r="BC181" s="1917"/>
      <c r="BD181" s="1917"/>
      <c r="BE181" s="1917"/>
      <c r="BF181" s="1917"/>
    </row>
    <row s="10365" customFormat="1" customHeight="1" ht="11.25">
      <c r="A182" s="1262" t="s">
        <v>1194</v>
      </c>
      <c r="B182" s="1262"/>
      <c r="C182" s="1262"/>
      <c r="D182" s="1462"/>
      <c r="E182" s="1266"/>
      <c r="F182" s="3394"/>
      <c r="G182" s="3396"/>
      <c r="H182" s="3263" t="s">
        <v>1248</v>
      </c>
      <c r="I182" s="3374"/>
      <c r="J182" s="3334"/>
      <c r="K182" s="3372"/>
      <c r="L182" s="2989"/>
      <c r="M182" s="2990"/>
      <c r="N182" s="3341"/>
      <c r="O182" s="3377"/>
      <c r="P182" s="3345"/>
      <c r="Q182" s="3236"/>
      <c r="R182" s="3236"/>
      <c r="S182" s="3346"/>
      <c r="T182" s="3236"/>
      <c r="U182" s="3236"/>
      <c r="V182" s="3236"/>
      <c r="W182" s="3236"/>
      <c r="X182" s="3236"/>
      <c r="Y182" s="3236"/>
      <c r="Z182" s="1271"/>
      <c r="AA182" s="1272"/>
      <c r="AB182" s="1337" t="s">
        <v>1203</v>
      </c>
      <c r="AC182" s="1276"/>
      <c r="AD182" s="1276"/>
      <c r="AE182" s="1278"/>
      <c r="AF182" s="3375"/>
      <c r="AG182" s="3376"/>
      <c r="AH182" s="3376"/>
      <c r="AI182" s="3375"/>
      <c r="AJ182" s="3376"/>
      <c r="AK182" s="3376"/>
      <c r="AL182" s="2079"/>
      <c r="AM182" s="1917"/>
      <c r="AN182" s="1917"/>
      <c r="AO182" s="1917"/>
      <c r="AP182" s="1917"/>
      <c r="AQ182" s="1917"/>
      <c r="AR182" s="1917"/>
      <c r="AS182" s="1917"/>
      <c r="AT182" s="1917"/>
      <c r="AU182" s="1917"/>
      <c r="AV182" s="1917"/>
      <c r="AW182" s="1917"/>
      <c r="AX182" s="1917"/>
      <c r="AY182" s="1917"/>
      <c r="AZ182" s="1917"/>
      <c r="BA182" s="1917"/>
      <c r="BB182" s="1917"/>
      <c r="BC182" s="1917"/>
      <c r="BD182" s="1917"/>
      <c r="BE182" s="1917"/>
      <c r="BF182" s="1917"/>
    </row>
    <row s="10365" customFormat="1" customHeight="1" ht="11.25">
      <c r="A183" s="1262" t="s">
        <v>1194</v>
      </c>
      <c r="B183" s="1262"/>
      <c r="C183" s="1262"/>
      <c r="D183" s="1462"/>
      <c r="E183" s="1266"/>
      <c r="F183" s="3394"/>
      <c r="G183" s="3396"/>
      <c r="H183" s="3263" t="s">
        <v>1248</v>
      </c>
      <c r="I183" s="3374"/>
      <c r="J183" s="3334"/>
      <c r="K183" s="3372"/>
      <c r="L183" s="2989"/>
      <c r="M183" s="2990"/>
      <c r="N183" s="1271"/>
      <c r="O183" s="1272"/>
      <c r="P183" s="1337" t="s">
        <v>1204</v>
      </c>
      <c r="Q183" s="1272"/>
      <c r="R183" s="1272"/>
      <c r="S183" s="1272"/>
      <c r="T183" s="1272"/>
      <c r="U183" s="1272"/>
      <c r="V183" s="1272"/>
      <c r="W183" s="1272"/>
      <c r="X183" s="1272"/>
      <c r="Y183" s="1272"/>
      <c r="Z183" s="1272"/>
      <c r="AA183" s="1272"/>
      <c r="AB183" s="1272"/>
      <c r="AC183" s="1272"/>
      <c r="AD183" s="1272"/>
      <c r="AE183" s="1279"/>
      <c r="AF183" s="3375"/>
      <c r="AG183" s="3376"/>
      <c r="AH183" s="3376"/>
      <c r="AI183" s="3375"/>
      <c r="AJ183" s="3376"/>
      <c r="AK183" s="3376"/>
      <c r="AL183" s="2079"/>
      <c r="AM183" s="1917"/>
      <c r="AN183" s="1917"/>
      <c r="AO183" s="1917"/>
      <c r="AP183" s="1917"/>
      <c r="AQ183" s="1917"/>
      <c r="AR183" s="1917"/>
      <c r="AS183" s="1917"/>
      <c r="AT183" s="1917"/>
      <c r="AU183" s="1917"/>
      <c r="AV183" s="1917"/>
      <c r="AW183" s="1917"/>
      <c r="AX183" s="1917"/>
      <c r="AY183" s="1917"/>
      <c r="AZ183" s="1917"/>
      <c r="BA183" s="1917"/>
      <c r="BB183" s="1917"/>
      <c r="BC183" s="1917"/>
      <c r="BD183" s="1917"/>
      <c r="BE183" s="1917"/>
      <c r="BF183" s="1917"/>
    </row>
    <row s="10365" customFormat="1" customHeight="1" ht="11.25">
      <c r="A184" s="1262" t="s">
        <v>1194</v>
      </c>
      <c r="B184" s="1262" t="s">
        <v>1195</v>
      </c>
      <c r="C184" s="1262"/>
      <c r="D184" s="1462"/>
      <c r="E184" s="1266"/>
      <c r="F184" s="3394"/>
      <c r="G184" s="3004" t="s">
        <v>103</v>
      </c>
      <c r="H184" s="3263" t="s">
        <v>1252</v>
      </c>
      <c r="I184" s="3374" t="s">
        <v>1196</v>
      </c>
      <c r="J184" s="3334" t="s">
        <v>1219</v>
      </c>
      <c r="K184" s="3372" t="s">
        <v>1253</v>
      </c>
      <c r="L184" s="2989" t="s">
        <v>19</v>
      </c>
      <c r="M184" s="2990"/>
      <c r="N184" s="2077"/>
      <c r="O184" s="1273" t="s">
        <v>461</v>
      </c>
      <c r="P184" s="1274"/>
      <c r="Q184" s="1274"/>
      <c r="R184" s="1274"/>
      <c r="S184" s="1274"/>
      <c r="T184" s="1274"/>
      <c r="U184" s="1274"/>
      <c r="V184" s="1274"/>
      <c r="W184" s="1274"/>
      <c r="X184" s="1274"/>
      <c r="Y184" s="1274"/>
      <c r="Z184" s="1274"/>
      <c r="AA184" s="1274"/>
      <c r="AB184" s="1274"/>
      <c r="AC184" s="1274"/>
      <c r="AD184" s="1274"/>
      <c r="AE184" s="1274"/>
      <c r="AF184" s="3375">
        <v>2</v>
      </c>
      <c r="AG184" s="3376" t="s">
        <v>1199</v>
      </c>
      <c r="AH184" s="3376" t="s">
        <v>1200</v>
      </c>
      <c r="AI184" s="3375">
        <v>2</v>
      </c>
      <c r="AJ184" s="3376" t="s">
        <v>1199</v>
      </c>
      <c r="AK184" s="3376" t="s">
        <v>1200</v>
      </c>
      <c r="AL184" s="2079"/>
      <c r="AM184" s="1917"/>
      <c r="AN184" s="1917"/>
      <c r="AO184" s="1917"/>
      <c r="AP184" s="1917"/>
      <c r="AQ184" s="1917"/>
      <c r="AR184" s="1917"/>
      <c r="AS184" s="1917"/>
      <c r="AT184" s="1917"/>
      <c r="AU184" s="1917"/>
      <c r="AV184" s="1917"/>
      <c r="AW184" s="1917"/>
      <c r="AX184" s="1917"/>
      <c r="AY184" s="1917"/>
      <c r="AZ184" s="1917"/>
      <c r="BA184" s="1917"/>
      <c r="BB184" s="1917"/>
      <c r="BC184" s="1917"/>
      <c r="BD184" s="1917"/>
      <c r="BE184" s="1917"/>
      <c r="BF184" s="1917"/>
    </row>
    <row s="10365" customFormat="1" customHeight="1" ht="11.25">
      <c r="A185" s="1262" t="s">
        <v>1194</v>
      </c>
      <c r="B185" s="1262"/>
      <c r="C185" s="1262"/>
      <c r="D185" s="1462"/>
      <c r="E185" s="1266"/>
      <c r="F185" s="3394"/>
      <c r="G185" s="3396"/>
      <c r="H185" s="3263" t="s">
        <v>1250</v>
      </c>
      <c r="I185" s="3374"/>
      <c r="J185" s="3334"/>
      <c r="K185" s="3372"/>
      <c r="L185" s="2989"/>
      <c r="M185" s="2990"/>
      <c r="N185" s="3341"/>
      <c r="O185" s="3377">
        <v>1</v>
      </c>
      <c r="P185" s="3343" t="s">
        <v>19</v>
      </c>
      <c r="Q185" s="3236" t="s">
        <v>22</v>
      </c>
      <c r="R185" s="3236" t="s">
        <v>22</v>
      </c>
      <c r="S185" s="3236" t="s">
        <v>22</v>
      </c>
      <c r="T185" s="3236" t="s">
        <v>22</v>
      </c>
      <c r="U185" s="3236" t="s">
        <v>22</v>
      </c>
      <c r="V185" s="3236" t="s">
        <v>22</v>
      </c>
      <c r="W185" s="3236" t="s">
        <v>22</v>
      </c>
      <c r="X185" s="3236" t="s">
        <v>22</v>
      </c>
      <c r="Y185" s="3236"/>
      <c r="Z185" s="1271"/>
      <c r="AA185" s="1272"/>
      <c r="AB185" s="1272"/>
      <c r="AC185" s="1276"/>
      <c r="AD185" s="1276"/>
      <c r="AE185" s="1277"/>
      <c r="AF185" s="3375"/>
      <c r="AG185" s="3376"/>
      <c r="AH185" s="3376"/>
      <c r="AI185" s="3375"/>
      <c r="AJ185" s="3376"/>
      <c r="AK185" s="3376"/>
      <c r="AL185" s="2079"/>
      <c r="AM185" s="1917"/>
      <c r="AN185" s="1917"/>
      <c r="AO185" s="1917"/>
      <c r="AP185" s="1917"/>
      <c r="AQ185" s="1917"/>
      <c r="AR185" s="1917"/>
      <c r="AS185" s="1917"/>
      <c r="AT185" s="1917"/>
      <c r="AU185" s="1917"/>
      <c r="AV185" s="1917"/>
      <c r="AW185" s="1917"/>
      <c r="AX185" s="1917"/>
      <c r="AY185" s="1917"/>
      <c r="AZ185" s="1917"/>
      <c r="BA185" s="1917"/>
      <c r="BB185" s="1917"/>
      <c r="BC185" s="1917"/>
      <c r="BD185" s="1917"/>
      <c r="BE185" s="1917"/>
      <c r="BF185" s="1917"/>
    </row>
    <row s="10365" customFormat="1" customHeight="1" ht="11.25">
      <c r="A186" s="1262" t="s">
        <v>1194</v>
      </c>
      <c r="B186" s="1262"/>
      <c r="C186" s="1262"/>
      <c r="D186" s="1462"/>
      <c r="E186" s="1266"/>
      <c r="F186" s="3394"/>
      <c r="G186" s="3396"/>
      <c r="H186" s="3263" t="s">
        <v>1250</v>
      </c>
      <c r="I186" s="3374"/>
      <c r="J186" s="3334"/>
      <c r="K186" s="3372"/>
      <c r="L186" s="2989"/>
      <c r="M186" s="2990"/>
      <c r="N186" s="3341"/>
      <c r="O186" s="3377"/>
      <c r="P186" s="3344"/>
      <c r="Q186" s="3236"/>
      <c r="R186" s="3236"/>
      <c r="S186" s="3346"/>
      <c r="T186" s="3236"/>
      <c r="U186" s="3236"/>
      <c r="V186" s="3236"/>
      <c r="W186" s="3236"/>
      <c r="X186" s="3236"/>
      <c r="Y186" s="3236"/>
      <c r="Z186" s="1922"/>
      <c r="AA186" s="2198">
        <v>1</v>
      </c>
      <c r="AB186" s="1275" t="s">
        <v>1236</v>
      </c>
      <c r="AC186" s="1265">
        <v>76737.54</v>
      </c>
      <c r="AD186" s="1275" t="str">
        <f>AB186</f>
        <v>      Прочие займы</v>
      </c>
      <c r="AE186" s="1265">
        <v>0</v>
      </c>
      <c r="AF186" s="3375"/>
      <c r="AG186" s="3376"/>
      <c r="AH186" s="3376"/>
      <c r="AI186" s="3375"/>
      <c r="AJ186" s="3376"/>
      <c r="AK186" s="3376"/>
      <c r="AL186" s="2079"/>
      <c r="AM186" s="1917"/>
      <c r="AN186" s="1917"/>
      <c r="AO186" s="1917"/>
      <c r="AP186" s="1917"/>
      <c r="AQ186" s="1917"/>
      <c r="AR186" s="1917"/>
      <c r="AS186" s="1917"/>
      <c r="AT186" s="1917"/>
      <c r="AU186" s="1917"/>
      <c r="AV186" s="1917"/>
      <c r="AW186" s="1917"/>
      <c r="AX186" s="1917"/>
      <c r="AY186" s="1917"/>
      <c r="AZ186" s="1917"/>
      <c r="BA186" s="1917"/>
      <c r="BB186" s="1917"/>
      <c r="BC186" s="1917"/>
      <c r="BD186" s="1917"/>
      <c r="BE186" s="1917"/>
      <c r="BF186" s="1917"/>
    </row>
    <row s="10365" customFormat="1" customHeight="1" ht="11.25">
      <c r="A187" s="1262" t="s">
        <v>1194</v>
      </c>
      <c r="B187" s="1262"/>
      <c r="C187" s="1262"/>
      <c r="D187" s="1462"/>
      <c r="E187" s="1266"/>
      <c r="F187" s="3394"/>
      <c r="G187" s="3396"/>
      <c r="H187" s="3396"/>
      <c r="I187" s="3396"/>
      <c r="J187" s="3396"/>
      <c r="K187" s="3396"/>
      <c r="L187" s="3396"/>
      <c r="M187" s="3396"/>
      <c r="N187" s="3396"/>
      <c r="O187" s="3396"/>
      <c r="P187" s="3396"/>
      <c r="Q187" s="3396"/>
      <c r="R187" s="3396"/>
      <c r="S187" s="3396"/>
      <c r="T187" s="3396"/>
      <c r="U187" s="3396"/>
      <c r="V187" s="3396"/>
      <c r="W187" s="3396"/>
      <c r="X187" s="3396"/>
      <c r="Y187" s="3396"/>
      <c r="Z187" s="790" t="s">
        <v>103</v>
      </c>
      <c r="AA187" s="2195" t="s">
        <v>102</v>
      </c>
      <c r="AB187" s="1275" t="s">
        <v>1208</v>
      </c>
      <c r="AC187" s="1265">
        <v>0</v>
      </c>
      <c r="AD187" s="1275" t="str">
        <f>AB187</f>
        <v>  Прочие собственные средства</v>
      </c>
      <c r="AE187" s="1265">
        <v>70530.62067</v>
      </c>
      <c r="AF187" s="3397"/>
      <c r="AG187" s="3398"/>
      <c r="AH187" s="3398"/>
      <c r="AI187" s="3397"/>
      <c r="AJ187" s="3398"/>
      <c r="AK187" s="3399"/>
      <c r="AL187" s="2079"/>
      <c r="AM187" s="1917"/>
      <c r="AN187" s="1917"/>
      <c r="AO187" s="1917"/>
      <c r="AP187" s="1917"/>
      <c r="AQ187" s="1917"/>
      <c r="AR187" s="1917"/>
      <c r="AS187" s="1917"/>
      <c r="AT187" s="1917"/>
      <c r="AU187" s="1917"/>
      <c r="AV187" s="1917"/>
      <c r="AW187" s="1917"/>
      <c r="AX187" s="1917"/>
      <c r="AY187" s="1917"/>
      <c r="AZ187" s="1917"/>
      <c r="BA187" s="1917"/>
      <c r="BB187" s="1917"/>
      <c r="BC187" s="1917"/>
      <c r="BD187" s="1917"/>
      <c r="BE187" s="1917"/>
      <c r="BF187" s="1917"/>
    </row>
    <row s="10365" customFormat="1" customHeight="1" ht="11.25">
      <c r="A188" s="1262" t="s">
        <v>1194</v>
      </c>
      <c r="B188" s="1262"/>
      <c r="C188" s="1262"/>
      <c r="D188" s="1462"/>
      <c r="E188" s="1266"/>
      <c r="F188" s="3394"/>
      <c r="G188" s="3396"/>
      <c r="H188" s="3263" t="s">
        <v>1250</v>
      </c>
      <c r="I188" s="3374"/>
      <c r="J188" s="3334"/>
      <c r="K188" s="3372"/>
      <c r="L188" s="2989"/>
      <c r="M188" s="2990"/>
      <c r="N188" s="3341"/>
      <c r="O188" s="3377"/>
      <c r="P188" s="3345"/>
      <c r="Q188" s="3236"/>
      <c r="R188" s="3236"/>
      <c r="S188" s="3346"/>
      <c r="T188" s="3236"/>
      <c r="U188" s="3236"/>
      <c r="V188" s="3236"/>
      <c r="W188" s="3236"/>
      <c r="X188" s="3236"/>
      <c r="Y188" s="3236"/>
      <c r="Z188" s="1271"/>
      <c r="AA188" s="1272"/>
      <c r="AB188" s="1337" t="s">
        <v>1203</v>
      </c>
      <c r="AC188" s="1276"/>
      <c r="AD188" s="1276"/>
      <c r="AE188" s="1278"/>
      <c r="AF188" s="3375"/>
      <c r="AG188" s="3376"/>
      <c r="AH188" s="3376"/>
      <c r="AI188" s="3375"/>
      <c r="AJ188" s="3376"/>
      <c r="AK188" s="3376"/>
      <c r="AL188" s="2079"/>
      <c r="AM188" s="1917"/>
      <c r="AN188" s="1917"/>
      <c r="AO188" s="1917"/>
      <c r="AP188" s="1917"/>
      <c r="AQ188" s="1917"/>
      <c r="AR188" s="1917"/>
      <c r="AS188" s="1917"/>
      <c r="AT188" s="1917"/>
      <c r="AU188" s="1917"/>
      <c r="AV188" s="1917"/>
      <c r="AW188" s="1917"/>
      <c r="AX188" s="1917"/>
      <c r="AY188" s="1917"/>
      <c r="AZ188" s="1917"/>
      <c r="BA188" s="1917"/>
      <c r="BB188" s="1917"/>
      <c r="BC188" s="1917"/>
      <c r="BD188" s="1917"/>
      <c r="BE188" s="1917"/>
      <c r="BF188" s="1917"/>
    </row>
    <row s="10365" customFormat="1" customHeight="1" ht="11.25">
      <c r="A189" s="1262" t="s">
        <v>1194</v>
      </c>
      <c r="B189" s="1262"/>
      <c r="C189" s="1262"/>
      <c r="D189" s="1462"/>
      <c r="E189" s="1266"/>
      <c r="F189" s="3394"/>
      <c r="G189" s="3396"/>
      <c r="H189" s="3263" t="s">
        <v>1250</v>
      </c>
      <c r="I189" s="3374"/>
      <c r="J189" s="3334"/>
      <c r="K189" s="3372"/>
      <c r="L189" s="2989"/>
      <c r="M189" s="2990"/>
      <c r="N189" s="1271"/>
      <c r="O189" s="1272"/>
      <c r="P189" s="1337" t="s">
        <v>1204</v>
      </c>
      <c r="Q189" s="1272"/>
      <c r="R189" s="1272"/>
      <c r="S189" s="1272"/>
      <c r="T189" s="1272"/>
      <c r="U189" s="1272"/>
      <c r="V189" s="1272"/>
      <c r="W189" s="1272"/>
      <c r="X189" s="1272"/>
      <c r="Y189" s="1272"/>
      <c r="Z189" s="1272"/>
      <c r="AA189" s="1272"/>
      <c r="AB189" s="1272"/>
      <c r="AC189" s="1272"/>
      <c r="AD189" s="1272"/>
      <c r="AE189" s="1279"/>
      <c r="AF189" s="3375"/>
      <c r="AG189" s="3376"/>
      <c r="AH189" s="3376"/>
      <c r="AI189" s="3375"/>
      <c r="AJ189" s="3376"/>
      <c r="AK189" s="3376"/>
      <c r="AL189" s="2079"/>
      <c r="AM189" s="1917"/>
      <c r="AN189" s="1917"/>
      <c r="AO189" s="1917"/>
      <c r="AP189" s="1917"/>
      <c r="AQ189" s="1917"/>
      <c r="AR189" s="1917"/>
      <c r="AS189" s="1917"/>
      <c r="AT189" s="1917"/>
      <c r="AU189" s="1917"/>
      <c r="AV189" s="1917"/>
      <c r="AW189" s="1917"/>
      <c r="AX189" s="1917"/>
      <c r="AY189" s="1917"/>
      <c r="AZ189" s="1917"/>
      <c r="BA189" s="1917"/>
      <c r="BB189" s="1917"/>
      <c r="BC189" s="1917"/>
      <c r="BD189" s="1917"/>
      <c r="BE189" s="1917"/>
      <c r="BF189" s="1917"/>
    </row>
    <row s="10365" customFormat="1" customHeight="1" ht="11.25">
      <c r="A190" s="1262" t="s">
        <v>1194</v>
      </c>
      <c r="B190" s="1262" t="s">
        <v>1195</v>
      </c>
      <c r="C190" s="1262"/>
      <c r="D190" s="1462"/>
      <c r="E190" s="1266"/>
      <c r="F190" s="3394"/>
      <c r="G190" s="3004" t="s">
        <v>103</v>
      </c>
      <c r="H190" s="3263" t="s">
        <v>1254</v>
      </c>
      <c r="I190" s="3374" t="s">
        <v>1196</v>
      </c>
      <c r="J190" s="3334" t="s">
        <v>1219</v>
      </c>
      <c r="K190" s="3372" t="s">
        <v>1255</v>
      </c>
      <c r="L190" s="2989" t="s">
        <v>19</v>
      </c>
      <c r="M190" s="2990"/>
      <c r="N190" s="2077"/>
      <c r="O190" s="1273" t="s">
        <v>461</v>
      </c>
      <c r="P190" s="1274"/>
      <c r="Q190" s="1274"/>
      <c r="R190" s="1274"/>
      <c r="S190" s="1274"/>
      <c r="T190" s="1274"/>
      <c r="U190" s="1274"/>
      <c r="V190" s="1274"/>
      <c r="W190" s="1274"/>
      <c r="X190" s="1274"/>
      <c r="Y190" s="1274"/>
      <c r="Z190" s="1274"/>
      <c r="AA190" s="1274"/>
      <c r="AB190" s="1274"/>
      <c r="AC190" s="1274"/>
      <c r="AD190" s="1274"/>
      <c r="AE190" s="1274"/>
      <c r="AF190" s="3375">
        <v>7</v>
      </c>
      <c r="AG190" s="3376" t="s">
        <v>1199</v>
      </c>
      <c r="AH190" s="3376" t="s">
        <v>1210</v>
      </c>
      <c r="AI190" s="3375">
        <v>7</v>
      </c>
      <c r="AJ190" s="3376" t="s">
        <v>1199</v>
      </c>
      <c r="AK190" s="3376" t="s">
        <v>1210</v>
      </c>
      <c r="AL190" s="2079"/>
      <c r="AM190" s="1917"/>
      <c r="AN190" s="1917"/>
      <c r="AO190" s="1917"/>
      <c r="AP190" s="1917"/>
      <c r="AQ190" s="1917"/>
      <c r="AR190" s="1917"/>
      <c r="AS190" s="1917"/>
      <c r="AT190" s="1917"/>
      <c r="AU190" s="1917"/>
      <c r="AV190" s="1917"/>
      <c r="AW190" s="1917"/>
      <c r="AX190" s="1917"/>
      <c r="AY190" s="1917"/>
      <c r="AZ190" s="1917"/>
      <c r="BA190" s="1917"/>
      <c r="BB190" s="1917"/>
      <c r="BC190" s="1917"/>
      <c r="BD190" s="1917"/>
      <c r="BE190" s="1917"/>
      <c r="BF190" s="1917"/>
    </row>
    <row s="10365" customFormat="1" customHeight="1" ht="11.25">
      <c r="A191" s="1262" t="s">
        <v>1194</v>
      </c>
      <c r="B191" s="1262"/>
      <c r="C191" s="1262"/>
      <c r="D191" s="1462"/>
      <c r="E191" s="1266"/>
      <c r="F191" s="3394"/>
      <c r="G191" s="3396"/>
      <c r="H191" s="3263" t="s">
        <v>1252</v>
      </c>
      <c r="I191" s="3374"/>
      <c r="J191" s="3334"/>
      <c r="K191" s="3372"/>
      <c r="L191" s="2989"/>
      <c r="M191" s="2990"/>
      <c r="N191" s="3341"/>
      <c r="O191" s="3377">
        <v>1</v>
      </c>
      <c r="P191" s="3343" t="s">
        <v>19</v>
      </c>
      <c r="Q191" s="3236" t="s">
        <v>22</v>
      </c>
      <c r="R191" s="3236" t="s">
        <v>22</v>
      </c>
      <c r="S191" s="3236" t="s">
        <v>22</v>
      </c>
      <c r="T191" s="3236" t="s">
        <v>22</v>
      </c>
      <c r="U191" s="3236" t="s">
        <v>22</v>
      </c>
      <c r="V191" s="3236" t="s">
        <v>22</v>
      </c>
      <c r="W191" s="3236" t="s">
        <v>22</v>
      </c>
      <c r="X191" s="3236" t="s">
        <v>22</v>
      </c>
      <c r="Y191" s="3236"/>
      <c r="Z191" s="1271"/>
      <c r="AA191" s="1272"/>
      <c r="AB191" s="1272"/>
      <c r="AC191" s="1276"/>
      <c r="AD191" s="1276"/>
      <c r="AE191" s="1277"/>
      <c r="AF191" s="3375"/>
      <c r="AG191" s="3376"/>
      <c r="AH191" s="3376"/>
      <c r="AI191" s="3375"/>
      <c r="AJ191" s="3376"/>
      <c r="AK191" s="3376"/>
      <c r="AL191" s="2079"/>
      <c r="AM191" s="1917"/>
      <c r="AN191" s="1917"/>
      <c r="AO191" s="1917"/>
      <c r="AP191" s="1917"/>
      <c r="AQ191" s="1917"/>
      <c r="AR191" s="1917"/>
      <c r="AS191" s="1917"/>
      <c r="AT191" s="1917"/>
      <c r="AU191" s="1917"/>
      <c r="AV191" s="1917"/>
      <c r="AW191" s="1917"/>
      <c r="AX191" s="1917"/>
      <c r="AY191" s="1917"/>
      <c r="AZ191" s="1917"/>
      <c r="BA191" s="1917"/>
      <c r="BB191" s="1917"/>
      <c r="BC191" s="1917"/>
      <c r="BD191" s="1917"/>
      <c r="BE191" s="1917"/>
      <c r="BF191" s="1917"/>
    </row>
    <row s="10365" customFormat="1" customHeight="1" ht="11.25">
      <c r="A192" s="1262" t="s">
        <v>1194</v>
      </c>
      <c r="B192" s="1262"/>
      <c r="C192" s="1262"/>
      <c r="D192" s="1462"/>
      <c r="E192" s="1266"/>
      <c r="F192" s="3394"/>
      <c r="G192" s="3396"/>
      <c r="H192" s="3263" t="s">
        <v>1252</v>
      </c>
      <c r="I192" s="3374"/>
      <c r="J192" s="3334"/>
      <c r="K192" s="3372"/>
      <c r="L192" s="2989"/>
      <c r="M192" s="2990"/>
      <c r="N192" s="3341"/>
      <c r="O192" s="3377"/>
      <c r="P192" s="3344"/>
      <c r="Q192" s="3236"/>
      <c r="R192" s="3236"/>
      <c r="S192" s="3346"/>
      <c r="T192" s="3236"/>
      <c r="U192" s="3236"/>
      <c r="V192" s="3236"/>
      <c r="W192" s="3236"/>
      <c r="X192" s="3236"/>
      <c r="Y192" s="3236"/>
      <c r="Z192" s="1922"/>
      <c r="AA192" s="2198">
        <v>1</v>
      </c>
      <c r="AB192" s="1275" t="s">
        <v>1201</v>
      </c>
      <c r="AC192" s="1265">
        <v>1790</v>
      </c>
      <c r="AD192" s="1275" t="str">
        <f>AB192</f>
        <v>      Амортизационные отчисления с выделением результатов переоценки основных средств и нематериальных активов</v>
      </c>
      <c r="AE192" s="1265">
        <v>1790</v>
      </c>
      <c r="AF192" s="3375"/>
      <c r="AG192" s="3376"/>
      <c r="AH192" s="3376"/>
      <c r="AI192" s="3375"/>
      <c r="AJ192" s="3376"/>
      <c r="AK192" s="3376"/>
      <c r="AL192" s="2079"/>
      <c r="AM192" s="1917"/>
      <c r="AN192" s="1917"/>
      <c r="AO192" s="1917"/>
      <c r="AP192" s="1917"/>
      <c r="AQ192" s="1917"/>
      <c r="AR192" s="1917"/>
      <c r="AS192" s="1917"/>
      <c r="AT192" s="1917"/>
      <c r="AU192" s="1917"/>
      <c r="AV192" s="1917"/>
      <c r="AW192" s="1917"/>
      <c r="AX192" s="1917"/>
      <c r="AY192" s="1917"/>
      <c r="AZ192" s="1917"/>
      <c r="BA192" s="1917"/>
      <c r="BB192" s="1917"/>
      <c r="BC192" s="1917"/>
      <c r="BD192" s="1917"/>
      <c r="BE192" s="1917"/>
      <c r="BF192" s="1917"/>
    </row>
    <row s="10365" customFormat="1" customHeight="1" ht="11.25">
      <c r="A193" s="1262" t="s">
        <v>1194</v>
      </c>
      <c r="B193" s="1262"/>
      <c r="C193" s="1262"/>
      <c r="D193" s="1462"/>
      <c r="E193" s="1266"/>
      <c r="F193" s="3394"/>
      <c r="G193" s="3396"/>
      <c r="H193" s="3396"/>
      <c r="I193" s="3396"/>
      <c r="J193" s="3396"/>
      <c r="K193" s="3396"/>
      <c r="L193" s="3396"/>
      <c r="M193" s="3396"/>
      <c r="N193" s="3396"/>
      <c r="O193" s="3396"/>
      <c r="P193" s="3396"/>
      <c r="Q193" s="3396"/>
      <c r="R193" s="3396"/>
      <c r="S193" s="3396"/>
      <c r="T193" s="3396"/>
      <c r="U193" s="3396"/>
      <c r="V193" s="3396"/>
      <c r="W193" s="3396"/>
      <c r="X193" s="3396"/>
      <c r="Y193" s="3396"/>
      <c r="Z193" s="790" t="s">
        <v>103</v>
      </c>
      <c r="AA193" s="2195" t="s">
        <v>102</v>
      </c>
      <c r="AB193" s="1275" t="s">
        <v>1208</v>
      </c>
      <c r="AC193" s="1265">
        <v>358</v>
      </c>
      <c r="AD193" s="1275" t="str">
        <f>AB193</f>
        <v>  Прочие собственные средства</v>
      </c>
      <c r="AE193" s="1265">
        <v>358</v>
      </c>
      <c r="AF193" s="3397"/>
      <c r="AG193" s="3398"/>
      <c r="AH193" s="3398"/>
      <c r="AI193" s="3397"/>
      <c r="AJ193" s="3398"/>
      <c r="AK193" s="3399"/>
      <c r="AL193" s="2079"/>
      <c r="AM193" s="1917"/>
      <c r="AN193" s="1917"/>
      <c r="AO193" s="1917"/>
      <c r="AP193" s="1917"/>
      <c r="AQ193" s="1917"/>
      <c r="AR193" s="1917"/>
      <c r="AS193" s="1917"/>
      <c r="AT193" s="1917"/>
      <c r="AU193" s="1917"/>
      <c r="AV193" s="1917"/>
      <c r="AW193" s="1917"/>
      <c r="AX193" s="1917"/>
      <c r="AY193" s="1917"/>
      <c r="AZ193" s="1917"/>
      <c r="BA193" s="1917"/>
      <c r="BB193" s="1917"/>
      <c r="BC193" s="1917"/>
      <c r="BD193" s="1917"/>
      <c r="BE193" s="1917"/>
      <c r="BF193" s="1917"/>
    </row>
    <row s="10365" customFormat="1" customHeight="1" ht="11.25">
      <c r="A194" s="1262" t="s">
        <v>1194</v>
      </c>
      <c r="B194" s="1262"/>
      <c r="C194" s="1262"/>
      <c r="D194" s="1462"/>
      <c r="E194" s="1266"/>
      <c r="F194" s="3394"/>
      <c r="G194" s="3396"/>
      <c r="H194" s="3263" t="s">
        <v>1252</v>
      </c>
      <c r="I194" s="3374"/>
      <c r="J194" s="3334"/>
      <c r="K194" s="3372"/>
      <c r="L194" s="2989"/>
      <c r="M194" s="2990"/>
      <c r="N194" s="3341"/>
      <c r="O194" s="3377"/>
      <c r="P194" s="3345"/>
      <c r="Q194" s="3236"/>
      <c r="R194" s="3236"/>
      <c r="S194" s="3346"/>
      <c r="T194" s="3236"/>
      <c r="U194" s="3236"/>
      <c r="V194" s="3236"/>
      <c r="W194" s="3236"/>
      <c r="X194" s="3236"/>
      <c r="Y194" s="3236"/>
      <c r="Z194" s="1271"/>
      <c r="AA194" s="1272"/>
      <c r="AB194" s="1337" t="s">
        <v>1203</v>
      </c>
      <c r="AC194" s="1276"/>
      <c r="AD194" s="1276"/>
      <c r="AE194" s="1278"/>
      <c r="AF194" s="3375"/>
      <c r="AG194" s="3376"/>
      <c r="AH194" s="3376"/>
      <c r="AI194" s="3375"/>
      <c r="AJ194" s="3376"/>
      <c r="AK194" s="3376"/>
      <c r="AL194" s="2079"/>
      <c r="AM194" s="1917"/>
      <c r="AN194" s="1917"/>
      <c r="AO194" s="1917"/>
      <c r="AP194" s="1917"/>
      <c r="AQ194" s="1917"/>
      <c r="AR194" s="1917"/>
      <c r="AS194" s="1917"/>
      <c r="AT194" s="1917"/>
      <c r="AU194" s="1917"/>
      <c r="AV194" s="1917"/>
      <c r="AW194" s="1917"/>
      <c r="AX194" s="1917"/>
      <c r="AY194" s="1917"/>
      <c r="AZ194" s="1917"/>
      <c r="BA194" s="1917"/>
      <c r="BB194" s="1917"/>
      <c r="BC194" s="1917"/>
      <c r="BD194" s="1917"/>
      <c r="BE194" s="1917"/>
      <c r="BF194" s="1917"/>
    </row>
    <row s="10365" customFormat="1" customHeight="1" ht="11.25">
      <c r="A195" s="1262" t="s">
        <v>1194</v>
      </c>
      <c r="B195" s="1262"/>
      <c r="C195" s="1262"/>
      <c r="D195" s="1462"/>
      <c r="E195" s="1266"/>
      <c r="F195" s="3394"/>
      <c r="G195" s="3396"/>
      <c r="H195" s="3263" t="s">
        <v>1252</v>
      </c>
      <c r="I195" s="3374"/>
      <c r="J195" s="3334"/>
      <c r="K195" s="3372"/>
      <c r="L195" s="2989"/>
      <c r="M195" s="2990"/>
      <c r="N195" s="1271"/>
      <c r="O195" s="1272"/>
      <c r="P195" s="1337" t="s">
        <v>1204</v>
      </c>
      <c r="Q195" s="1272"/>
      <c r="R195" s="1272"/>
      <c r="S195" s="1272"/>
      <c r="T195" s="1272"/>
      <c r="U195" s="1272"/>
      <c r="V195" s="1272"/>
      <c r="W195" s="1272"/>
      <c r="X195" s="1272"/>
      <c r="Y195" s="1272"/>
      <c r="Z195" s="1272"/>
      <c r="AA195" s="1272"/>
      <c r="AB195" s="1272"/>
      <c r="AC195" s="1272"/>
      <c r="AD195" s="1272"/>
      <c r="AE195" s="1279"/>
      <c r="AF195" s="3375"/>
      <c r="AG195" s="3376"/>
      <c r="AH195" s="3376"/>
      <c r="AI195" s="3375"/>
      <c r="AJ195" s="3376"/>
      <c r="AK195" s="3376"/>
      <c r="AL195" s="2079"/>
      <c r="AM195" s="1917"/>
      <c r="AN195" s="1917"/>
      <c r="AO195" s="1917"/>
      <c r="AP195" s="1917"/>
      <c r="AQ195" s="1917"/>
      <c r="AR195" s="1917"/>
      <c r="AS195" s="1917"/>
      <c r="AT195" s="1917"/>
      <c r="AU195" s="1917"/>
      <c r="AV195" s="1917"/>
      <c r="AW195" s="1917"/>
      <c r="AX195" s="1917"/>
      <c r="AY195" s="1917"/>
      <c r="AZ195" s="1917"/>
      <c r="BA195" s="1917"/>
      <c r="BB195" s="1917"/>
      <c r="BC195" s="1917"/>
      <c r="BD195" s="1917"/>
      <c r="BE195" s="1917"/>
      <c r="BF195" s="1917"/>
    </row>
    <row s="10365" customFormat="1" customHeight="1" ht="11.25">
      <c r="A196" s="1262" t="s">
        <v>1194</v>
      </c>
      <c r="B196" s="1262" t="s">
        <v>1195</v>
      </c>
      <c r="C196" s="1262"/>
      <c r="D196" s="1462"/>
      <c r="E196" s="1266"/>
      <c r="F196" s="3394"/>
      <c r="G196" s="3004" t="s">
        <v>103</v>
      </c>
      <c r="H196" s="3263" t="s">
        <v>1256</v>
      </c>
      <c r="I196" s="3374" t="s">
        <v>1196</v>
      </c>
      <c r="J196" s="3334" t="s">
        <v>1219</v>
      </c>
      <c r="K196" s="3372" t="s">
        <v>1257</v>
      </c>
      <c r="L196" s="2989" t="s">
        <v>19</v>
      </c>
      <c r="M196" s="2990"/>
      <c r="N196" s="2077"/>
      <c r="O196" s="1273" t="s">
        <v>461</v>
      </c>
      <c r="P196" s="1274"/>
      <c r="Q196" s="1274"/>
      <c r="R196" s="1274"/>
      <c r="S196" s="1274"/>
      <c r="T196" s="1274"/>
      <c r="U196" s="1274"/>
      <c r="V196" s="1274"/>
      <c r="W196" s="1274"/>
      <c r="X196" s="1274"/>
      <c r="Y196" s="1274"/>
      <c r="Z196" s="1274"/>
      <c r="AA196" s="1274"/>
      <c r="AB196" s="1274"/>
      <c r="AC196" s="1274"/>
      <c r="AD196" s="1274"/>
      <c r="AE196" s="1274"/>
      <c r="AF196" s="3375">
        <v>10</v>
      </c>
      <c r="AG196" s="3376" t="s">
        <v>1199</v>
      </c>
      <c r="AH196" s="3376" t="s">
        <v>1207</v>
      </c>
      <c r="AI196" s="3375">
        <v>10</v>
      </c>
      <c r="AJ196" s="3376" t="s">
        <v>1199</v>
      </c>
      <c r="AK196" s="3376" t="s">
        <v>1207</v>
      </c>
      <c r="AL196" s="2079"/>
      <c r="AM196" s="1917"/>
      <c r="AN196" s="1917"/>
      <c r="AO196" s="1917"/>
      <c r="AP196" s="1917"/>
      <c r="AQ196" s="1917"/>
      <c r="AR196" s="1917"/>
      <c r="AS196" s="1917"/>
      <c r="AT196" s="1917"/>
      <c r="AU196" s="1917"/>
      <c r="AV196" s="1917"/>
      <c r="AW196" s="1917"/>
      <c r="AX196" s="1917"/>
      <c r="AY196" s="1917"/>
      <c r="AZ196" s="1917"/>
      <c r="BA196" s="1917"/>
      <c r="BB196" s="1917"/>
      <c r="BC196" s="1917"/>
      <c r="BD196" s="1917"/>
      <c r="BE196" s="1917"/>
      <c r="BF196" s="1917"/>
    </row>
    <row s="10365" customFormat="1" customHeight="1" ht="11.25">
      <c r="A197" s="1262" t="s">
        <v>1194</v>
      </c>
      <c r="B197" s="1262"/>
      <c r="C197" s="1262"/>
      <c r="D197" s="1462"/>
      <c r="E197" s="1266"/>
      <c r="F197" s="3394"/>
      <c r="G197" s="3396"/>
      <c r="H197" s="3263" t="s">
        <v>1254</v>
      </c>
      <c r="I197" s="3374"/>
      <c r="J197" s="3334"/>
      <c r="K197" s="3372"/>
      <c r="L197" s="2989"/>
      <c r="M197" s="2990"/>
      <c r="N197" s="3341"/>
      <c r="O197" s="3377">
        <v>1</v>
      </c>
      <c r="P197" s="3343" t="s">
        <v>19</v>
      </c>
      <c r="Q197" s="3236" t="s">
        <v>22</v>
      </c>
      <c r="R197" s="3236" t="s">
        <v>22</v>
      </c>
      <c r="S197" s="3236" t="s">
        <v>22</v>
      </c>
      <c r="T197" s="3236" t="s">
        <v>22</v>
      </c>
      <c r="U197" s="3236" t="s">
        <v>22</v>
      </c>
      <c r="V197" s="3236" t="s">
        <v>22</v>
      </c>
      <c r="W197" s="3236" t="s">
        <v>22</v>
      </c>
      <c r="X197" s="3236" t="s">
        <v>22</v>
      </c>
      <c r="Y197" s="3236"/>
      <c r="Z197" s="1271"/>
      <c r="AA197" s="1272"/>
      <c r="AB197" s="1272"/>
      <c r="AC197" s="1276"/>
      <c r="AD197" s="1276"/>
      <c r="AE197" s="1277"/>
      <c r="AF197" s="3375"/>
      <c r="AG197" s="3376"/>
      <c r="AH197" s="3376"/>
      <c r="AI197" s="3375"/>
      <c r="AJ197" s="3376"/>
      <c r="AK197" s="3376"/>
      <c r="AL197" s="2079"/>
      <c r="AM197" s="1917"/>
      <c r="AN197" s="1917"/>
      <c r="AO197" s="1917"/>
      <c r="AP197" s="1917"/>
      <c r="AQ197" s="1917"/>
      <c r="AR197" s="1917"/>
      <c r="AS197" s="1917"/>
      <c r="AT197" s="1917"/>
      <c r="AU197" s="1917"/>
      <c r="AV197" s="1917"/>
      <c r="AW197" s="1917"/>
      <c r="AX197" s="1917"/>
      <c r="AY197" s="1917"/>
      <c r="AZ197" s="1917"/>
      <c r="BA197" s="1917"/>
      <c r="BB197" s="1917"/>
      <c r="BC197" s="1917"/>
      <c r="BD197" s="1917"/>
      <c r="BE197" s="1917"/>
      <c r="BF197" s="1917"/>
    </row>
    <row s="10365" customFormat="1" customHeight="1" ht="11.25">
      <c r="A198" s="1262" t="s">
        <v>1194</v>
      </c>
      <c r="B198" s="1262"/>
      <c r="C198" s="1262"/>
      <c r="D198" s="1462"/>
      <c r="E198" s="1266"/>
      <c r="F198" s="3394"/>
      <c r="G198" s="3396"/>
      <c r="H198" s="3263" t="s">
        <v>1254</v>
      </c>
      <c r="I198" s="3374"/>
      <c r="J198" s="3334"/>
      <c r="K198" s="3372"/>
      <c r="L198" s="2989"/>
      <c r="M198" s="2990"/>
      <c r="N198" s="3341"/>
      <c r="O198" s="3377"/>
      <c r="P198" s="3344"/>
      <c r="Q198" s="3236"/>
      <c r="R198" s="3236"/>
      <c r="S198" s="3346"/>
      <c r="T198" s="3236"/>
      <c r="U198" s="3236"/>
      <c r="V198" s="3236"/>
      <c r="W198" s="3236"/>
      <c r="X198" s="3236"/>
      <c r="Y198" s="3236"/>
      <c r="Z198" s="1922"/>
      <c r="AA198" s="2198">
        <v>1</v>
      </c>
      <c r="AB198" s="1275" t="s">
        <v>1201</v>
      </c>
      <c r="AC198" s="1265">
        <v>91949.13</v>
      </c>
      <c r="AD198" s="1275" t="str">
        <f>AB198</f>
        <v>      Амортизационные отчисления с выделением результатов переоценки основных средств и нематериальных активов</v>
      </c>
      <c r="AE198" s="1265">
        <v>79866.82</v>
      </c>
      <c r="AF198" s="3375"/>
      <c r="AG198" s="3376"/>
      <c r="AH198" s="3376"/>
      <c r="AI198" s="3375"/>
      <c r="AJ198" s="3376"/>
      <c r="AK198" s="3376"/>
      <c r="AL198" s="2079"/>
      <c r="AM198" s="1917"/>
      <c r="AN198" s="1917"/>
      <c r="AO198" s="1917"/>
      <c r="AP198" s="1917"/>
      <c r="AQ198" s="1917"/>
      <c r="AR198" s="1917"/>
      <c r="AS198" s="1917"/>
      <c r="AT198" s="1917"/>
      <c r="AU198" s="1917"/>
      <c r="AV198" s="1917"/>
      <c r="AW198" s="1917"/>
      <c r="AX198" s="1917"/>
      <c r="AY198" s="1917"/>
      <c r="AZ198" s="1917"/>
      <c r="BA198" s="1917"/>
      <c r="BB198" s="1917"/>
      <c r="BC198" s="1917"/>
      <c r="BD198" s="1917"/>
      <c r="BE198" s="1917"/>
      <c r="BF198" s="1917"/>
    </row>
    <row s="10365" customFormat="1" customHeight="1" ht="11.25">
      <c r="A199" s="1262" t="s">
        <v>1194</v>
      </c>
      <c r="B199" s="1262"/>
      <c r="C199" s="1262"/>
      <c r="D199" s="1462"/>
      <c r="E199" s="1266"/>
      <c r="F199" s="3394"/>
      <c r="G199" s="3396"/>
      <c r="H199" s="3396"/>
      <c r="I199" s="3396"/>
      <c r="J199" s="3396"/>
      <c r="K199" s="3396"/>
      <c r="L199" s="3396"/>
      <c r="M199" s="3396"/>
      <c r="N199" s="3396"/>
      <c r="O199" s="3396"/>
      <c r="P199" s="3396"/>
      <c r="Q199" s="3396"/>
      <c r="R199" s="3396"/>
      <c r="S199" s="3396"/>
      <c r="T199" s="3396"/>
      <c r="U199" s="3396"/>
      <c r="V199" s="3396"/>
      <c r="W199" s="3396"/>
      <c r="X199" s="3396"/>
      <c r="Y199" s="3396"/>
      <c r="Z199" s="790" t="s">
        <v>103</v>
      </c>
      <c r="AA199" s="2195" t="s">
        <v>102</v>
      </c>
      <c r="AB199" s="1275" t="s">
        <v>1208</v>
      </c>
      <c r="AC199" s="1265">
        <v>18098.39</v>
      </c>
      <c r="AD199" s="1275" t="str">
        <f>AB199</f>
        <v>  Прочие собственные средства</v>
      </c>
      <c r="AE199" s="1265">
        <v>15782.9244</v>
      </c>
      <c r="AF199" s="3397"/>
      <c r="AG199" s="3398"/>
      <c r="AH199" s="3398"/>
      <c r="AI199" s="3397"/>
      <c r="AJ199" s="3398"/>
      <c r="AK199" s="3399"/>
      <c r="AL199" s="2079"/>
      <c r="AM199" s="1917"/>
      <c r="AN199" s="1917"/>
      <c r="AO199" s="1917"/>
      <c r="AP199" s="1917"/>
      <c r="AQ199" s="1917"/>
      <c r="AR199" s="1917"/>
      <c r="AS199" s="1917"/>
      <c r="AT199" s="1917"/>
      <c r="AU199" s="1917"/>
      <c r="AV199" s="1917"/>
      <c r="AW199" s="1917"/>
      <c r="AX199" s="1917"/>
      <c r="AY199" s="1917"/>
      <c r="AZ199" s="1917"/>
      <c r="BA199" s="1917"/>
      <c r="BB199" s="1917"/>
      <c r="BC199" s="1917"/>
      <c r="BD199" s="1917"/>
      <c r="BE199" s="1917"/>
      <c r="BF199" s="1917"/>
    </row>
    <row s="10365" customFormat="1" customHeight="1" ht="11.25">
      <c r="A200" s="1262" t="s">
        <v>1194</v>
      </c>
      <c r="B200" s="1262"/>
      <c r="C200" s="1262"/>
      <c r="D200" s="1462"/>
      <c r="E200" s="1266"/>
      <c r="F200" s="3394"/>
      <c r="G200" s="3396"/>
      <c r="H200" s="3263" t="s">
        <v>1254</v>
      </c>
      <c r="I200" s="3374"/>
      <c r="J200" s="3334"/>
      <c r="K200" s="3372"/>
      <c r="L200" s="2989"/>
      <c r="M200" s="2990"/>
      <c r="N200" s="3341"/>
      <c r="O200" s="3377"/>
      <c r="P200" s="3345"/>
      <c r="Q200" s="3236"/>
      <c r="R200" s="3236"/>
      <c r="S200" s="3346"/>
      <c r="T200" s="3236"/>
      <c r="U200" s="3236"/>
      <c r="V200" s="3236"/>
      <c r="W200" s="3236"/>
      <c r="X200" s="3236"/>
      <c r="Y200" s="3236"/>
      <c r="Z200" s="1271"/>
      <c r="AA200" s="1272"/>
      <c r="AB200" s="1337" t="s">
        <v>1203</v>
      </c>
      <c r="AC200" s="1276"/>
      <c r="AD200" s="1276"/>
      <c r="AE200" s="1278"/>
      <c r="AF200" s="3375"/>
      <c r="AG200" s="3376"/>
      <c r="AH200" s="3376"/>
      <c r="AI200" s="3375"/>
      <c r="AJ200" s="3376"/>
      <c r="AK200" s="3376"/>
      <c r="AL200" s="2079"/>
      <c r="AM200" s="1917"/>
      <c r="AN200" s="1917"/>
      <c r="AO200" s="1917"/>
      <c r="AP200" s="1917"/>
      <c r="AQ200" s="1917"/>
      <c r="AR200" s="1917"/>
      <c r="AS200" s="1917"/>
      <c r="AT200" s="1917"/>
      <c r="AU200" s="1917"/>
      <c r="AV200" s="1917"/>
      <c r="AW200" s="1917"/>
      <c r="AX200" s="1917"/>
      <c r="AY200" s="1917"/>
      <c r="AZ200" s="1917"/>
      <c r="BA200" s="1917"/>
      <c r="BB200" s="1917"/>
      <c r="BC200" s="1917"/>
      <c r="BD200" s="1917"/>
      <c r="BE200" s="1917"/>
      <c r="BF200" s="1917"/>
    </row>
    <row s="10365" customFormat="1" customHeight="1" ht="11.25">
      <c r="A201" s="1262" t="s">
        <v>1194</v>
      </c>
      <c r="B201" s="1262"/>
      <c r="C201" s="1262"/>
      <c r="D201" s="1462"/>
      <c r="E201" s="1266"/>
      <c r="F201" s="3394"/>
      <c r="G201" s="3396"/>
      <c r="H201" s="3263" t="s">
        <v>1254</v>
      </c>
      <c r="I201" s="3374"/>
      <c r="J201" s="3334"/>
      <c r="K201" s="3372"/>
      <c r="L201" s="2989"/>
      <c r="M201" s="2990"/>
      <c r="N201" s="1271"/>
      <c r="O201" s="1272"/>
      <c r="P201" s="1337" t="s">
        <v>1204</v>
      </c>
      <c r="Q201" s="1272"/>
      <c r="R201" s="1272"/>
      <c r="S201" s="1272"/>
      <c r="T201" s="1272"/>
      <c r="U201" s="1272"/>
      <c r="V201" s="1272"/>
      <c r="W201" s="1272"/>
      <c r="X201" s="1272"/>
      <c r="Y201" s="1272"/>
      <c r="Z201" s="1272"/>
      <c r="AA201" s="1272"/>
      <c r="AB201" s="1272"/>
      <c r="AC201" s="1272"/>
      <c r="AD201" s="1272"/>
      <c r="AE201" s="1279"/>
      <c r="AF201" s="3375"/>
      <c r="AG201" s="3376"/>
      <c r="AH201" s="3376"/>
      <c r="AI201" s="3375"/>
      <c r="AJ201" s="3376"/>
      <c r="AK201" s="3376"/>
      <c r="AL201" s="2079"/>
      <c r="AM201" s="1917"/>
      <c r="AN201" s="1917"/>
      <c r="AO201" s="1917"/>
      <c r="AP201" s="1917"/>
      <c r="AQ201" s="1917"/>
      <c r="AR201" s="1917"/>
      <c r="AS201" s="1917"/>
      <c r="AT201" s="1917"/>
      <c r="AU201" s="1917"/>
      <c r="AV201" s="1917"/>
      <c r="AW201" s="1917"/>
      <c r="AX201" s="1917"/>
      <c r="AY201" s="1917"/>
      <c r="AZ201" s="1917"/>
      <c r="BA201" s="1917"/>
      <c r="BB201" s="1917"/>
      <c r="BC201" s="1917"/>
      <c r="BD201" s="1917"/>
      <c r="BE201" s="1917"/>
      <c r="BF201" s="1917"/>
    </row>
    <row s="10365" customFormat="1" customHeight="1" ht="11.25">
      <c r="A202" s="1262" t="s">
        <v>1194</v>
      </c>
      <c r="B202" s="1262" t="s">
        <v>1195</v>
      </c>
      <c r="C202" s="1262"/>
      <c r="D202" s="1462"/>
      <c r="E202" s="1266"/>
      <c r="F202" s="3394"/>
      <c r="G202" s="3004" t="s">
        <v>103</v>
      </c>
      <c r="H202" s="3263" t="s">
        <v>1258</v>
      </c>
      <c r="I202" s="3374" t="s">
        <v>1196</v>
      </c>
      <c r="J202" s="3334" t="s">
        <v>1219</v>
      </c>
      <c r="K202" s="3372" t="s">
        <v>1259</v>
      </c>
      <c r="L202" s="2989" t="s">
        <v>19</v>
      </c>
      <c r="M202" s="2990"/>
      <c r="N202" s="2077"/>
      <c r="O202" s="1273" t="s">
        <v>461</v>
      </c>
      <c r="P202" s="1274"/>
      <c r="Q202" s="1274"/>
      <c r="R202" s="1274"/>
      <c r="S202" s="1274"/>
      <c r="T202" s="1274"/>
      <c r="U202" s="1274"/>
      <c r="V202" s="1274"/>
      <c r="W202" s="1274"/>
      <c r="X202" s="1274"/>
      <c r="Y202" s="1274"/>
      <c r="Z202" s="1274"/>
      <c r="AA202" s="1274"/>
      <c r="AB202" s="1274"/>
      <c r="AC202" s="1274"/>
      <c r="AD202" s="1274"/>
      <c r="AE202" s="1274"/>
      <c r="AF202" s="3375">
        <v>8</v>
      </c>
      <c r="AG202" s="3376" t="s">
        <v>1199</v>
      </c>
      <c r="AH202" s="3376" t="s">
        <v>1260</v>
      </c>
      <c r="AI202" s="3375">
        <v>8</v>
      </c>
      <c r="AJ202" s="3376" t="s">
        <v>1199</v>
      </c>
      <c r="AK202" s="3376" t="s">
        <v>1260</v>
      </c>
      <c r="AL202" s="2079"/>
      <c r="AM202" s="1917"/>
      <c r="AN202" s="1917"/>
      <c r="AO202" s="1917"/>
      <c r="AP202" s="1917"/>
      <c r="AQ202" s="1917"/>
      <c r="AR202" s="1917"/>
      <c r="AS202" s="1917"/>
      <c r="AT202" s="1917"/>
      <c r="AU202" s="1917"/>
      <c r="AV202" s="1917"/>
      <c r="AW202" s="1917"/>
      <c r="AX202" s="1917"/>
      <c r="AY202" s="1917"/>
      <c r="AZ202" s="1917"/>
      <c r="BA202" s="1917"/>
      <c r="BB202" s="1917"/>
      <c r="BC202" s="1917"/>
      <c r="BD202" s="1917"/>
      <c r="BE202" s="1917"/>
      <c r="BF202" s="1917"/>
    </row>
    <row s="10365" customFormat="1" customHeight="1" ht="11.25">
      <c r="A203" s="1262" t="s">
        <v>1194</v>
      </c>
      <c r="B203" s="1262"/>
      <c r="C203" s="1262"/>
      <c r="D203" s="1462"/>
      <c r="E203" s="1266"/>
      <c r="F203" s="3394"/>
      <c r="G203" s="3396"/>
      <c r="H203" s="3263" t="s">
        <v>1256</v>
      </c>
      <c r="I203" s="3374"/>
      <c r="J203" s="3334"/>
      <c r="K203" s="3372"/>
      <c r="L203" s="2989"/>
      <c r="M203" s="2990"/>
      <c r="N203" s="3341"/>
      <c r="O203" s="3377">
        <v>1</v>
      </c>
      <c r="P203" s="3343" t="s">
        <v>19</v>
      </c>
      <c r="Q203" s="3236" t="s">
        <v>22</v>
      </c>
      <c r="R203" s="3236" t="s">
        <v>22</v>
      </c>
      <c r="S203" s="3236" t="s">
        <v>22</v>
      </c>
      <c r="T203" s="3236" t="s">
        <v>22</v>
      </c>
      <c r="U203" s="3236" t="s">
        <v>22</v>
      </c>
      <c r="V203" s="3236" t="s">
        <v>22</v>
      </c>
      <c r="W203" s="3236" t="s">
        <v>22</v>
      </c>
      <c r="X203" s="3236" t="s">
        <v>22</v>
      </c>
      <c r="Y203" s="3236"/>
      <c r="Z203" s="1271"/>
      <c r="AA203" s="1272"/>
      <c r="AB203" s="1272"/>
      <c r="AC203" s="1276"/>
      <c r="AD203" s="1276"/>
      <c r="AE203" s="1277"/>
      <c r="AF203" s="3375"/>
      <c r="AG203" s="3376"/>
      <c r="AH203" s="3376"/>
      <c r="AI203" s="3375"/>
      <c r="AJ203" s="3376"/>
      <c r="AK203" s="3376"/>
      <c r="AL203" s="2079"/>
      <c r="AM203" s="1917"/>
      <c r="AN203" s="1917"/>
      <c r="AO203" s="1917"/>
      <c r="AP203" s="1917"/>
      <c r="AQ203" s="1917"/>
      <c r="AR203" s="1917"/>
      <c r="AS203" s="1917"/>
      <c r="AT203" s="1917"/>
      <c r="AU203" s="1917"/>
      <c r="AV203" s="1917"/>
      <c r="AW203" s="1917"/>
      <c r="AX203" s="1917"/>
      <c r="AY203" s="1917"/>
      <c r="AZ203" s="1917"/>
      <c r="BA203" s="1917"/>
      <c r="BB203" s="1917"/>
      <c r="BC203" s="1917"/>
      <c r="BD203" s="1917"/>
      <c r="BE203" s="1917"/>
      <c r="BF203" s="1917"/>
    </row>
    <row s="10365" customFormat="1" customHeight="1" ht="11.25">
      <c r="A204" s="1262" t="s">
        <v>1194</v>
      </c>
      <c r="B204" s="1262"/>
      <c r="C204" s="1262"/>
      <c r="D204" s="1462"/>
      <c r="E204" s="1266"/>
      <c r="F204" s="3394"/>
      <c r="G204" s="3396"/>
      <c r="H204" s="3263" t="s">
        <v>1256</v>
      </c>
      <c r="I204" s="3374"/>
      <c r="J204" s="3334"/>
      <c r="K204" s="3372"/>
      <c r="L204" s="2989"/>
      <c r="M204" s="2990"/>
      <c r="N204" s="3341"/>
      <c r="O204" s="3377"/>
      <c r="P204" s="3344"/>
      <c r="Q204" s="3236"/>
      <c r="R204" s="3236"/>
      <c r="S204" s="3346"/>
      <c r="T204" s="3236"/>
      <c r="U204" s="3236"/>
      <c r="V204" s="3236"/>
      <c r="W204" s="3236"/>
      <c r="X204" s="3236"/>
      <c r="Y204" s="3236"/>
      <c r="Z204" s="1922"/>
      <c r="AA204" s="2198">
        <v>1</v>
      </c>
      <c r="AB204" s="1275" t="s">
        <v>1201</v>
      </c>
      <c r="AC204" s="1265">
        <v>68230.14</v>
      </c>
      <c r="AD204" s="1275" t="str">
        <f>AB204</f>
        <v>      Амортизационные отчисления с выделением результатов переоценки основных средств и нематериальных активов</v>
      </c>
      <c r="AE204" s="1265">
        <v>57791.64</v>
      </c>
      <c r="AF204" s="3375"/>
      <c r="AG204" s="3376"/>
      <c r="AH204" s="3376"/>
      <c r="AI204" s="3375"/>
      <c r="AJ204" s="3376"/>
      <c r="AK204" s="3376"/>
      <c r="AL204" s="2079"/>
      <c r="AM204" s="1917"/>
      <c r="AN204" s="1917"/>
      <c r="AO204" s="1917"/>
      <c r="AP204" s="1917"/>
      <c r="AQ204" s="1917"/>
      <c r="AR204" s="1917"/>
      <c r="AS204" s="1917"/>
      <c r="AT204" s="1917"/>
      <c r="AU204" s="1917"/>
      <c r="AV204" s="1917"/>
      <c r="AW204" s="1917"/>
      <c r="AX204" s="1917"/>
      <c r="AY204" s="1917"/>
      <c r="AZ204" s="1917"/>
      <c r="BA204" s="1917"/>
      <c r="BB204" s="1917"/>
      <c r="BC204" s="1917"/>
      <c r="BD204" s="1917"/>
      <c r="BE204" s="1917"/>
      <c r="BF204" s="1917"/>
    </row>
    <row s="10365" customFormat="1" customHeight="1" ht="11.25">
      <c r="A205" s="1262" t="s">
        <v>1194</v>
      </c>
      <c r="B205" s="1262"/>
      <c r="C205" s="1262"/>
      <c r="D205" s="1462"/>
      <c r="E205" s="1266"/>
      <c r="F205" s="3394"/>
      <c r="G205" s="3396"/>
      <c r="H205" s="3396"/>
      <c r="I205" s="3396"/>
      <c r="J205" s="3396"/>
      <c r="K205" s="3396"/>
      <c r="L205" s="3396"/>
      <c r="M205" s="3396"/>
      <c r="N205" s="3396"/>
      <c r="O205" s="3396"/>
      <c r="P205" s="3396"/>
      <c r="Q205" s="3396"/>
      <c r="R205" s="3396"/>
      <c r="S205" s="3396"/>
      <c r="T205" s="3396"/>
      <c r="U205" s="3396"/>
      <c r="V205" s="3396"/>
      <c r="W205" s="3396"/>
      <c r="X205" s="3396"/>
      <c r="Y205" s="3396"/>
      <c r="Z205" s="790" t="s">
        <v>103</v>
      </c>
      <c r="AA205" s="2195" t="s">
        <v>102</v>
      </c>
      <c r="AB205" s="1275" t="s">
        <v>1208</v>
      </c>
      <c r="AC205" s="1265">
        <v>13282.92</v>
      </c>
      <c r="AD205" s="1275" t="str">
        <f>AB205</f>
        <v>  Прочие собственные средства</v>
      </c>
      <c r="AE205" s="1265">
        <v>11371.97023</v>
      </c>
      <c r="AF205" s="3397"/>
      <c r="AG205" s="3398"/>
      <c r="AH205" s="3398"/>
      <c r="AI205" s="3397"/>
      <c r="AJ205" s="3398"/>
      <c r="AK205" s="3399"/>
      <c r="AL205" s="2079"/>
      <c r="AM205" s="1917"/>
      <c r="AN205" s="1917"/>
      <c r="AO205" s="1917"/>
      <c r="AP205" s="1917"/>
      <c r="AQ205" s="1917"/>
      <c r="AR205" s="1917"/>
      <c r="AS205" s="1917"/>
      <c r="AT205" s="1917"/>
      <c r="AU205" s="1917"/>
      <c r="AV205" s="1917"/>
      <c r="AW205" s="1917"/>
      <c r="AX205" s="1917"/>
      <c r="AY205" s="1917"/>
      <c r="AZ205" s="1917"/>
      <c r="BA205" s="1917"/>
      <c r="BB205" s="1917"/>
      <c r="BC205" s="1917"/>
      <c r="BD205" s="1917"/>
      <c r="BE205" s="1917"/>
      <c r="BF205" s="1917"/>
    </row>
    <row s="10365" customFormat="1" customHeight="1" ht="11.25">
      <c r="A206" s="1262" t="s">
        <v>1194</v>
      </c>
      <c r="B206" s="1262"/>
      <c r="C206" s="1262"/>
      <c r="D206" s="1462"/>
      <c r="E206" s="1266"/>
      <c r="F206" s="3394"/>
      <c r="G206" s="3396"/>
      <c r="H206" s="3263" t="s">
        <v>1256</v>
      </c>
      <c r="I206" s="3374"/>
      <c r="J206" s="3334"/>
      <c r="K206" s="3372"/>
      <c r="L206" s="2989"/>
      <c r="M206" s="2990"/>
      <c r="N206" s="3341"/>
      <c r="O206" s="3377"/>
      <c r="P206" s="3345"/>
      <c r="Q206" s="3236"/>
      <c r="R206" s="3236"/>
      <c r="S206" s="3346"/>
      <c r="T206" s="3236"/>
      <c r="U206" s="3236"/>
      <c r="V206" s="3236"/>
      <c r="W206" s="3236"/>
      <c r="X206" s="3236"/>
      <c r="Y206" s="3236"/>
      <c r="Z206" s="1271"/>
      <c r="AA206" s="1272"/>
      <c r="AB206" s="1337" t="s">
        <v>1203</v>
      </c>
      <c r="AC206" s="1276"/>
      <c r="AD206" s="1276"/>
      <c r="AE206" s="1278"/>
      <c r="AF206" s="3375"/>
      <c r="AG206" s="3376"/>
      <c r="AH206" s="3376"/>
      <c r="AI206" s="3375"/>
      <c r="AJ206" s="3376"/>
      <c r="AK206" s="3376"/>
      <c r="AL206" s="2079"/>
      <c r="AM206" s="1917"/>
      <c r="AN206" s="1917"/>
      <c r="AO206" s="1917"/>
      <c r="AP206" s="1917"/>
      <c r="AQ206" s="1917"/>
      <c r="AR206" s="1917"/>
      <c r="AS206" s="1917"/>
      <c r="AT206" s="1917"/>
      <c r="AU206" s="1917"/>
      <c r="AV206" s="1917"/>
      <c r="AW206" s="1917"/>
      <c r="AX206" s="1917"/>
      <c r="AY206" s="1917"/>
      <c r="AZ206" s="1917"/>
      <c r="BA206" s="1917"/>
      <c r="BB206" s="1917"/>
      <c r="BC206" s="1917"/>
      <c r="BD206" s="1917"/>
      <c r="BE206" s="1917"/>
      <c r="BF206" s="1917"/>
    </row>
    <row s="10365" customFormat="1" customHeight="1" ht="11.25">
      <c r="A207" s="1262" t="s">
        <v>1194</v>
      </c>
      <c r="B207" s="1262"/>
      <c r="C207" s="1262"/>
      <c r="D207" s="1462"/>
      <c r="E207" s="1266"/>
      <c r="F207" s="3394"/>
      <c r="G207" s="3396"/>
      <c r="H207" s="3263" t="s">
        <v>1256</v>
      </c>
      <c r="I207" s="3374"/>
      <c r="J207" s="3334"/>
      <c r="K207" s="3372"/>
      <c r="L207" s="2989"/>
      <c r="M207" s="2990"/>
      <c r="N207" s="1271"/>
      <c r="O207" s="1272"/>
      <c r="P207" s="1337" t="s">
        <v>1204</v>
      </c>
      <c r="Q207" s="1272"/>
      <c r="R207" s="1272"/>
      <c r="S207" s="1272"/>
      <c r="T207" s="1272"/>
      <c r="U207" s="1272"/>
      <c r="V207" s="1272"/>
      <c r="W207" s="1272"/>
      <c r="X207" s="1272"/>
      <c r="Y207" s="1272"/>
      <c r="Z207" s="1272"/>
      <c r="AA207" s="1272"/>
      <c r="AB207" s="1272"/>
      <c r="AC207" s="1272"/>
      <c r="AD207" s="1272"/>
      <c r="AE207" s="1279"/>
      <c r="AF207" s="3375"/>
      <c r="AG207" s="3376"/>
      <c r="AH207" s="3376"/>
      <c r="AI207" s="3375"/>
      <c r="AJ207" s="3376"/>
      <c r="AK207" s="3376"/>
      <c r="AL207" s="2079"/>
      <c r="AM207" s="1917"/>
      <c r="AN207" s="1917"/>
      <c r="AO207" s="1917"/>
      <c r="AP207" s="1917"/>
      <c r="AQ207" s="1917"/>
      <c r="AR207" s="1917"/>
      <c r="AS207" s="1917"/>
      <c r="AT207" s="1917"/>
      <c r="AU207" s="1917"/>
      <c r="AV207" s="1917"/>
      <c r="AW207" s="1917"/>
      <c r="AX207" s="1917"/>
      <c r="AY207" s="1917"/>
      <c r="AZ207" s="1917"/>
      <c r="BA207" s="1917"/>
      <c r="BB207" s="1917"/>
      <c r="BC207" s="1917"/>
      <c r="BD207" s="1917"/>
      <c r="BE207" s="1917"/>
      <c r="BF207" s="1917"/>
    </row>
    <row s="10365" customFormat="1" customHeight="1" ht="11.25">
      <c r="A208" s="1262" t="s">
        <v>1194</v>
      </c>
      <c r="B208" s="1262" t="s">
        <v>1195</v>
      </c>
      <c r="C208" s="1262"/>
      <c r="D208" s="1462"/>
      <c r="E208" s="1266"/>
      <c r="F208" s="3394"/>
      <c r="G208" s="3004" t="s">
        <v>103</v>
      </c>
      <c r="H208" s="3263" t="s">
        <v>1261</v>
      </c>
      <c r="I208" s="3374" t="s">
        <v>1196</v>
      </c>
      <c r="J208" s="3334" t="s">
        <v>1219</v>
      </c>
      <c r="K208" s="3372" t="s">
        <v>1262</v>
      </c>
      <c r="L208" s="2989" t="s">
        <v>19</v>
      </c>
      <c r="M208" s="2990"/>
      <c r="N208" s="2077"/>
      <c r="O208" s="1273" t="s">
        <v>461</v>
      </c>
      <c r="P208" s="1274"/>
      <c r="Q208" s="1274"/>
      <c r="R208" s="1274"/>
      <c r="S208" s="1274"/>
      <c r="T208" s="1274"/>
      <c r="U208" s="1274"/>
      <c r="V208" s="1274"/>
      <c r="W208" s="1274"/>
      <c r="X208" s="1274"/>
      <c r="Y208" s="1274"/>
      <c r="Z208" s="1274"/>
      <c r="AA208" s="1274"/>
      <c r="AB208" s="1274"/>
      <c r="AC208" s="1274"/>
      <c r="AD208" s="1274"/>
      <c r="AE208" s="1274"/>
      <c r="AF208" s="3375">
        <v>7</v>
      </c>
      <c r="AG208" s="3376" t="s">
        <v>1199</v>
      </c>
      <c r="AH208" s="3376" t="s">
        <v>1207</v>
      </c>
      <c r="AI208" s="3375">
        <v>7</v>
      </c>
      <c r="AJ208" s="3376" t="s">
        <v>1199</v>
      </c>
      <c r="AK208" s="3376" t="s">
        <v>1207</v>
      </c>
      <c r="AL208" s="2079"/>
      <c r="AM208" s="1917"/>
      <c r="AN208" s="1917"/>
      <c r="AO208" s="1917"/>
      <c r="AP208" s="1917"/>
      <c r="AQ208" s="1917"/>
      <c r="AR208" s="1917"/>
      <c r="AS208" s="1917"/>
      <c r="AT208" s="1917"/>
      <c r="AU208" s="1917"/>
      <c r="AV208" s="1917"/>
      <c r="AW208" s="1917"/>
      <c r="AX208" s="1917"/>
      <c r="AY208" s="1917"/>
      <c r="AZ208" s="1917"/>
      <c r="BA208" s="1917"/>
      <c r="BB208" s="1917"/>
      <c r="BC208" s="1917"/>
      <c r="BD208" s="1917"/>
      <c r="BE208" s="1917"/>
      <c r="BF208" s="1917"/>
    </row>
    <row s="10365" customFormat="1" customHeight="1" ht="11.25">
      <c r="A209" s="1262" t="s">
        <v>1194</v>
      </c>
      <c r="B209" s="1262"/>
      <c r="C209" s="1262"/>
      <c r="D209" s="1462"/>
      <c r="E209" s="1266"/>
      <c r="F209" s="3394"/>
      <c r="G209" s="3396"/>
      <c r="H209" s="3263" t="s">
        <v>1258</v>
      </c>
      <c r="I209" s="3374"/>
      <c r="J209" s="3334"/>
      <c r="K209" s="3372"/>
      <c r="L209" s="2989"/>
      <c r="M209" s="2990"/>
      <c r="N209" s="3341"/>
      <c r="O209" s="3377">
        <v>1</v>
      </c>
      <c r="P209" s="3343" t="s">
        <v>19</v>
      </c>
      <c r="Q209" s="3236" t="s">
        <v>22</v>
      </c>
      <c r="R209" s="3236" t="s">
        <v>22</v>
      </c>
      <c r="S209" s="3236" t="s">
        <v>22</v>
      </c>
      <c r="T209" s="3236" t="s">
        <v>22</v>
      </c>
      <c r="U209" s="3236" t="s">
        <v>22</v>
      </c>
      <c r="V209" s="3236" t="s">
        <v>22</v>
      </c>
      <c r="W209" s="3236" t="s">
        <v>22</v>
      </c>
      <c r="X209" s="3236" t="s">
        <v>22</v>
      </c>
      <c r="Y209" s="3236"/>
      <c r="Z209" s="1271"/>
      <c r="AA209" s="1272"/>
      <c r="AB209" s="1272"/>
      <c r="AC209" s="1276"/>
      <c r="AD209" s="1276"/>
      <c r="AE209" s="1277"/>
      <c r="AF209" s="3375"/>
      <c r="AG209" s="3376"/>
      <c r="AH209" s="3376"/>
      <c r="AI209" s="3375"/>
      <c r="AJ209" s="3376"/>
      <c r="AK209" s="3376"/>
      <c r="AL209" s="2079"/>
      <c r="AM209" s="1917"/>
      <c r="AN209" s="1917"/>
      <c r="AO209" s="1917"/>
      <c r="AP209" s="1917"/>
      <c r="AQ209" s="1917"/>
      <c r="AR209" s="1917"/>
      <c r="AS209" s="1917"/>
      <c r="AT209" s="1917"/>
      <c r="AU209" s="1917"/>
      <c r="AV209" s="1917"/>
      <c r="AW209" s="1917"/>
      <c r="AX209" s="1917"/>
      <c r="AY209" s="1917"/>
      <c r="AZ209" s="1917"/>
      <c r="BA209" s="1917"/>
      <c r="BB209" s="1917"/>
      <c r="BC209" s="1917"/>
      <c r="BD209" s="1917"/>
      <c r="BE209" s="1917"/>
      <c r="BF209" s="1917"/>
    </row>
    <row s="10365" customFormat="1" customHeight="1" ht="11.25">
      <c r="A210" s="1262" t="s">
        <v>1194</v>
      </c>
      <c r="B210" s="1262"/>
      <c r="C210" s="1262"/>
      <c r="D210" s="1462"/>
      <c r="E210" s="1266"/>
      <c r="F210" s="3394"/>
      <c r="G210" s="3396"/>
      <c r="H210" s="3263" t="s">
        <v>1258</v>
      </c>
      <c r="I210" s="3374"/>
      <c r="J210" s="3334"/>
      <c r="K210" s="3372"/>
      <c r="L210" s="2989"/>
      <c r="M210" s="2990"/>
      <c r="N210" s="3341"/>
      <c r="O210" s="3377"/>
      <c r="P210" s="3344"/>
      <c r="Q210" s="3236"/>
      <c r="R210" s="3236"/>
      <c r="S210" s="3346"/>
      <c r="T210" s="3236"/>
      <c r="U210" s="3236"/>
      <c r="V210" s="3236"/>
      <c r="W210" s="3236"/>
      <c r="X210" s="3236"/>
      <c r="Y210" s="3236"/>
      <c r="Z210" s="1922"/>
      <c r="AA210" s="2198">
        <v>1</v>
      </c>
      <c r="AB210" s="1275" t="s">
        <v>1201</v>
      </c>
      <c r="AC210" s="1265">
        <v>94587.6</v>
      </c>
      <c r="AD210" s="1275" t="str">
        <f>AB210</f>
        <v>      Амортизационные отчисления с выделением результатов переоценки основных средств и нематериальных активов</v>
      </c>
      <c r="AE210" s="1265">
        <v>73241.26</v>
      </c>
      <c r="AF210" s="3375"/>
      <c r="AG210" s="3376"/>
      <c r="AH210" s="3376"/>
      <c r="AI210" s="3375"/>
      <c r="AJ210" s="3376"/>
      <c r="AK210" s="3376"/>
      <c r="AL210" s="2079"/>
      <c r="AM210" s="1917"/>
      <c r="AN210" s="1917"/>
      <c r="AO210" s="1917"/>
      <c r="AP210" s="1917"/>
      <c r="AQ210" s="1917"/>
      <c r="AR210" s="1917"/>
      <c r="AS210" s="1917"/>
      <c r="AT210" s="1917"/>
      <c r="AU210" s="1917"/>
      <c r="AV210" s="1917"/>
      <c r="AW210" s="1917"/>
      <c r="AX210" s="1917"/>
      <c r="AY210" s="1917"/>
      <c r="AZ210" s="1917"/>
      <c r="BA210" s="1917"/>
      <c r="BB210" s="1917"/>
      <c r="BC210" s="1917"/>
      <c r="BD210" s="1917"/>
      <c r="BE210" s="1917"/>
      <c r="BF210" s="1917"/>
    </row>
    <row s="10365" customFormat="1" customHeight="1" ht="11.25">
      <c r="A211" s="1262" t="s">
        <v>1194</v>
      </c>
      <c r="B211" s="1262"/>
      <c r="C211" s="1262"/>
      <c r="D211" s="1462"/>
      <c r="E211" s="1266"/>
      <c r="F211" s="3394"/>
      <c r="G211" s="3396"/>
      <c r="H211" s="3396"/>
      <c r="I211" s="3396"/>
      <c r="J211" s="3396"/>
      <c r="K211" s="3396"/>
      <c r="L211" s="3396"/>
      <c r="M211" s="3396"/>
      <c r="N211" s="3396"/>
      <c r="O211" s="3396"/>
      <c r="P211" s="3396"/>
      <c r="Q211" s="3396"/>
      <c r="R211" s="3396"/>
      <c r="S211" s="3396"/>
      <c r="T211" s="3396"/>
      <c r="U211" s="3396"/>
      <c r="V211" s="3396"/>
      <c r="W211" s="3396"/>
      <c r="X211" s="3396"/>
      <c r="Y211" s="3396"/>
      <c r="Z211" s="790" t="s">
        <v>103</v>
      </c>
      <c r="AA211" s="2195" t="s">
        <v>102</v>
      </c>
      <c r="AB211" s="1275" t="s">
        <v>1208</v>
      </c>
      <c r="AC211" s="1265">
        <v>18395.72</v>
      </c>
      <c r="AD211" s="1275" t="str">
        <f>AB211</f>
        <v>  Прочие собственные средства</v>
      </c>
      <c r="AE211" s="1265">
        <v>14382.69119</v>
      </c>
      <c r="AF211" s="3397"/>
      <c r="AG211" s="3398"/>
      <c r="AH211" s="3398"/>
      <c r="AI211" s="3397"/>
      <c r="AJ211" s="3398"/>
      <c r="AK211" s="3399"/>
      <c r="AL211" s="2079"/>
      <c r="AM211" s="1917"/>
      <c r="AN211" s="1917"/>
      <c r="AO211" s="1917"/>
      <c r="AP211" s="1917"/>
      <c r="AQ211" s="1917"/>
      <c r="AR211" s="1917"/>
      <c r="AS211" s="1917"/>
      <c r="AT211" s="1917"/>
      <c r="AU211" s="1917"/>
      <c r="AV211" s="1917"/>
      <c r="AW211" s="1917"/>
      <c r="AX211" s="1917"/>
      <c r="AY211" s="1917"/>
      <c r="AZ211" s="1917"/>
      <c r="BA211" s="1917"/>
      <c r="BB211" s="1917"/>
      <c r="BC211" s="1917"/>
      <c r="BD211" s="1917"/>
      <c r="BE211" s="1917"/>
      <c r="BF211" s="1917"/>
    </row>
    <row s="10365" customFormat="1" customHeight="1" ht="11.25">
      <c r="A212" s="1262" t="s">
        <v>1194</v>
      </c>
      <c r="B212" s="1262"/>
      <c r="C212" s="1262"/>
      <c r="D212" s="1462"/>
      <c r="E212" s="1266"/>
      <c r="F212" s="3394"/>
      <c r="G212" s="3396"/>
      <c r="H212" s="3263" t="s">
        <v>1258</v>
      </c>
      <c r="I212" s="3374"/>
      <c r="J212" s="3334"/>
      <c r="K212" s="3372"/>
      <c r="L212" s="2989"/>
      <c r="M212" s="2990"/>
      <c r="N212" s="3341"/>
      <c r="O212" s="3377"/>
      <c r="P212" s="3345"/>
      <c r="Q212" s="3236"/>
      <c r="R212" s="3236"/>
      <c r="S212" s="3346"/>
      <c r="T212" s="3236"/>
      <c r="U212" s="3236"/>
      <c r="V212" s="3236"/>
      <c r="W212" s="3236"/>
      <c r="X212" s="3236"/>
      <c r="Y212" s="3236"/>
      <c r="Z212" s="1271"/>
      <c r="AA212" s="1272"/>
      <c r="AB212" s="1337" t="s">
        <v>1203</v>
      </c>
      <c r="AC212" s="1276"/>
      <c r="AD212" s="1276"/>
      <c r="AE212" s="1278"/>
      <c r="AF212" s="3375"/>
      <c r="AG212" s="3376"/>
      <c r="AH212" s="3376"/>
      <c r="AI212" s="3375"/>
      <c r="AJ212" s="3376"/>
      <c r="AK212" s="3376"/>
      <c r="AL212" s="2079"/>
      <c r="AM212" s="1917"/>
      <c r="AN212" s="1917"/>
      <c r="AO212" s="1917"/>
      <c r="AP212" s="1917"/>
      <c r="AQ212" s="1917"/>
      <c r="AR212" s="1917"/>
      <c r="AS212" s="1917"/>
      <c r="AT212" s="1917"/>
      <c r="AU212" s="1917"/>
      <c r="AV212" s="1917"/>
      <c r="AW212" s="1917"/>
      <c r="AX212" s="1917"/>
      <c r="AY212" s="1917"/>
      <c r="AZ212" s="1917"/>
      <c r="BA212" s="1917"/>
      <c r="BB212" s="1917"/>
      <c r="BC212" s="1917"/>
      <c r="BD212" s="1917"/>
      <c r="BE212" s="1917"/>
      <c r="BF212" s="1917"/>
    </row>
    <row s="10365" customFormat="1" customHeight="1" ht="11.25">
      <c r="A213" s="1262" t="s">
        <v>1194</v>
      </c>
      <c r="B213" s="1262"/>
      <c r="C213" s="1262"/>
      <c r="D213" s="1462"/>
      <c r="E213" s="1266"/>
      <c r="F213" s="3394"/>
      <c r="G213" s="3396"/>
      <c r="H213" s="3263" t="s">
        <v>1258</v>
      </c>
      <c r="I213" s="3374"/>
      <c r="J213" s="3334"/>
      <c r="K213" s="3372"/>
      <c r="L213" s="2989"/>
      <c r="M213" s="2990"/>
      <c r="N213" s="1271"/>
      <c r="O213" s="1272"/>
      <c r="P213" s="1337" t="s">
        <v>1204</v>
      </c>
      <c r="Q213" s="1272"/>
      <c r="R213" s="1272"/>
      <c r="S213" s="1272"/>
      <c r="T213" s="1272"/>
      <c r="U213" s="1272"/>
      <c r="V213" s="1272"/>
      <c r="W213" s="1272"/>
      <c r="X213" s="1272"/>
      <c r="Y213" s="1272"/>
      <c r="Z213" s="1272"/>
      <c r="AA213" s="1272"/>
      <c r="AB213" s="1272"/>
      <c r="AC213" s="1272"/>
      <c r="AD213" s="1272"/>
      <c r="AE213" s="1279"/>
      <c r="AF213" s="3375"/>
      <c r="AG213" s="3376"/>
      <c r="AH213" s="3376"/>
      <c r="AI213" s="3375"/>
      <c r="AJ213" s="3376"/>
      <c r="AK213" s="3376"/>
      <c r="AL213" s="2079"/>
      <c r="AM213" s="1917"/>
      <c r="AN213" s="1917"/>
      <c r="AO213" s="1917"/>
      <c r="AP213" s="1917"/>
      <c r="AQ213" s="1917"/>
      <c r="AR213" s="1917"/>
      <c r="AS213" s="1917"/>
      <c r="AT213" s="1917"/>
      <c r="AU213" s="1917"/>
      <c r="AV213" s="1917"/>
      <c r="AW213" s="1917"/>
      <c r="AX213" s="1917"/>
      <c r="AY213" s="1917"/>
      <c r="AZ213" s="1917"/>
      <c r="BA213" s="1917"/>
      <c r="BB213" s="1917"/>
      <c r="BC213" s="1917"/>
      <c r="BD213" s="1917"/>
      <c r="BE213" s="1917"/>
      <c r="BF213" s="1917"/>
    </row>
    <row s="10365" customFormat="1" customHeight="1" ht="11.25">
      <c r="A214" s="1262" t="s">
        <v>1194</v>
      </c>
      <c r="B214" s="1262" t="s">
        <v>1195</v>
      </c>
      <c r="C214" s="1262"/>
      <c r="D214" s="1462"/>
      <c r="E214" s="1266"/>
      <c r="F214" s="3394"/>
      <c r="G214" s="3004" t="s">
        <v>103</v>
      </c>
      <c r="H214" s="3263" t="s">
        <v>1263</v>
      </c>
      <c r="I214" s="3374" t="s">
        <v>1196</v>
      </c>
      <c r="J214" s="3334" t="s">
        <v>1219</v>
      </c>
      <c r="K214" s="3372" t="s">
        <v>1264</v>
      </c>
      <c r="L214" s="2989" t="s">
        <v>19</v>
      </c>
      <c r="M214" s="2990"/>
      <c r="N214" s="2077"/>
      <c r="O214" s="1273" t="s">
        <v>461</v>
      </c>
      <c r="P214" s="1274"/>
      <c r="Q214" s="1274"/>
      <c r="R214" s="1274"/>
      <c r="S214" s="1274"/>
      <c r="T214" s="1274"/>
      <c r="U214" s="1274"/>
      <c r="V214" s="1274"/>
      <c r="W214" s="1274"/>
      <c r="X214" s="1274"/>
      <c r="Y214" s="1274"/>
      <c r="Z214" s="1274"/>
      <c r="AA214" s="1274"/>
      <c r="AB214" s="1274"/>
      <c r="AC214" s="1274"/>
      <c r="AD214" s="1274"/>
      <c r="AE214" s="1274"/>
      <c r="AF214" s="3375">
        <v>5</v>
      </c>
      <c r="AG214" s="3376" t="s">
        <v>1199</v>
      </c>
      <c r="AH214" s="3376" t="s">
        <v>1207</v>
      </c>
      <c r="AI214" s="3375">
        <v>5</v>
      </c>
      <c r="AJ214" s="3376" t="s">
        <v>1199</v>
      </c>
      <c r="AK214" s="3376" t="s">
        <v>1207</v>
      </c>
      <c r="AL214" s="2079"/>
      <c r="AM214" s="1917"/>
      <c r="AN214" s="1917"/>
      <c r="AO214" s="1917"/>
      <c r="AP214" s="1917"/>
      <c r="AQ214" s="1917"/>
      <c r="AR214" s="1917"/>
      <c r="AS214" s="1917"/>
      <c r="AT214" s="1917"/>
      <c r="AU214" s="1917"/>
      <c r="AV214" s="1917"/>
      <c r="AW214" s="1917"/>
      <c r="AX214" s="1917"/>
      <c r="AY214" s="1917"/>
      <c r="AZ214" s="1917"/>
      <c r="BA214" s="1917"/>
      <c r="BB214" s="1917"/>
      <c r="BC214" s="1917"/>
      <c r="BD214" s="1917"/>
      <c r="BE214" s="1917"/>
      <c r="BF214" s="1917"/>
    </row>
    <row s="10365" customFormat="1" customHeight="1" ht="11.25">
      <c r="A215" s="1262" t="s">
        <v>1194</v>
      </c>
      <c r="B215" s="1262"/>
      <c r="C215" s="1262"/>
      <c r="D215" s="1462"/>
      <c r="E215" s="1266"/>
      <c r="F215" s="3394"/>
      <c r="G215" s="3396"/>
      <c r="H215" s="3263" t="s">
        <v>1261</v>
      </c>
      <c r="I215" s="3374"/>
      <c r="J215" s="3334"/>
      <c r="K215" s="3372"/>
      <c r="L215" s="2989"/>
      <c r="M215" s="2990"/>
      <c r="N215" s="3341"/>
      <c r="O215" s="3377">
        <v>1</v>
      </c>
      <c r="P215" s="3343" t="s">
        <v>19</v>
      </c>
      <c r="Q215" s="3236" t="s">
        <v>22</v>
      </c>
      <c r="R215" s="3236" t="s">
        <v>22</v>
      </c>
      <c r="S215" s="3236" t="s">
        <v>22</v>
      </c>
      <c r="T215" s="3236" t="s">
        <v>22</v>
      </c>
      <c r="U215" s="3236" t="s">
        <v>22</v>
      </c>
      <c r="V215" s="3236" t="s">
        <v>22</v>
      </c>
      <c r="W215" s="3236" t="s">
        <v>22</v>
      </c>
      <c r="X215" s="3236" t="s">
        <v>22</v>
      </c>
      <c r="Y215" s="3236"/>
      <c r="Z215" s="1271"/>
      <c r="AA215" s="1272"/>
      <c r="AB215" s="1272"/>
      <c r="AC215" s="1276"/>
      <c r="AD215" s="1276"/>
      <c r="AE215" s="1277"/>
      <c r="AF215" s="3375"/>
      <c r="AG215" s="3376"/>
      <c r="AH215" s="3376"/>
      <c r="AI215" s="3375"/>
      <c r="AJ215" s="3376"/>
      <c r="AK215" s="3376"/>
      <c r="AL215" s="2079"/>
      <c r="AM215" s="1917"/>
      <c r="AN215" s="1917"/>
      <c r="AO215" s="1917"/>
      <c r="AP215" s="1917"/>
      <c r="AQ215" s="1917"/>
      <c r="AR215" s="1917"/>
      <c r="AS215" s="1917"/>
      <c r="AT215" s="1917"/>
      <c r="AU215" s="1917"/>
      <c r="AV215" s="1917"/>
      <c r="AW215" s="1917"/>
      <c r="AX215" s="1917"/>
      <c r="AY215" s="1917"/>
      <c r="AZ215" s="1917"/>
      <c r="BA215" s="1917"/>
      <c r="BB215" s="1917"/>
      <c r="BC215" s="1917"/>
      <c r="BD215" s="1917"/>
      <c r="BE215" s="1917"/>
      <c r="BF215" s="1917"/>
    </row>
    <row s="10365" customFormat="1" customHeight="1" ht="11.25">
      <c r="A216" s="1262" t="s">
        <v>1194</v>
      </c>
      <c r="B216" s="1262"/>
      <c r="C216" s="1262"/>
      <c r="D216" s="1462"/>
      <c r="E216" s="1266"/>
      <c r="F216" s="3394"/>
      <c r="G216" s="3396"/>
      <c r="H216" s="3263" t="s">
        <v>1261</v>
      </c>
      <c r="I216" s="3374"/>
      <c r="J216" s="3334"/>
      <c r="K216" s="3372"/>
      <c r="L216" s="2989"/>
      <c r="M216" s="2990"/>
      <c r="N216" s="3341"/>
      <c r="O216" s="3377"/>
      <c r="P216" s="3344"/>
      <c r="Q216" s="3236"/>
      <c r="R216" s="3236"/>
      <c r="S216" s="3346"/>
      <c r="T216" s="3236"/>
      <c r="U216" s="3236"/>
      <c r="V216" s="3236"/>
      <c r="W216" s="3236"/>
      <c r="X216" s="3236"/>
      <c r="Y216" s="3236"/>
      <c r="Z216" s="1922"/>
      <c r="AA216" s="2198">
        <v>1</v>
      </c>
      <c r="AB216" s="1275" t="s">
        <v>1201</v>
      </c>
      <c r="AC216" s="1265">
        <v>78278.27</v>
      </c>
      <c r="AD216" s="1275" t="str">
        <f>AB216</f>
        <v>      Амортизационные отчисления с выделением результатов переоценки основных средств и нематериальных активов</v>
      </c>
      <c r="AE216" s="1265">
        <v>77054.77</v>
      </c>
      <c r="AF216" s="3375"/>
      <c r="AG216" s="3376"/>
      <c r="AH216" s="3376"/>
      <c r="AI216" s="3375"/>
      <c r="AJ216" s="3376"/>
      <c r="AK216" s="3376"/>
      <c r="AL216" s="2079"/>
      <c r="AM216" s="1917"/>
      <c r="AN216" s="1917"/>
      <c r="AO216" s="1917"/>
      <c r="AP216" s="1917"/>
      <c r="AQ216" s="1917"/>
      <c r="AR216" s="1917"/>
      <c r="AS216" s="1917"/>
      <c r="AT216" s="1917"/>
      <c r="AU216" s="1917"/>
      <c r="AV216" s="1917"/>
      <c r="AW216" s="1917"/>
      <c r="AX216" s="1917"/>
      <c r="AY216" s="1917"/>
      <c r="AZ216" s="1917"/>
      <c r="BA216" s="1917"/>
      <c r="BB216" s="1917"/>
      <c r="BC216" s="1917"/>
      <c r="BD216" s="1917"/>
      <c r="BE216" s="1917"/>
      <c r="BF216" s="1917"/>
    </row>
    <row s="10365" customFormat="1" customHeight="1" ht="11.25">
      <c r="A217" s="1262" t="s">
        <v>1194</v>
      </c>
      <c r="B217" s="1262"/>
      <c r="C217" s="1262"/>
      <c r="D217" s="1462"/>
      <c r="E217" s="1266"/>
      <c r="F217" s="3394"/>
      <c r="G217" s="3396"/>
      <c r="H217" s="3396"/>
      <c r="I217" s="3396"/>
      <c r="J217" s="3396"/>
      <c r="K217" s="3396"/>
      <c r="L217" s="3396"/>
      <c r="M217" s="3396"/>
      <c r="N217" s="3396"/>
      <c r="O217" s="3396"/>
      <c r="P217" s="3396"/>
      <c r="Q217" s="3396"/>
      <c r="R217" s="3396"/>
      <c r="S217" s="3396"/>
      <c r="T217" s="3396"/>
      <c r="U217" s="3396"/>
      <c r="V217" s="3396"/>
      <c r="W217" s="3396"/>
      <c r="X217" s="3396"/>
      <c r="Y217" s="3396"/>
      <c r="Z217" s="790" t="s">
        <v>103</v>
      </c>
      <c r="AA217" s="2195" t="s">
        <v>102</v>
      </c>
      <c r="AB217" s="1275" t="s">
        <v>1208</v>
      </c>
      <c r="AC217" s="1265">
        <v>15325.27</v>
      </c>
      <c r="AD217" s="1275" t="str">
        <f>AB217</f>
        <v>  Прочие собственные средства</v>
      </c>
      <c r="AE217" s="1265">
        <v>14086.73032</v>
      </c>
      <c r="AF217" s="3397"/>
      <c r="AG217" s="3398"/>
      <c r="AH217" s="3398"/>
      <c r="AI217" s="3397"/>
      <c r="AJ217" s="3398"/>
      <c r="AK217" s="3399"/>
      <c r="AL217" s="2079"/>
      <c r="AM217" s="1917"/>
      <c r="AN217" s="1917"/>
      <c r="AO217" s="1917"/>
      <c r="AP217" s="1917"/>
      <c r="AQ217" s="1917"/>
      <c r="AR217" s="1917"/>
      <c r="AS217" s="1917"/>
      <c r="AT217" s="1917"/>
      <c r="AU217" s="1917"/>
      <c r="AV217" s="1917"/>
      <c r="AW217" s="1917"/>
      <c r="AX217" s="1917"/>
      <c r="AY217" s="1917"/>
      <c r="AZ217" s="1917"/>
      <c r="BA217" s="1917"/>
      <c r="BB217" s="1917"/>
      <c r="BC217" s="1917"/>
      <c r="BD217" s="1917"/>
      <c r="BE217" s="1917"/>
      <c r="BF217" s="1917"/>
    </row>
    <row s="10365" customFormat="1" customHeight="1" ht="11.25">
      <c r="A218" s="1262" t="s">
        <v>1194</v>
      </c>
      <c r="B218" s="1262"/>
      <c r="C218" s="1262"/>
      <c r="D218" s="1462"/>
      <c r="E218" s="1266"/>
      <c r="F218" s="3394"/>
      <c r="G218" s="3396"/>
      <c r="H218" s="3263" t="s">
        <v>1261</v>
      </c>
      <c r="I218" s="3374"/>
      <c r="J218" s="3334"/>
      <c r="K218" s="3372"/>
      <c r="L218" s="2989"/>
      <c r="M218" s="2990"/>
      <c r="N218" s="3341"/>
      <c r="O218" s="3377"/>
      <c r="P218" s="3345"/>
      <c r="Q218" s="3236"/>
      <c r="R218" s="3236"/>
      <c r="S218" s="3346"/>
      <c r="T218" s="3236"/>
      <c r="U218" s="3236"/>
      <c r="V218" s="3236"/>
      <c r="W218" s="3236"/>
      <c r="X218" s="3236"/>
      <c r="Y218" s="3236"/>
      <c r="Z218" s="1271"/>
      <c r="AA218" s="1272"/>
      <c r="AB218" s="1337" t="s">
        <v>1203</v>
      </c>
      <c r="AC218" s="1276"/>
      <c r="AD218" s="1276"/>
      <c r="AE218" s="1278"/>
      <c r="AF218" s="3375"/>
      <c r="AG218" s="3376"/>
      <c r="AH218" s="3376"/>
      <c r="AI218" s="3375"/>
      <c r="AJ218" s="3376"/>
      <c r="AK218" s="3376"/>
      <c r="AL218" s="2079"/>
      <c r="AM218" s="1917"/>
      <c r="AN218" s="1917"/>
      <c r="AO218" s="1917"/>
      <c r="AP218" s="1917"/>
      <c r="AQ218" s="1917"/>
      <c r="AR218" s="1917"/>
      <c r="AS218" s="1917"/>
      <c r="AT218" s="1917"/>
      <c r="AU218" s="1917"/>
      <c r="AV218" s="1917"/>
      <c r="AW218" s="1917"/>
      <c r="AX218" s="1917"/>
      <c r="AY218" s="1917"/>
      <c r="AZ218" s="1917"/>
      <c r="BA218" s="1917"/>
      <c r="BB218" s="1917"/>
      <c r="BC218" s="1917"/>
      <c r="BD218" s="1917"/>
      <c r="BE218" s="1917"/>
      <c r="BF218" s="1917"/>
    </row>
    <row s="10365" customFormat="1" customHeight="1" ht="11.25">
      <c r="A219" s="1262" t="s">
        <v>1194</v>
      </c>
      <c r="B219" s="1262"/>
      <c r="C219" s="1262"/>
      <c r="D219" s="1462"/>
      <c r="E219" s="1266"/>
      <c r="F219" s="3394"/>
      <c r="G219" s="3396"/>
      <c r="H219" s="3263" t="s">
        <v>1261</v>
      </c>
      <c r="I219" s="3374"/>
      <c r="J219" s="3334"/>
      <c r="K219" s="3372"/>
      <c r="L219" s="2989"/>
      <c r="M219" s="2990"/>
      <c r="N219" s="1271"/>
      <c r="O219" s="1272"/>
      <c r="P219" s="1337" t="s">
        <v>1204</v>
      </c>
      <c r="Q219" s="1272"/>
      <c r="R219" s="1272"/>
      <c r="S219" s="1272"/>
      <c r="T219" s="1272"/>
      <c r="U219" s="1272"/>
      <c r="V219" s="1272"/>
      <c r="W219" s="1272"/>
      <c r="X219" s="1272"/>
      <c r="Y219" s="1272"/>
      <c r="Z219" s="1272"/>
      <c r="AA219" s="1272"/>
      <c r="AB219" s="1272"/>
      <c r="AC219" s="1272"/>
      <c r="AD219" s="1272"/>
      <c r="AE219" s="1279"/>
      <c r="AF219" s="3375"/>
      <c r="AG219" s="3376"/>
      <c r="AH219" s="3376"/>
      <c r="AI219" s="3375"/>
      <c r="AJ219" s="3376"/>
      <c r="AK219" s="3376"/>
      <c r="AL219" s="2079"/>
      <c r="AM219" s="1917"/>
      <c r="AN219" s="1917"/>
      <c r="AO219" s="1917"/>
      <c r="AP219" s="1917"/>
      <c r="AQ219" s="1917"/>
      <c r="AR219" s="1917"/>
      <c r="AS219" s="1917"/>
      <c r="AT219" s="1917"/>
      <c r="AU219" s="1917"/>
      <c r="AV219" s="1917"/>
      <c r="AW219" s="1917"/>
      <c r="AX219" s="1917"/>
      <c r="AY219" s="1917"/>
      <c r="AZ219" s="1917"/>
      <c r="BA219" s="1917"/>
      <c r="BB219" s="1917"/>
      <c r="BC219" s="1917"/>
      <c r="BD219" s="1917"/>
      <c r="BE219" s="1917"/>
      <c r="BF219" s="1917"/>
    </row>
    <row s="10365" customFormat="1" customHeight="1" ht="11.25">
      <c r="A220" s="1262" t="s">
        <v>1194</v>
      </c>
      <c r="B220" s="1262" t="s">
        <v>1195</v>
      </c>
      <c r="C220" s="1262"/>
      <c r="D220" s="1462"/>
      <c r="E220" s="1266"/>
      <c r="F220" s="3394"/>
      <c r="G220" s="3004" t="s">
        <v>103</v>
      </c>
      <c r="H220" s="3263" t="s">
        <v>1265</v>
      </c>
      <c r="I220" s="3374" t="s">
        <v>1196</v>
      </c>
      <c r="J220" s="3334" t="s">
        <v>1219</v>
      </c>
      <c r="K220" s="3372" t="s">
        <v>1266</v>
      </c>
      <c r="L220" s="2989" t="s">
        <v>19</v>
      </c>
      <c r="M220" s="2990"/>
      <c r="N220" s="2077"/>
      <c r="O220" s="1273" t="s">
        <v>461</v>
      </c>
      <c r="P220" s="1274"/>
      <c r="Q220" s="1274"/>
      <c r="R220" s="1274"/>
      <c r="S220" s="1274"/>
      <c r="T220" s="1274"/>
      <c r="U220" s="1274"/>
      <c r="V220" s="1274"/>
      <c r="W220" s="1274"/>
      <c r="X220" s="1274"/>
      <c r="Y220" s="1274"/>
      <c r="Z220" s="1274"/>
      <c r="AA220" s="1274"/>
      <c r="AB220" s="1274"/>
      <c r="AC220" s="1274"/>
      <c r="AD220" s="1274"/>
      <c r="AE220" s="1274"/>
      <c r="AF220" s="3375">
        <v>2</v>
      </c>
      <c r="AG220" s="3376" t="s">
        <v>1199</v>
      </c>
      <c r="AH220" s="3376" t="s">
        <v>1200</v>
      </c>
      <c r="AI220" s="3375">
        <v>2</v>
      </c>
      <c r="AJ220" s="3376" t="s">
        <v>1199</v>
      </c>
      <c r="AK220" s="3376" t="s">
        <v>1200</v>
      </c>
      <c r="AL220" s="2079"/>
      <c r="AM220" s="1917"/>
      <c r="AN220" s="1917"/>
      <c r="AO220" s="1917"/>
      <c r="AP220" s="1917"/>
      <c r="AQ220" s="1917"/>
      <c r="AR220" s="1917"/>
      <c r="AS220" s="1917"/>
      <c r="AT220" s="1917"/>
      <c r="AU220" s="1917"/>
      <c r="AV220" s="1917"/>
      <c r="AW220" s="1917"/>
      <c r="AX220" s="1917"/>
      <c r="AY220" s="1917"/>
      <c r="AZ220" s="1917"/>
      <c r="BA220" s="1917"/>
      <c r="BB220" s="1917"/>
      <c r="BC220" s="1917"/>
      <c r="BD220" s="1917"/>
      <c r="BE220" s="1917"/>
      <c r="BF220" s="1917"/>
    </row>
    <row s="10365" customFormat="1" customHeight="1" ht="11.25">
      <c r="A221" s="1262" t="s">
        <v>1194</v>
      </c>
      <c r="B221" s="1262"/>
      <c r="C221" s="1262"/>
      <c r="D221" s="1462"/>
      <c r="E221" s="1266"/>
      <c r="F221" s="3394"/>
      <c r="G221" s="3396"/>
      <c r="H221" s="3263" t="s">
        <v>1263</v>
      </c>
      <c r="I221" s="3374"/>
      <c r="J221" s="3334"/>
      <c r="K221" s="3372"/>
      <c r="L221" s="2989"/>
      <c r="M221" s="2990"/>
      <c r="N221" s="3341"/>
      <c r="O221" s="3377">
        <v>1</v>
      </c>
      <c r="P221" s="3343" t="s">
        <v>19</v>
      </c>
      <c r="Q221" s="3236" t="s">
        <v>22</v>
      </c>
      <c r="R221" s="3236" t="s">
        <v>22</v>
      </c>
      <c r="S221" s="3236" t="s">
        <v>22</v>
      </c>
      <c r="T221" s="3236" t="s">
        <v>22</v>
      </c>
      <c r="U221" s="3236" t="s">
        <v>22</v>
      </c>
      <c r="V221" s="3236" t="s">
        <v>22</v>
      </c>
      <c r="W221" s="3236" t="s">
        <v>22</v>
      </c>
      <c r="X221" s="3236" t="s">
        <v>22</v>
      </c>
      <c r="Y221" s="3236"/>
      <c r="Z221" s="1271"/>
      <c r="AA221" s="1272"/>
      <c r="AB221" s="1272"/>
      <c r="AC221" s="1276"/>
      <c r="AD221" s="1276"/>
      <c r="AE221" s="1277"/>
      <c r="AF221" s="3375"/>
      <c r="AG221" s="3376"/>
      <c r="AH221" s="3376"/>
      <c r="AI221" s="3375"/>
      <c r="AJ221" s="3376"/>
      <c r="AK221" s="3376"/>
      <c r="AL221" s="2079"/>
      <c r="AM221" s="1917"/>
      <c r="AN221" s="1917"/>
      <c r="AO221" s="1917"/>
      <c r="AP221" s="1917"/>
      <c r="AQ221" s="1917"/>
      <c r="AR221" s="1917"/>
      <c r="AS221" s="1917"/>
      <c r="AT221" s="1917"/>
      <c r="AU221" s="1917"/>
      <c r="AV221" s="1917"/>
      <c r="AW221" s="1917"/>
      <c r="AX221" s="1917"/>
      <c r="AY221" s="1917"/>
      <c r="AZ221" s="1917"/>
      <c r="BA221" s="1917"/>
      <c r="BB221" s="1917"/>
      <c r="BC221" s="1917"/>
      <c r="BD221" s="1917"/>
      <c r="BE221" s="1917"/>
      <c r="BF221" s="1917"/>
    </row>
    <row s="10365" customFormat="1" customHeight="1" ht="11.25">
      <c r="A222" s="1262" t="s">
        <v>1194</v>
      </c>
      <c r="B222" s="1262"/>
      <c r="C222" s="1262"/>
      <c r="D222" s="1462"/>
      <c r="E222" s="1266"/>
      <c r="F222" s="3394"/>
      <c r="G222" s="3396"/>
      <c r="H222" s="3263" t="s">
        <v>1263</v>
      </c>
      <c r="I222" s="3374"/>
      <c r="J222" s="3334"/>
      <c r="K222" s="3372"/>
      <c r="L222" s="2989"/>
      <c r="M222" s="2990"/>
      <c r="N222" s="3341"/>
      <c r="O222" s="3377"/>
      <c r="P222" s="3344"/>
      <c r="Q222" s="3236"/>
      <c r="R222" s="3236"/>
      <c r="S222" s="3346"/>
      <c r="T222" s="3236"/>
      <c r="U222" s="3236"/>
      <c r="V222" s="3236"/>
      <c r="W222" s="3236"/>
      <c r="X222" s="3236"/>
      <c r="Y222" s="3236"/>
      <c r="Z222" s="1922"/>
      <c r="AA222" s="2198">
        <v>1</v>
      </c>
      <c r="AB222" s="1275" t="s">
        <v>1201</v>
      </c>
      <c r="AC222" s="1265">
        <v>28278.37</v>
      </c>
      <c r="AD222" s="1275" t="str">
        <f>AB222</f>
        <v>      Амортизационные отчисления с выделением результатов переоценки основных средств и нематериальных активов</v>
      </c>
      <c r="AE222" s="1265">
        <v>28998.73</v>
      </c>
      <c r="AF222" s="3375"/>
      <c r="AG222" s="3376"/>
      <c r="AH222" s="3376"/>
      <c r="AI222" s="3375"/>
      <c r="AJ222" s="3376"/>
      <c r="AK222" s="3376"/>
      <c r="AL222" s="2079"/>
      <c r="AM222" s="1917"/>
      <c r="AN222" s="1917"/>
      <c r="AO222" s="1917"/>
      <c r="AP222" s="1917"/>
      <c r="AQ222" s="1917"/>
      <c r="AR222" s="1917"/>
      <c r="AS222" s="1917"/>
      <c r="AT222" s="1917"/>
      <c r="AU222" s="1917"/>
      <c r="AV222" s="1917"/>
      <c r="AW222" s="1917"/>
      <c r="AX222" s="1917"/>
      <c r="AY222" s="1917"/>
      <c r="AZ222" s="1917"/>
      <c r="BA222" s="1917"/>
      <c r="BB222" s="1917"/>
      <c r="BC222" s="1917"/>
      <c r="BD222" s="1917"/>
      <c r="BE222" s="1917"/>
      <c r="BF222" s="1917"/>
    </row>
    <row s="10365" customFormat="1" customHeight="1" ht="11.25">
      <c r="A223" s="1262" t="s">
        <v>1194</v>
      </c>
      <c r="B223" s="1262"/>
      <c r="C223" s="1262"/>
      <c r="D223" s="1462"/>
      <c r="E223" s="1266"/>
      <c r="F223" s="3394"/>
      <c r="G223" s="3396"/>
      <c r="H223" s="3396"/>
      <c r="I223" s="3396"/>
      <c r="J223" s="3396"/>
      <c r="K223" s="3396"/>
      <c r="L223" s="3396"/>
      <c r="M223" s="3396"/>
      <c r="N223" s="3396"/>
      <c r="O223" s="3396"/>
      <c r="P223" s="3396"/>
      <c r="Q223" s="3396"/>
      <c r="R223" s="3396"/>
      <c r="S223" s="3396"/>
      <c r="T223" s="3396"/>
      <c r="U223" s="3396"/>
      <c r="V223" s="3396"/>
      <c r="W223" s="3396"/>
      <c r="X223" s="3396"/>
      <c r="Y223" s="3396"/>
      <c r="Z223" s="790" t="s">
        <v>103</v>
      </c>
      <c r="AA223" s="2195" t="s">
        <v>102</v>
      </c>
      <c r="AB223" s="1275" t="s">
        <v>1208</v>
      </c>
      <c r="AC223" s="1265">
        <v>5655.67</v>
      </c>
      <c r="AD223" s="1275" t="str">
        <f>AB223</f>
        <v>  Прочие собственные средства</v>
      </c>
      <c r="AE223" s="1265">
        <v>5778.02903</v>
      </c>
      <c r="AF223" s="3397"/>
      <c r="AG223" s="3398"/>
      <c r="AH223" s="3398"/>
      <c r="AI223" s="3397"/>
      <c r="AJ223" s="3398"/>
      <c r="AK223" s="3399"/>
      <c r="AL223" s="2079"/>
      <c r="AM223" s="1917"/>
      <c r="AN223" s="1917"/>
      <c r="AO223" s="1917"/>
      <c r="AP223" s="1917"/>
      <c r="AQ223" s="1917"/>
      <c r="AR223" s="1917"/>
      <c r="AS223" s="1917"/>
      <c r="AT223" s="1917"/>
      <c r="AU223" s="1917"/>
      <c r="AV223" s="1917"/>
      <c r="AW223" s="1917"/>
      <c r="AX223" s="1917"/>
      <c r="AY223" s="1917"/>
      <c r="AZ223" s="1917"/>
      <c r="BA223" s="1917"/>
      <c r="BB223" s="1917"/>
      <c r="BC223" s="1917"/>
      <c r="BD223" s="1917"/>
      <c r="BE223" s="1917"/>
      <c r="BF223" s="1917"/>
    </row>
    <row s="10365" customFormat="1" customHeight="1" ht="11.25">
      <c r="A224" s="1262" t="s">
        <v>1194</v>
      </c>
      <c r="B224" s="1262"/>
      <c r="C224" s="1262"/>
      <c r="D224" s="1462"/>
      <c r="E224" s="1266"/>
      <c r="F224" s="3394"/>
      <c r="G224" s="3396"/>
      <c r="H224" s="3263" t="s">
        <v>1263</v>
      </c>
      <c r="I224" s="3374"/>
      <c r="J224" s="3334"/>
      <c r="K224" s="3372"/>
      <c r="L224" s="2989"/>
      <c r="M224" s="2990"/>
      <c r="N224" s="3341"/>
      <c r="O224" s="3377"/>
      <c r="P224" s="3345"/>
      <c r="Q224" s="3236"/>
      <c r="R224" s="3236"/>
      <c r="S224" s="3346"/>
      <c r="T224" s="3236"/>
      <c r="U224" s="3236"/>
      <c r="V224" s="3236"/>
      <c r="W224" s="3236"/>
      <c r="X224" s="3236"/>
      <c r="Y224" s="3236"/>
      <c r="Z224" s="1271"/>
      <c r="AA224" s="1272"/>
      <c r="AB224" s="1337" t="s">
        <v>1203</v>
      </c>
      <c r="AC224" s="1276"/>
      <c r="AD224" s="1276"/>
      <c r="AE224" s="1278"/>
      <c r="AF224" s="3375"/>
      <c r="AG224" s="3376"/>
      <c r="AH224" s="3376"/>
      <c r="AI224" s="3375"/>
      <c r="AJ224" s="3376"/>
      <c r="AK224" s="3376"/>
      <c r="AL224" s="2079"/>
      <c r="AM224" s="1917"/>
      <c r="AN224" s="1917"/>
      <c r="AO224" s="1917"/>
      <c r="AP224" s="1917"/>
      <c r="AQ224" s="1917"/>
      <c r="AR224" s="1917"/>
      <c r="AS224" s="1917"/>
      <c r="AT224" s="1917"/>
      <c r="AU224" s="1917"/>
      <c r="AV224" s="1917"/>
      <c r="AW224" s="1917"/>
      <c r="AX224" s="1917"/>
      <c r="AY224" s="1917"/>
      <c r="AZ224" s="1917"/>
      <c r="BA224" s="1917"/>
      <c r="BB224" s="1917"/>
      <c r="BC224" s="1917"/>
      <c r="BD224" s="1917"/>
      <c r="BE224" s="1917"/>
      <c r="BF224" s="1917"/>
    </row>
    <row s="10365" customFormat="1" customHeight="1" ht="11.25">
      <c r="A225" s="1262" t="s">
        <v>1194</v>
      </c>
      <c r="B225" s="1262"/>
      <c r="C225" s="1262"/>
      <c r="D225" s="1462"/>
      <c r="E225" s="1266"/>
      <c r="F225" s="3394"/>
      <c r="G225" s="3396"/>
      <c r="H225" s="3263" t="s">
        <v>1263</v>
      </c>
      <c r="I225" s="3374"/>
      <c r="J225" s="3334"/>
      <c r="K225" s="3372"/>
      <c r="L225" s="2989"/>
      <c r="M225" s="2990"/>
      <c r="N225" s="1271"/>
      <c r="O225" s="1272"/>
      <c r="P225" s="1337" t="s">
        <v>1204</v>
      </c>
      <c r="Q225" s="1272"/>
      <c r="R225" s="1272"/>
      <c r="S225" s="1272"/>
      <c r="T225" s="1272"/>
      <c r="U225" s="1272"/>
      <c r="V225" s="1272"/>
      <c r="W225" s="1272"/>
      <c r="X225" s="1272"/>
      <c r="Y225" s="1272"/>
      <c r="Z225" s="1272"/>
      <c r="AA225" s="1272"/>
      <c r="AB225" s="1272"/>
      <c r="AC225" s="1272"/>
      <c r="AD225" s="1272"/>
      <c r="AE225" s="1279"/>
      <c r="AF225" s="3375"/>
      <c r="AG225" s="3376"/>
      <c r="AH225" s="3376"/>
      <c r="AI225" s="3375"/>
      <c r="AJ225" s="3376"/>
      <c r="AK225" s="3376"/>
      <c r="AL225" s="2079"/>
      <c r="AM225" s="1917"/>
      <c r="AN225" s="1917"/>
      <c r="AO225" s="1917"/>
      <c r="AP225" s="1917"/>
      <c r="AQ225" s="1917"/>
      <c r="AR225" s="1917"/>
      <c r="AS225" s="1917"/>
      <c r="AT225" s="1917"/>
      <c r="AU225" s="1917"/>
      <c r="AV225" s="1917"/>
      <c r="AW225" s="1917"/>
      <c r="AX225" s="1917"/>
      <c r="AY225" s="1917"/>
      <c r="AZ225" s="1917"/>
      <c r="BA225" s="1917"/>
      <c r="BB225" s="1917"/>
      <c r="BC225" s="1917"/>
      <c r="BD225" s="1917"/>
      <c r="BE225" s="1917"/>
      <c r="BF225" s="1917"/>
    </row>
    <row s="10365" customFormat="1" customHeight="1" ht="11.25">
      <c r="A226" s="1262" t="s">
        <v>1194</v>
      </c>
      <c r="B226" s="1262" t="s">
        <v>1195</v>
      </c>
      <c r="C226" s="1262"/>
      <c r="D226" s="1462"/>
      <c r="E226" s="1266"/>
      <c r="F226" s="3394"/>
      <c r="G226" s="3004" t="s">
        <v>103</v>
      </c>
      <c r="H226" s="3263" t="s">
        <v>1267</v>
      </c>
      <c r="I226" s="3374" t="s">
        <v>1196</v>
      </c>
      <c r="J226" s="3334" t="s">
        <v>1219</v>
      </c>
      <c r="K226" s="3372" t="s">
        <v>1268</v>
      </c>
      <c r="L226" s="2989" t="s">
        <v>19</v>
      </c>
      <c r="M226" s="2990"/>
      <c r="N226" s="2077"/>
      <c r="O226" s="1273" t="s">
        <v>461</v>
      </c>
      <c r="P226" s="1274"/>
      <c r="Q226" s="1274"/>
      <c r="R226" s="1274"/>
      <c r="S226" s="1274"/>
      <c r="T226" s="1274"/>
      <c r="U226" s="1274"/>
      <c r="V226" s="1274"/>
      <c r="W226" s="1274"/>
      <c r="X226" s="1274"/>
      <c r="Y226" s="1274"/>
      <c r="Z226" s="1274"/>
      <c r="AA226" s="1274"/>
      <c r="AB226" s="1274"/>
      <c r="AC226" s="1274"/>
      <c r="AD226" s="1274"/>
      <c r="AE226" s="1274"/>
      <c r="AF226" s="3375">
        <v>2</v>
      </c>
      <c r="AG226" s="3376" t="s">
        <v>1199</v>
      </c>
      <c r="AH226" s="3376" t="s">
        <v>1200</v>
      </c>
      <c r="AI226" s="3375">
        <v>2</v>
      </c>
      <c r="AJ226" s="3376" t="s">
        <v>1199</v>
      </c>
      <c r="AK226" s="3376" t="s">
        <v>1200</v>
      </c>
      <c r="AL226" s="2079"/>
      <c r="AM226" s="1917"/>
      <c r="AN226" s="1917"/>
      <c r="AO226" s="1917"/>
      <c r="AP226" s="1917"/>
      <c r="AQ226" s="1917"/>
      <c r="AR226" s="1917"/>
      <c r="AS226" s="1917"/>
      <c r="AT226" s="1917"/>
      <c r="AU226" s="1917"/>
      <c r="AV226" s="1917"/>
      <c r="AW226" s="1917"/>
      <c r="AX226" s="1917"/>
      <c r="AY226" s="1917"/>
      <c r="AZ226" s="1917"/>
      <c r="BA226" s="1917"/>
      <c r="BB226" s="1917"/>
      <c r="BC226" s="1917"/>
      <c r="BD226" s="1917"/>
      <c r="BE226" s="1917"/>
      <c r="BF226" s="1917"/>
    </row>
    <row s="10365" customFormat="1" customHeight="1" ht="11.25">
      <c r="A227" s="1262" t="s">
        <v>1194</v>
      </c>
      <c r="B227" s="1262"/>
      <c r="C227" s="1262"/>
      <c r="D227" s="1462"/>
      <c r="E227" s="1266"/>
      <c r="F227" s="3394"/>
      <c r="G227" s="3396"/>
      <c r="H227" s="3263" t="s">
        <v>1265</v>
      </c>
      <c r="I227" s="3374"/>
      <c r="J227" s="3334"/>
      <c r="K227" s="3372"/>
      <c r="L227" s="2989"/>
      <c r="M227" s="2990"/>
      <c r="N227" s="3341"/>
      <c r="O227" s="3377">
        <v>1</v>
      </c>
      <c r="P227" s="3343" t="s">
        <v>19</v>
      </c>
      <c r="Q227" s="3236" t="s">
        <v>22</v>
      </c>
      <c r="R227" s="3236" t="s">
        <v>22</v>
      </c>
      <c r="S227" s="3236" t="s">
        <v>22</v>
      </c>
      <c r="T227" s="3236" t="s">
        <v>22</v>
      </c>
      <c r="U227" s="3236" t="s">
        <v>22</v>
      </c>
      <c r="V227" s="3236" t="s">
        <v>22</v>
      </c>
      <c r="W227" s="3236" t="s">
        <v>22</v>
      </c>
      <c r="X227" s="3236" t="s">
        <v>22</v>
      </c>
      <c r="Y227" s="3236"/>
      <c r="Z227" s="1271"/>
      <c r="AA227" s="1272"/>
      <c r="AB227" s="1272"/>
      <c r="AC227" s="1276"/>
      <c r="AD227" s="1276"/>
      <c r="AE227" s="1277"/>
      <c r="AF227" s="3375"/>
      <c r="AG227" s="3376"/>
      <c r="AH227" s="3376"/>
      <c r="AI227" s="3375"/>
      <c r="AJ227" s="3376"/>
      <c r="AK227" s="3376"/>
      <c r="AL227" s="2079"/>
      <c r="AM227" s="1917"/>
      <c r="AN227" s="1917"/>
      <c r="AO227" s="1917"/>
      <c r="AP227" s="1917"/>
      <c r="AQ227" s="1917"/>
      <c r="AR227" s="1917"/>
      <c r="AS227" s="1917"/>
      <c r="AT227" s="1917"/>
      <c r="AU227" s="1917"/>
      <c r="AV227" s="1917"/>
      <c r="AW227" s="1917"/>
      <c r="AX227" s="1917"/>
      <c r="AY227" s="1917"/>
      <c r="AZ227" s="1917"/>
      <c r="BA227" s="1917"/>
      <c r="BB227" s="1917"/>
      <c r="BC227" s="1917"/>
      <c r="BD227" s="1917"/>
      <c r="BE227" s="1917"/>
      <c r="BF227" s="1917"/>
    </row>
    <row s="10365" customFormat="1" customHeight="1" ht="11.25">
      <c r="A228" s="1262" t="s">
        <v>1194</v>
      </c>
      <c r="B228" s="1262"/>
      <c r="C228" s="1262"/>
      <c r="D228" s="1462"/>
      <c r="E228" s="1266"/>
      <c r="F228" s="3394"/>
      <c r="G228" s="3396"/>
      <c r="H228" s="3263" t="s">
        <v>1265</v>
      </c>
      <c r="I228" s="3374"/>
      <c r="J228" s="3334"/>
      <c r="K228" s="3372"/>
      <c r="L228" s="2989"/>
      <c r="M228" s="2990"/>
      <c r="N228" s="3341"/>
      <c r="O228" s="3377"/>
      <c r="P228" s="3344"/>
      <c r="Q228" s="3236"/>
      <c r="R228" s="3236"/>
      <c r="S228" s="3346"/>
      <c r="T228" s="3236"/>
      <c r="U228" s="3236"/>
      <c r="V228" s="3236"/>
      <c r="W228" s="3236"/>
      <c r="X228" s="3236"/>
      <c r="Y228" s="3236"/>
      <c r="Z228" s="1922"/>
      <c r="AA228" s="2198">
        <v>1</v>
      </c>
      <c r="AB228" s="1275" t="s">
        <v>1236</v>
      </c>
      <c r="AC228" s="1265">
        <v>74846.68</v>
      </c>
      <c r="AD228" s="1275" t="str">
        <f>AB228</f>
        <v>      Прочие займы</v>
      </c>
      <c r="AE228" s="1265">
        <v>0</v>
      </c>
      <c r="AF228" s="3375"/>
      <c r="AG228" s="3376"/>
      <c r="AH228" s="3376"/>
      <c r="AI228" s="3375"/>
      <c r="AJ228" s="3376"/>
      <c r="AK228" s="3376"/>
      <c r="AL228" s="2079"/>
      <c r="AM228" s="1917"/>
      <c r="AN228" s="1917"/>
      <c r="AO228" s="1917"/>
      <c r="AP228" s="1917"/>
      <c r="AQ228" s="1917"/>
      <c r="AR228" s="1917"/>
      <c r="AS228" s="1917"/>
      <c r="AT228" s="1917"/>
      <c r="AU228" s="1917"/>
      <c r="AV228" s="1917"/>
      <c r="AW228" s="1917"/>
      <c r="AX228" s="1917"/>
      <c r="AY228" s="1917"/>
      <c r="AZ228" s="1917"/>
      <c r="BA228" s="1917"/>
      <c r="BB228" s="1917"/>
      <c r="BC228" s="1917"/>
      <c r="BD228" s="1917"/>
      <c r="BE228" s="1917"/>
      <c r="BF228" s="1917"/>
    </row>
    <row s="10365" customFormat="1" customHeight="1" ht="11.25">
      <c r="A229" s="1262" t="s">
        <v>1194</v>
      </c>
      <c r="B229" s="1262"/>
      <c r="C229" s="1262"/>
      <c r="D229" s="1462"/>
      <c r="E229" s="1266"/>
      <c r="F229" s="3394"/>
      <c r="G229" s="3396"/>
      <c r="H229" s="3396"/>
      <c r="I229" s="3396"/>
      <c r="J229" s="3396"/>
      <c r="K229" s="3396"/>
      <c r="L229" s="3396"/>
      <c r="M229" s="3396"/>
      <c r="N229" s="3396"/>
      <c r="O229" s="3396"/>
      <c r="P229" s="3396"/>
      <c r="Q229" s="3396"/>
      <c r="R229" s="3396"/>
      <c r="S229" s="3396"/>
      <c r="T229" s="3396"/>
      <c r="U229" s="3396"/>
      <c r="V229" s="3396"/>
      <c r="W229" s="3396"/>
      <c r="X229" s="3396"/>
      <c r="Y229" s="3396"/>
      <c r="Z229" s="790" t="s">
        <v>103</v>
      </c>
      <c r="AA229" s="2195" t="s">
        <v>102</v>
      </c>
      <c r="AB229" s="1275" t="s">
        <v>1208</v>
      </c>
      <c r="AC229" s="1265">
        <v>0</v>
      </c>
      <c r="AD229" s="1275" t="s">
        <v>1208</v>
      </c>
      <c r="AE229" s="1265">
        <v>76787.2127</v>
      </c>
      <c r="AF229" s="3397"/>
      <c r="AG229" s="3398"/>
      <c r="AH229" s="3398"/>
      <c r="AI229" s="3397"/>
      <c r="AJ229" s="3398"/>
      <c r="AK229" s="3399"/>
      <c r="AL229" s="2079"/>
      <c r="AM229" s="1917"/>
      <c r="AN229" s="1917"/>
      <c r="AO229" s="1917"/>
      <c r="AP229" s="1917"/>
      <c r="AQ229" s="1917"/>
      <c r="AR229" s="1917"/>
      <c r="AS229" s="1917"/>
      <c r="AT229" s="1917"/>
      <c r="AU229" s="1917"/>
      <c r="AV229" s="1917"/>
      <c r="AW229" s="1917"/>
      <c r="AX229" s="1917"/>
      <c r="AY229" s="1917"/>
      <c r="AZ229" s="1917"/>
      <c r="BA229" s="1917"/>
      <c r="BB229" s="1917"/>
      <c r="BC229" s="1917"/>
      <c r="BD229" s="1917"/>
      <c r="BE229" s="1917"/>
      <c r="BF229" s="1917"/>
    </row>
    <row s="10365" customFormat="1" customHeight="1" ht="11.25">
      <c r="A230" s="1262" t="s">
        <v>1194</v>
      </c>
      <c r="B230" s="1262"/>
      <c r="C230" s="1262"/>
      <c r="D230" s="1462"/>
      <c r="E230" s="1266"/>
      <c r="F230" s="3394"/>
      <c r="G230" s="3396"/>
      <c r="H230" s="3263" t="s">
        <v>1265</v>
      </c>
      <c r="I230" s="3374"/>
      <c r="J230" s="3334"/>
      <c r="K230" s="3372"/>
      <c r="L230" s="2989"/>
      <c r="M230" s="2990"/>
      <c r="N230" s="3341"/>
      <c r="O230" s="3377"/>
      <c r="P230" s="3345"/>
      <c r="Q230" s="3236"/>
      <c r="R230" s="3236"/>
      <c r="S230" s="3346"/>
      <c r="T230" s="3236"/>
      <c r="U230" s="3236"/>
      <c r="V230" s="3236"/>
      <c r="W230" s="3236"/>
      <c r="X230" s="3236"/>
      <c r="Y230" s="3236"/>
      <c r="Z230" s="1271"/>
      <c r="AA230" s="1272"/>
      <c r="AB230" s="1337" t="s">
        <v>1203</v>
      </c>
      <c r="AC230" s="1276"/>
      <c r="AD230" s="1276"/>
      <c r="AE230" s="1278"/>
      <c r="AF230" s="3375"/>
      <c r="AG230" s="3376"/>
      <c r="AH230" s="3376"/>
      <c r="AI230" s="3375"/>
      <c r="AJ230" s="3376"/>
      <c r="AK230" s="3376"/>
      <c r="AL230" s="2079"/>
      <c r="AM230" s="1917"/>
      <c r="AN230" s="1917"/>
      <c r="AO230" s="1917"/>
      <c r="AP230" s="1917"/>
      <c r="AQ230" s="1917"/>
      <c r="AR230" s="1917"/>
      <c r="AS230" s="1917"/>
      <c r="AT230" s="1917"/>
      <c r="AU230" s="1917"/>
      <c r="AV230" s="1917"/>
      <c r="AW230" s="1917"/>
      <c r="AX230" s="1917"/>
      <c r="AY230" s="1917"/>
      <c r="AZ230" s="1917"/>
      <c r="BA230" s="1917"/>
      <c r="BB230" s="1917"/>
      <c r="BC230" s="1917"/>
      <c r="BD230" s="1917"/>
      <c r="BE230" s="1917"/>
      <c r="BF230" s="1917"/>
    </row>
    <row s="10365" customFormat="1" customHeight="1" ht="11.25">
      <c r="A231" s="1262" t="s">
        <v>1194</v>
      </c>
      <c r="B231" s="1262"/>
      <c r="C231" s="1262"/>
      <c r="D231" s="1462"/>
      <c r="E231" s="1266"/>
      <c r="F231" s="3394"/>
      <c r="G231" s="3396"/>
      <c r="H231" s="3263" t="s">
        <v>1265</v>
      </c>
      <c r="I231" s="3374"/>
      <c r="J231" s="3334"/>
      <c r="K231" s="3372"/>
      <c r="L231" s="2989"/>
      <c r="M231" s="2990"/>
      <c r="N231" s="1271"/>
      <c r="O231" s="1272"/>
      <c r="P231" s="1337" t="s">
        <v>1204</v>
      </c>
      <c r="Q231" s="1272"/>
      <c r="R231" s="1272"/>
      <c r="S231" s="1272"/>
      <c r="T231" s="1272"/>
      <c r="U231" s="1272"/>
      <c r="V231" s="1272"/>
      <c r="W231" s="1272"/>
      <c r="X231" s="1272"/>
      <c r="Y231" s="1272"/>
      <c r="Z231" s="1272"/>
      <c r="AA231" s="1272"/>
      <c r="AB231" s="1272"/>
      <c r="AC231" s="1272"/>
      <c r="AD231" s="1272"/>
      <c r="AE231" s="1279"/>
      <c r="AF231" s="3375"/>
      <c r="AG231" s="3376"/>
      <c r="AH231" s="3376"/>
      <c r="AI231" s="3375"/>
      <c r="AJ231" s="3376"/>
      <c r="AK231" s="3376"/>
      <c r="AL231" s="2079"/>
      <c r="AM231" s="1917"/>
      <c r="AN231" s="1917"/>
      <c r="AO231" s="1917"/>
      <c r="AP231" s="1917"/>
      <c r="AQ231" s="1917"/>
      <c r="AR231" s="1917"/>
      <c r="AS231" s="1917"/>
      <c r="AT231" s="1917"/>
      <c r="AU231" s="1917"/>
      <c r="AV231" s="1917"/>
      <c r="AW231" s="1917"/>
      <c r="AX231" s="1917"/>
      <c r="AY231" s="1917"/>
      <c r="AZ231" s="1917"/>
      <c r="BA231" s="1917"/>
      <c r="BB231" s="1917"/>
      <c r="BC231" s="1917"/>
      <c r="BD231" s="1917"/>
      <c r="BE231" s="1917"/>
      <c r="BF231" s="1917"/>
    </row>
    <row s="10365" customFormat="1" customHeight="1" ht="11.25">
      <c r="A232" s="1262" t="s">
        <v>1194</v>
      </c>
      <c r="B232" s="1262" t="s">
        <v>1195</v>
      </c>
      <c r="C232" s="1262"/>
      <c r="D232" s="1462"/>
      <c r="E232" s="1266"/>
      <c r="F232" s="3394"/>
      <c r="G232" s="3004" t="s">
        <v>103</v>
      </c>
      <c r="H232" s="3263" t="s">
        <v>1269</v>
      </c>
      <c r="I232" s="3374" t="s">
        <v>1196</v>
      </c>
      <c r="J232" s="3334" t="s">
        <v>1219</v>
      </c>
      <c r="K232" s="3372" t="s">
        <v>1270</v>
      </c>
      <c r="L232" s="2989" t="s">
        <v>19</v>
      </c>
      <c r="M232" s="2990"/>
      <c r="N232" s="2077"/>
      <c r="O232" s="1273" t="s">
        <v>461</v>
      </c>
      <c r="P232" s="1274"/>
      <c r="Q232" s="1274"/>
      <c r="R232" s="1274"/>
      <c r="S232" s="1274"/>
      <c r="T232" s="1274"/>
      <c r="U232" s="1274"/>
      <c r="V232" s="1274"/>
      <c r="W232" s="1274"/>
      <c r="X232" s="1274"/>
      <c r="Y232" s="1274"/>
      <c r="Z232" s="1274"/>
      <c r="AA232" s="1274"/>
      <c r="AB232" s="1274"/>
      <c r="AC232" s="1274"/>
      <c r="AD232" s="1274"/>
      <c r="AE232" s="1274"/>
      <c r="AF232" s="3375">
        <v>2</v>
      </c>
      <c r="AG232" s="3376" t="s">
        <v>1199</v>
      </c>
      <c r="AH232" s="3376" t="s">
        <v>1200</v>
      </c>
      <c r="AI232" s="3375">
        <v>2</v>
      </c>
      <c r="AJ232" s="3376" t="s">
        <v>1199</v>
      </c>
      <c r="AK232" s="3376" t="s">
        <v>1200</v>
      </c>
      <c r="AL232" s="2079"/>
      <c r="AM232" s="1917"/>
      <c r="AN232" s="1917"/>
      <c r="AO232" s="1917"/>
      <c r="AP232" s="1917"/>
      <c r="AQ232" s="1917"/>
      <c r="AR232" s="1917"/>
      <c r="AS232" s="1917"/>
      <c r="AT232" s="1917"/>
      <c r="AU232" s="1917"/>
      <c r="AV232" s="1917"/>
      <c r="AW232" s="1917"/>
      <c r="AX232" s="1917"/>
      <c r="AY232" s="1917"/>
      <c r="AZ232" s="1917"/>
      <c r="BA232" s="1917"/>
      <c r="BB232" s="1917"/>
      <c r="BC232" s="1917"/>
      <c r="BD232" s="1917"/>
      <c r="BE232" s="1917"/>
      <c r="BF232" s="1917"/>
    </row>
    <row s="10365" customFormat="1" customHeight="1" ht="11.25">
      <c r="A233" s="1262" t="s">
        <v>1194</v>
      </c>
      <c r="B233" s="1262"/>
      <c r="C233" s="1262"/>
      <c r="D233" s="1462"/>
      <c r="E233" s="1266"/>
      <c r="F233" s="3394"/>
      <c r="G233" s="3396"/>
      <c r="H233" s="3263" t="s">
        <v>1267</v>
      </c>
      <c r="I233" s="3374"/>
      <c r="J233" s="3334"/>
      <c r="K233" s="3372"/>
      <c r="L233" s="2989"/>
      <c r="M233" s="2990"/>
      <c r="N233" s="3341"/>
      <c r="O233" s="3377">
        <v>1</v>
      </c>
      <c r="P233" s="3343" t="s">
        <v>19</v>
      </c>
      <c r="Q233" s="3236" t="s">
        <v>22</v>
      </c>
      <c r="R233" s="3236" t="s">
        <v>22</v>
      </c>
      <c r="S233" s="3236" t="s">
        <v>22</v>
      </c>
      <c r="T233" s="3236" t="s">
        <v>22</v>
      </c>
      <c r="U233" s="3236" t="s">
        <v>22</v>
      </c>
      <c r="V233" s="3236" t="s">
        <v>22</v>
      </c>
      <c r="W233" s="3236" t="s">
        <v>22</v>
      </c>
      <c r="X233" s="3236" t="s">
        <v>22</v>
      </c>
      <c r="Y233" s="3236"/>
      <c r="Z233" s="1271"/>
      <c r="AA233" s="1272"/>
      <c r="AB233" s="1272"/>
      <c r="AC233" s="1276"/>
      <c r="AD233" s="1276"/>
      <c r="AE233" s="1277"/>
      <c r="AF233" s="3375"/>
      <c r="AG233" s="3376"/>
      <c r="AH233" s="3376"/>
      <c r="AI233" s="3375"/>
      <c r="AJ233" s="3376"/>
      <c r="AK233" s="3376"/>
      <c r="AL233" s="2079"/>
      <c r="AM233" s="1917"/>
      <c r="AN233" s="1917"/>
      <c r="AO233" s="1917"/>
      <c r="AP233" s="1917"/>
      <c r="AQ233" s="1917"/>
      <c r="AR233" s="1917"/>
      <c r="AS233" s="1917"/>
      <c r="AT233" s="1917"/>
      <c r="AU233" s="1917"/>
      <c r="AV233" s="1917"/>
      <c r="AW233" s="1917"/>
      <c r="AX233" s="1917"/>
      <c r="AY233" s="1917"/>
      <c r="AZ233" s="1917"/>
      <c r="BA233" s="1917"/>
      <c r="BB233" s="1917"/>
      <c r="BC233" s="1917"/>
      <c r="BD233" s="1917"/>
      <c r="BE233" s="1917"/>
      <c r="BF233" s="1917"/>
    </row>
    <row s="10365" customFormat="1" customHeight="1" ht="11.25">
      <c r="A234" s="1262" t="s">
        <v>1194</v>
      </c>
      <c r="B234" s="1262"/>
      <c r="C234" s="1262"/>
      <c r="D234" s="1462"/>
      <c r="E234" s="1266"/>
      <c r="F234" s="3394"/>
      <c r="G234" s="3396"/>
      <c r="H234" s="3263" t="s">
        <v>1267</v>
      </c>
      <c r="I234" s="3374"/>
      <c r="J234" s="3334"/>
      <c r="K234" s="3372"/>
      <c r="L234" s="2989"/>
      <c r="M234" s="2990"/>
      <c r="N234" s="3341"/>
      <c r="O234" s="3377"/>
      <c r="P234" s="3344"/>
      <c r="Q234" s="3236"/>
      <c r="R234" s="3236"/>
      <c r="S234" s="3346"/>
      <c r="T234" s="3236"/>
      <c r="U234" s="3236"/>
      <c r="V234" s="3236"/>
      <c r="W234" s="3236"/>
      <c r="X234" s="3236"/>
      <c r="Y234" s="3236"/>
      <c r="Z234" s="1922"/>
      <c r="AA234" s="2198">
        <v>1</v>
      </c>
      <c r="AB234" s="1275" t="s">
        <v>1236</v>
      </c>
      <c r="AC234" s="1265">
        <v>44928.15</v>
      </c>
      <c r="AD234" s="1275" t="str">
        <f>AB234</f>
        <v>      Прочие займы</v>
      </c>
      <c r="AE234" s="1265">
        <v>0</v>
      </c>
      <c r="AF234" s="3375"/>
      <c r="AG234" s="3376"/>
      <c r="AH234" s="3376"/>
      <c r="AI234" s="3375"/>
      <c r="AJ234" s="3376"/>
      <c r="AK234" s="3376"/>
      <c r="AL234" s="2079"/>
      <c r="AM234" s="1917"/>
      <c r="AN234" s="1917"/>
      <c r="AO234" s="1917"/>
      <c r="AP234" s="1917"/>
      <c r="AQ234" s="1917"/>
      <c r="AR234" s="1917"/>
      <c r="AS234" s="1917"/>
      <c r="AT234" s="1917"/>
      <c r="AU234" s="1917"/>
      <c r="AV234" s="1917"/>
      <c r="AW234" s="1917"/>
      <c r="AX234" s="1917"/>
      <c r="AY234" s="1917"/>
      <c r="AZ234" s="1917"/>
      <c r="BA234" s="1917"/>
      <c r="BB234" s="1917"/>
      <c r="BC234" s="1917"/>
      <c r="BD234" s="1917"/>
      <c r="BE234" s="1917"/>
      <c r="BF234" s="1917"/>
    </row>
    <row s="10365" customFormat="1" customHeight="1" ht="11.25">
      <c r="A235" s="1262" t="s">
        <v>1194</v>
      </c>
      <c r="B235" s="1262"/>
      <c r="C235" s="1262"/>
      <c r="D235" s="1462"/>
      <c r="E235" s="1266"/>
      <c r="F235" s="3394"/>
      <c r="G235" s="3396"/>
      <c r="H235" s="3396"/>
      <c r="I235" s="3396"/>
      <c r="J235" s="3396"/>
      <c r="K235" s="3396"/>
      <c r="L235" s="3396"/>
      <c r="M235" s="3396"/>
      <c r="N235" s="3396"/>
      <c r="O235" s="3396"/>
      <c r="P235" s="3396"/>
      <c r="Q235" s="3396"/>
      <c r="R235" s="3396"/>
      <c r="S235" s="3396"/>
      <c r="T235" s="3396"/>
      <c r="U235" s="3396"/>
      <c r="V235" s="3396"/>
      <c r="W235" s="3396"/>
      <c r="X235" s="3396"/>
      <c r="Y235" s="3396"/>
      <c r="Z235" s="790" t="s">
        <v>103</v>
      </c>
      <c r="AA235" s="2195" t="s">
        <v>102</v>
      </c>
      <c r="AB235" s="1275" t="s">
        <v>1208</v>
      </c>
      <c r="AC235" s="1265">
        <v>0</v>
      </c>
      <c r="AD235" s="1275" t="str">
        <f>AB235</f>
        <v>  Прочие собственные средства</v>
      </c>
      <c r="AE235" s="1265">
        <v>36773.22514</v>
      </c>
      <c r="AF235" s="3397"/>
      <c r="AG235" s="3398"/>
      <c r="AH235" s="3398"/>
      <c r="AI235" s="3397"/>
      <c r="AJ235" s="3398"/>
      <c r="AK235" s="3399"/>
      <c r="AL235" s="2079"/>
      <c r="AM235" s="1917"/>
      <c r="AN235" s="1917"/>
      <c r="AO235" s="1917"/>
      <c r="AP235" s="1917"/>
      <c r="AQ235" s="1917"/>
      <c r="AR235" s="1917"/>
      <c r="AS235" s="1917"/>
      <c r="AT235" s="1917"/>
      <c r="AU235" s="1917"/>
      <c r="AV235" s="1917"/>
      <c r="AW235" s="1917"/>
      <c r="AX235" s="1917"/>
      <c r="AY235" s="1917"/>
      <c r="AZ235" s="1917"/>
      <c r="BA235" s="1917"/>
      <c r="BB235" s="1917"/>
      <c r="BC235" s="1917"/>
      <c r="BD235" s="1917"/>
      <c r="BE235" s="1917"/>
      <c r="BF235" s="1917"/>
    </row>
    <row s="10365" customFormat="1" customHeight="1" ht="11.25">
      <c r="A236" s="1262" t="s">
        <v>1194</v>
      </c>
      <c r="B236" s="1262"/>
      <c r="C236" s="1262"/>
      <c r="D236" s="1462"/>
      <c r="E236" s="1266"/>
      <c r="F236" s="3394"/>
      <c r="G236" s="3396"/>
      <c r="H236" s="3263" t="s">
        <v>1267</v>
      </c>
      <c r="I236" s="3374"/>
      <c r="J236" s="3334"/>
      <c r="K236" s="3372"/>
      <c r="L236" s="2989"/>
      <c r="M236" s="2990"/>
      <c r="N236" s="3341"/>
      <c r="O236" s="3377"/>
      <c r="P236" s="3345"/>
      <c r="Q236" s="3236"/>
      <c r="R236" s="3236"/>
      <c r="S236" s="3346"/>
      <c r="T236" s="3236"/>
      <c r="U236" s="3236"/>
      <c r="V236" s="3236"/>
      <c r="W236" s="3236"/>
      <c r="X236" s="3236"/>
      <c r="Y236" s="3236"/>
      <c r="Z236" s="1271"/>
      <c r="AA236" s="1272"/>
      <c r="AB236" s="1337" t="s">
        <v>1203</v>
      </c>
      <c r="AC236" s="1276"/>
      <c r="AD236" s="1276"/>
      <c r="AE236" s="1278"/>
      <c r="AF236" s="3375"/>
      <c r="AG236" s="3376"/>
      <c r="AH236" s="3376"/>
      <c r="AI236" s="3375"/>
      <c r="AJ236" s="3376"/>
      <c r="AK236" s="3376"/>
      <c r="AL236" s="2079"/>
      <c r="AM236" s="1917"/>
      <c r="AN236" s="1917"/>
      <c r="AO236" s="1917"/>
      <c r="AP236" s="1917"/>
      <c r="AQ236" s="1917"/>
      <c r="AR236" s="1917"/>
      <c r="AS236" s="1917"/>
      <c r="AT236" s="1917"/>
      <c r="AU236" s="1917"/>
      <c r="AV236" s="1917"/>
      <c r="AW236" s="1917"/>
      <c r="AX236" s="1917"/>
      <c r="AY236" s="1917"/>
      <c r="AZ236" s="1917"/>
      <c r="BA236" s="1917"/>
      <c r="BB236" s="1917"/>
      <c r="BC236" s="1917"/>
      <c r="BD236" s="1917"/>
      <c r="BE236" s="1917"/>
      <c r="BF236" s="1917"/>
    </row>
    <row s="10365" customFormat="1" customHeight="1" ht="11.25">
      <c r="A237" s="1262" t="s">
        <v>1194</v>
      </c>
      <c r="B237" s="1262"/>
      <c r="C237" s="1262"/>
      <c r="D237" s="1462"/>
      <c r="E237" s="1266"/>
      <c r="F237" s="3394"/>
      <c r="G237" s="3396"/>
      <c r="H237" s="3263" t="s">
        <v>1267</v>
      </c>
      <c r="I237" s="3374"/>
      <c r="J237" s="3334"/>
      <c r="K237" s="3372"/>
      <c r="L237" s="2989"/>
      <c r="M237" s="2990"/>
      <c r="N237" s="1271"/>
      <c r="O237" s="1272"/>
      <c r="P237" s="1337" t="s">
        <v>1204</v>
      </c>
      <c r="Q237" s="1272"/>
      <c r="R237" s="1272"/>
      <c r="S237" s="1272"/>
      <c r="T237" s="1272"/>
      <c r="U237" s="1272"/>
      <c r="V237" s="1272"/>
      <c r="W237" s="1272"/>
      <c r="X237" s="1272"/>
      <c r="Y237" s="1272"/>
      <c r="Z237" s="1272"/>
      <c r="AA237" s="1272"/>
      <c r="AB237" s="1272"/>
      <c r="AC237" s="1272"/>
      <c r="AD237" s="1272"/>
      <c r="AE237" s="1279"/>
      <c r="AF237" s="3375"/>
      <c r="AG237" s="3376"/>
      <c r="AH237" s="3376"/>
      <c r="AI237" s="3375"/>
      <c r="AJ237" s="3376"/>
      <c r="AK237" s="3376"/>
      <c r="AL237" s="2079"/>
      <c r="AM237" s="1917"/>
      <c r="AN237" s="1917"/>
      <c r="AO237" s="1917"/>
      <c r="AP237" s="1917"/>
      <c r="AQ237" s="1917"/>
      <c r="AR237" s="1917"/>
      <c r="AS237" s="1917"/>
      <c r="AT237" s="1917"/>
      <c r="AU237" s="1917"/>
      <c r="AV237" s="1917"/>
      <c r="AW237" s="1917"/>
      <c r="AX237" s="1917"/>
      <c r="AY237" s="1917"/>
      <c r="AZ237" s="1917"/>
      <c r="BA237" s="1917"/>
      <c r="BB237" s="1917"/>
      <c r="BC237" s="1917"/>
      <c r="BD237" s="1917"/>
      <c r="BE237" s="1917"/>
      <c r="BF237" s="1917"/>
    </row>
    <row s="10365" customFormat="1" customHeight="1" ht="11.25">
      <c r="A238" s="1262" t="s">
        <v>1194</v>
      </c>
      <c r="B238" s="1262" t="s">
        <v>22</v>
      </c>
      <c r="C238" s="1262"/>
      <c r="D238" s="1462"/>
      <c r="E238" s="1266"/>
      <c r="F238" s="3394"/>
      <c r="G238" s="3004" t="s">
        <v>103</v>
      </c>
      <c r="H238" s="3263" t="s">
        <v>1271</v>
      </c>
      <c r="I238" s="3374" t="s">
        <v>1272</v>
      </c>
      <c r="J238" s="3400" t="s">
        <v>22</v>
      </c>
      <c r="K238" s="3372" t="s">
        <v>1273</v>
      </c>
      <c r="L238" s="2989" t="s">
        <v>19</v>
      </c>
      <c r="M238" s="2990"/>
      <c r="N238" s="2077"/>
      <c r="O238" s="1273" t="s">
        <v>461</v>
      </c>
      <c r="P238" s="1274"/>
      <c r="Q238" s="1274"/>
      <c r="R238" s="1274"/>
      <c r="S238" s="1274"/>
      <c r="T238" s="1274"/>
      <c r="U238" s="1274"/>
      <c r="V238" s="1274"/>
      <c r="W238" s="1274"/>
      <c r="X238" s="1274"/>
      <c r="Y238" s="1274"/>
      <c r="Z238" s="1274"/>
      <c r="AA238" s="1274"/>
      <c r="AB238" s="1274"/>
      <c r="AC238" s="1274"/>
      <c r="AD238" s="1274"/>
      <c r="AE238" s="1274"/>
      <c r="AF238" s="3375">
        <v>3</v>
      </c>
      <c r="AG238" s="3376" t="s">
        <v>1206</v>
      </c>
      <c r="AH238" s="3376" t="s">
        <v>1210</v>
      </c>
      <c r="AI238" s="3375">
        <v>3</v>
      </c>
      <c r="AJ238" s="3376" t="s">
        <v>1206</v>
      </c>
      <c r="AK238" s="3376" t="s">
        <v>1210</v>
      </c>
      <c r="AL238" s="2079"/>
      <c r="AM238" s="1917"/>
      <c r="AN238" s="1917"/>
      <c r="AO238" s="1917"/>
      <c r="AP238" s="1917"/>
      <c r="AQ238" s="1917"/>
      <c r="AR238" s="1917"/>
      <c r="AS238" s="1917"/>
      <c r="AT238" s="1917"/>
      <c r="AU238" s="1917"/>
      <c r="AV238" s="1917"/>
      <c r="AW238" s="1917"/>
      <c r="AX238" s="1917"/>
      <c r="AY238" s="1917"/>
      <c r="AZ238" s="1917"/>
      <c r="BA238" s="1917"/>
      <c r="BB238" s="1917"/>
      <c r="BC238" s="1917"/>
      <c r="BD238" s="1917"/>
      <c r="BE238" s="1917"/>
      <c r="BF238" s="1917"/>
    </row>
    <row s="10365" customFormat="1" customHeight="1" ht="11.25">
      <c r="A239" s="1262" t="s">
        <v>1194</v>
      </c>
      <c r="B239" s="1262"/>
      <c r="C239" s="1262"/>
      <c r="D239" s="1462"/>
      <c r="E239" s="1266"/>
      <c r="F239" s="3394"/>
      <c r="G239" s="3396"/>
      <c r="H239" s="3263" t="s">
        <v>1269</v>
      </c>
      <c r="I239" s="3374"/>
      <c r="J239" s="3400"/>
      <c r="K239" s="3372"/>
      <c r="L239" s="2989"/>
      <c r="M239" s="2990"/>
      <c r="N239" s="3341"/>
      <c r="O239" s="3377">
        <v>1</v>
      </c>
      <c r="P239" s="3343" t="s">
        <v>19</v>
      </c>
      <c r="Q239" s="3236" t="s">
        <v>22</v>
      </c>
      <c r="R239" s="3236" t="s">
        <v>22</v>
      </c>
      <c r="S239" s="3236" t="s">
        <v>22</v>
      </c>
      <c r="T239" s="3236" t="s">
        <v>22</v>
      </c>
      <c r="U239" s="3236" t="s">
        <v>22</v>
      </c>
      <c r="V239" s="3236" t="s">
        <v>22</v>
      </c>
      <c r="W239" s="3236" t="s">
        <v>22</v>
      </c>
      <c r="X239" s="3236" t="s">
        <v>22</v>
      </c>
      <c r="Y239" s="3236"/>
      <c r="Z239" s="1271"/>
      <c r="AA239" s="1272"/>
      <c r="AB239" s="1272"/>
      <c r="AC239" s="1276"/>
      <c r="AD239" s="1276"/>
      <c r="AE239" s="1277"/>
      <c r="AF239" s="3375"/>
      <c r="AG239" s="3376"/>
      <c r="AH239" s="3376"/>
      <c r="AI239" s="3375"/>
      <c r="AJ239" s="3376"/>
      <c r="AK239" s="3376"/>
      <c r="AL239" s="2079"/>
      <c r="AM239" s="1917"/>
      <c r="AN239" s="1917"/>
      <c r="AO239" s="1917"/>
      <c r="AP239" s="1917"/>
      <c r="AQ239" s="1917"/>
      <c r="AR239" s="1917"/>
      <c r="AS239" s="1917"/>
      <c r="AT239" s="1917"/>
      <c r="AU239" s="1917"/>
      <c r="AV239" s="1917"/>
      <c r="AW239" s="1917"/>
      <c r="AX239" s="1917"/>
      <c r="AY239" s="1917"/>
      <c r="AZ239" s="1917"/>
      <c r="BA239" s="1917"/>
      <c r="BB239" s="1917"/>
      <c r="BC239" s="1917"/>
      <c r="BD239" s="1917"/>
      <c r="BE239" s="1917"/>
      <c r="BF239" s="1917"/>
    </row>
    <row s="10365" customFormat="1" customHeight="1" ht="11.25">
      <c r="A240" s="1262" t="s">
        <v>1194</v>
      </c>
      <c r="B240" s="1262"/>
      <c r="C240" s="1262"/>
      <c r="D240" s="1462"/>
      <c r="E240" s="1266"/>
      <c r="F240" s="3394"/>
      <c r="G240" s="3396"/>
      <c r="H240" s="3263" t="s">
        <v>1269</v>
      </c>
      <c r="I240" s="3374"/>
      <c r="J240" s="3400"/>
      <c r="K240" s="3372"/>
      <c r="L240" s="2989"/>
      <c r="M240" s="2990"/>
      <c r="N240" s="3341"/>
      <c r="O240" s="3377"/>
      <c r="P240" s="3344"/>
      <c r="Q240" s="3236"/>
      <c r="R240" s="3236"/>
      <c r="S240" s="3346"/>
      <c r="T240" s="3236"/>
      <c r="U240" s="3236"/>
      <c r="V240" s="3236"/>
      <c r="W240" s="3236"/>
      <c r="X240" s="3236"/>
      <c r="Y240" s="3236"/>
      <c r="Z240" s="1922"/>
      <c r="AA240" s="2198">
        <v>1</v>
      </c>
      <c r="AB240" s="1275" t="s">
        <v>1201</v>
      </c>
      <c r="AC240" s="1265">
        <v>15171.43</v>
      </c>
      <c r="AD240" s="1275" t="str">
        <f>AB240</f>
        <v>      Амортизационные отчисления с выделением результатов переоценки основных средств и нематериальных активов</v>
      </c>
      <c r="AE240" s="1265">
        <v>15661.25</v>
      </c>
      <c r="AF240" s="3375"/>
      <c r="AG240" s="3376"/>
      <c r="AH240" s="3376"/>
      <c r="AI240" s="3375"/>
      <c r="AJ240" s="3376"/>
      <c r="AK240" s="3376"/>
      <c r="AL240" s="2079"/>
      <c r="AM240" s="1917"/>
      <c r="AN240" s="1917"/>
      <c r="AO240" s="1917"/>
      <c r="AP240" s="1917"/>
      <c r="AQ240" s="1917"/>
      <c r="AR240" s="1917"/>
      <c r="AS240" s="1917"/>
      <c r="AT240" s="1917"/>
      <c r="AU240" s="1917"/>
      <c r="AV240" s="1917"/>
      <c r="AW240" s="1917"/>
      <c r="AX240" s="1917"/>
      <c r="AY240" s="1917"/>
      <c r="AZ240" s="1917"/>
      <c r="BA240" s="1917"/>
      <c r="BB240" s="1917"/>
      <c r="BC240" s="1917"/>
      <c r="BD240" s="1917"/>
      <c r="BE240" s="1917"/>
      <c r="BF240" s="1917"/>
    </row>
    <row s="10365" customFormat="1" customHeight="1" ht="11.25">
      <c r="A241" s="1262" t="s">
        <v>1194</v>
      </c>
      <c r="B241" s="1262"/>
      <c r="C241" s="1262"/>
      <c r="D241" s="1462"/>
      <c r="E241" s="1266"/>
      <c r="F241" s="3394"/>
      <c r="G241" s="3396"/>
      <c r="H241" s="3396"/>
      <c r="I241" s="3396"/>
      <c r="J241" s="3396"/>
      <c r="K241" s="3396"/>
      <c r="L241" s="3396"/>
      <c r="M241" s="3396"/>
      <c r="N241" s="3396"/>
      <c r="O241" s="3396"/>
      <c r="P241" s="3396"/>
      <c r="Q241" s="3396"/>
      <c r="R241" s="3396"/>
      <c r="S241" s="3396"/>
      <c r="T241" s="3396"/>
      <c r="U241" s="3396"/>
      <c r="V241" s="3396"/>
      <c r="W241" s="3396"/>
      <c r="X241" s="3396"/>
      <c r="Y241" s="3396"/>
      <c r="Z241" s="790" t="s">
        <v>103</v>
      </c>
      <c r="AA241" s="2195" t="s">
        <v>102</v>
      </c>
      <c r="AB241" s="1275" t="s">
        <v>1208</v>
      </c>
      <c r="AC241" s="1265">
        <v>3034.29</v>
      </c>
      <c r="AD241" s="1275" t="str">
        <f>AB241</f>
        <v>  Прочие собственные средства</v>
      </c>
      <c r="AE241" s="1265">
        <v>2751.84243</v>
      </c>
      <c r="AF241" s="3397"/>
      <c r="AG241" s="3398"/>
      <c r="AH241" s="3398"/>
      <c r="AI241" s="3397"/>
      <c r="AJ241" s="3398"/>
      <c r="AK241" s="3399"/>
      <c r="AL241" s="2079"/>
      <c r="AM241" s="1917"/>
      <c r="AN241" s="1917"/>
      <c r="AO241" s="1917"/>
      <c r="AP241" s="1917"/>
      <c r="AQ241" s="1917"/>
      <c r="AR241" s="1917"/>
      <c r="AS241" s="1917"/>
      <c r="AT241" s="1917"/>
      <c r="AU241" s="1917"/>
      <c r="AV241" s="1917"/>
      <c r="AW241" s="1917"/>
      <c r="AX241" s="1917"/>
      <c r="AY241" s="1917"/>
      <c r="AZ241" s="1917"/>
      <c r="BA241" s="1917"/>
      <c r="BB241" s="1917"/>
      <c r="BC241" s="1917"/>
      <c r="BD241" s="1917"/>
      <c r="BE241" s="1917"/>
      <c r="BF241" s="1917"/>
    </row>
    <row s="10365" customFormat="1" customHeight="1" ht="11.25">
      <c r="A242" s="1262" t="s">
        <v>1194</v>
      </c>
      <c r="B242" s="1262"/>
      <c r="C242" s="1262"/>
      <c r="D242" s="1462"/>
      <c r="E242" s="1266"/>
      <c r="F242" s="3394"/>
      <c r="G242" s="3396"/>
      <c r="H242" s="3263" t="s">
        <v>1269</v>
      </c>
      <c r="I242" s="3374"/>
      <c r="J242" s="3400"/>
      <c r="K242" s="3372"/>
      <c r="L242" s="2989"/>
      <c r="M242" s="2990"/>
      <c r="N242" s="3341"/>
      <c r="O242" s="3377"/>
      <c r="P242" s="3345"/>
      <c r="Q242" s="3236"/>
      <c r="R242" s="3236"/>
      <c r="S242" s="3346"/>
      <c r="T242" s="3236"/>
      <c r="U242" s="3236"/>
      <c r="V242" s="3236"/>
      <c r="W242" s="3236"/>
      <c r="X242" s="3236"/>
      <c r="Y242" s="3236"/>
      <c r="Z242" s="1271"/>
      <c r="AA242" s="1272"/>
      <c r="AB242" s="1337" t="s">
        <v>1203</v>
      </c>
      <c r="AC242" s="1276"/>
      <c r="AD242" s="1276"/>
      <c r="AE242" s="1278"/>
      <c r="AF242" s="3375"/>
      <c r="AG242" s="3376"/>
      <c r="AH242" s="3376"/>
      <c r="AI242" s="3375"/>
      <c r="AJ242" s="3376"/>
      <c r="AK242" s="3376"/>
      <c r="AL242" s="2079"/>
      <c r="AM242" s="1917"/>
      <c r="AN242" s="1917"/>
      <c r="AO242" s="1917"/>
      <c r="AP242" s="1917"/>
      <c r="AQ242" s="1917"/>
      <c r="AR242" s="1917"/>
      <c r="AS242" s="1917"/>
      <c r="AT242" s="1917"/>
      <c r="AU242" s="1917"/>
      <c r="AV242" s="1917"/>
      <c r="AW242" s="1917"/>
      <c r="AX242" s="1917"/>
      <c r="AY242" s="1917"/>
      <c r="AZ242" s="1917"/>
      <c r="BA242" s="1917"/>
      <c r="BB242" s="1917"/>
      <c r="BC242" s="1917"/>
      <c r="BD242" s="1917"/>
      <c r="BE242" s="1917"/>
      <c r="BF242" s="1917"/>
    </row>
    <row s="10365" customFormat="1" customHeight="1" ht="11.25">
      <c r="A243" s="1262" t="s">
        <v>1194</v>
      </c>
      <c r="B243" s="1262"/>
      <c r="C243" s="1262"/>
      <c r="D243" s="1462"/>
      <c r="E243" s="1266"/>
      <c r="F243" s="3394"/>
      <c r="G243" s="3396"/>
      <c r="H243" s="3263" t="s">
        <v>1269</v>
      </c>
      <c r="I243" s="3374"/>
      <c r="J243" s="3400"/>
      <c r="K243" s="3372"/>
      <c r="L243" s="2989"/>
      <c r="M243" s="2990"/>
      <c r="N243" s="1271"/>
      <c r="O243" s="1272"/>
      <c r="P243" s="1337" t="s">
        <v>1204</v>
      </c>
      <c r="Q243" s="1272"/>
      <c r="R243" s="1272"/>
      <c r="S243" s="1272"/>
      <c r="T243" s="1272"/>
      <c r="U243" s="1272"/>
      <c r="V243" s="1272"/>
      <c r="W243" s="1272"/>
      <c r="X243" s="1272"/>
      <c r="Y243" s="1272"/>
      <c r="Z243" s="1272"/>
      <c r="AA243" s="1272"/>
      <c r="AB243" s="1272"/>
      <c r="AC243" s="1272"/>
      <c r="AD243" s="1272"/>
      <c r="AE243" s="1279"/>
      <c r="AF243" s="3375"/>
      <c r="AG243" s="3376"/>
      <c r="AH243" s="3376"/>
      <c r="AI243" s="3375"/>
      <c r="AJ243" s="3376"/>
      <c r="AK243" s="3376"/>
      <c r="AL243" s="2079"/>
      <c r="AM243" s="1917"/>
      <c r="AN243" s="1917"/>
      <c r="AO243" s="1917"/>
      <c r="AP243" s="1917"/>
      <c r="AQ243" s="1917"/>
      <c r="AR243" s="1917"/>
      <c r="AS243" s="1917"/>
      <c r="AT243" s="1917"/>
      <c r="AU243" s="1917"/>
      <c r="AV243" s="1917"/>
      <c r="AW243" s="1917"/>
      <c r="AX243" s="1917"/>
      <c r="AY243" s="1917"/>
      <c r="AZ243" s="1917"/>
      <c r="BA243" s="1917"/>
      <c r="BB243" s="1917"/>
      <c r="BC243" s="1917"/>
      <c r="BD243" s="1917"/>
      <c r="BE243" s="1917"/>
      <c r="BF243" s="1917"/>
    </row>
    <row s="10365" customFormat="1" customHeight="1" ht="11.25">
      <c r="A244" s="1262" t="s">
        <v>1194</v>
      </c>
      <c r="B244" s="1262" t="s">
        <v>22</v>
      </c>
      <c r="C244" s="1262"/>
      <c r="D244" s="1462"/>
      <c r="E244" s="1266"/>
      <c r="F244" s="3394"/>
      <c r="G244" s="3004" t="s">
        <v>103</v>
      </c>
      <c r="H244" s="3263" t="s">
        <v>1274</v>
      </c>
      <c r="I244" s="3374" t="s">
        <v>1275</v>
      </c>
      <c r="J244" s="3400" t="s">
        <v>22</v>
      </c>
      <c r="K244" s="3372" t="s">
        <v>1276</v>
      </c>
      <c r="L244" s="2989" t="s">
        <v>19</v>
      </c>
      <c r="M244" s="2990"/>
      <c r="N244" s="2077"/>
      <c r="O244" s="1273" t="s">
        <v>461</v>
      </c>
      <c r="P244" s="1274"/>
      <c r="Q244" s="1274"/>
      <c r="R244" s="1274"/>
      <c r="S244" s="1274"/>
      <c r="T244" s="1274"/>
      <c r="U244" s="1274"/>
      <c r="V244" s="1274"/>
      <c r="W244" s="1274"/>
      <c r="X244" s="1274"/>
      <c r="Y244" s="1274"/>
      <c r="Z244" s="1274"/>
      <c r="AA244" s="1274"/>
      <c r="AB244" s="1274"/>
      <c r="AC244" s="1274"/>
      <c r="AD244" s="1274"/>
      <c r="AE244" s="1274"/>
      <c r="AF244" s="3375">
        <v>20</v>
      </c>
      <c r="AG244" s="3376" t="s">
        <v>1206</v>
      </c>
      <c r="AH244" s="3376" t="s">
        <v>1245</v>
      </c>
      <c r="AI244" s="3375">
        <v>20</v>
      </c>
      <c r="AJ244" s="3376" t="s">
        <v>1206</v>
      </c>
      <c r="AK244" s="3376" t="s">
        <v>1245</v>
      </c>
      <c r="AL244" s="2079"/>
      <c r="AM244" s="1917"/>
      <c r="AN244" s="1917"/>
      <c r="AO244" s="1917"/>
      <c r="AP244" s="1917"/>
      <c r="AQ244" s="1917"/>
      <c r="AR244" s="1917"/>
      <c r="AS244" s="1917"/>
      <c r="AT244" s="1917"/>
      <c r="AU244" s="1917"/>
      <c r="AV244" s="1917"/>
      <c r="AW244" s="1917"/>
      <c r="AX244" s="1917"/>
      <c r="AY244" s="1917"/>
      <c r="AZ244" s="1917"/>
      <c r="BA244" s="1917"/>
      <c r="BB244" s="1917"/>
      <c r="BC244" s="1917"/>
      <c r="BD244" s="1917"/>
      <c r="BE244" s="1917"/>
      <c r="BF244" s="1917"/>
    </row>
    <row s="10365" customFormat="1" customHeight="1" ht="11.25">
      <c r="A245" s="1262" t="s">
        <v>1194</v>
      </c>
      <c r="B245" s="1262"/>
      <c r="C245" s="1262"/>
      <c r="D245" s="1462"/>
      <c r="E245" s="1266"/>
      <c r="F245" s="3394"/>
      <c r="G245" s="3396"/>
      <c r="H245" s="3263" t="s">
        <v>1271</v>
      </c>
      <c r="I245" s="3374"/>
      <c r="J245" s="3400"/>
      <c r="K245" s="3372"/>
      <c r="L245" s="2989"/>
      <c r="M245" s="2990"/>
      <c r="N245" s="3341"/>
      <c r="O245" s="3377">
        <v>1</v>
      </c>
      <c r="P245" s="3343" t="s">
        <v>19</v>
      </c>
      <c r="Q245" s="3236" t="s">
        <v>22</v>
      </c>
      <c r="R245" s="3236" t="s">
        <v>22</v>
      </c>
      <c r="S245" s="3236" t="s">
        <v>22</v>
      </c>
      <c r="T245" s="3236" t="s">
        <v>22</v>
      </c>
      <c r="U245" s="3236" t="s">
        <v>22</v>
      </c>
      <c r="V245" s="3236" t="s">
        <v>22</v>
      </c>
      <c r="W245" s="3236" t="s">
        <v>22</v>
      </c>
      <c r="X245" s="3236" t="s">
        <v>22</v>
      </c>
      <c r="Y245" s="3236"/>
      <c r="Z245" s="1271"/>
      <c r="AA245" s="1272"/>
      <c r="AB245" s="1272"/>
      <c r="AC245" s="1276"/>
      <c r="AD245" s="1276"/>
      <c r="AE245" s="1277"/>
      <c r="AF245" s="3375"/>
      <c r="AG245" s="3376"/>
      <c r="AH245" s="3376"/>
      <c r="AI245" s="3375"/>
      <c r="AJ245" s="3376"/>
      <c r="AK245" s="3376"/>
      <c r="AL245" s="2079"/>
      <c r="AM245" s="1917"/>
      <c r="AN245" s="1917"/>
      <c r="AO245" s="1917"/>
      <c r="AP245" s="1917"/>
      <c r="AQ245" s="1917"/>
      <c r="AR245" s="1917"/>
      <c r="AS245" s="1917"/>
      <c r="AT245" s="1917"/>
      <c r="AU245" s="1917"/>
      <c r="AV245" s="1917"/>
      <c r="AW245" s="1917"/>
      <c r="AX245" s="1917"/>
      <c r="AY245" s="1917"/>
      <c r="AZ245" s="1917"/>
      <c r="BA245" s="1917"/>
      <c r="BB245" s="1917"/>
      <c r="BC245" s="1917"/>
      <c r="BD245" s="1917"/>
      <c r="BE245" s="1917"/>
      <c r="BF245" s="1917"/>
    </row>
    <row s="10365" customFormat="1" customHeight="1" ht="11.25">
      <c r="A246" s="1262" t="s">
        <v>1194</v>
      </c>
      <c r="B246" s="1262"/>
      <c r="C246" s="1262"/>
      <c r="D246" s="1462"/>
      <c r="E246" s="1266"/>
      <c r="F246" s="3394"/>
      <c r="G246" s="3396"/>
      <c r="H246" s="3263" t="s">
        <v>1271</v>
      </c>
      <c r="I246" s="3374"/>
      <c r="J246" s="3400"/>
      <c r="K246" s="3372"/>
      <c r="L246" s="2989"/>
      <c r="M246" s="2990"/>
      <c r="N246" s="3341"/>
      <c r="O246" s="3377"/>
      <c r="P246" s="3344"/>
      <c r="Q246" s="3236"/>
      <c r="R246" s="3236"/>
      <c r="S246" s="3346"/>
      <c r="T246" s="3236"/>
      <c r="U246" s="3236"/>
      <c r="V246" s="3236"/>
      <c r="W246" s="3236"/>
      <c r="X246" s="3236"/>
      <c r="Y246" s="3236"/>
      <c r="Z246" s="1922"/>
      <c r="AA246" s="2198">
        <v>1</v>
      </c>
      <c r="AB246" s="1275" t="s">
        <v>1201</v>
      </c>
      <c r="AC246" s="1265">
        <v>9608.61</v>
      </c>
      <c r="AD246" s="1275" t="str">
        <f>AB246</f>
        <v>      Амортизационные отчисления с выделением результатов переоценки основных средств и нематериальных активов</v>
      </c>
      <c r="AE246" s="1265">
        <v>743.24</v>
      </c>
      <c r="AF246" s="3375"/>
      <c r="AG246" s="3376"/>
      <c r="AH246" s="3376"/>
      <c r="AI246" s="3375"/>
      <c r="AJ246" s="3376"/>
      <c r="AK246" s="3376"/>
      <c r="AL246" s="2079"/>
      <c r="AM246" s="1917"/>
      <c r="AN246" s="1917"/>
      <c r="AO246" s="1917"/>
      <c r="AP246" s="1917"/>
      <c r="AQ246" s="1917"/>
      <c r="AR246" s="1917"/>
      <c r="AS246" s="1917"/>
      <c r="AT246" s="1917"/>
      <c r="AU246" s="1917"/>
      <c r="AV246" s="1917"/>
      <c r="AW246" s="1917"/>
      <c r="AX246" s="1917"/>
      <c r="AY246" s="1917"/>
      <c r="AZ246" s="1917"/>
      <c r="BA246" s="1917"/>
      <c r="BB246" s="1917"/>
      <c r="BC246" s="1917"/>
      <c r="BD246" s="1917"/>
      <c r="BE246" s="1917"/>
      <c r="BF246" s="1917"/>
    </row>
    <row s="10365" customFormat="1" customHeight="1" ht="11.25">
      <c r="A247" s="1262" t="s">
        <v>1194</v>
      </c>
      <c r="B247" s="1262"/>
      <c r="C247" s="1262"/>
      <c r="D247" s="1462"/>
      <c r="E247" s="1266"/>
      <c r="F247" s="3394"/>
      <c r="G247" s="3396"/>
      <c r="H247" s="3396"/>
      <c r="I247" s="3396"/>
      <c r="J247" s="3396"/>
      <c r="K247" s="3396"/>
      <c r="L247" s="3396"/>
      <c r="M247" s="3396"/>
      <c r="N247" s="3396"/>
      <c r="O247" s="3396"/>
      <c r="P247" s="3396"/>
      <c r="Q247" s="3396"/>
      <c r="R247" s="3396"/>
      <c r="S247" s="3396"/>
      <c r="T247" s="3396"/>
      <c r="U247" s="3396"/>
      <c r="V247" s="3396"/>
      <c r="W247" s="3396"/>
      <c r="X247" s="3396"/>
      <c r="Y247" s="3396"/>
      <c r="Z247" s="790" t="s">
        <v>103</v>
      </c>
      <c r="AA247" s="2195" t="s">
        <v>102</v>
      </c>
      <c r="AB247" s="1275" t="s">
        <v>1208</v>
      </c>
      <c r="AC247" s="1265">
        <v>1860.31</v>
      </c>
      <c r="AD247" s="1275" t="str">
        <f>AB247</f>
        <v>  Прочие собственные средства</v>
      </c>
      <c r="AE247" s="1265">
        <v>148.6479</v>
      </c>
      <c r="AF247" s="3397"/>
      <c r="AG247" s="3398"/>
      <c r="AH247" s="3398"/>
      <c r="AI247" s="3397"/>
      <c r="AJ247" s="3398"/>
      <c r="AK247" s="3399"/>
      <c r="AL247" s="2079"/>
      <c r="AM247" s="1917"/>
      <c r="AN247" s="1917"/>
      <c r="AO247" s="1917"/>
      <c r="AP247" s="1917"/>
      <c r="AQ247" s="1917"/>
      <c r="AR247" s="1917"/>
      <c r="AS247" s="1917"/>
      <c r="AT247" s="1917"/>
      <c r="AU247" s="1917"/>
      <c r="AV247" s="1917"/>
      <c r="AW247" s="1917"/>
      <c r="AX247" s="1917"/>
      <c r="AY247" s="1917"/>
      <c r="AZ247" s="1917"/>
      <c r="BA247" s="1917"/>
      <c r="BB247" s="1917"/>
      <c r="BC247" s="1917"/>
      <c r="BD247" s="1917"/>
      <c r="BE247" s="1917"/>
      <c r="BF247" s="1917"/>
    </row>
    <row s="10365" customFormat="1" customHeight="1" ht="11.25">
      <c r="A248" s="1262" t="s">
        <v>1194</v>
      </c>
      <c r="B248" s="1262"/>
      <c r="C248" s="1262"/>
      <c r="D248" s="1462"/>
      <c r="E248" s="1266"/>
      <c r="F248" s="3394"/>
      <c r="G248" s="3396"/>
      <c r="H248" s="3263" t="s">
        <v>1271</v>
      </c>
      <c r="I248" s="3374"/>
      <c r="J248" s="3400"/>
      <c r="K248" s="3372"/>
      <c r="L248" s="2989"/>
      <c r="M248" s="2990"/>
      <c r="N248" s="3341"/>
      <c r="O248" s="3377"/>
      <c r="P248" s="3345"/>
      <c r="Q248" s="3236"/>
      <c r="R248" s="3236"/>
      <c r="S248" s="3346"/>
      <c r="T248" s="3236"/>
      <c r="U248" s="3236"/>
      <c r="V248" s="3236"/>
      <c r="W248" s="3236"/>
      <c r="X248" s="3236"/>
      <c r="Y248" s="3236"/>
      <c r="Z248" s="1271"/>
      <c r="AA248" s="1272"/>
      <c r="AB248" s="1337" t="s">
        <v>1203</v>
      </c>
      <c r="AC248" s="1276"/>
      <c r="AD248" s="1276"/>
      <c r="AE248" s="1278"/>
      <c r="AF248" s="3375"/>
      <c r="AG248" s="3376"/>
      <c r="AH248" s="3376"/>
      <c r="AI248" s="3375"/>
      <c r="AJ248" s="3376"/>
      <c r="AK248" s="3376"/>
      <c r="AL248" s="2079"/>
      <c r="AM248" s="1917"/>
      <c r="AN248" s="1917"/>
      <c r="AO248" s="1917"/>
      <c r="AP248" s="1917"/>
      <c r="AQ248" s="1917"/>
      <c r="AR248" s="1917"/>
      <c r="AS248" s="1917"/>
      <c r="AT248" s="1917"/>
      <c r="AU248" s="1917"/>
      <c r="AV248" s="1917"/>
      <c r="AW248" s="1917"/>
      <c r="AX248" s="1917"/>
      <c r="AY248" s="1917"/>
      <c r="AZ248" s="1917"/>
      <c r="BA248" s="1917"/>
      <c r="BB248" s="1917"/>
      <c r="BC248" s="1917"/>
      <c r="BD248" s="1917"/>
      <c r="BE248" s="1917"/>
      <c r="BF248" s="1917"/>
    </row>
    <row s="10365" customFormat="1" customHeight="1" ht="11.25">
      <c r="A249" s="1262" t="s">
        <v>1194</v>
      </c>
      <c r="B249" s="1262"/>
      <c r="C249" s="1262"/>
      <c r="D249" s="1462"/>
      <c r="E249" s="1266"/>
      <c r="F249" s="3394"/>
      <c r="G249" s="3396"/>
      <c r="H249" s="3263" t="s">
        <v>1271</v>
      </c>
      <c r="I249" s="3374"/>
      <c r="J249" s="3400"/>
      <c r="K249" s="3372"/>
      <c r="L249" s="2989"/>
      <c r="M249" s="2990"/>
      <c r="N249" s="1271"/>
      <c r="O249" s="1272"/>
      <c r="P249" s="1337" t="s">
        <v>1204</v>
      </c>
      <c r="Q249" s="1272"/>
      <c r="R249" s="1272"/>
      <c r="S249" s="1272"/>
      <c r="T249" s="1272"/>
      <c r="U249" s="1272"/>
      <c r="V249" s="1272"/>
      <c r="W249" s="1272"/>
      <c r="X249" s="1272"/>
      <c r="Y249" s="1272"/>
      <c r="Z249" s="1272"/>
      <c r="AA249" s="1272"/>
      <c r="AB249" s="1272"/>
      <c r="AC249" s="1272"/>
      <c r="AD249" s="1272"/>
      <c r="AE249" s="1279"/>
      <c r="AF249" s="3375"/>
      <c r="AG249" s="3376"/>
      <c r="AH249" s="3376"/>
      <c r="AI249" s="3375"/>
      <c r="AJ249" s="3376"/>
      <c r="AK249" s="3376"/>
      <c r="AL249" s="2079"/>
      <c r="AM249" s="1917"/>
      <c r="AN249" s="1917"/>
      <c r="AO249" s="1917"/>
      <c r="AP249" s="1917"/>
      <c r="AQ249" s="1917"/>
      <c r="AR249" s="1917"/>
      <c r="AS249" s="1917"/>
      <c r="AT249" s="1917"/>
      <c r="AU249" s="1917"/>
      <c r="AV249" s="1917"/>
      <c r="AW249" s="1917"/>
      <c r="AX249" s="1917"/>
      <c r="AY249" s="1917"/>
      <c r="AZ249" s="1917"/>
      <c r="BA249" s="1917"/>
      <c r="BB249" s="1917"/>
      <c r="BC249" s="1917"/>
      <c r="BD249" s="1917"/>
      <c r="BE249" s="1917"/>
      <c r="BF249" s="1917"/>
    </row>
    <row s="10365" customFormat="1" customHeight="1" ht="11.25">
      <c r="A250" s="1262" t="s">
        <v>1194</v>
      </c>
      <c r="B250" s="1262" t="s">
        <v>1195</v>
      </c>
      <c r="C250" s="1262"/>
      <c r="D250" s="1462"/>
      <c r="E250" s="1266"/>
      <c r="F250" s="3394"/>
      <c r="G250" s="3004" t="s">
        <v>103</v>
      </c>
      <c r="H250" s="3263" t="s">
        <v>1277</v>
      </c>
      <c r="I250" s="3374" t="s">
        <v>1196</v>
      </c>
      <c r="J250" s="3334" t="s">
        <v>1197</v>
      </c>
      <c r="K250" s="3372" t="s">
        <v>1278</v>
      </c>
      <c r="L250" s="2989" t="s">
        <v>19</v>
      </c>
      <c r="M250" s="2990"/>
      <c r="N250" s="2077"/>
      <c r="O250" s="1273" t="s">
        <v>461</v>
      </c>
      <c r="P250" s="1274"/>
      <c r="Q250" s="1274"/>
      <c r="R250" s="1274"/>
      <c r="S250" s="1274"/>
      <c r="T250" s="1274"/>
      <c r="U250" s="1274"/>
      <c r="V250" s="1274"/>
      <c r="W250" s="1274"/>
      <c r="X250" s="1274"/>
      <c r="Y250" s="1274"/>
      <c r="Z250" s="1274"/>
      <c r="AA250" s="1274"/>
      <c r="AB250" s="1274"/>
      <c r="AC250" s="1274"/>
      <c r="AD250" s="1274"/>
      <c r="AE250" s="1274"/>
      <c r="AF250" s="3375">
        <v>3</v>
      </c>
      <c r="AG250" s="3376" t="s">
        <v>1206</v>
      </c>
      <c r="AH250" s="3376" t="s">
        <v>1260</v>
      </c>
      <c r="AI250" s="3375">
        <v>3</v>
      </c>
      <c r="AJ250" s="3376" t="s">
        <v>1206</v>
      </c>
      <c r="AK250" s="3376" t="s">
        <v>1260</v>
      </c>
      <c r="AL250" s="2079"/>
      <c r="AM250" s="1917"/>
      <c r="AN250" s="1917"/>
      <c r="AO250" s="1917"/>
      <c r="AP250" s="1917"/>
      <c r="AQ250" s="1917"/>
      <c r="AR250" s="1917"/>
      <c r="AS250" s="1917"/>
      <c r="AT250" s="1917"/>
      <c r="AU250" s="1917"/>
      <c r="AV250" s="1917"/>
      <c r="AW250" s="1917"/>
      <c r="AX250" s="1917"/>
      <c r="AY250" s="1917"/>
      <c r="AZ250" s="1917"/>
      <c r="BA250" s="1917"/>
      <c r="BB250" s="1917"/>
      <c r="BC250" s="1917"/>
      <c r="BD250" s="1917"/>
      <c r="BE250" s="1917"/>
      <c r="BF250" s="1917"/>
    </row>
    <row s="10365" customFormat="1" customHeight="1" ht="11.25">
      <c r="A251" s="1262" t="s">
        <v>1194</v>
      </c>
      <c r="B251" s="1262"/>
      <c r="C251" s="1262"/>
      <c r="D251" s="1462"/>
      <c r="E251" s="1266"/>
      <c r="F251" s="3394"/>
      <c r="G251" s="3396"/>
      <c r="H251" s="3263" t="s">
        <v>1274</v>
      </c>
      <c r="I251" s="3374"/>
      <c r="J251" s="3334"/>
      <c r="K251" s="3372"/>
      <c r="L251" s="2989"/>
      <c r="M251" s="2990"/>
      <c r="N251" s="3341"/>
      <c r="O251" s="3377">
        <v>1</v>
      </c>
      <c r="P251" s="3343" t="s">
        <v>19</v>
      </c>
      <c r="Q251" s="3236" t="s">
        <v>22</v>
      </c>
      <c r="R251" s="3236" t="s">
        <v>22</v>
      </c>
      <c r="S251" s="3236" t="s">
        <v>22</v>
      </c>
      <c r="T251" s="3236" t="s">
        <v>22</v>
      </c>
      <c r="U251" s="3236" t="s">
        <v>22</v>
      </c>
      <c r="V251" s="3236" t="s">
        <v>22</v>
      </c>
      <c r="W251" s="3236" t="s">
        <v>22</v>
      </c>
      <c r="X251" s="3236" t="s">
        <v>22</v>
      </c>
      <c r="Y251" s="3236"/>
      <c r="Z251" s="1271"/>
      <c r="AA251" s="1272"/>
      <c r="AB251" s="1272"/>
      <c r="AC251" s="1276"/>
      <c r="AD251" s="1276"/>
      <c r="AE251" s="1277"/>
      <c r="AF251" s="3375"/>
      <c r="AG251" s="3376"/>
      <c r="AH251" s="3376"/>
      <c r="AI251" s="3375"/>
      <c r="AJ251" s="3376"/>
      <c r="AK251" s="3376"/>
      <c r="AL251" s="2079"/>
      <c r="AM251" s="1917"/>
      <c r="AN251" s="1917"/>
      <c r="AO251" s="1917"/>
      <c r="AP251" s="1917"/>
      <c r="AQ251" s="1917"/>
      <c r="AR251" s="1917"/>
      <c r="AS251" s="1917"/>
      <c r="AT251" s="1917"/>
      <c r="AU251" s="1917"/>
      <c r="AV251" s="1917"/>
      <c r="AW251" s="1917"/>
      <c r="AX251" s="1917"/>
      <c r="AY251" s="1917"/>
      <c r="AZ251" s="1917"/>
      <c r="BA251" s="1917"/>
      <c r="BB251" s="1917"/>
      <c r="BC251" s="1917"/>
      <c r="BD251" s="1917"/>
      <c r="BE251" s="1917"/>
      <c r="BF251" s="1917"/>
    </row>
    <row s="10365" customFormat="1" customHeight="1" ht="11.25">
      <c r="A252" s="1262" t="s">
        <v>1194</v>
      </c>
      <c r="B252" s="1262"/>
      <c r="C252" s="1262"/>
      <c r="D252" s="1462"/>
      <c r="E252" s="1266"/>
      <c r="F252" s="3394"/>
      <c r="G252" s="3396"/>
      <c r="H252" s="3263" t="s">
        <v>1274</v>
      </c>
      <c r="I252" s="3374"/>
      <c r="J252" s="3334"/>
      <c r="K252" s="3372"/>
      <c r="L252" s="2989"/>
      <c r="M252" s="2990"/>
      <c r="N252" s="3341"/>
      <c r="O252" s="3377"/>
      <c r="P252" s="3344"/>
      <c r="Q252" s="3236"/>
      <c r="R252" s="3236"/>
      <c r="S252" s="3346"/>
      <c r="T252" s="3236"/>
      <c r="U252" s="3236"/>
      <c r="V252" s="3236"/>
      <c r="W252" s="3236"/>
      <c r="X252" s="3236"/>
      <c r="Y252" s="3236"/>
      <c r="Z252" s="1922"/>
      <c r="AA252" s="2198">
        <v>1</v>
      </c>
      <c r="AB252" s="1275" t="s">
        <v>1236</v>
      </c>
      <c r="AC252" s="1265">
        <v>20940</v>
      </c>
      <c r="AD252" s="1275" t="str">
        <f>AB252</f>
        <v>      Прочие займы</v>
      </c>
      <c r="AE252" s="1265">
        <v>0</v>
      </c>
      <c r="AF252" s="3375"/>
      <c r="AG252" s="3376"/>
      <c r="AH252" s="3376"/>
      <c r="AI252" s="3375"/>
      <c r="AJ252" s="3376"/>
      <c r="AK252" s="3376"/>
      <c r="AL252" s="2079"/>
      <c r="AM252" s="1917"/>
      <c r="AN252" s="1917"/>
      <c r="AO252" s="1917"/>
      <c r="AP252" s="1917"/>
      <c r="AQ252" s="1917"/>
      <c r="AR252" s="1917"/>
      <c r="AS252" s="1917"/>
      <c r="AT252" s="1917"/>
      <c r="AU252" s="1917"/>
      <c r="AV252" s="1917"/>
      <c r="AW252" s="1917"/>
      <c r="AX252" s="1917"/>
      <c r="AY252" s="1917"/>
      <c r="AZ252" s="1917"/>
      <c r="BA252" s="1917"/>
      <c r="BB252" s="1917"/>
      <c r="BC252" s="1917"/>
      <c r="BD252" s="1917"/>
      <c r="BE252" s="1917"/>
      <c r="BF252" s="1917"/>
    </row>
    <row s="10365" customFormat="1" customHeight="1" ht="11.25">
      <c r="A253" s="1262" t="s">
        <v>1194</v>
      </c>
      <c r="B253" s="1262"/>
      <c r="C253" s="1262"/>
      <c r="D253" s="1462"/>
      <c r="E253" s="1266"/>
      <c r="F253" s="3394"/>
      <c r="G253" s="3396"/>
      <c r="H253" s="3396"/>
      <c r="I253" s="3396"/>
      <c r="J253" s="3396"/>
      <c r="K253" s="3396"/>
      <c r="L253" s="3396"/>
      <c r="M253" s="3396"/>
      <c r="N253" s="3396"/>
      <c r="O253" s="3396"/>
      <c r="P253" s="3396"/>
      <c r="Q253" s="3396"/>
      <c r="R253" s="3396"/>
      <c r="S253" s="3396"/>
      <c r="T253" s="3396"/>
      <c r="U253" s="3396"/>
      <c r="V253" s="3396"/>
      <c r="W253" s="3396"/>
      <c r="X253" s="3396"/>
      <c r="Y253" s="3396"/>
      <c r="Z253" s="790" t="s">
        <v>103</v>
      </c>
      <c r="AA253" s="2195" t="s">
        <v>102</v>
      </c>
      <c r="AB253" s="1275" t="s">
        <v>1208</v>
      </c>
      <c r="AC253" s="1265">
        <v>0</v>
      </c>
      <c r="AD253" s="1275" t="str">
        <f>AB253</f>
        <v>  Прочие собственные средства</v>
      </c>
      <c r="AE253" s="1265">
        <v>11776.16744</v>
      </c>
      <c r="AF253" s="3397"/>
      <c r="AG253" s="3398"/>
      <c r="AH253" s="3398"/>
      <c r="AI253" s="3397"/>
      <c r="AJ253" s="3398"/>
      <c r="AK253" s="3399"/>
      <c r="AL253" s="2079"/>
      <c r="AM253" s="1917"/>
      <c r="AN253" s="1917"/>
      <c r="AO253" s="1917"/>
      <c r="AP253" s="1917"/>
      <c r="AQ253" s="1917"/>
      <c r="AR253" s="1917"/>
      <c r="AS253" s="1917"/>
      <c r="AT253" s="1917"/>
      <c r="AU253" s="1917"/>
      <c r="AV253" s="1917"/>
      <c r="AW253" s="1917"/>
      <c r="AX253" s="1917"/>
      <c r="AY253" s="1917"/>
      <c r="AZ253" s="1917"/>
      <c r="BA253" s="1917"/>
      <c r="BB253" s="1917"/>
      <c r="BC253" s="1917"/>
      <c r="BD253" s="1917"/>
      <c r="BE253" s="1917"/>
      <c r="BF253" s="1917"/>
    </row>
    <row s="10365" customFormat="1" customHeight="1" ht="11.25">
      <c r="A254" s="1262" t="s">
        <v>1194</v>
      </c>
      <c r="B254" s="1262"/>
      <c r="C254" s="1262"/>
      <c r="D254" s="1462"/>
      <c r="E254" s="1266"/>
      <c r="F254" s="3394"/>
      <c r="G254" s="3396"/>
      <c r="H254" s="3263" t="s">
        <v>1274</v>
      </c>
      <c r="I254" s="3374"/>
      <c r="J254" s="3334"/>
      <c r="K254" s="3372"/>
      <c r="L254" s="2989"/>
      <c r="M254" s="2990"/>
      <c r="N254" s="3341"/>
      <c r="O254" s="3377"/>
      <c r="P254" s="3345"/>
      <c r="Q254" s="3236"/>
      <c r="R254" s="3236"/>
      <c r="S254" s="3346"/>
      <c r="T254" s="3236"/>
      <c r="U254" s="3236"/>
      <c r="V254" s="3236"/>
      <c r="W254" s="3236"/>
      <c r="X254" s="3236"/>
      <c r="Y254" s="3236"/>
      <c r="Z254" s="1271"/>
      <c r="AA254" s="1272"/>
      <c r="AB254" s="1337" t="s">
        <v>1203</v>
      </c>
      <c r="AC254" s="1276"/>
      <c r="AD254" s="1276"/>
      <c r="AE254" s="1278"/>
      <c r="AF254" s="3375"/>
      <c r="AG254" s="3376"/>
      <c r="AH254" s="3376"/>
      <c r="AI254" s="3375"/>
      <c r="AJ254" s="3376"/>
      <c r="AK254" s="3376"/>
      <c r="AL254" s="2079"/>
      <c r="AM254" s="1917"/>
      <c r="AN254" s="1917"/>
      <c r="AO254" s="1917"/>
      <c r="AP254" s="1917"/>
      <c r="AQ254" s="1917"/>
      <c r="AR254" s="1917"/>
      <c r="AS254" s="1917"/>
      <c r="AT254" s="1917"/>
      <c r="AU254" s="1917"/>
      <c r="AV254" s="1917"/>
      <c r="AW254" s="1917"/>
      <c r="AX254" s="1917"/>
      <c r="AY254" s="1917"/>
      <c r="AZ254" s="1917"/>
      <c r="BA254" s="1917"/>
      <c r="BB254" s="1917"/>
      <c r="BC254" s="1917"/>
      <c r="BD254" s="1917"/>
      <c r="BE254" s="1917"/>
      <c r="BF254" s="1917"/>
    </row>
    <row s="10365" customFormat="1" customHeight="1" ht="48">
      <c r="A255" s="1262" t="s">
        <v>1194</v>
      </c>
      <c r="B255" s="1262"/>
      <c r="C255" s="1262"/>
      <c r="D255" s="1462"/>
      <c r="E255" s="1266"/>
      <c r="F255" s="3394"/>
      <c r="G255" s="3396"/>
      <c r="H255" s="3263" t="s">
        <v>1274</v>
      </c>
      <c r="I255" s="3374"/>
      <c r="J255" s="3334"/>
      <c r="K255" s="3372"/>
      <c r="L255" s="2989"/>
      <c r="M255" s="2990"/>
      <c r="N255" s="1271"/>
      <c r="O255" s="1272"/>
      <c r="P255" s="1337" t="s">
        <v>1204</v>
      </c>
      <c r="Q255" s="1272"/>
      <c r="R255" s="1272"/>
      <c r="S255" s="1272"/>
      <c r="T255" s="1272"/>
      <c r="U255" s="1272"/>
      <c r="V255" s="1272"/>
      <c r="W255" s="1272"/>
      <c r="X255" s="1272"/>
      <c r="Y255" s="1272"/>
      <c r="Z255" s="1272"/>
      <c r="AA255" s="1272"/>
      <c r="AB255" s="1272"/>
      <c r="AC255" s="1272"/>
      <c r="AD255" s="1272"/>
      <c r="AE255" s="1279"/>
      <c r="AF255" s="3375"/>
      <c r="AG255" s="3376"/>
      <c r="AH255" s="3376"/>
      <c r="AI255" s="3375"/>
      <c r="AJ255" s="3376"/>
      <c r="AK255" s="3376"/>
      <c r="AL255" s="2079"/>
      <c r="AM255" s="1917"/>
      <c r="AN255" s="1917"/>
      <c r="AO255" s="1917"/>
      <c r="AP255" s="1917"/>
      <c r="AQ255" s="1917"/>
      <c r="AR255" s="1917"/>
      <c r="AS255" s="1917"/>
      <c r="AT255" s="1917"/>
      <c r="AU255" s="1917"/>
      <c r="AV255" s="1917"/>
      <c r="AW255" s="1917"/>
      <c r="AX255" s="1917"/>
      <c r="AY255" s="1917"/>
      <c r="AZ255" s="1917"/>
      <c r="BA255" s="1917"/>
      <c r="BB255" s="1917"/>
      <c r="BC255" s="1917"/>
      <c r="BD255" s="1917"/>
      <c r="BE255" s="1917"/>
      <c r="BF255" s="1917"/>
    </row>
    <row s="10365" customFormat="1" customHeight="1" ht="11.25">
      <c r="A256" s="1262" t="s">
        <v>1194</v>
      </c>
      <c r="B256" s="1262" t="s">
        <v>22</v>
      </c>
      <c r="C256" s="1262"/>
      <c r="D256" s="1462"/>
      <c r="E256" s="1266"/>
      <c r="F256" s="3394"/>
      <c r="G256" s="3004" t="s">
        <v>103</v>
      </c>
      <c r="H256" s="3263" t="s">
        <v>1279</v>
      </c>
      <c r="I256" s="3374" t="s">
        <v>1275</v>
      </c>
      <c r="J256" s="3400" t="s">
        <v>22</v>
      </c>
      <c r="K256" s="3372" t="s">
        <v>1280</v>
      </c>
      <c r="L256" s="2989" t="s">
        <v>19</v>
      </c>
      <c r="M256" s="2990"/>
      <c r="N256" s="2077"/>
      <c r="O256" s="1273" t="s">
        <v>461</v>
      </c>
      <c r="P256" s="1274"/>
      <c r="Q256" s="1274"/>
      <c r="R256" s="1274"/>
      <c r="S256" s="1274"/>
      <c r="T256" s="1274"/>
      <c r="U256" s="1274"/>
      <c r="V256" s="1274"/>
      <c r="W256" s="1274"/>
      <c r="X256" s="1274"/>
      <c r="Y256" s="1274"/>
      <c r="Z256" s="1274"/>
      <c r="AA256" s="1274"/>
      <c r="AB256" s="1274"/>
      <c r="AC256" s="1274"/>
      <c r="AD256" s="1274"/>
      <c r="AE256" s="1274"/>
      <c r="AF256" s="3375">
        <v>1</v>
      </c>
      <c r="AG256" s="3376" t="s">
        <v>1206</v>
      </c>
      <c r="AH256" s="3376" t="s">
        <v>1210</v>
      </c>
      <c r="AI256" s="3375">
        <v>1</v>
      </c>
      <c r="AJ256" s="3376" t="s">
        <v>1206</v>
      </c>
      <c r="AK256" s="3376" t="s">
        <v>1210</v>
      </c>
      <c r="AL256" s="2079"/>
      <c r="AM256" s="1917"/>
      <c r="AN256" s="1917"/>
      <c r="AO256" s="1917"/>
      <c r="AP256" s="1917"/>
      <c r="AQ256" s="1917"/>
      <c r="AR256" s="1917"/>
      <c r="AS256" s="1917"/>
      <c r="AT256" s="1917"/>
      <c r="AU256" s="1917"/>
      <c r="AV256" s="1917"/>
      <c r="AW256" s="1917"/>
      <c r="AX256" s="1917"/>
      <c r="AY256" s="1917"/>
      <c r="AZ256" s="1917"/>
      <c r="BA256" s="1917"/>
      <c r="BB256" s="1917"/>
      <c r="BC256" s="1917"/>
      <c r="BD256" s="1917"/>
      <c r="BE256" s="1917"/>
      <c r="BF256" s="1917"/>
    </row>
    <row s="10365" customFormat="1" customHeight="1" ht="11.25">
      <c r="A257" s="1262" t="s">
        <v>1194</v>
      </c>
      <c r="B257" s="1262"/>
      <c r="C257" s="1262"/>
      <c r="D257" s="1462"/>
      <c r="E257" s="1266"/>
      <c r="F257" s="3394"/>
      <c r="G257" s="3396"/>
      <c r="H257" s="3263" t="s">
        <v>1277</v>
      </c>
      <c r="I257" s="3374"/>
      <c r="J257" s="3400"/>
      <c r="K257" s="3372"/>
      <c r="L257" s="2989"/>
      <c r="M257" s="2990"/>
      <c r="N257" s="3341"/>
      <c r="O257" s="3377">
        <v>1</v>
      </c>
      <c r="P257" s="3343" t="s">
        <v>19</v>
      </c>
      <c r="Q257" s="3236" t="s">
        <v>22</v>
      </c>
      <c r="R257" s="3236" t="s">
        <v>22</v>
      </c>
      <c r="S257" s="3236" t="s">
        <v>22</v>
      </c>
      <c r="T257" s="3236" t="s">
        <v>22</v>
      </c>
      <c r="U257" s="3236" t="s">
        <v>22</v>
      </c>
      <c r="V257" s="3236" t="s">
        <v>22</v>
      </c>
      <c r="W257" s="3236" t="s">
        <v>22</v>
      </c>
      <c r="X257" s="3236" t="s">
        <v>22</v>
      </c>
      <c r="Y257" s="3236"/>
      <c r="Z257" s="1271"/>
      <c r="AA257" s="1272"/>
      <c r="AB257" s="1272"/>
      <c r="AC257" s="1276"/>
      <c r="AD257" s="1276"/>
      <c r="AE257" s="1277"/>
      <c r="AF257" s="3375"/>
      <c r="AG257" s="3376"/>
      <c r="AH257" s="3376"/>
      <c r="AI257" s="3375"/>
      <c r="AJ257" s="3376"/>
      <c r="AK257" s="3376"/>
      <c r="AL257" s="2079"/>
      <c r="AM257" s="1917"/>
      <c r="AN257" s="1917"/>
      <c r="AO257" s="1917"/>
      <c r="AP257" s="1917"/>
      <c r="AQ257" s="1917"/>
      <c r="AR257" s="1917"/>
      <c r="AS257" s="1917"/>
      <c r="AT257" s="1917"/>
      <c r="AU257" s="1917"/>
      <c r="AV257" s="1917"/>
      <c r="AW257" s="1917"/>
      <c r="AX257" s="1917"/>
      <c r="AY257" s="1917"/>
      <c r="AZ257" s="1917"/>
      <c r="BA257" s="1917"/>
      <c r="BB257" s="1917"/>
      <c r="BC257" s="1917"/>
      <c r="BD257" s="1917"/>
      <c r="BE257" s="1917"/>
      <c r="BF257" s="1917"/>
    </row>
    <row s="10365" customFormat="1" customHeight="1" ht="11.25">
      <c r="A258" s="1262" t="s">
        <v>1194</v>
      </c>
      <c r="B258" s="1262"/>
      <c r="C258" s="1262"/>
      <c r="D258" s="1462"/>
      <c r="E258" s="1266"/>
      <c r="F258" s="3394"/>
      <c r="G258" s="3396"/>
      <c r="H258" s="3263" t="s">
        <v>1277</v>
      </c>
      <c r="I258" s="3374"/>
      <c r="J258" s="3400"/>
      <c r="K258" s="3372"/>
      <c r="L258" s="2989"/>
      <c r="M258" s="2990"/>
      <c r="N258" s="3341"/>
      <c r="O258" s="3377"/>
      <c r="P258" s="3344"/>
      <c r="Q258" s="3236"/>
      <c r="R258" s="3236"/>
      <c r="S258" s="3346"/>
      <c r="T258" s="3236"/>
      <c r="U258" s="3236"/>
      <c r="V258" s="3236"/>
      <c r="W258" s="3236"/>
      <c r="X258" s="3236"/>
      <c r="Y258" s="3236"/>
      <c r="Z258" s="1922"/>
      <c r="AA258" s="2198">
        <v>1</v>
      </c>
      <c r="AB258" s="1275" t="s">
        <v>1201</v>
      </c>
      <c r="AC258" s="1265">
        <v>313.8</v>
      </c>
      <c r="AD258" s="1275" t="str">
        <f>AB258</f>
        <v>      Амортизационные отчисления с выделением результатов переоценки основных средств и нематериальных активов</v>
      </c>
      <c r="AE258" s="1265">
        <v>0</v>
      </c>
      <c r="AF258" s="3375"/>
      <c r="AG258" s="3376"/>
      <c r="AH258" s="3376"/>
      <c r="AI258" s="3375"/>
      <c r="AJ258" s="3376"/>
      <c r="AK258" s="3376"/>
      <c r="AL258" s="2079"/>
      <c r="AM258" s="1917"/>
      <c r="AN258" s="1917"/>
      <c r="AO258" s="1917"/>
      <c r="AP258" s="1917"/>
      <c r="AQ258" s="1917"/>
      <c r="AR258" s="1917"/>
      <c r="AS258" s="1917"/>
      <c r="AT258" s="1917"/>
      <c r="AU258" s="1917"/>
      <c r="AV258" s="1917"/>
      <c r="AW258" s="1917"/>
      <c r="AX258" s="1917"/>
      <c r="AY258" s="1917"/>
      <c r="AZ258" s="1917"/>
      <c r="BA258" s="1917"/>
      <c r="BB258" s="1917"/>
      <c r="BC258" s="1917"/>
      <c r="BD258" s="1917"/>
      <c r="BE258" s="1917"/>
      <c r="BF258" s="1917"/>
    </row>
    <row s="10365" customFormat="1" customHeight="1" ht="11.25">
      <c r="A259" s="1262" t="s">
        <v>1194</v>
      </c>
      <c r="B259" s="1262"/>
      <c r="C259" s="1262"/>
      <c r="D259" s="1462"/>
      <c r="E259" s="1266"/>
      <c r="F259" s="3394"/>
      <c r="G259" s="3396"/>
      <c r="H259" s="3396"/>
      <c r="I259" s="3396"/>
      <c r="J259" s="3396"/>
      <c r="K259" s="3396"/>
      <c r="L259" s="3396"/>
      <c r="M259" s="3396"/>
      <c r="N259" s="3396"/>
      <c r="O259" s="3396"/>
      <c r="P259" s="3396"/>
      <c r="Q259" s="3396"/>
      <c r="R259" s="3396"/>
      <c r="S259" s="3396"/>
      <c r="T259" s="3396"/>
      <c r="U259" s="3396"/>
      <c r="V259" s="3396"/>
      <c r="W259" s="3396"/>
      <c r="X259" s="3396"/>
      <c r="Y259" s="3396"/>
      <c r="Z259" s="790" t="s">
        <v>103</v>
      </c>
      <c r="AA259" s="2195" t="s">
        <v>102</v>
      </c>
      <c r="AB259" s="1275" t="s">
        <v>1236</v>
      </c>
      <c r="AC259" s="1265">
        <v>3645.88</v>
      </c>
      <c r="AD259" s="1275" t="str">
        <f>AB259</f>
        <v>      Прочие займы</v>
      </c>
      <c r="AE259" s="1265">
        <v>0</v>
      </c>
      <c r="AF259" s="3397"/>
      <c r="AG259" s="3398"/>
      <c r="AH259" s="3398"/>
      <c r="AI259" s="3397"/>
      <c r="AJ259" s="3398"/>
      <c r="AK259" s="3399"/>
      <c r="AL259" s="2079"/>
      <c r="AM259" s="1917"/>
      <c r="AN259" s="1917"/>
      <c r="AO259" s="1917"/>
      <c r="AP259" s="1917"/>
      <c r="AQ259" s="1917"/>
      <c r="AR259" s="1917"/>
      <c r="AS259" s="1917"/>
      <c r="AT259" s="1917"/>
      <c r="AU259" s="1917"/>
      <c r="AV259" s="1917"/>
      <c r="AW259" s="1917"/>
      <c r="AX259" s="1917"/>
      <c r="AY259" s="1917"/>
      <c r="AZ259" s="1917"/>
      <c r="BA259" s="1917"/>
      <c r="BB259" s="1917"/>
      <c r="BC259" s="1917"/>
      <c r="BD259" s="1917"/>
      <c r="BE259" s="1917"/>
      <c r="BF259" s="1917"/>
    </row>
    <row s="10365" customFormat="1" customHeight="1" ht="11.25">
      <c r="A260" s="1262" t="s">
        <v>1194</v>
      </c>
      <c r="B260" s="1262"/>
      <c r="C260" s="1262"/>
      <c r="D260" s="1462"/>
      <c r="E260" s="1266"/>
      <c r="F260" s="3394"/>
      <c r="G260" s="3396"/>
      <c r="H260" s="3396"/>
      <c r="I260" s="3396"/>
      <c r="J260" s="3396"/>
      <c r="K260" s="3396"/>
      <c r="L260" s="3396"/>
      <c r="M260" s="3396"/>
      <c r="N260" s="3396"/>
      <c r="O260" s="3396"/>
      <c r="P260" s="3396"/>
      <c r="Q260" s="3396"/>
      <c r="R260" s="3396"/>
      <c r="S260" s="3396"/>
      <c r="T260" s="3396"/>
      <c r="U260" s="3396"/>
      <c r="V260" s="3396"/>
      <c r="W260" s="3396"/>
      <c r="X260" s="3396"/>
      <c r="Y260" s="3396"/>
      <c r="Z260" s="790" t="s">
        <v>103</v>
      </c>
      <c r="AA260" s="2195" t="s">
        <v>90</v>
      </c>
      <c r="AB260" s="1275" t="s">
        <v>1208</v>
      </c>
      <c r="AC260" s="1265">
        <v>62.76</v>
      </c>
      <c r="AD260" s="1275" t="str">
        <f>AB260</f>
        <v>  Прочие собственные средства</v>
      </c>
      <c r="AE260" s="1265">
        <v>166.19023</v>
      </c>
      <c r="AF260" s="3397"/>
      <c r="AG260" s="3398"/>
      <c r="AH260" s="3398"/>
      <c r="AI260" s="3397"/>
      <c r="AJ260" s="3398"/>
      <c r="AK260" s="3399"/>
      <c r="AL260" s="2079"/>
      <c r="AM260" s="1917"/>
      <c r="AN260" s="1917"/>
      <c r="AO260" s="1917"/>
      <c r="AP260" s="1917"/>
      <c r="AQ260" s="1917"/>
      <c r="AR260" s="1917"/>
      <c r="AS260" s="1917"/>
      <c r="AT260" s="1917"/>
      <c r="AU260" s="1917"/>
      <c r="AV260" s="1917"/>
      <c r="AW260" s="1917"/>
      <c r="AX260" s="1917"/>
      <c r="AY260" s="1917"/>
      <c r="AZ260" s="1917"/>
      <c r="BA260" s="1917"/>
      <c r="BB260" s="1917"/>
      <c r="BC260" s="1917"/>
      <c r="BD260" s="1917"/>
      <c r="BE260" s="1917"/>
      <c r="BF260" s="1917"/>
    </row>
    <row s="10365" customFormat="1" customHeight="1" ht="11.25">
      <c r="A261" s="1262" t="s">
        <v>1194</v>
      </c>
      <c r="B261" s="1262"/>
      <c r="C261" s="1262"/>
      <c r="D261" s="1462"/>
      <c r="E261" s="1266"/>
      <c r="F261" s="3394"/>
      <c r="G261" s="3396"/>
      <c r="H261" s="3263" t="s">
        <v>1277</v>
      </c>
      <c r="I261" s="3374"/>
      <c r="J261" s="3400"/>
      <c r="K261" s="3372"/>
      <c r="L261" s="2989"/>
      <c r="M261" s="2990"/>
      <c r="N261" s="3341"/>
      <c r="O261" s="3377"/>
      <c r="P261" s="3345"/>
      <c r="Q261" s="3236"/>
      <c r="R261" s="3236"/>
      <c r="S261" s="3346"/>
      <c r="T261" s="3236"/>
      <c r="U261" s="3236"/>
      <c r="V261" s="3236"/>
      <c r="W261" s="3236"/>
      <c r="X261" s="3236"/>
      <c r="Y261" s="3236"/>
      <c r="Z261" s="1271"/>
      <c r="AA261" s="1272"/>
      <c r="AB261" s="1337" t="s">
        <v>1203</v>
      </c>
      <c r="AC261" s="1276"/>
      <c r="AD261" s="1276"/>
      <c r="AE261" s="1278"/>
      <c r="AF261" s="3375"/>
      <c r="AG261" s="3376"/>
      <c r="AH261" s="3376"/>
      <c r="AI261" s="3375"/>
      <c r="AJ261" s="3376"/>
      <c r="AK261" s="3376"/>
      <c r="AL261" s="2079"/>
      <c r="AM261" s="1917"/>
      <c r="AN261" s="1917"/>
      <c r="AO261" s="1917"/>
      <c r="AP261" s="1917"/>
      <c r="AQ261" s="1917"/>
      <c r="AR261" s="1917"/>
      <c r="AS261" s="1917"/>
      <c r="AT261" s="1917"/>
      <c r="AU261" s="1917"/>
      <c r="AV261" s="1917"/>
      <c r="AW261" s="1917"/>
      <c r="AX261" s="1917"/>
      <c r="AY261" s="1917"/>
      <c r="AZ261" s="1917"/>
      <c r="BA261" s="1917"/>
      <c r="BB261" s="1917"/>
      <c r="BC261" s="1917"/>
      <c r="BD261" s="1917"/>
      <c r="BE261" s="1917"/>
      <c r="BF261" s="1917"/>
    </row>
    <row s="10365" customFormat="1" customHeight="1" ht="11.25">
      <c r="A262" s="1262" t="s">
        <v>1194</v>
      </c>
      <c r="B262" s="1262"/>
      <c r="C262" s="1262"/>
      <c r="D262" s="1462"/>
      <c r="E262" s="1266"/>
      <c r="F262" s="3394"/>
      <c r="G262" s="3396"/>
      <c r="H262" s="3263" t="s">
        <v>1277</v>
      </c>
      <c r="I262" s="3374"/>
      <c r="J262" s="3400"/>
      <c r="K262" s="3372"/>
      <c r="L262" s="2989"/>
      <c r="M262" s="2990"/>
      <c r="N262" s="1271"/>
      <c r="O262" s="1272"/>
      <c r="P262" s="1337" t="s">
        <v>1204</v>
      </c>
      <c r="Q262" s="1272"/>
      <c r="R262" s="1272"/>
      <c r="S262" s="1272"/>
      <c r="T262" s="1272"/>
      <c r="U262" s="1272"/>
      <c r="V262" s="1272"/>
      <c r="W262" s="1272"/>
      <c r="X262" s="1272"/>
      <c r="Y262" s="1272"/>
      <c r="Z262" s="1272"/>
      <c r="AA262" s="1272"/>
      <c r="AB262" s="1272"/>
      <c r="AC262" s="1272"/>
      <c r="AD262" s="1272"/>
      <c r="AE262" s="1279"/>
      <c r="AF262" s="3375"/>
      <c r="AG262" s="3376"/>
      <c r="AH262" s="3376"/>
      <c r="AI262" s="3375"/>
      <c r="AJ262" s="3376"/>
      <c r="AK262" s="3376"/>
      <c r="AL262" s="2079"/>
      <c r="AM262" s="1917"/>
      <c r="AN262" s="1917"/>
      <c r="AO262" s="1917"/>
      <c r="AP262" s="1917"/>
      <c r="AQ262" s="1917"/>
      <c r="AR262" s="1917"/>
      <c r="AS262" s="1917"/>
      <c r="AT262" s="1917"/>
      <c r="AU262" s="1917"/>
      <c r="AV262" s="1917"/>
      <c r="AW262" s="1917"/>
      <c r="AX262" s="1917"/>
      <c r="AY262" s="1917"/>
      <c r="AZ262" s="1917"/>
      <c r="BA262" s="1917"/>
      <c r="BB262" s="1917"/>
      <c r="BC262" s="1917"/>
      <c r="BD262" s="1917"/>
      <c r="BE262" s="1917"/>
      <c r="BF262" s="1917"/>
    </row>
    <row s="10365" customFormat="1" customHeight="1" ht="11.25">
      <c r="A263" s="1262" t="s">
        <v>1194</v>
      </c>
      <c r="B263" s="1262" t="s">
        <v>22</v>
      </c>
      <c r="C263" s="1262"/>
      <c r="D263" s="1462"/>
      <c r="E263" s="1266"/>
      <c r="F263" s="3394"/>
      <c r="G263" s="3004" t="s">
        <v>103</v>
      </c>
      <c r="H263" s="3263" t="s">
        <v>1281</v>
      </c>
      <c r="I263" s="3374" t="s">
        <v>1215</v>
      </c>
      <c r="J263" s="3400" t="s">
        <v>22</v>
      </c>
      <c r="K263" s="3372" t="s">
        <v>1282</v>
      </c>
      <c r="L263" s="2989" t="s">
        <v>19</v>
      </c>
      <c r="M263" s="2990"/>
      <c r="N263" s="2077"/>
      <c r="O263" s="1273" t="s">
        <v>461</v>
      </c>
      <c r="P263" s="1274"/>
      <c r="Q263" s="1274"/>
      <c r="R263" s="1274"/>
      <c r="S263" s="1274"/>
      <c r="T263" s="1274"/>
      <c r="U263" s="1274"/>
      <c r="V263" s="1274"/>
      <c r="W263" s="1274"/>
      <c r="X263" s="1274"/>
      <c r="Y263" s="1274"/>
      <c r="Z263" s="1274"/>
      <c r="AA263" s="1274"/>
      <c r="AB263" s="1274"/>
      <c r="AC263" s="1274"/>
      <c r="AD263" s="1274"/>
      <c r="AE263" s="1274"/>
      <c r="AF263" s="3375">
        <v>1</v>
      </c>
      <c r="AG263" s="3376" t="s">
        <v>1206</v>
      </c>
      <c r="AH263" s="3376" t="s">
        <v>1210</v>
      </c>
      <c r="AI263" s="3375">
        <v>1</v>
      </c>
      <c r="AJ263" s="3376" t="s">
        <v>1206</v>
      </c>
      <c r="AK263" s="3376" t="s">
        <v>1210</v>
      </c>
      <c r="AL263" s="2079"/>
      <c r="AM263" s="1917"/>
      <c r="AN263" s="1917"/>
      <c r="AO263" s="1917"/>
      <c r="AP263" s="1917"/>
      <c r="AQ263" s="1917"/>
      <c r="AR263" s="1917"/>
      <c r="AS263" s="1917"/>
      <c r="AT263" s="1917"/>
      <c r="AU263" s="1917"/>
      <c r="AV263" s="1917"/>
      <c r="AW263" s="1917"/>
      <c r="AX263" s="1917"/>
      <c r="AY263" s="1917"/>
      <c r="AZ263" s="1917"/>
      <c r="BA263" s="1917"/>
      <c r="BB263" s="1917"/>
      <c r="BC263" s="1917"/>
      <c r="BD263" s="1917"/>
      <c r="BE263" s="1917"/>
      <c r="BF263" s="1917"/>
    </row>
    <row s="10365" customFormat="1" customHeight="1" ht="11.25">
      <c r="A264" s="1262" t="s">
        <v>1194</v>
      </c>
      <c r="B264" s="1262"/>
      <c r="C264" s="1262"/>
      <c r="D264" s="1462"/>
      <c r="E264" s="1266"/>
      <c r="F264" s="3394"/>
      <c r="G264" s="3396"/>
      <c r="H264" s="3263" t="s">
        <v>1279</v>
      </c>
      <c r="I264" s="3374"/>
      <c r="J264" s="3400"/>
      <c r="K264" s="3372"/>
      <c r="L264" s="2989"/>
      <c r="M264" s="2990"/>
      <c r="N264" s="3341"/>
      <c r="O264" s="3377">
        <v>1</v>
      </c>
      <c r="P264" s="3343" t="s">
        <v>19</v>
      </c>
      <c r="Q264" s="3236" t="s">
        <v>22</v>
      </c>
      <c r="R264" s="3236" t="s">
        <v>22</v>
      </c>
      <c r="S264" s="3236" t="s">
        <v>22</v>
      </c>
      <c r="T264" s="3236" t="s">
        <v>22</v>
      </c>
      <c r="U264" s="3236" t="s">
        <v>22</v>
      </c>
      <c r="V264" s="3236" t="s">
        <v>22</v>
      </c>
      <c r="W264" s="3236" t="s">
        <v>22</v>
      </c>
      <c r="X264" s="3236" t="s">
        <v>22</v>
      </c>
      <c r="Y264" s="3236"/>
      <c r="Z264" s="1271"/>
      <c r="AA264" s="1272"/>
      <c r="AB264" s="1272"/>
      <c r="AC264" s="1276"/>
      <c r="AD264" s="1276"/>
      <c r="AE264" s="1277"/>
      <c r="AF264" s="3375"/>
      <c r="AG264" s="3376"/>
      <c r="AH264" s="3376"/>
      <c r="AI264" s="3375"/>
      <c r="AJ264" s="3376"/>
      <c r="AK264" s="3376"/>
      <c r="AL264" s="2079"/>
      <c r="AM264" s="1917"/>
      <c r="AN264" s="1917"/>
      <c r="AO264" s="1917"/>
      <c r="AP264" s="1917"/>
      <c r="AQ264" s="1917"/>
      <c r="AR264" s="1917"/>
      <c r="AS264" s="1917"/>
      <c r="AT264" s="1917"/>
      <c r="AU264" s="1917"/>
      <c r="AV264" s="1917"/>
      <c r="AW264" s="1917"/>
      <c r="AX264" s="1917"/>
      <c r="AY264" s="1917"/>
      <c r="AZ264" s="1917"/>
      <c r="BA264" s="1917"/>
      <c r="BB264" s="1917"/>
      <c r="BC264" s="1917"/>
      <c r="BD264" s="1917"/>
      <c r="BE264" s="1917"/>
      <c r="BF264" s="1917"/>
    </row>
    <row s="10365" customFormat="1" customHeight="1" ht="11.25">
      <c r="A265" s="1262" t="s">
        <v>1194</v>
      </c>
      <c r="B265" s="1262"/>
      <c r="C265" s="1262"/>
      <c r="D265" s="1462"/>
      <c r="E265" s="1266"/>
      <c r="F265" s="3394"/>
      <c r="G265" s="3396"/>
      <c r="H265" s="3263" t="s">
        <v>1279</v>
      </c>
      <c r="I265" s="3374"/>
      <c r="J265" s="3400"/>
      <c r="K265" s="3372"/>
      <c r="L265" s="2989"/>
      <c r="M265" s="2990"/>
      <c r="N265" s="3341"/>
      <c r="O265" s="3377"/>
      <c r="P265" s="3344"/>
      <c r="Q265" s="3236"/>
      <c r="R265" s="3236"/>
      <c r="S265" s="3346"/>
      <c r="T265" s="3236"/>
      <c r="U265" s="3236"/>
      <c r="V265" s="3236"/>
      <c r="W265" s="3236"/>
      <c r="X265" s="3236"/>
      <c r="Y265" s="3236"/>
      <c r="Z265" s="1922"/>
      <c r="AA265" s="2198">
        <v>1</v>
      </c>
      <c r="AB265" s="1275" t="s">
        <v>1236</v>
      </c>
      <c r="AC265" s="1265">
        <v>24000</v>
      </c>
      <c r="AD265" s="1275" t="str">
        <f>AB265</f>
        <v>      Прочие займы</v>
      </c>
      <c r="AE265" s="1265">
        <v>0</v>
      </c>
      <c r="AF265" s="3375"/>
      <c r="AG265" s="3376"/>
      <c r="AH265" s="3376"/>
      <c r="AI265" s="3375"/>
      <c r="AJ265" s="3376"/>
      <c r="AK265" s="3376"/>
      <c r="AL265" s="2079"/>
      <c r="AM265" s="1917"/>
      <c r="AN265" s="1917"/>
      <c r="AO265" s="1917"/>
      <c r="AP265" s="1917"/>
      <c r="AQ265" s="1917"/>
      <c r="AR265" s="1917"/>
      <c r="AS265" s="1917"/>
      <c r="AT265" s="1917"/>
      <c r="AU265" s="1917"/>
      <c r="AV265" s="1917"/>
      <c r="AW265" s="1917"/>
      <c r="AX265" s="1917"/>
      <c r="AY265" s="1917"/>
      <c r="AZ265" s="1917"/>
      <c r="BA265" s="1917"/>
      <c r="BB265" s="1917"/>
      <c r="BC265" s="1917"/>
      <c r="BD265" s="1917"/>
      <c r="BE265" s="1917"/>
      <c r="BF265" s="1917"/>
    </row>
    <row s="10365" customFormat="1" customHeight="1" ht="11.25">
      <c r="A266" s="1262" t="s">
        <v>1194</v>
      </c>
      <c r="B266" s="1262"/>
      <c r="C266" s="1262"/>
      <c r="D266" s="1462"/>
      <c r="E266" s="1266"/>
      <c r="F266" s="3394"/>
      <c r="G266" s="3396"/>
      <c r="H266" s="3396"/>
      <c r="I266" s="3396"/>
      <c r="J266" s="3396"/>
      <c r="K266" s="3396"/>
      <c r="L266" s="3396"/>
      <c r="M266" s="3396"/>
      <c r="N266" s="3396"/>
      <c r="O266" s="3396"/>
      <c r="P266" s="3396"/>
      <c r="Q266" s="3396"/>
      <c r="R266" s="3396"/>
      <c r="S266" s="3396"/>
      <c r="T266" s="3396"/>
      <c r="U266" s="3396"/>
      <c r="V266" s="3396"/>
      <c r="W266" s="3396"/>
      <c r="X266" s="3396"/>
      <c r="Y266" s="3396"/>
      <c r="Z266" s="790" t="s">
        <v>103</v>
      </c>
      <c r="AA266" s="2195" t="s">
        <v>102</v>
      </c>
      <c r="AB266" s="1275" t="s">
        <v>1208</v>
      </c>
      <c r="AC266" s="1265">
        <v>0</v>
      </c>
      <c r="AD266" s="1275" t="str">
        <f>AB266</f>
        <v>  Прочие собственные средства</v>
      </c>
      <c r="AE266" s="1265">
        <v>2650.10723</v>
      </c>
      <c r="AF266" s="3397"/>
      <c r="AG266" s="3398"/>
      <c r="AH266" s="3398"/>
      <c r="AI266" s="3397"/>
      <c r="AJ266" s="3398"/>
      <c r="AK266" s="3399"/>
      <c r="AL266" s="2079"/>
      <c r="AM266" s="1917"/>
      <c r="AN266" s="1917"/>
      <c r="AO266" s="1917"/>
      <c r="AP266" s="1917"/>
      <c r="AQ266" s="1917"/>
      <c r="AR266" s="1917"/>
      <c r="AS266" s="1917"/>
      <c r="AT266" s="1917"/>
      <c r="AU266" s="1917"/>
      <c r="AV266" s="1917"/>
      <c r="AW266" s="1917"/>
      <c r="AX266" s="1917"/>
      <c r="AY266" s="1917"/>
      <c r="AZ266" s="1917"/>
      <c r="BA266" s="1917"/>
      <c r="BB266" s="1917"/>
      <c r="BC266" s="1917"/>
      <c r="BD266" s="1917"/>
      <c r="BE266" s="1917"/>
      <c r="BF266" s="1917"/>
    </row>
    <row s="10365" customFormat="1" customHeight="1" ht="11.25">
      <c r="A267" s="1262" t="s">
        <v>1194</v>
      </c>
      <c r="B267" s="1262"/>
      <c r="C267" s="1262"/>
      <c r="D267" s="1462"/>
      <c r="E267" s="1266"/>
      <c r="F267" s="3394"/>
      <c r="G267" s="3396"/>
      <c r="H267" s="3263" t="s">
        <v>1279</v>
      </c>
      <c r="I267" s="3374"/>
      <c r="J267" s="3400"/>
      <c r="K267" s="3372"/>
      <c r="L267" s="2989"/>
      <c r="M267" s="2990"/>
      <c r="N267" s="3341"/>
      <c r="O267" s="3377"/>
      <c r="P267" s="3345"/>
      <c r="Q267" s="3236"/>
      <c r="R267" s="3236"/>
      <c r="S267" s="3346"/>
      <c r="T267" s="3236"/>
      <c r="U267" s="3236"/>
      <c r="V267" s="3236"/>
      <c r="W267" s="3236"/>
      <c r="X267" s="3236"/>
      <c r="Y267" s="3236"/>
      <c r="Z267" s="1271"/>
      <c r="AA267" s="1272"/>
      <c r="AB267" s="1337" t="s">
        <v>1203</v>
      </c>
      <c r="AC267" s="1276"/>
      <c r="AD267" s="1276"/>
      <c r="AE267" s="1278"/>
      <c r="AF267" s="3375"/>
      <c r="AG267" s="3376"/>
      <c r="AH267" s="3376"/>
      <c r="AI267" s="3375"/>
      <c r="AJ267" s="3376"/>
      <c r="AK267" s="3376"/>
      <c r="AL267" s="2079"/>
      <c r="AM267" s="1917"/>
      <c r="AN267" s="1917"/>
      <c r="AO267" s="1917"/>
      <c r="AP267" s="1917"/>
      <c r="AQ267" s="1917"/>
      <c r="AR267" s="1917"/>
      <c r="AS267" s="1917"/>
      <c r="AT267" s="1917"/>
      <c r="AU267" s="1917"/>
      <c r="AV267" s="1917"/>
      <c r="AW267" s="1917"/>
      <c r="AX267" s="1917"/>
      <c r="AY267" s="1917"/>
      <c r="AZ267" s="1917"/>
      <c r="BA267" s="1917"/>
      <c r="BB267" s="1917"/>
      <c r="BC267" s="1917"/>
      <c r="BD267" s="1917"/>
      <c r="BE267" s="1917"/>
      <c r="BF267" s="1917"/>
    </row>
    <row s="10365" customFormat="1" customHeight="1" ht="11.25">
      <c r="A268" s="1262" t="s">
        <v>1194</v>
      </c>
      <c r="B268" s="1262"/>
      <c r="C268" s="1262"/>
      <c r="D268" s="1462"/>
      <c r="E268" s="1266"/>
      <c r="F268" s="3394"/>
      <c r="G268" s="3396"/>
      <c r="H268" s="3263" t="s">
        <v>1279</v>
      </c>
      <c r="I268" s="3374"/>
      <c r="J268" s="3400"/>
      <c r="K268" s="3372"/>
      <c r="L268" s="2989"/>
      <c r="M268" s="2990"/>
      <c r="N268" s="1271"/>
      <c r="O268" s="1272"/>
      <c r="P268" s="1337" t="s">
        <v>1204</v>
      </c>
      <c r="Q268" s="1272"/>
      <c r="R268" s="1272"/>
      <c r="S268" s="1272"/>
      <c r="T268" s="1272"/>
      <c r="U268" s="1272"/>
      <c r="V268" s="1272"/>
      <c r="W268" s="1272"/>
      <c r="X268" s="1272"/>
      <c r="Y268" s="1272"/>
      <c r="Z268" s="1272"/>
      <c r="AA268" s="1272"/>
      <c r="AB268" s="1272"/>
      <c r="AC268" s="1272"/>
      <c r="AD268" s="1272"/>
      <c r="AE268" s="1279"/>
      <c r="AF268" s="3375"/>
      <c r="AG268" s="3376"/>
      <c r="AH268" s="3376"/>
      <c r="AI268" s="3375"/>
      <c r="AJ268" s="3376"/>
      <c r="AK268" s="3376"/>
      <c r="AL268" s="2079"/>
      <c r="AM268" s="1917"/>
      <c r="AN268" s="1917"/>
      <c r="AO268" s="1917"/>
      <c r="AP268" s="1917"/>
      <c r="AQ268" s="1917"/>
      <c r="AR268" s="1917"/>
      <c r="AS268" s="1917"/>
      <c r="AT268" s="1917"/>
      <c r="AU268" s="1917"/>
      <c r="AV268" s="1917"/>
      <c r="AW268" s="1917"/>
      <c r="AX268" s="1917"/>
      <c r="AY268" s="1917"/>
      <c r="AZ268" s="1917"/>
      <c r="BA268" s="1917"/>
      <c r="BB268" s="1917"/>
      <c r="BC268" s="1917"/>
      <c r="BD268" s="1917"/>
      <c r="BE268" s="1917"/>
      <c r="BF268" s="1917"/>
    </row>
    <row s="10365" customFormat="1" customHeight="1" ht="11.25">
      <c r="A269" s="1262" t="s">
        <v>1194</v>
      </c>
      <c r="B269" s="1262" t="s">
        <v>22</v>
      </c>
      <c r="C269" s="1262"/>
      <c r="D269" s="1462"/>
      <c r="E269" s="1266"/>
      <c r="F269" s="3394"/>
      <c r="G269" s="3004" t="s">
        <v>103</v>
      </c>
      <c r="H269" s="3263" t="s">
        <v>1283</v>
      </c>
      <c r="I269" s="3374" t="s">
        <v>1217</v>
      </c>
      <c r="J269" s="3400" t="s">
        <v>22</v>
      </c>
      <c r="K269" s="3372" t="s">
        <v>1284</v>
      </c>
      <c r="L269" s="2989" t="s">
        <v>19</v>
      </c>
      <c r="M269" s="2990"/>
      <c r="N269" s="2077"/>
      <c r="O269" s="1273" t="s">
        <v>461</v>
      </c>
      <c r="P269" s="1274"/>
      <c r="Q269" s="1274"/>
      <c r="R269" s="1274"/>
      <c r="S269" s="1274"/>
      <c r="T269" s="1274"/>
      <c r="U269" s="1274"/>
      <c r="V269" s="1274"/>
      <c r="W269" s="1274"/>
      <c r="X269" s="1274"/>
      <c r="Y269" s="1274"/>
      <c r="Z269" s="1274"/>
      <c r="AA269" s="1274"/>
      <c r="AB269" s="1274"/>
      <c r="AC269" s="1274"/>
      <c r="AD269" s="1274"/>
      <c r="AE269" s="1274"/>
      <c r="AF269" s="3375">
        <v>1</v>
      </c>
      <c r="AG269" s="3376" t="s">
        <v>1206</v>
      </c>
      <c r="AH269" s="3376" t="s">
        <v>1210</v>
      </c>
      <c r="AI269" s="3375">
        <v>1</v>
      </c>
      <c r="AJ269" s="3376" t="s">
        <v>1206</v>
      </c>
      <c r="AK269" s="3376" t="s">
        <v>1210</v>
      </c>
      <c r="AL269" s="2079"/>
      <c r="AM269" s="1917"/>
      <c r="AN269" s="1917"/>
      <c r="AO269" s="1917"/>
      <c r="AP269" s="1917"/>
      <c r="AQ269" s="1917"/>
      <c r="AR269" s="1917"/>
      <c r="AS269" s="1917"/>
      <c r="AT269" s="1917"/>
      <c r="AU269" s="1917"/>
      <c r="AV269" s="1917"/>
      <c r="AW269" s="1917"/>
      <c r="AX269" s="1917"/>
      <c r="AY269" s="1917"/>
      <c r="AZ269" s="1917"/>
      <c r="BA269" s="1917"/>
      <c r="BB269" s="1917"/>
      <c r="BC269" s="1917"/>
      <c r="BD269" s="1917"/>
      <c r="BE269" s="1917"/>
      <c r="BF269" s="1917"/>
    </row>
    <row s="10365" customFormat="1" customHeight="1" ht="11.25">
      <c r="A270" s="1262" t="s">
        <v>1194</v>
      </c>
      <c r="B270" s="1262"/>
      <c r="C270" s="1262"/>
      <c r="D270" s="1462"/>
      <c r="E270" s="1266"/>
      <c r="F270" s="3394"/>
      <c r="G270" s="3396"/>
      <c r="H270" s="3263" t="s">
        <v>1281</v>
      </c>
      <c r="I270" s="3374"/>
      <c r="J270" s="3400"/>
      <c r="K270" s="3372"/>
      <c r="L270" s="2989"/>
      <c r="M270" s="2990"/>
      <c r="N270" s="3341"/>
      <c r="O270" s="3377">
        <v>1</v>
      </c>
      <c r="P270" s="3343" t="s">
        <v>19</v>
      </c>
      <c r="Q270" s="3236" t="s">
        <v>22</v>
      </c>
      <c r="R270" s="3236" t="s">
        <v>22</v>
      </c>
      <c r="S270" s="3236" t="s">
        <v>22</v>
      </c>
      <c r="T270" s="3236" t="s">
        <v>22</v>
      </c>
      <c r="U270" s="3236" t="s">
        <v>22</v>
      </c>
      <c r="V270" s="3236" t="s">
        <v>22</v>
      </c>
      <c r="W270" s="3236" t="s">
        <v>22</v>
      </c>
      <c r="X270" s="3236" t="s">
        <v>22</v>
      </c>
      <c r="Y270" s="3236"/>
      <c r="Z270" s="1271"/>
      <c r="AA270" s="1272"/>
      <c r="AB270" s="1272"/>
      <c r="AC270" s="1276"/>
      <c r="AD270" s="1276"/>
      <c r="AE270" s="1277"/>
      <c r="AF270" s="3375"/>
      <c r="AG270" s="3376"/>
      <c r="AH270" s="3376"/>
      <c r="AI270" s="3375"/>
      <c r="AJ270" s="3376"/>
      <c r="AK270" s="3376"/>
      <c r="AL270" s="2079"/>
      <c r="AM270" s="1917"/>
      <c r="AN270" s="1917"/>
      <c r="AO270" s="1917"/>
      <c r="AP270" s="1917"/>
      <c r="AQ270" s="1917"/>
      <c r="AR270" s="1917"/>
      <c r="AS270" s="1917"/>
      <c r="AT270" s="1917"/>
      <c r="AU270" s="1917"/>
      <c r="AV270" s="1917"/>
      <c r="AW270" s="1917"/>
      <c r="AX270" s="1917"/>
      <c r="AY270" s="1917"/>
      <c r="AZ270" s="1917"/>
      <c r="BA270" s="1917"/>
      <c r="BB270" s="1917"/>
      <c r="BC270" s="1917"/>
      <c r="BD270" s="1917"/>
      <c r="BE270" s="1917"/>
      <c r="BF270" s="1917"/>
    </row>
    <row s="10365" customFormat="1" customHeight="1" ht="11.25">
      <c r="A271" s="1262" t="s">
        <v>1194</v>
      </c>
      <c r="B271" s="1262"/>
      <c r="C271" s="1262"/>
      <c r="D271" s="1462"/>
      <c r="E271" s="1266"/>
      <c r="F271" s="3394"/>
      <c r="G271" s="3396"/>
      <c r="H271" s="3263" t="s">
        <v>1281</v>
      </c>
      <c r="I271" s="3374"/>
      <c r="J271" s="3400"/>
      <c r="K271" s="3372"/>
      <c r="L271" s="2989"/>
      <c r="M271" s="2990"/>
      <c r="N271" s="3341"/>
      <c r="O271" s="3377"/>
      <c r="P271" s="3344"/>
      <c r="Q271" s="3236"/>
      <c r="R271" s="3236"/>
      <c r="S271" s="3346"/>
      <c r="T271" s="3236"/>
      <c r="U271" s="3236"/>
      <c r="V271" s="3236"/>
      <c r="W271" s="3236"/>
      <c r="X271" s="3236"/>
      <c r="Y271" s="3236"/>
      <c r="Z271" s="1922"/>
      <c r="AA271" s="2198">
        <v>1</v>
      </c>
      <c r="AB271" s="1275" t="s">
        <v>1201</v>
      </c>
      <c r="AC271" s="1265">
        <v>45536.89</v>
      </c>
      <c r="AD271" s="1275" t="str">
        <f>AB271</f>
        <v>      Амортизационные отчисления с выделением результатов переоценки основных средств и нематериальных активов</v>
      </c>
      <c r="AE271" s="1265">
        <v>22827.76</v>
      </c>
      <c r="AF271" s="3375"/>
      <c r="AG271" s="3376"/>
      <c r="AH271" s="3376"/>
      <c r="AI271" s="3375"/>
      <c r="AJ271" s="3376"/>
      <c r="AK271" s="3376"/>
      <c r="AL271" s="2079"/>
      <c r="AM271" s="1917"/>
      <c r="AN271" s="1917"/>
      <c r="AO271" s="1917"/>
      <c r="AP271" s="1917"/>
      <c r="AQ271" s="1917"/>
      <c r="AR271" s="1917"/>
      <c r="AS271" s="1917"/>
      <c r="AT271" s="1917"/>
      <c r="AU271" s="1917"/>
      <c r="AV271" s="1917"/>
      <c r="AW271" s="1917"/>
      <c r="AX271" s="1917"/>
      <c r="AY271" s="1917"/>
      <c r="AZ271" s="1917"/>
      <c r="BA271" s="1917"/>
      <c r="BB271" s="1917"/>
      <c r="BC271" s="1917"/>
      <c r="BD271" s="1917"/>
      <c r="BE271" s="1917"/>
      <c r="BF271" s="1917"/>
    </row>
    <row s="10365" customFormat="1" customHeight="1" ht="11.25">
      <c r="A272" s="1262" t="s">
        <v>1194</v>
      </c>
      <c r="B272" s="1262"/>
      <c r="C272" s="1262"/>
      <c r="D272" s="1462"/>
      <c r="E272" s="1266"/>
      <c r="F272" s="3394"/>
      <c r="G272" s="3396"/>
      <c r="H272" s="3396"/>
      <c r="I272" s="3396"/>
      <c r="J272" s="3396"/>
      <c r="K272" s="3396"/>
      <c r="L272" s="3396"/>
      <c r="M272" s="3396"/>
      <c r="N272" s="3396"/>
      <c r="O272" s="3396"/>
      <c r="P272" s="3396"/>
      <c r="Q272" s="3396"/>
      <c r="R272" s="3396"/>
      <c r="S272" s="3396"/>
      <c r="T272" s="3396"/>
      <c r="U272" s="3396"/>
      <c r="V272" s="3396"/>
      <c r="W272" s="3396"/>
      <c r="X272" s="3396"/>
      <c r="Y272" s="3396"/>
      <c r="Z272" s="790" t="s">
        <v>103</v>
      </c>
      <c r="AA272" s="2195" t="s">
        <v>102</v>
      </c>
      <c r="AB272" s="1275" t="s">
        <v>1208</v>
      </c>
      <c r="AC272" s="1265">
        <v>9107.38</v>
      </c>
      <c r="AD272" s="1275" t="str">
        <f>AB272</f>
        <v>  Прочие собственные средства</v>
      </c>
      <c r="AE272" s="1265">
        <v>18333.84</v>
      </c>
      <c r="AF272" s="3397"/>
      <c r="AG272" s="3398"/>
      <c r="AH272" s="3398"/>
      <c r="AI272" s="3397"/>
      <c r="AJ272" s="3398"/>
      <c r="AK272" s="3399"/>
      <c r="AL272" s="2079"/>
      <c r="AM272" s="1917"/>
      <c r="AN272" s="1917"/>
      <c r="AO272" s="1917"/>
      <c r="AP272" s="1917"/>
      <c r="AQ272" s="1917"/>
      <c r="AR272" s="1917"/>
      <c r="AS272" s="1917"/>
      <c r="AT272" s="1917"/>
      <c r="AU272" s="1917"/>
      <c r="AV272" s="1917"/>
      <c r="AW272" s="1917"/>
      <c r="AX272" s="1917"/>
      <c r="AY272" s="1917"/>
      <c r="AZ272" s="1917"/>
      <c r="BA272" s="1917"/>
      <c r="BB272" s="1917"/>
      <c r="BC272" s="1917"/>
      <c r="BD272" s="1917"/>
      <c r="BE272" s="1917"/>
      <c r="BF272" s="1917"/>
    </row>
    <row s="10365" customFormat="1" customHeight="1" ht="11.25">
      <c r="A273" s="1262" t="s">
        <v>1194</v>
      </c>
      <c r="B273" s="1262"/>
      <c r="C273" s="1262"/>
      <c r="D273" s="1462"/>
      <c r="E273" s="1266"/>
      <c r="F273" s="3394"/>
      <c r="G273" s="3396"/>
      <c r="H273" s="3263" t="s">
        <v>1281</v>
      </c>
      <c r="I273" s="3374"/>
      <c r="J273" s="3400"/>
      <c r="K273" s="3372"/>
      <c r="L273" s="2989"/>
      <c r="M273" s="2990"/>
      <c r="N273" s="3341"/>
      <c r="O273" s="3377"/>
      <c r="P273" s="3345"/>
      <c r="Q273" s="3236"/>
      <c r="R273" s="3236"/>
      <c r="S273" s="3346"/>
      <c r="T273" s="3236"/>
      <c r="U273" s="3236"/>
      <c r="V273" s="3236"/>
      <c r="W273" s="3236"/>
      <c r="X273" s="3236"/>
      <c r="Y273" s="3236"/>
      <c r="Z273" s="1271"/>
      <c r="AA273" s="1272"/>
      <c r="AB273" s="1337" t="s">
        <v>1203</v>
      </c>
      <c r="AC273" s="1276"/>
      <c r="AD273" s="1276"/>
      <c r="AE273" s="1278"/>
      <c r="AF273" s="3375"/>
      <c r="AG273" s="3376"/>
      <c r="AH273" s="3376"/>
      <c r="AI273" s="3375"/>
      <c r="AJ273" s="3376"/>
      <c r="AK273" s="3376"/>
      <c r="AL273" s="2079"/>
      <c r="AM273" s="1917"/>
      <c r="AN273" s="1917"/>
      <c r="AO273" s="1917"/>
      <c r="AP273" s="1917"/>
      <c r="AQ273" s="1917"/>
      <c r="AR273" s="1917"/>
      <c r="AS273" s="1917"/>
      <c r="AT273" s="1917"/>
      <c r="AU273" s="1917"/>
      <c r="AV273" s="1917"/>
      <c r="AW273" s="1917"/>
      <c r="AX273" s="1917"/>
      <c r="AY273" s="1917"/>
      <c r="AZ273" s="1917"/>
      <c r="BA273" s="1917"/>
      <c r="BB273" s="1917"/>
      <c r="BC273" s="1917"/>
      <c r="BD273" s="1917"/>
      <c r="BE273" s="1917"/>
      <c r="BF273" s="1917"/>
    </row>
    <row s="10365" customFormat="1" customHeight="1" ht="11.25">
      <c r="A274" s="1262" t="s">
        <v>1194</v>
      </c>
      <c r="B274" s="1262"/>
      <c r="C274" s="1262"/>
      <c r="D274" s="1462"/>
      <c r="E274" s="1266"/>
      <c r="F274" s="3394"/>
      <c r="G274" s="3396"/>
      <c r="H274" s="3263" t="s">
        <v>1281</v>
      </c>
      <c r="I274" s="3374"/>
      <c r="J274" s="3400"/>
      <c r="K274" s="3372"/>
      <c r="L274" s="2989"/>
      <c r="M274" s="2990"/>
      <c r="N274" s="1271"/>
      <c r="O274" s="1272"/>
      <c r="P274" s="1337" t="s">
        <v>1204</v>
      </c>
      <c r="Q274" s="1272"/>
      <c r="R274" s="1272"/>
      <c r="S274" s="1272"/>
      <c r="T274" s="1272"/>
      <c r="U274" s="1272"/>
      <c r="V274" s="1272"/>
      <c r="W274" s="1272"/>
      <c r="X274" s="1272"/>
      <c r="Y274" s="1272"/>
      <c r="Z274" s="1272"/>
      <c r="AA274" s="1272"/>
      <c r="AB274" s="1272"/>
      <c r="AC274" s="1272"/>
      <c r="AD274" s="1272"/>
      <c r="AE274" s="1279"/>
      <c r="AF274" s="3375"/>
      <c r="AG274" s="3376"/>
      <c r="AH274" s="3376"/>
      <c r="AI274" s="3375"/>
      <c r="AJ274" s="3376"/>
      <c r="AK274" s="3376"/>
      <c r="AL274" s="2079"/>
      <c r="AM274" s="1917"/>
      <c r="AN274" s="1917"/>
      <c r="AO274" s="1917"/>
      <c r="AP274" s="1917"/>
      <c r="AQ274" s="1917"/>
      <c r="AR274" s="1917"/>
      <c r="AS274" s="1917"/>
      <c r="AT274" s="1917"/>
      <c r="AU274" s="1917"/>
      <c r="AV274" s="1917"/>
      <c r="AW274" s="1917"/>
      <c r="AX274" s="1917"/>
      <c r="AY274" s="1917"/>
      <c r="AZ274" s="1917"/>
      <c r="BA274" s="1917"/>
      <c r="BB274" s="1917"/>
      <c r="BC274" s="1917"/>
      <c r="BD274" s="1917"/>
      <c r="BE274" s="1917"/>
      <c r="BF274" s="1917"/>
    </row>
    <row s="10365" customFormat="1" customHeight="1" ht="11.25">
      <c r="A275" s="1262" t="s">
        <v>1194</v>
      </c>
      <c r="B275" s="1262" t="s">
        <v>22</v>
      </c>
      <c r="C275" s="1262"/>
      <c r="D275" s="1462"/>
      <c r="E275" s="1266"/>
      <c r="F275" s="3394"/>
      <c r="G275" s="3004" t="s">
        <v>103</v>
      </c>
      <c r="H275" s="3263" t="s">
        <v>1285</v>
      </c>
      <c r="I275" s="3374" t="s">
        <v>1238</v>
      </c>
      <c r="J275" s="3400" t="s">
        <v>22</v>
      </c>
      <c r="K275" s="3372" t="s">
        <v>1286</v>
      </c>
      <c r="L275" s="2989" t="s">
        <v>19</v>
      </c>
      <c r="M275" s="2990"/>
      <c r="N275" s="2077"/>
      <c r="O275" s="1273" t="s">
        <v>461</v>
      </c>
      <c r="P275" s="1274"/>
      <c r="Q275" s="1274"/>
      <c r="R275" s="1274"/>
      <c r="S275" s="1274"/>
      <c r="T275" s="1274"/>
      <c r="U275" s="1274"/>
      <c r="V275" s="1274"/>
      <c r="W275" s="1274"/>
      <c r="X275" s="1274"/>
      <c r="Y275" s="1274"/>
      <c r="Z275" s="1274"/>
      <c r="AA275" s="1274"/>
      <c r="AB275" s="1274"/>
      <c r="AC275" s="1274"/>
      <c r="AD275" s="1274"/>
      <c r="AE275" s="1274"/>
      <c r="AF275" s="3375">
        <v>8</v>
      </c>
      <c r="AG275" s="3376" t="s">
        <v>1287</v>
      </c>
      <c r="AH275" s="3376" t="s">
        <v>1210</v>
      </c>
      <c r="AI275" s="3375">
        <v>8</v>
      </c>
      <c r="AJ275" s="3376" t="s">
        <v>1287</v>
      </c>
      <c r="AK275" s="3376" t="s">
        <v>1210</v>
      </c>
      <c r="AL275" s="2079"/>
      <c r="AM275" s="1917"/>
      <c r="AN275" s="1917"/>
      <c r="AO275" s="1917"/>
      <c r="AP275" s="1917"/>
      <c r="AQ275" s="1917"/>
      <c r="AR275" s="1917"/>
      <c r="AS275" s="1917"/>
      <c r="AT275" s="1917"/>
      <c r="AU275" s="1917"/>
      <c r="AV275" s="1917"/>
      <c r="AW275" s="1917"/>
      <c r="AX275" s="1917"/>
      <c r="AY275" s="1917"/>
      <c r="AZ275" s="1917"/>
      <c r="BA275" s="1917"/>
      <c r="BB275" s="1917"/>
      <c r="BC275" s="1917"/>
      <c r="BD275" s="1917"/>
      <c r="BE275" s="1917"/>
      <c r="BF275" s="1917"/>
    </row>
    <row s="10365" customFormat="1" customHeight="1" ht="11.25">
      <c r="A276" s="1262" t="s">
        <v>1194</v>
      </c>
      <c r="B276" s="1262"/>
      <c r="C276" s="1262"/>
      <c r="D276" s="1462"/>
      <c r="E276" s="1266"/>
      <c r="F276" s="3394"/>
      <c r="G276" s="3396"/>
      <c r="H276" s="3263" t="s">
        <v>1283</v>
      </c>
      <c r="I276" s="3374"/>
      <c r="J276" s="3400"/>
      <c r="K276" s="3372"/>
      <c r="L276" s="2989"/>
      <c r="M276" s="2990"/>
      <c r="N276" s="3341"/>
      <c r="O276" s="3377">
        <v>1</v>
      </c>
      <c r="P276" s="3343" t="s">
        <v>19</v>
      </c>
      <c r="Q276" s="3236" t="s">
        <v>22</v>
      </c>
      <c r="R276" s="3236" t="s">
        <v>22</v>
      </c>
      <c r="S276" s="3236" t="s">
        <v>22</v>
      </c>
      <c r="T276" s="3236" t="s">
        <v>22</v>
      </c>
      <c r="U276" s="3236" t="s">
        <v>22</v>
      </c>
      <c r="V276" s="3236" t="s">
        <v>22</v>
      </c>
      <c r="W276" s="3236" t="s">
        <v>22</v>
      </c>
      <c r="X276" s="3236" t="s">
        <v>22</v>
      </c>
      <c r="Y276" s="3236"/>
      <c r="Z276" s="1271"/>
      <c r="AA276" s="1272"/>
      <c r="AB276" s="1272"/>
      <c r="AC276" s="1276"/>
      <c r="AD276" s="1276"/>
      <c r="AE276" s="1277"/>
      <c r="AF276" s="3375"/>
      <c r="AG276" s="3376"/>
      <c r="AH276" s="3376"/>
      <c r="AI276" s="3375"/>
      <c r="AJ276" s="3376"/>
      <c r="AK276" s="3376"/>
      <c r="AL276" s="2079"/>
      <c r="AM276" s="1917"/>
      <c r="AN276" s="1917"/>
      <c r="AO276" s="1917"/>
      <c r="AP276" s="1917"/>
      <c r="AQ276" s="1917"/>
      <c r="AR276" s="1917"/>
      <c r="AS276" s="1917"/>
      <c r="AT276" s="1917"/>
      <c r="AU276" s="1917"/>
      <c r="AV276" s="1917"/>
      <c r="AW276" s="1917"/>
      <c r="AX276" s="1917"/>
      <c r="AY276" s="1917"/>
      <c r="AZ276" s="1917"/>
      <c r="BA276" s="1917"/>
      <c r="BB276" s="1917"/>
      <c r="BC276" s="1917"/>
      <c r="BD276" s="1917"/>
      <c r="BE276" s="1917"/>
      <c r="BF276" s="1917"/>
    </row>
    <row s="10365" customFormat="1" customHeight="1" ht="11.25">
      <c r="A277" s="1262" t="s">
        <v>1194</v>
      </c>
      <c r="B277" s="1262"/>
      <c r="C277" s="1262"/>
      <c r="D277" s="1462"/>
      <c r="E277" s="1266"/>
      <c r="F277" s="3394"/>
      <c r="G277" s="3396"/>
      <c r="H277" s="3263" t="s">
        <v>1283</v>
      </c>
      <c r="I277" s="3374"/>
      <c r="J277" s="3400"/>
      <c r="K277" s="3372"/>
      <c r="L277" s="2989"/>
      <c r="M277" s="2990"/>
      <c r="N277" s="3341"/>
      <c r="O277" s="3377"/>
      <c r="P277" s="3344"/>
      <c r="Q277" s="3236"/>
      <c r="R277" s="3236"/>
      <c r="S277" s="3346"/>
      <c r="T277" s="3236"/>
      <c r="U277" s="3236"/>
      <c r="V277" s="3236"/>
      <c r="W277" s="3236"/>
      <c r="X277" s="3236"/>
      <c r="Y277" s="3236"/>
      <c r="Z277" s="1922"/>
      <c r="AA277" s="2198">
        <v>1</v>
      </c>
      <c r="AB277" s="1275" t="s">
        <v>1201</v>
      </c>
      <c r="AC277" s="1265">
        <v>47624.13</v>
      </c>
      <c r="AD277" s="1275" t="str">
        <f>AB277</f>
        <v>      Амортизационные отчисления с выделением результатов переоценки основных средств и нематериальных активов</v>
      </c>
      <c r="AE277" s="1265">
        <v>45720.13</v>
      </c>
      <c r="AF277" s="3375"/>
      <c r="AG277" s="3376"/>
      <c r="AH277" s="3376"/>
      <c r="AI277" s="3375"/>
      <c r="AJ277" s="3376"/>
      <c r="AK277" s="3376"/>
      <c r="AL277" s="2079"/>
      <c r="AM277" s="1917"/>
      <c r="AN277" s="1917"/>
      <c r="AO277" s="1917"/>
      <c r="AP277" s="1917"/>
      <c r="AQ277" s="1917"/>
      <c r="AR277" s="1917"/>
      <c r="AS277" s="1917"/>
      <c r="AT277" s="1917"/>
      <c r="AU277" s="1917"/>
      <c r="AV277" s="1917"/>
      <c r="AW277" s="1917"/>
      <c r="AX277" s="1917"/>
      <c r="AY277" s="1917"/>
      <c r="AZ277" s="1917"/>
      <c r="BA277" s="1917"/>
      <c r="BB277" s="1917"/>
      <c r="BC277" s="1917"/>
      <c r="BD277" s="1917"/>
      <c r="BE277" s="1917"/>
      <c r="BF277" s="1917"/>
    </row>
    <row s="10365" customFormat="1" customHeight="1" ht="11.25">
      <c r="A278" s="1262" t="s">
        <v>1194</v>
      </c>
      <c r="B278" s="1262"/>
      <c r="C278" s="1262"/>
      <c r="D278" s="1462"/>
      <c r="E278" s="1266"/>
      <c r="F278" s="3394"/>
      <c r="G278" s="3396"/>
      <c r="H278" s="3396"/>
      <c r="I278" s="3396"/>
      <c r="J278" s="3396"/>
      <c r="K278" s="3396"/>
      <c r="L278" s="3396"/>
      <c r="M278" s="3396"/>
      <c r="N278" s="3396"/>
      <c r="O278" s="3396"/>
      <c r="P278" s="3396"/>
      <c r="Q278" s="3396"/>
      <c r="R278" s="3396"/>
      <c r="S278" s="3396"/>
      <c r="T278" s="3396"/>
      <c r="U278" s="3396"/>
      <c r="V278" s="3396"/>
      <c r="W278" s="3396"/>
      <c r="X278" s="3396"/>
      <c r="Y278" s="3396"/>
      <c r="Z278" s="790" t="s">
        <v>103</v>
      </c>
      <c r="AA278" s="2195" t="s">
        <v>102</v>
      </c>
      <c r="AB278" s="1275" t="s">
        <v>1236</v>
      </c>
      <c r="AC278" s="1265">
        <v>32624.7</v>
      </c>
      <c r="AD278" s="1275" t="str">
        <f>AB278</f>
        <v>      Прочие займы</v>
      </c>
      <c r="AE278" s="1265">
        <v>32624.69914</v>
      </c>
      <c r="AF278" s="3397"/>
      <c r="AG278" s="3398"/>
      <c r="AH278" s="3398"/>
      <c r="AI278" s="3397"/>
      <c r="AJ278" s="3398"/>
      <c r="AK278" s="3399"/>
      <c r="AL278" s="2079"/>
      <c r="AM278" s="1917"/>
      <c r="AN278" s="1917"/>
      <c r="AO278" s="1917"/>
      <c r="AP278" s="1917"/>
      <c r="AQ278" s="1917"/>
      <c r="AR278" s="1917"/>
      <c r="AS278" s="1917"/>
      <c r="AT278" s="1917"/>
      <c r="AU278" s="1917"/>
      <c r="AV278" s="1917"/>
      <c r="AW278" s="1917"/>
      <c r="AX278" s="1917"/>
      <c r="AY278" s="1917"/>
      <c r="AZ278" s="1917"/>
      <c r="BA278" s="1917"/>
      <c r="BB278" s="1917"/>
      <c r="BC278" s="1917"/>
      <c r="BD278" s="1917"/>
      <c r="BE278" s="1917"/>
      <c r="BF278" s="1917"/>
    </row>
    <row s="10365" customFormat="1" customHeight="1" ht="11.25">
      <c r="A279" s="1262" t="s">
        <v>1194</v>
      </c>
      <c r="B279" s="1262"/>
      <c r="C279" s="1262"/>
      <c r="D279" s="1462"/>
      <c r="E279" s="1266"/>
      <c r="F279" s="3394"/>
      <c r="G279" s="3396"/>
      <c r="H279" s="3396"/>
      <c r="I279" s="3396"/>
      <c r="J279" s="3396"/>
      <c r="K279" s="3396"/>
      <c r="L279" s="3396"/>
      <c r="M279" s="3396"/>
      <c r="N279" s="3396"/>
      <c r="O279" s="3396"/>
      <c r="P279" s="3396"/>
      <c r="Q279" s="3396"/>
      <c r="R279" s="3396"/>
      <c r="S279" s="3396"/>
      <c r="T279" s="3396"/>
      <c r="U279" s="3396"/>
      <c r="V279" s="3396"/>
      <c r="W279" s="3396"/>
      <c r="X279" s="3396"/>
      <c r="Y279" s="3396"/>
      <c r="Z279" s="790" t="s">
        <v>103</v>
      </c>
      <c r="AA279" s="2195" t="s">
        <v>90</v>
      </c>
      <c r="AB279" s="1275" t="s">
        <v>1208</v>
      </c>
      <c r="AC279" s="1265">
        <v>9524.83</v>
      </c>
      <c r="AD279" s="1275" t="str">
        <f>AB279</f>
        <v>  Прочие собственные средства</v>
      </c>
      <c r="AE279" s="1265">
        <v>9144.02692</v>
      </c>
      <c r="AF279" s="3397"/>
      <c r="AG279" s="3398"/>
      <c r="AH279" s="3398"/>
      <c r="AI279" s="3397"/>
      <c r="AJ279" s="3398"/>
      <c r="AK279" s="3399"/>
      <c r="AL279" s="2079"/>
      <c r="AM279" s="1917"/>
      <c r="AN279" s="1917"/>
      <c r="AO279" s="1917"/>
      <c r="AP279" s="1917"/>
      <c r="AQ279" s="1917"/>
      <c r="AR279" s="1917"/>
      <c r="AS279" s="1917"/>
      <c r="AT279" s="1917"/>
      <c r="AU279" s="1917"/>
      <c r="AV279" s="1917"/>
      <c r="AW279" s="1917"/>
      <c r="AX279" s="1917"/>
      <c r="AY279" s="1917"/>
      <c r="AZ279" s="1917"/>
      <c r="BA279" s="1917"/>
      <c r="BB279" s="1917"/>
      <c r="BC279" s="1917"/>
      <c r="BD279" s="1917"/>
      <c r="BE279" s="1917"/>
      <c r="BF279" s="1917"/>
    </row>
    <row s="10365" customFormat="1" customHeight="1" ht="11.25">
      <c r="A280" s="1262" t="s">
        <v>1194</v>
      </c>
      <c r="B280" s="1262"/>
      <c r="C280" s="1262"/>
      <c r="D280" s="1462"/>
      <c r="E280" s="1266"/>
      <c r="F280" s="3394"/>
      <c r="G280" s="3396"/>
      <c r="H280" s="3263" t="s">
        <v>1283</v>
      </c>
      <c r="I280" s="3374"/>
      <c r="J280" s="3400"/>
      <c r="K280" s="3372"/>
      <c r="L280" s="2989"/>
      <c r="M280" s="2990"/>
      <c r="N280" s="3341"/>
      <c r="O280" s="3377"/>
      <c r="P280" s="3345"/>
      <c r="Q280" s="3236"/>
      <c r="R280" s="3236"/>
      <c r="S280" s="3346"/>
      <c r="T280" s="3236"/>
      <c r="U280" s="3236"/>
      <c r="V280" s="3236"/>
      <c r="W280" s="3236"/>
      <c r="X280" s="3236"/>
      <c r="Y280" s="3236"/>
      <c r="Z280" s="1271"/>
      <c r="AA280" s="1272"/>
      <c r="AB280" s="1337" t="s">
        <v>1203</v>
      </c>
      <c r="AC280" s="1276"/>
      <c r="AD280" s="1276"/>
      <c r="AE280" s="1278"/>
      <c r="AF280" s="3375"/>
      <c r="AG280" s="3376"/>
      <c r="AH280" s="3376"/>
      <c r="AI280" s="3375"/>
      <c r="AJ280" s="3376"/>
      <c r="AK280" s="3376"/>
      <c r="AL280" s="2079"/>
      <c r="AM280" s="1917"/>
      <c r="AN280" s="1917"/>
      <c r="AO280" s="1917"/>
      <c r="AP280" s="1917"/>
      <c r="AQ280" s="1917"/>
      <c r="AR280" s="1917"/>
      <c r="AS280" s="1917"/>
      <c r="AT280" s="1917"/>
      <c r="AU280" s="1917"/>
      <c r="AV280" s="1917"/>
      <c r="AW280" s="1917"/>
      <c r="AX280" s="1917"/>
      <c r="AY280" s="1917"/>
      <c r="AZ280" s="1917"/>
      <c r="BA280" s="1917"/>
      <c r="BB280" s="1917"/>
      <c r="BC280" s="1917"/>
      <c r="BD280" s="1917"/>
      <c r="BE280" s="1917"/>
      <c r="BF280" s="1917"/>
    </row>
    <row s="10365" customFormat="1" customHeight="1" ht="11.25">
      <c r="A281" s="1262" t="s">
        <v>1194</v>
      </c>
      <c r="B281" s="1262"/>
      <c r="C281" s="1262"/>
      <c r="D281" s="1462"/>
      <c r="E281" s="1266"/>
      <c r="F281" s="3394"/>
      <c r="G281" s="3396"/>
      <c r="H281" s="3263" t="s">
        <v>1283</v>
      </c>
      <c r="I281" s="3374"/>
      <c r="J281" s="3400"/>
      <c r="K281" s="3372"/>
      <c r="L281" s="2989"/>
      <c r="M281" s="2990"/>
      <c r="N281" s="1271"/>
      <c r="O281" s="1272"/>
      <c r="P281" s="1337" t="s">
        <v>1204</v>
      </c>
      <c r="Q281" s="1272"/>
      <c r="R281" s="1272"/>
      <c r="S281" s="1272"/>
      <c r="T281" s="1272"/>
      <c r="U281" s="1272"/>
      <c r="V281" s="1272"/>
      <c r="W281" s="1272"/>
      <c r="X281" s="1272"/>
      <c r="Y281" s="1272"/>
      <c r="Z281" s="1272"/>
      <c r="AA281" s="1272"/>
      <c r="AB281" s="1272"/>
      <c r="AC281" s="1272"/>
      <c r="AD281" s="1272"/>
      <c r="AE281" s="1279"/>
      <c r="AF281" s="3375"/>
      <c r="AG281" s="3376"/>
      <c r="AH281" s="3376"/>
      <c r="AI281" s="3375"/>
      <c r="AJ281" s="3376"/>
      <c r="AK281" s="3376"/>
      <c r="AL281" s="2079"/>
      <c r="AM281" s="1917"/>
      <c r="AN281" s="1917"/>
      <c r="AO281" s="1917"/>
      <c r="AP281" s="1917"/>
      <c r="AQ281" s="1917"/>
      <c r="AR281" s="1917"/>
      <c r="AS281" s="1917"/>
      <c r="AT281" s="1917"/>
      <c r="AU281" s="1917"/>
      <c r="AV281" s="1917"/>
      <c r="AW281" s="1917"/>
      <c r="AX281" s="1917"/>
      <c r="AY281" s="1917"/>
      <c r="AZ281" s="1917"/>
      <c r="BA281" s="1917"/>
      <c r="BB281" s="1917"/>
      <c r="BC281" s="1917"/>
      <c r="BD281" s="1917"/>
      <c r="BE281" s="1917"/>
      <c r="BF281" s="1917"/>
    </row>
    <row s="10365" customFormat="1" customHeight="1" ht="11.25">
      <c r="A282" s="1262" t="s">
        <v>1194</v>
      </c>
      <c r="B282" s="1262" t="s">
        <v>1195</v>
      </c>
      <c r="C282" s="1262"/>
      <c r="D282" s="1462"/>
      <c r="E282" s="1266"/>
      <c r="F282" s="3394"/>
      <c r="G282" s="3004" t="s">
        <v>103</v>
      </c>
      <c r="H282" s="3263" t="s">
        <v>1288</v>
      </c>
      <c r="I282" s="3374" t="s">
        <v>1196</v>
      </c>
      <c r="J282" s="3334" t="s">
        <v>1197</v>
      </c>
      <c r="K282" s="3372" t="s">
        <v>1289</v>
      </c>
      <c r="L282" s="2989" t="s">
        <v>19</v>
      </c>
      <c r="M282" s="2990"/>
      <c r="N282" s="2077"/>
      <c r="O282" s="1273" t="s">
        <v>461</v>
      </c>
      <c r="P282" s="1274"/>
      <c r="Q282" s="1274"/>
      <c r="R282" s="1274"/>
      <c r="S282" s="1274"/>
      <c r="T282" s="1274"/>
      <c r="U282" s="1274"/>
      <c r="V282" s="1274"/>
      <c r="W282" s="1274"/>
      <c r="X282" s="1274"/>
      <c r="Y282" s="1274"/>
      <c r="Z282" s="1274"/>
      <c r="AA282" s="1274"/>
      <c r="AB282" s="1274"/>
      <c r="AC282" s="1274"/>
      <c r="AD282" s="1274"/>
      <c r="AE282" s="1274"/>
      <c r="AF282" s="3375">
        <v>2</v>
      </c>
      <c r="AG282" s="3376" t="s">
        <v>1206</v>
      </c>
      <c r="AH282" s="3376" t="s">
        <v>1210</v>
      </c>
      <c r="AI282" s="3375">
        <v>2</v>
      </c>
      <c r="AJ282" s="3376" t="s">
        <v>1206</v>
      </c>
      <c r="AK282" s="3376" t="s">
        <v>1210</v>
      </c>
      <c r="AL282" s="2079"/>
      <c r="AM282" s="1917"/>
      <c r="AN282" s="1917"/>
      <c r="AO282" s="1917"/>
      <c r="AP282" s="1917"/>
      <c r="AQ282" s="1917"/>
      <c r="AR282" s="1917"/>
      <c r="AS282" s="1917"/>
      <c r="AT282" s="1917"/>
      <c r="AU282" s="1917"/>
      <c r="AV282" s="1917"/>
      <c r="AW282" s="1917"/>
      <c r="AX282" s="1917"/>
      <c r="AY282" s="1917"/>
      <c r="AZ282" s="1917"/>
      <c r="BA282" s="1917"/>
      <c r="BB282" s="1917"/>
      <c r="BC282" s="1917"/>
      <c r="BD282" s="1917"/>
      <c r="BE282" s="1917"/>
      <c r="BF282" s="1917"/>
    </row>
    <row s="10365" customFormat="1" customHeight="1" ht="11.25">
      <c r="A283" s="1262" t="s">
        <v>1194</v>
      </c>
      <c r="B283" s="1262"/>
      <c r="C283" s="1262"/>
      <c r="D283" s="1462"/>
      <c r="E283" s="1266"/>
      <c r="F283" s="3394"/>
      <c r="G283" s="3396"/>
      <c r="H283" s="3263" t="s">
        <v>1285</v>
      </c>
      <c r="I283" s="3374"/>
      <c r="J283" s="3334"/>
      <c r="K283" s="3372"/>
      <c r="L283" s="2989"/>
      <c r="M283" s="2990"/>
      <c r="N283" s="3341"/>
      <c r="O283" s="3377">
        <v>1</v>
      </c>
      <c r="P283" s="3343" t="s">
        <v>19</v>
      </c>
      <c r="Q283" s="3236" t="s">
        <v>22</v>
      </c>
      <c r="R283" s="3236" t="s">
        <v>22</v>
      </c>
      <c r="S283" s="3236" t="s">
        <v>22</v>
      </c>
      <c r="T283" s="3236" t="s">
        <v>22</v>
      </c>
      <c r="U283" s="3236" t="s">
        <v>22</v>
      </c>
      <c r="V283" s="3236" t="s">
        <v>22</v>
      </c>
      <c r="W283" s="3236" t="s">
        <v>22</v>
      </c>
      <c r="X283" s="3236" t="s">
        <v>22</v>
      </c>
      <c r="Y283" s="3236"/>
      <c r="Z283" s="1271"/>
      <c r="AA283" s="1272"/>
      <c r="AB283" s="1272"/>
      <c r="AC283" s="1276"/>
      <c r="AD283" s="1276"/>
      <c r="AE283" s="1277"/>
      <c r="AF283" s="3375"/>
      <c r="AG283" s="3376"/>
      <c r="AH283" s="3376"/>
      <c r="AI283" s="3375"/>
      <c r="AJ283" s="3376"/>
      <c r="AK283" s="3376"/>
      <c r="AL283" s="2079"/>
      <c r="AM283" s="1917"/>
      <c r="AN283" s="1917"/>
      <c r="AO283" s="1917"/>
      <c r="AP283" s="1917"/>
      <c r="AQ283" s="1917"/>
      <c r="AR283" s="1917"/>
      <c r="AS283" s="1917"/>
      <c r="AT283" s="1917"/>
      <c r="AU283" s="1917"/>
      <c r="AV283" s="1917"/>
      <c r="AW283" s="1917"/>
      <c r="AX283" s="1917"/>
      <c r="AY283" s="1917"/>
      <c r="AZ283" s="1917"/>
      <c r="BA283" s="1917"/>
      <c r="BB283" s="1917"/>
      <c r="BC283" s="1917"/>
      <c r="BD283" s="1917"/>
      <c r="BE283" s="1917"/>
      <c r="BF283" s="1917"/>
    </row>
    <row s="10365" customFormat="1" customHeight="1" ht="11.25">
      <c r="A284" s="1262" t="s">
        <v>1194</v>
      </c>
      <c r="B284" s="1262"/>
      <c r="C284" s="1262"/>
      <c r="D284" s="1462"/>
      <c r="E284" s="1266"/>
      <c r="F284" s="3394"/>
      <c r="G284" s="3396"/>
      <c r="H284" s="3263" t="s">
        <v>1285</v>
      </c>
      <c r="I284" s="3374"/>
      <c r="J284" s="3334"/>
      <c r="K284" s="3372"/>
      <c r="L284" s="2989"/>
      <c r="M284" s="2990"/>
      <c r="N284" s="3341"/>
      <c r="O284" s="3377"/>
      <c r="P284" s="3344"/>
      <c r="Q284" s="3236"/>
      <c r="R284" s="3236"/>
      <c r="S284" s="3346"/>
      <c r="T284" s="3236"/>
      <c r="U284" s="3236"/>
      <c r="V284" s="3236"/>
      <c r="W284" s="3236"/>
      <c r="X284" s="3236"/>
      <c r="Y284" s="3236"/>
      <c r="Z284" s="1922"/>
      <c r="AA284" s="2198">
        <v>1</v>
      </c>
      <c r="AB284" s="1275" t="s">
        <v>1201</v>
      </c>
      <c r="AC284" s="1265">
        <v>2359.61</v>
      </c>
      <c r="AD284" s="1275" t="str">
        <f>AB284</f>
        <v>      Амортизационные отчисления с выделением результатов переоценки основных средств и нематериальных активов</v>
      </c>
      <c r="AE284" s="1265">
        <v>2284.02</v>
      </c>
      <c r="AF284" s="3375"/>
      <c r="AG284" s="3376"/>
      <c r="AH284" s="3376"/>
      <c r="AI284" s="3375"/>
      <c r="AJ284" s="3376"/>
      <c r="AK284" s="3376"/>
      <c r="AL284" s="2079"/>
      <c r="AM284" s="1917"/>
      <c r="AN284" s="1917"/>
      <c r="AO284" s="1917"/>
      <c r="AP284" s="1917"/>
      <c r="AQ284" s="1917"/>
      <c r="AR284" s="1917"/>
      <c r="AS284" s="1917"/>
      <c r="AT284" s="1917"/>
      <c r="AU284" s="1917"/>
      <c r="AV284" s="1917"/>
      <c r="AW284" s="1917"/>
      <c r="AX284" s="1917"/>
      <c r="AY284" s="1917"/>
      <c r="AZ284" s="1917"/>
      <c r="BA284" s="1917"/>
      <c r="BB284" s="1917"/>
      <c r="BC284" s="1917"/>
      <c r="BD284" s="1917"/>
      <c r="BE284" s="1917"/>
      <c r="BF284" s="1917"/>
    </row>
    <row s="10365" customFormat="1" customHeight="1" ht="11.25">
      <c r="A285" s="1262" t="s">
        <v>1194</v>
      </c>
      <c r="B285" s="1262"/>
      <c r="C285" s="1262"/>
      <c r="D285" s="1462"/>
      <c r="E285" s="1266"/>
      <c r="F285" s="3394"/>
      <c r="G285" s="3396"/>
      <c r="H285" s="3396"/>
      <c r="I285" s="3396"/>
      <c r="J285" s="3396"/>
      <c r="K285" s="3396"/>
      <c r="L285" s="3396"/>
      <c r="M285" s="3396"/>
      <c r="N285" s="3396"/>
      <c r="O285" s="3396"/>
      <c r="P285" s="3396"/>
      <c r="Q285" s="3396"/>
      <c r="R285" s="3396"/>
      <c r="S285" s="3396"/>
      <c r="T285" s="3396"/>
      <c r="U285" s="3396"/>
      <c r="V285" s="3396"/>
      <c r="W285" s="3396"/>
      <c r="X285" s="3396"/>
      <c r="Y285" s="3396"/>
      <c r="Z285" s="790" t="s">
        <v>103</v>
      </c>
      <c r="AA285" s="2195" t="s">
        <v>102</v>
      </c>
      <c r="AB285" s="1275" t="s">
        <v>1208</v>
      </c>
      <c r="AC285" s="1265">
        <v>471.92</v>
      </c>
      <c r="AD285" s="1275" t="str">
        <f>AB285</f>
        <v>  Прочие собственные средства</v>
      </c>
      <c r="AE285" s="1265">
        <v>329.446</v>
      </c>
      <c r="AF285" s="3397"/>
      <c r="AG285" s="3398"/>
      <c r="AH285" s="3398"/>
      <c r="AI285" s="3397"/>
      <c r="AJ285" s="3398"/>
      <c r="AK285" s="3399"/>
      <c r="AL285" s="2079"/>
      <c r="AM285" s="1917"/>
      <c r="AN285" s="1917"/>
      <c r="AO285" s="1917"/>
      <c r="AP285" s="1917"/>
      <c r="AQ285" s="1917"/>
      <c r="AR285" s="1917"/>
      <c r="AS285" s="1917"/>
      <c r="AT285" s="1917"/>
      <c r="AU285" s="1917"/>
      <c r="AV285" s="1917"/>
      <c r="AW285" s="1917"/>
      <c r="AX285" s="1917"/>
      <c r="AY285" s="1917"/>
      <c r="AZ285" s="1917"/>
      <c r="BA285" s="1917"/>
      <c r="BB285" s="1917"/>
      <c r="BC285" s="1917"/>
      <c r="BD285" s="1917"/>
      <c r="BE285" s="1917"/>
      <c r="BF285" s="1917"/>
    </row>
    <row s="10365" customFormat="1" customHeight="1" ht="11.25">
      <c r="A286" s="1262" t="s">
        <v>1194</v>
      </c>
      <c r="B286" s="1262"/>
      <c r="C286" s="1262"/>
      <c r="D286" s="1462"/>
      <c r="E286" s="1266"/>
      <c r="F286" s="3394"/>
      <c r="G286" s="3396"/>
      <c r="H286" s="3263" t="s">
        <v>1285</v>
      </c>
      <c r="I286" s="3374"/>
      <c r="J286" s="3334"/>
      <c r="K286" s="3372"/>
      <c r="L286" s="2989"/>
      <c r="M286" s="2990"/>
      <c r="N286" s="3341"/>
      <c r="O286" s="3377"/>
      <c r="P286" s="3345"/>
      <c r="Q286" s="3236"/>
      <c r="R286" s="3236"/>
      <c r="S286" s="3346"/>
      <c r="T286" s="3236"/>
      <c r="U286" s="3236"/>
      <c r="V286" s="3236"/>
      <c r="W286" s="3236"/>
      <c r="X286" s="3236"/>
      <c r="Y286" s="3236"/>
      <c r="Z286" s="1271"/>
      <c r="AA286" s="1272"/>
      <c r="AB286" s="1337" t="s">
        <v>1203</v>
      </c>
      <c r="AC286" s="1276"/>
      <c r="AD286" s="1276"/>
      <c r="AE286" s="1278"/>
      <c r="AF286" s="3375"/>
      <c r="AG286" s="3376"/>
      <c r="AH286" s="3376"/>
      <c r="AI286" s="3375"/>
      <c r="AJ286" s="3376"/>
      <c r="AK286" s="3376"/>
      <c r="AL286" s="2079"/>
      <c r="AM286" s="1917"/>
      <c r="AN286" s="1917"/>
      <c r="AO286" s="1917"/>
      <c r="AP286" s="1917"/>
      <c r="AQ286" s="1917"/>
      <c r="AR286" s="1917"/>
      <c r="AS286" s="1917"/>
      <c r="AT286" s="1917"/>
      <c r="AU286" s="1917"/>
      <c r="AV286" s="1917"/>
      <c r="AW286" s="1917"/>
      <c r="AX286" s="1917"/>
      <c r="AY286" s="1917"/>
      <c r="AZ286" s="1917"/>
      <c r="BA286" s="1917"/>
      <c r="BB286" s="1917"/>
      <c r="BC286" s="1917"/>
      <c r="BD286" s="1917"/>
      <c r="BE286" s="1917"/>
      <c r="BF286" s="1917"/>
    </row>
    <row s="10365" customFormat="1" customHeight="1" ht="11.25">
      <c r="A287" s="1262" t="s">
        <v>1194</v>
      </c>
      <c r="B287" s="1262"/>
      <c r="C287" s="1262"/>
      <c r="D287" s="1462"/>
      <c r="E287" s="1266"/>
      <c r="F287" s="3394"/>
      <c r="G287" s="3396"/>
      <c r="H287" s="3263" t="s">
        <v>1285</v>
      </c>
      <c r="I287" s="3374"/>
      <c r="J287" s="3334"/>
      <c r="K287" s="3372"/>
      <c r="L287" s="2989"/>
      <c r="M287" s="2990"/>
      <c r="N287" s="1271"/>
      <c r="O287" s="1272"/>
      <c r="P287" s="1337" t="s">
        <v>1204</v>
      </c>
      <c r="Q287" s="1272"/>
      <c r="R287" s="1272"/>
      <c r="S287" s="1272"/>
      <c r="T287" s="1272"/>
      <c r="U287" s="1272"/>
      <c r="V287" s="1272"/>
      <c r="W287" s="1272"/>
      <c r="X287" s="1272"/>
      <c r="Y287" s="1272"/>
      <c r="Z287" s="1272"/>
      <c r="AA287" s="1272"/>
      <c r="AB287" s="1272"/>
      <c r="AC287" s="1272"/>
      <c r="AD287" s="1272"/>
      <c r="AE287" s="1279"/>
      <c r="AF287" s="3375"/>
      <c r="AG287" s="3376"/>
      <c r="AH287" s="3376"/>
      <c r="AI287" s="3375"/>
      <c r="AJ287" s="3376"/>
      <c r="AK287" s="3376"/>
      <c r="AL287" s="2079"/>
      <c r="AM287" s="1917"/>
      <c r="AN287" s="1917"/>
      <c r="AO287" s="1917"/>
      <c r="AP287" s="1917"/>
      <c r="AQ287" s="1917"/>
      <c r="AR287" s="1917"/>
      <c r="AS287" s="1917"/>
      <c r="AT287" s="1917"/>
      <c r="AU287" s="1917"/>
      <c r="AV287" s="1917"/>
      <c r="AW287" s="1917"/>
      <c r="AX287" s="1917"/>
      <c r="AY287" s="1917"/>
      <c r="AZ287" s="1917"/>
      <c r="BA287" s="1917"/>
      <c r="BB287" s="1917"/>
      <c r="BC287" s="1917"/>
      <c r="BD287" s="1917"/>
      <c r="BE287" s="1917"/>
      <c r="BF287" s="1917"/>
    </row>
    <row s="10365" customFormat="1" customHeight="1" ht="11.25">
      <c r="A288" s="1262" t="s">
        <v>1194</v>
      </c>
      <c r="B288" s="1262" t="s">
        <v>1195</v>
      </c>
      <c r="C288" s="1262"/>
      <c r="D288" s="1462"/>
      <c r="E288" s="1266"/>
      <c r="F288" s="3394"/>
      <c r="G288" s="3004" t="s">
        <v>103</v>
      </c>
      <c r="H288" s="3263" t="s">
        <v>1290</v>
      </c>
      <c r="I288" s="3374" t="s">
        <v>1196</v>
      </c>
      <c r="J288" s="3334" t="s">
        <v>1197</v>
      </c>
      <c r="K288" s="3372" t="s">
        <v>1291</v>
      </c>
      <c r="L288" s="2989" t="s">
        <v>19</v>
      </c>
      <c r="M288" s="2990"/>
      <c r="N288" s="2077"/>
      <c r="O288" s="1273" t="s">
        <v>461</v>
      </c>
      <c r="P288" s="1274"/>
      <c r="Q288" s="1274"/>
      <c r="R288" s="1274"/>
      <c r="S288" s="1274"/>
      <c r="T288" s="1274"/>
      <c r="U288" s="1274"/>
      <c r="V288" s="1274"/>
      <c r="W288" s="1274"/>
      <c r="X288" s="1274"/>
      <c r="Y288" s="1274"/>
      <c r="Z288" s="1274"/>
      <c r="AA288" s="1274"/>
      <c r="AB288" s="1274"/>
      <c r="AC288" s="1274"/>
      <c r="AD288" s="1274"/>
      <c r="AE288" s="1274"/>
      <c r="AF288" s="3375">
        <v>3</v>
      </c>
      <c r="AG288" s="3376" t="s">
        <v>1199</v>
      </c>
      <c r="AH288" s="3376" t="s">
        <v>1210</v>
      </c>
      <c r="AI288" s="3375">
        <v>3</v>
      </c>
      <c r="AJ288" s="3376" t="s">
        <v>1199</v>
      </c>
      <c r="AK288" s="3376" t="s">
        <v>1210</v>
      </c>
      <c r="AL288" s="2079"/>
      <c r="AM288" s="1917"/>
      <c r="AN288" s="1917"/>
      <c r="AO288" s="1917"/>
      <c r="AP288" s="1917"/>
      <c r="AQ288" s="1917"/>
      <c r="AR288" s="1917"/>
      <c r="AS288" s="1917"/>
      <c r="AT288" s="1917"/>
      <c r="AU288" s="1917"/>
      <c r="AV288" s="1917"/>
      <c r="AW288" s="1917"/>
      <c r="AX288" s="1917"/>
      <c r="AY288" s="1917"/>
      <c r="AZ288" s="1917"/>
      <c r="BA288" s="1917"/>
      <c r="BB288" s="1917"/>
      <c r="BC288" s="1917"/>
      <c r="BD288" s="1917"/>
      <c r="BE288" s="1917"/>
      <c r="BF288" s="1917"/>
    </row>
    <row s="10365" customFormat="1" customHeight="1" ht="11.25">
      <c r="A289" s="1262" t="s">
        <v>1194</v>
      </c>
      <c r="B289" s="1262"/>
      <c r="C289" s="1262"/>
      <c r="D289" s="1462"/>
      <c r="E289" s="1266"/>
      <c r="F289" s="3394"/>
      <c r="G289" s="3396"/>
      <c r="H289" s="3263" t="s">
        <v>1288</v>
      </c>
      <c r="I289" s="3374"/>
      <c r="J289" s="3334"/>
      <c r="K289" s="3372"/>
      <c r="L289" s="2989"/>
      <c r="M289" s="2990"/>
      <c r="N289" s="3341"/>
      <c r="O289" s="3377">
        <v>1</v>
      </c>
      <c r="P289" s="3343" t="s">
        <v>19</v>
      </c>
      <c r="Q289" s="3236" t="s">
        <v>22</v>
      </c>
      <c r="R289" s="3236" t="s">
        <v>22</v>
      </c>
      <c r="S289" s="3236" t="s">
        <v>22</v>
      </c>
      <c r="T289" s="3236" t="s">
        <v>22</v>
      </c>
      <c r="U289" s="3236" t="s">
        <v>22</v>
      </c>
      <c r="V289" s="3236" t="s">
        <v>22</v>
      </c>
      <c r="W289" s="3236" t="s">
        <v>22</v>
      </c>
      <c r="X289" s="3236" t="s">
        <v>22</v>
      </c>
      <c r="Y289" s="3236"/>
      <c r="Z289" s="1271"/>
      <c r="AA289" s="1272"/>
      <c r="AB289" s="1272"/>
      <c r="AC289" s="1276"/>
      <c r="AD289" s="1276"/>
      <c r="AE289" s="1277"/>
      <c r="AF289" s="3375"/>
      <c r="AG289" s="3376"/>
      <c r="AH289" s="3376"/>
      <c r="AI289" s="3375"/>
      <c r="AJ289" s="3376"/>
      <c r="AK289" s="3376"/>
      <c r="AL289" s="2079"/>
      <c r="AM289" s="1917"/>
      <c r="AN289" s="1917"/>
      <c r="AO289" s="1917"/>
      <c r="AP289" s="1917"/>
      <c r="AQ289" s="1917"/>
      <c r="AR289" s="1917"/>
      <c r="AS289" s="1917"/>
      <c r="AT289" s="1917"/>
      <c r="AU289" s="1917"/>
      <c r="AV289" s="1917"/>
      <c r="AW289" s="1917"/>
      <c r="AX289" s="1917"/>
      <c r="AY289" s="1917"/>
      <c r="AZ289" s="1917"/>
      <c r="BA289" s="1917"/>
      <c r="BB289" s="1917"/>
      <c r="BC289" s="1917"/>
      <c r="BD289" s="1917"/>
      <c r="BE289" s="1917"/>
      <c r="BF289" s="1917"/>
    </row>
    <row s="10365" customFormat="1" customHeight="1" ht="11.25">
      <c r="A290" s="1262" t="s">
        <v>1194</v>
      </c>
      <c r="B290" s="1262"/>
      <c r="C290" s="1262"/>
      <c r="D290" s="1462"/>
      <c r="E290" s="1266"/>
      <c r="F290" s="3394"/>
      <c r="G290" s="3396"/>
      <c r="H290" s="3263" t="s">
        <v>1288</v>
      </c>
      <c r="I290" s="3374"/>
      <c r="J290" s="3334"/>
      <c r="K290" s="3372"/>
      <c r="L290" s="2989"/>
      <c r="M290" s="2990"/>
      <c r="N290" s="3341"/>
      <c r="O290" s="3377"/>
      <c r="P290" s="3344"/>
      <c r="Q290" s="3236"/>
      <c r="R290" s="3236"/>
      <c r="S290" s="3346"/>
      <c r="T290" s="3236"/>
      <c r="U290" s="3236"/>
      <c r="V290" s="3236"/>
      <c r="W290" s="3236"/>
      <c r="X290" s="3236"/>
      <c r="Y290" s="3236"/>
      <c r="Z290" s="1922"/>
      <c r="AA290" s="2198">
        <v>1</v>
      </c>
      <c r="AB290" s="1275" t="s">
        <v>1201</v>
      </c>
      <c r="AC290" s="1265">
        <v>3000</v>
      </c>
      <c r="AD290" s="1275" t="str">
        <f>AB290</f>
        <v>      Амортизационные отчисления с выделением результатов переоценки основных средств и нематериальных активов</v>
      </c>
      <c r="AE290" s="1265">
        <v>2252.5</v>
      </c>
      <c r="AF290" s="3375"/>
      <c r="AG290" s="3376"/>
      <c r="AH290" s="3376"/>
      <c r="AI290" s="3375"/>
      <c r="AJ290" s="3376"/>
      <c r="AK290" s="3376"/>
      <c r="AL290" s="2079"/>
      <c r="AM290" s="1917"/>
      <c r="AN290" s="1917"/>
      <c r="AO290" s="1917"/>
      <c r="AP290" s="1917"/>
      <c r="AQ290" s="1917"/>
      <c r="AR290" s="1917"/>
      <c r="AS290" s="1917"/>
      <c r="AT290" s="1917"/>
      <c r="AU290" s="1917"/>
      <c r="AV290" s="1917"/>
      <c r="AW290" s="1917"/>
      <c r="AX290" s="1917"/>
      <c r="AY290" s="1917"/>
      <c r="AZ290" s="1917"/>
      <c r="BA290" s="1917"/>
      <c r="BB290" s="1917"/>
      <c r="BC290" s="1917"/>
      <c r="BD290" s="1917"/>
      <c r="BE290" s="1917"/>
      <c r="BF290" s="1917"/>
    </row>
    <row s="10365" customFormat="1" customHeight="1" ht="11.25">
      <c r="A291" s="1262" t="s">
        <v>1194</v>
      </c>
      <c r="B291" s="1262"/>
      <c r="C291" s="1262"/>
      <c r="D291" s="1462"/>
      <c r="E291" s="1266"/>
      <c r="F291" s="3394"/>
      <c r="G291" s="3396"/>
      <c r="H291" s="3396"/>
      <c r="I291" s="3396"/>
      <c r="J291" s="3396"/>
      <c r="K291" s="3396"/>
      <c r="L291" s="3396"/>
      <c r="M291" s="3396"/>
      <c r="N291" s="3396"/>
      <c r="O291" s="3396"/>
      <c r="P291" s="3396"/>
      <c r="Q291" s="3396"/>
      <c r="R291" s="3396"/>
      <c r="S291" s="3396"/>
      <c r="T291" s="3396"/>
      <c r="U291" s="3396"/>
      <c r="V291" s="3396"/>
      <c r="W291" s="3396"/>
      <c r="X291" s="3396"/>
      <c r="Y291" s="3396"/>
      <c r="Z291" s="790" t="s">
        <v>103</v>
      </c>
      <c r="AA291" s="2195" t="s">
        <v>102</v>
      </c>
      <c r="AB291" s="1275" t="s">
        <v>1208</v>
      </c>
      <c r="AC291" s="1265">
        <v>600</v>
      </c>
      <c r="AD291" s="1275" t="str">
        <f>AB291</f>
        <v>  Прочие собственные средства</v>
      </c>
      <c r="AE291" s="1265">
        <v>270.7985</v>
      </c>
      <c r="AF291" s="3397"/>
      <c r="AG291" s="3398"/>
      <c r="AH291" s="3398"/>
      <c r="AI291" s="3397"/>
      <c r="AJ291" s="3398"/>
      <c r="AK291" s="3399"/>
      <c r="AL291" s="2079"/>
      <c r="AM291" s="1917"/>
      <c r="AN291" s="1917"/>
      <c r="AO291" s="1917"/>
      <c r="AP291" s="1917"/>
      <c r="AQ291" s="1917"/>
      <c r="AR291" s="1917"/>
      <c r="AS291" s="1917"/>
      <c r="AT291" s="1917"/>
      <c r="AU291" s="1917"/>
      <c r="AV291" s="1917"/>
      <c r="AW291" s="1917"/>
      <c r="AX291" s="1917"/>
      <c r="AY291" s="1917"/>
      <c r="AZ291" s="1917"/>
      <c r="BA291" s="1917"/>
      <c r="BB291" s="1917"/>
      <c r="BC291" s="1917"/>
      <c r="BD291" s="1917"/>
      <c r="BE291" s="1917"/>
      <c r="BF291" s="1917"/>
    </row>
    <row s="10365" customFormat="1" customHeight="1" ht="11.25">
      <c r="A292" s="1262" t="s">
        <v>1194</v>
      </c>
      <c r="B292" s="1262"/>
      <c r="C292" s="1262"/>
      <c r="D292" s="1462"/>
      <c r="E292" s="1266"/>
      <c r="F292" s="3394"/>
      <c r="G292" s="3396"/>
      <c r="H292" s="3263" t="s">
        <v>1288</v>
      </c>
      <c r="I292" s="3374"/>
      <c r="J292" s="3334"/>
      <c r="K292" s="3372"/>
      <c r="L292" s="2989"/>
      <c r="M292" s="2990"/>
      <c r="N292" s="3341"/>
      <c r="O292" s="3377"/>
      <c r="P292" s="3345"/>
      <c r="Q292" s="3236"/>
      <c r="R292" s="3236"/>
      <c r="S292" s="3346"/>
      <c r="T292" s="3236"/>
      <c r="U292" s="3236"/>
      <c r="V292" s="3236"/>
      <c r="W292" s="3236"/>
      <c r="X292" s="3236"/>
      <c r="Y292" s="3236"/>
      <c r="Z292" s="1271"/>
      <c r="AA292" s="1272"/>
      <c r="AB292" s="1337" t="s">
        <v>1203</v>
      </c>
      <c r="AC292" s="1276"/>
      <c r="AD292" s="1276"/>
      <c r="AE292" s="1278"/>
      <c r="AF292" s="3375"/>
      <c r="AG292" s="3376"/>
      <c r="AH292" s="3376"/>
      <c r="AI292" s="3375"/>
      <c r="AJ292" s="3376"/>
      <c r="AK292" s="3376"/>
      <c r="AL292" s="2079"/>
      <c r="AM292" s="1917"/>
      <c r="AN292" s="1917"/>
      <c r="AO292" s="1917"/>
      <c r="AP292" s="1917"/>
      <c r="AQ292" s="1917"/>
      <c r="AR292" s="1917"/>
      <c r="AS292" s="1917"/>
      <c r="AT292" s="1917"/>
      <c r="AU292" s="1917"/>
      <c r="AV292" s="1917"/>
      <c r="AW292" s="1917"/>
      <c r="AX292" s="1917"/>
      <c r="AY292" s="1917"/>
      <c r="AZ292" s="1917"/>
      <c r="BA292" s="1917"/>
      <c r="BB292" s="1917"/>
      <c r="BC292" s="1917"/>
      <c r="BD292" s="1917"/>
      <c r="BE292" s="1917"/>
      <c r="BF292" s="1917"/>
    </row>
    <row s="10365" customFormat="1" customHeight="1" ht="11.25">
      <c r="A293" s="1262" t="s">
        <v>1194</v>
      </c>
      <c r="B293" s="1262"/>
      <c r="C293" s="1262"/>
      <c r="D293" s="1462"/>
      <c r="E293" s="1266"/>
      <c r="F293" s="3394"/>
      <c r="G293" s="3396"/>
      <c r="H293" s="3263" t="s">
        <v>1288</v>
      </c>
      <c r="I293" s="3374"/>
      <c r="J293" s="3334"/>
      <c r="K293" s="3372"/>
      <c r="L293" s="2989"/>
      <c r="M293" s="2990"/>
      <c r="N293" s="1271"/>
      <c r="O293" s="1272"/>
      <c r="P293" s="1337" t="s">
        <v>1204</v>
      </c>
      <c r="Q293" s="1272"/>
      <c r="R293" s="1272"/>
      <c r="S293" s="1272"/>
      <c r="T293" s="1272"/>
      <c r="U293" s="1272"/>
      <c r="V293" s="1272"/>
      <c r="W293" s="1272"/>
      <c r="X293" s="1272"/>
      <c r="Y293" s="1272"/>
      <c r="Z293" s="1272"/>
      <c r="AA293" s="1272"/>
      <c r="AB293" s="1272"/>
      <c r="AC293" s="1272"/>
      <c r="AD293" s="1272"/>
      <c r="AE293" s="1279"/>
      <c r="AF293" s="3375"/>
      <c r="AG293" s="3376"/>
      <c r="AH293" s="3376"/>
      <c r="AI293" s="3375"/>
      <c r="AJ293" s="3376"/>
      <c r="AK293" s="3376"/>
      <c r="AL293" s="2079"/>
      <c r="AM293" s="1917"/>
      <c r="AN293" s="1917"/>
      <c r="AO293" s="1917"/>
      <c r="AP293" s="1917"/>
      <c r="AQ293" s="1917"/>
      <c r="AR293" s="1917"/>
      <c r="AS293" s="1917"/>
      <c r="AT293" s="1917"/>
      <c r="AU293" s="1917"/>
      <c r="AV293" s="1917"/>
      <c r="AW293" s="1917"/>
      <c r="AX293" s="1917"/>
      <c r="AY293" s="1917"/>
      <c r="AZ293" s="1917"/>
      <c r="BA293" s="1917"/>
      <c r="BB293" s="1917"/>
      <c r="BC293" s="1917"/>
      <c r="BD293" s="1917"/>
      <c r="BE293" s="1917"/>
      <c r="BF293" s="1917"/>
    </row>
    <row s="10365" customFormat="1" customHeight="1" ht="11.25">
      <c r="A294" s="1262" t="s">
        <v>1194</v>
      </c>
      <c r="B294" s="1262" t="s">
        <v>1195</v>
      </c>
      <c r="C294" s="1262"/>
      <c r="D294" s="1462"/>
      <c r="E294" s="1266"/>
      <c r="F294" s="3394"/>
      <c r="G294" s="3004" t="s">
        <v>103</v>
      </c>
      <c r="H294" s="3263" t="s">
        <v>1292</v>
      </c>
      <c r="I294" s="3374" t="s">
        <v>1196</v>
      </c>
      <c r="J294" s="3334" t="s">
        <v>1219</v>
      </c>
      <c r="K294" s="3372" t="s">
        <v>1293</v>
      </c>
      <c r="L294" s="2989" t="s">
        <v>62</v>
      </c>
      <c r="M294" s="2989" t="s">
        <v>1160</v>
      </c>
      <c r="N294" s="2077"/>
      <c r="O294" s="1273" t="s">
        <v>461</v>
      </c>
      <c r="P294" s="1274"/>
      <c r="Q294" s="1274"/>
      <c r="R294" s="1274"/>
      <c r="S294" s="1274"/>
      <c r="T294" s="1274"/>
      <c r="U294" s="1274"/>
      <c r="V294" s="1274"/>
      <c r="W294" s="1274"/>
      <c r="X294" s="1274"/>
      <c r="Y294" s="1274"/>
      <c r="Z294" s="1274"/>
      <c r="AA294" s="1274"/>
      <c r="AB294" s="1274"/>
      <c r="AC294" s="1274"/>
      <c r="AD294" s="1274"/>
      <c r="AE294" s="1274"/>
      <c r="AF294" s="3375">
        <v>3</v>
      </c>
      <c r="AG294" s="3376" t="s">
        <v>1206</v>
      </c>
      <c r="AH294" s="3376" t="s">
        <v>1210</v>
      </c>
      <c r="AI294" s="3375">
        <v>3</v>
      </c>
      <c r="AJ294" s="3376" t="s">
        <v>1206</v>
      </c>
      <c r="AK294" s="3376" t="s">
        <v>1210</v>
      </c>
      <c r="AL294" s="2079"/>
      <c r="AM294" s="1917"/>
      <c r="AN294" s="1917"/>
      <c r="AO294" s="1917"/>
      <c r="AP294" s="1917"/>
      <c r="AQ294" s="1917"/>
      <c r="AR294" s="1917"/>
      <c r="AS294" s="1917"/>
      <c r="AT294" s="1917"/>
      <c r="AU294" s="1917"/>
      <c r="AV294" s="1917"/>
      <c r="AW294" s="1917"/>
      <c r="AX294" s="1917"/>
      <c r="AY294" s="1917"/>
      <c r="AZ294" s="1917"/>
      <c r="BA294" s="1917"/>
      <c r="BB294" s="1917"/>
      <c r="BC294" s="1917"/>
      <c r="BD294" s="1917"/>
      <c r="BE294" s="1917"/>
      <c r="BF294" s="1917"/>
    </row>
    <row s="10365" customFormat="1" customHeight="1" ht="11.25">
      <c r="A295" s="1262" t="s">
        <v>1194</v>
      </c>
      <c r="B295" s="1262"/>
      <c r="C295" s="1262"/>
      <c r="D295" s="1462"/>
      <c r="E295" s="1266"/>
      <c r="F295" s="3394"/>
      <c r="G295" s="3396"/>
      <c r="H295" s="3263" t="s">
        <v>1290</v>
      </c>
      <c r="I295" s="3374"/>
      <c r="J295" s="3334"/>
      <c r="K295" s="3372"/>
      <c r="L295" s="2989"/>
      <c r="M295" s="2989"/>
      <c r="N295" s="3341"/>
      <c r="O295" s="3377">
        <v>1</v>
      </c>
      <c r="P295" s="3343" t="s">
        <v>19</v>
      </c>
      <c r="Q295" s="3236" t="s">
        <v>22</v>
      </c>
      <c r="R295" s="3236" t="s">
        <v>22</v>
      </c>
      <c r="S295" s="3236" t="s">
        <v>22</v>
      </c>
      <c r="T295" s="3236" t="s">
        <v>22</v>
      </c>
      <c r="U295" s="3236" t="s">
        <v>22</v>
      </c>
      <c r="V295" s="3236" t="s">
        <v>22</v>
      </c>
      <c r="W295" s="3236" t="s">
        <v>22</v>
      </c>
      <c r="X295" s="3236" t="s">
        <v>22</v>
      </c>
      <c r="Y295" s="3236"/>
      <c r="Z295" s="1271"/>
      <c r="AA295" s="1272"/>
      <c r="AB295" s="1272"/>
      <c r="AC295" s="1276"/>
      <c r="AD295" s="1276"/>
      <c r="AE295" s="1277"/>
      <c r="AF295" s="3375"/>
      <c r="AG295" s="3376"/>
      <c r="AH295" s="3376"/>
      <c r="AI295" s="3375"/>
      <c r="AJ295" s="3376"/>
      <c r="AK295" s="3376"/>
      <c r="AL295" s="2079"/>
      <c r="AM295" s="1917"/>
      <c r="AN295" s="1917"/>
      <c r="AO295" s="1917"/>
      <c r="AP295" s="1917"/>
      <c r="AQ295" s="1917"/>
      <c r="AR295" s="1917"/>
      <c r="AS295" s="1917"/>
      <c r="AT295" s="1917"/>
      <c r="AU295" s="1917"/>
      <c r="AV295" s="1917"/>
      <c r="AW295" s="1917"/>
      <c r="AX295" s="1917"/>
      <c r="AY295" s="1917"/>
      <c r="AZ295" s="1917"/>
      <c r="BA295" s="1917"/>
      <c r="BB295" s="1917"/>
      <c r="BC295" s="1917"/>
      <c r="BD295" s="1917"/>
      <c r="BE295" s="1917"/>
      <c r="BF295" s="1917"/>
    </row>
    <row s="10365" customFormat="1" customHeight="1" ht="11.25">
      <c r="A296" s="1262" t="s">
        <v>1194</v>
      </c>
      <c r="B296" s="1262"/>
      <c r="C296" s="1262"/>
      <c r="D296" s="1462"/>
      <c r="E296" s="1266"/>
      <c r="F296" s="3394"/>
      <c r="G296" s="3396"/>
      <c r="H296" s="3263" t="s">
        <v>1290</v>
      </c>
      <c r="I296" s="3374"/>
      <c r="J296" s="3334"/>
      <c r="K296" s="3372"/>
      <c r="L296" s="2989"/>
      <c r="M296" s="2989"/>
      <c r="N296" s="3341"/>
      <c r="O296" s="3377"/>
      <c r="P296" s="3344"/>
      <c r="Q296" s="3236"/>
      <c r="R296" s="3236"/>
      <c r="S296" s="3346"/>
      <c r="T296" s="3236"/>
      <c r="U296" s="3236"/>
      <c r="V296" s="3236"/>
      <c r="W296" s="3236"/>
      <c r="X296" s="3236"/>
      <c r="Y296" s="3236"/>
      <c r="Z296" s="1922"/>
      <c r="AA296" s="2198">
        <v>1</v>
      </c>
      <c r="AB296" s="1275" t="s">
        <v>1294</v>
      </c>
      <c r="AC296" s="1265">
        <v>215418.48</v>
      </c>
      <c r="AD296" s="1275" t="str">
        <f>AB296</f>
        <v>  Кредиты</v>
      </c>
      <c r="AE296" s="1265">
        <v>147271.31</v>
      </c>
      <c r="AF296" s="3375"/>
      <c r="AG296" s="3376"/>
      <c r="AH296" s="3376"/>
      <c r="AI296" s="3375"/>
      <c r="AJ296" s="3376"/>
      <c r="AK296" s="3376"/>
      <c r="AL296" s="2079"/>
      <c r="AM296" s="1917"/>
      <c r="AN296" s="1917"/>
      <c r="AO296" s="1917"/>
      <c r="AP296" s="1917"/>
      <c r="AQ296" s="1917"/>
      <c r="AR296" s="1917"/>
      <c r="AS296" s="1917"/>
      <c r="AT296" s="1917"/>
      <c r="AU296" s="1917"/>
      <c r="AV296" s="1917"/>
      <c r="AW296" s="1917"/>
      <c r="AX296" s="1917"/>
      <c r="AY296" s="1917"/>
      <c r="AZ296" s="1917"/>
      <c r="BA296" s="1917"/>
      <c r="BB296" s="1917"/>
      <c r="BC296" s="1917"/>
      <c r="BD296" s="1917"/>
      <c r="BE296" s="1917"/>
      <c r="BF296" s="1917"/>
    </row>
    <row s="10365" customFormat="1" customHeight="1" ht="11.25">
      <c r="A297" s="1262" t="s">
        <v>1194</v>
      </c>
      <c r="B297" s="1262"/>
      <c r="C297" s="1262"/>
      <c r="D297" s="1462"/>
      <c r="E297" s="1266"/>
      <c r="F297" s="3394"/>
      <c r="G297" s="3396"/>
      <c r="H297" s="3396"/>
      <c r="I297" s="3396"/>
      <c r="J297" s="3396"/>
      <c r="K297" s="3396"/>
      <c r="L297" s="3396"/>
      <c r="M297" s="3396"/>
      <c r="N297" s="3396"/>
      <c r="O297" s="3396"/>
      <c r="P297" s="3396"/>
      <c r="Q297" s="3396"/>
      <c r="R297" s="3396"/>
      <c r="S297" s="3396"/>
      <c r="T297" s="3396"/>
      <c r="U297" s="3396"/>
      <c r="V297" s="3396"/>
      <c r="W297" s="3396"/>
      <c r="X297" s="3396"/>
      <c r="Y297" s="3396"/>
      <c r="Z297" s="790" t="s">
        <v>103</v>
      </c>
      <c r="AA297" s="2195" t="s">
        <v>102</v>
      </c>
      <c r="AB297" s="1275" t="s">
        <v>1201</v>
      </c>
      <c r="AC297" s="1265">
        <v>0</v>
      </c>
      <c r="AD297" s="1275" t="str">
        <f>AB297</f>
        <v>      Амортизационные отчисления с выделением результатов переоценки основных средств и нематериальных активов</v>
      </c>
      <c r="AE297" s="1265">
        <v>1236.93</v>
      </c>
      <c r="AF297" s="3397"/>
      <c r="AG297" s="3398"/>
      <c r="AH297" s="3398"/>
      <c r="AI297" s="3397"/>
      <c r="AJ297" s="3398"/>
      <c r="AK297" s="3399"/>
      <c r="AL297" s="2079"/>
      <c r="AM297" s="1917"/>
      <c r="AN297" s="1917"/>
      <c r="AO297" s="1917"/>
      <c r="AP297" s="1917"/>
      <c r="AQ297" s="1917"/>
      <c r="AR297" s="1917"/>
      <c r="AS297" s="1917"/>
      <c r="AT297" s="1917"/>
      <c r="AU297" s="1917"/>
      <c r="AV297" s="1917"/>
      <c r="AW297" s="1917"/>
      <c r="AX297" s="1917"/>
      <c r="AY297" s="1917"/>
      <c r="AZ297" s="1917"/>
      <c r="BA297" s="1917"/>
      <c r="BB297" s="1917"/>
      <c r="BC297" s="1917"/>
      <c r="BD297" s="1917"/>
      <c r="BE297" s="1917"/>
      <c r="BF297" s="1917"/>
    </row>
    <row s="10365" customFormat="1" customHeight="1" ht="11.25">
      <c r="A298" s="1262" t="s">
        <v>1194</v>
      </c>
      <c r="B298" s="1262"/>
      <c r="C298" s="1262"/>
      <c r="D298" s="1462"/>
      <c r="E298" s="1266"/>
      <c r="F298" s="3394"/>
      <c r="G298" s="3396"/>
      <c r="H298" s="3263" t="s">
        <v>1290</v>
      </c>
      <c r="I298" s="3374"/>
      <c r="J298" s="3334"/>
      <c r="K298" s="3372"/>
      <c r="L298" s="2989"/>
      <c r="M298" s="2989"/>
      <c r="N298" s="3341"/>
      <c r="O298" s="3377"/>
      <c r="P298" s="3345"/>
      <c r="Q298" s="3236"/>
      <c r="R298" s="3236"/>
      <c r="S298" s="3346"/>
      <c r="T298" s="3236"/>
      <c r="U298" s="3236"/>
      <c r="V298" s="3236"/>
      <c r="W298" s="3236"/>
      <c r="X298" s="3236"/>
      <c r="Y298" s="3236"/>
      <c r="Z298" s="1271"/>
      <c r="AA298" s="1272"/>
      <c r="AB298" s="1337" t="s">
        <v>1203</v>
      </c>
      <c r="AC298" s="1276"/>
      <c r="AD298" s="1276"/>
      <c r="AE298" s="1278"/>
      <c r="AF298" s="3375"/>
      <c r="AG298" s="3376"/>
      <c r="AH298" s="3376"/>
      <c r="AI298" s="3375"/>
      <c r="AJ298" s="3376"/>
      <c r="AK298" s="3376"/>
      <c r="AL298" s="2079"/>
      <c r="AM298" s="1917"/>
      <c r="AN298" s="1917"/>
      <c r="AO298" s="1917"/>
      <c r="AP298" s="1917"/>
      <c r="AQ298" s="1917"/>
      <c r="AR298" s="1917"/>
      <c r="AS298" s="1917"/>
      <c r="AT298" s="1917"/>
      <c r="AU298" s="1917"/>
      <c r="AV298" s="1917"/>
      <c r="AW298" s="1917"/>
      <c r="AX298" s="1917"/>
      <c r="AY298" s="1917"/>
      <c r="AZ298" s="1917"/>
      <c r="BA298" s="1917"/>
      <c r="BB298" s="1917"/>
      <c r="BC298" s="1917"/>
      <c r="BD298" s="1917"/>
      <c r="BE298" s="1917"/>
      <c r="BF298" s="1917"/>
    </row>
    <row s="10365" customFormat="1" customHeight="1" ht="11.25">
      <c r="A299" s="1262" t="s">
        <v>1194</v>
      </c>
      <c r="B299" s="1262"/>
      <c r="C299" s="1262"/>
      <c r="D299" s="1462"/>
      <c r="E299" s="1266"/>
      <c r="F299" s="3394"/>
      <c r="G299" s="3396"/>
      <c r="H299" s="3263" t="s">
        <v>1290</v>
      </c>
      <c r="I299" s="3374"/>
      <c r="J299" s="3334"/>
      <c r="K299" s="3372"/>
      <c r="L299" s="2989"/>
      <c r="M299" s="2989"/>
      <c r="N299" s="1271"/>
      <c r="O299" s="1272"/>
      <c r="P299" s="1337" t="s">
        <v>1204</v>
      </c>
      <c r="Q299" s="1272"/>
      <c r="R299" s="1272"/>
      <c r="S299" s="1272"/>
      <c r="T299" s="1272"/>
      <c r="U299" s="1272"/>
      <c r="V299" s="1272"/>
      <c r="W299" s="1272"/>
      <c r="X299" s="1272"/>
      <c r="Y299" s="1272"/>
      <c r="Z299" s="1272"/>
      <c r="AA299" s="1272"/>
      <c r="AB299" s="1272"/>
      <c r="AC299" s="1272"/>
      <c r="AD299" s="1272"/>
      <c r="AE299" s="1279"/>
      <c r="AF299" s="3375"/>
      <c r="AG299" s="3376"/>
      <c r="AH299" s="3376"/>
      <c r="AI299" s="3375"/>
      <c r="AJ299" s="3376"/>
      <c r="AK299" s="3376"/>
      <c r="AL299" s="2079"/>
      <c r="AM299" s="1917"/>
      <c r="AN299" s="1917"/>
      <c r="AO299" s="1917"/>
      <c r="AP299" s="1917"/>
      <c r="AQ299" s="1917"/>
      <c r="AR299" s="1917"/>
      <c r="AS299" s="1917"/>
      <c r="AT299" s="1917"/>
      <c r="AU299" s="1917"/>
      <c r="AV299" s="1917"/>
      <c r="AW299" s="1917"/>
      <c r="AX299" s="1917"/>
      <c r="AY299" s="1917"/>
      <c r="AZ299" s="1917"/>
      <c r="BA299" s="1917"/>
      <c r="BB299" s="1917"/>
      <c r="BC299" s="1917"/>
      <c r="BD299" s="1917"/>
      <c r="BE299" s="1917"/>
      <c r="BF299" s="1917"/>
    </row>
    <row s="10365" customFormat="1" customHeight="1" ht="11.25">
      <c r="A300" s="1262" t="s">
        <v>1194</v>
      </c>
      <c r="B300" s="1262" t="s">
        <v>22</v>
      </c>
      <c r="C300" s="1262"/>
      <c r="D300" s="1462"/>
      <c r="E300" s="1266"/>
      <c r="F300" s="3394"/>
      <c r="G300" s="3004" t="s">
        <v>103</v>
      </c>
      <c r="H300" s="3263" t="s">
        <v>1295</v>
      </c>
      <c r="I300" s="3374" t="s">
        <v>1275</v>
      </c>
      <c r="J300" s="3400" t="s">
        <v>22</v>
      </c>
      <c r="K300" s="3372" t="s">
        <v>1296</v>
      </c>
      <c r="L300" s="2989" t="s">
        <v>19</v>
      </c>
      <c r="M300" s="2990"/>
      <c r="N300" s="2077"/>
      <c r="O300" s="1273" t="s">
        <v>461</v>
      </c>
      <c r="P300" s="1274"/>
      <c r="Q300" s="1274"/>
      <c r="R300" s="1274"/>
      <c r="S300" s="1274"/>
      <c r="T300" s="1274"/>
      <c r="U300" s="1274"/>
      <c r="V300" s="1274"/>
      <c r="W300" s="1274"/>
      <c r="X300" s="1274"/>
      <c r="Y300" s="1274"/>
      <c r="Z300" s="1274"/>
      <c r="AA300" s="1274"/>
      <c r="AB300" s="1274"/>
      <c r="AC300" s="1274"/>
      <c r="AD300" s="1274"/>
      <c r="AE300" s="1274"/>
      <c r="AF300" s="3375">
        <v>1</v>
      </c>
      <c r="AG300" s="3376" t="s">
        <v>1199</v>
      </c>
      <c r="AH300" s="3376" t="s">
        <v>1210</v>
      </c>
      <c r="AI300" s="3375">
        <v>1</v>
      </c>
      <c r="AJ300" s="3376" t="s">
        <v>1199</v>
      </c>
      <c r="AK300" s="3376" t="s">
        <v>1210</v>
      </c>
      <c r="AL300" s="2079"/>
      <c r="AM300" s="1917"/>
      <c r="AN300" s="1917"/>
      <c r="AO300" s="1917"/>
      <c r="AP300" s="1917"/>
      <c r="AQ300" s="1917"/>
      <c r="AR300" s="1917"/>
      <c r="AS300" s="1917"/>
      <c r="AT300" s="1917"/>
      <c r="AU300" s="1917"/>
      <c r="AV300" s="1917"/>
      <c r="AW300" s="1917"/>
      <c r="AX300" s="1917"/>
      <c r="AY300" s="1917"/>
      <c r="AZ300" s="1917"/>
      <c r="BA300" s="1917"/>
      <c r="BB300" s="1917"/>
      <c r="BC300" s="1917"/>
      <c r="BD300" s="1917"/>
      <c r="BE300" s="1917"/>
      <c r="BF300" s="1917"/>
    </row>
    <row s="10365" customFormat="1" customHeight="1" ht="11.25">
      <c r="A301" s="1262" t="s">
        <v>1194</v>
      </c>
      <c r="B301" s="1262"/>
      <c r="C301" s="1262"/>
      <c r="D301" s="1462"/>
      <c r="E301" s="1266"/>
      <c r="F301" s="3394"/>
      <c r="G301" s="3396"/>
      <c r="H301" s="3263" t="s">
        <v>1292</v>
      </c>
      <c r="I301" s="3374"/>
      <c r="J301" s="3400"/>
      <c r="K301" s="3372"/>
      <c r="L301" s="2989"/>
      <c r="M301" s="2990"/>
      <c r="N301" s="3341"/>
      <c r="O301" s="3377">
        <v>1</v>
      </c>
      <c r="P301" s="3343" t="s">
        <v>19</v>
      </c>
      <c r="Q301" s="3236" t="s">
        <v>22</v>
      </c>
      <c r="R301" s="3236" t="s">
        <v>22</v>
      </c>
      <c r="S301" s="3236" t="s">
        <v>22</v>
      </c>
      <c r="T301" s="3236" t="s">
        <v>22</v>
      </c>
      <c r="U301" s="3236" t="s">
        <v>22</v>
      </c>
      <c r="V301" s="3236" t="s">
        <v>22</v>
      </c>
      <c r="W301" s="3236" t="s">
        <v>22</v>
      </c>
      <c r="X301" s="3236" t="s">
        <v>22</v>
      </c>
      <c r="Y301" s="3236"/>
      <c r="Z301" s="1271"/>
      <c r="AA301" s="1272"/>
      <c r="AB301" s="1272"/>
      <c r="AC301" s="1276"/>
      <c r="AD301" s="1276"/>
      <c r="AE301" s="1277"/>
      <c r="AF301" s="3375"/>
      <c r="AG301" s="3376"/>
      <c r="AH301" s="3376"/>
      <c r="AI301" s="3375"/>
      <c r="AJ301" s="3376"/>
      <c r="AK301" s="3376"/>
      <c r="AL301" s="2079"/>
      <c r="AM301" s="1917"/>
      <c r="AN301" s="1917"/>
      <c r="AO301" s="1917"/>
      <c r="AP301" s="1917"/>
      <c r="AQ301" s="1917"/>
      <c r="AR301" s="1917"/>
      <c r="AS301" s="1917"/>
      <c r="AT301" s="1917"/>
      <c r="AU301" s="1917"/>
      <c r="AV301" s="1917"/>
      <c r="AW301" s="1917"/>
      <c r="AX301" s="1917"/>
      <c r="AY301" s="1917"/>
      <c r="AZ301" s="1917"/>
      <c r="BA301" s="1917"/>
      <c r="BB301" s="1917"/>
      <c r="BC301" s="1917"/>
      <c r="BD301" s="1917"/>
      <c r="BE301" s="1917"/>
      <c r="BF301" s="1917"/>
    </row>
    <row s="10365" customFormat="1" customHeight="1" ht="11.25">
      <c r="A302" s="1262" t="s">
        <v>1194</v>
      </c>
      <c r="B302" s="1262"/>
      <c r="C302" s="1262"/>
      <c r="D302" s="1462"/>
      <c r="E302" s="1266"/>
      <c r="F302" s="3394"/>
      <c r="G302" s="3396"/>
      <c r="H302" s="3263" t="s">
        <v>1292</v>
      </c>
      <c r="I302" s="3374"/>
      <c r="J302" s="3400"/>
      <c r="K302" s="3372"/>
      <c r="L302" s="2989"/>
      <c r="M302" s="2990"/>
      <c r="N302" s="3341"/>
      <c r="O302" s="3377"/>
      <c r="P302" s="3344"/>
      <c r="Q302" s="3236"/>
      <c r="R302" s="3236"/>
      <c r="S302" s="3346"/>
      <c r="T302" s="3236"/>
      <c r="U302" s="3236"/>
      <c r="V302" s="3236"/>
      <c r="W302" s="3236"/>
      <c r="X302" s="3236"/>
      <c r="Y302" s="3236"/>
      <c r="Z302" s="1922"/>
      <c r="AA302" s="2198">
        <v>1</v>
      </c>
      <c r="AB302" s="1275" t="s">
        <v>1201</v>
      </c>
      <c r="AC302" s="1265">
        <v>23803.29</v>
      </c>
      <c r="AD302" s="1275" t="str">
        <f>AB302</f>
        <v>      Амортизационные отчисления с выделением результатов переоценки основных средств и нематериальных активов</v>
      </c>
      <c r="AE302" s="1265">
        <v>289.14</v>
      </c>
      <c r="AF302" s="3375"/>
      <c r="AG302" s="3376"/>
      <c r="AH302" s="3376"/>
      <c r="AI302" s="3375"/>
      <c r="AJ302" s="3376"/>
      <c r="AK302" s="3376"/>
      <c r="AL302" s="2079"/>
      <c r="AM302" s="1917"/>
      <c r="AN302" s="1917"/>
      <c r="AO302" s="1917"/>
      <c r="AP302" s="1917"/>
      <c r="AQ302" s="1917"/>
      <c r="AR302" s="1917"/>
      <c r="AS302" s="1917"/>
      <c r="AT302" s="1917"/>
      <c r="AU302" s="1917"/>
      <c r="AV302" s="1917"/>
      <c r="AW302" s="1917"/>
      <c r="AX302" s="1917"/>
      <c r="AY302" s="1917"/>
      <c r="AZ302" s="1917"/>
      <c r="BA302" s="1917"/>
      <c r="BB302" s="1917"/>
      <c r="BC302" s="1917"/>
      <c r="BD302" s="1917"/>
      <c r="BE302" s="1917"/>
      <c r="BF302" s="1917"/>
    </row>
    <row s="10365" customFormat="1" customHeight="1" ht="11.25">
      <c r="A303" s="1262" t="s">
        <v>1194</v>
      </c>
      <c r="B303" s="1262"/>
      <c r="C303" s="1262"/>
      <c r="D303" s="1462"/>
      <c r="E303" s="1266"/>
      <c r="F303" s="3394"/>
      <c r="G303" s="3396"/>
      <c r="H303" s="3396"/>
      <c r="I303" s="3396"/>
      <c r="J303" s="3396"/>
      <c r="K303" s="3396"/>
      <c r="L303" s="3396"/>
      <c r="M303" s="3396"/>
      <c r="N303" s="3396"/>
      <c r="O303" s="3396"/>
      <c r="P303" s="3396"/>
      <c r="Q303" s="3396"/>
      <c r="R303" s="3396"/>
      <c r="S303" s="3396"/>
      <c r="T303" s="3396"/>
      <c r="U303" s="3396"/>
      <c r="V303" s="3396"/>
      <c r="W303" s="3396"/>
      <c r="X303" s="3396"/>
      <c r="Y303" s="3396"/>
      <c r="Z303" s="790" t="s">
        <v>103</v>
      </c>
      <c r="AA303" s="2195" t="s">
        <v>102</v>
      </c>
      <c r="AB303" s="1275" t="s">
        <v>1208</v>
      </c>
      <c r="AC303" s="1265">
        <v>4677.25</v>
      </c>
      <c r="AD303" s="1275" t="str">
        <f>AB303</f>
        <v>  Прочие собственные средства</v>
      </c>
      <c r="AE303" s="1265">
        <v>0</v>
      </c>
      <c r="AF303" s="3397"/>
      <c r="AG303" s="3398"/>
      <c r="AH303" s="3398"/>
      <c r="AI303" s="3397"/>
      <c r="AJ303" s="3398"/>
      <c r="AK303" s="3399"/>
      <c r="AL303" s="2079"/>
      <c r="AM303" s="1917"/>
      <c r="AN303" s="1917"/>
      <c r="AO303" s="1917"/>
      <c r="AP303" s="1917"/>
      <c r="AQ303" s="1917"/>
      <c r="AR303" s="1917"/>
      <c r="AS303" s="1917"/>
      <c r="AT303" s="1917"/>
      <c r="AU303" s="1917"/>
      <c r="AV303" s="1917"/>
      <c r="AW303" s="1917"/>
      <c r="AX303" s="1917"/>
      <c r="AY303" s="1917"/>
      <c r="AZ303" s="1917"/>
      <c r="BA303" s="1917"/>
      <c r="BB303" s="1917"/>
      <c r="BC303" s="1917"/>
      <c r="BD303" s="1917"/>
      <c r="BE303" s="1917"/>
      <c r="BF303" s="1917"/>
    </row>
    <row s="10365" customFormat="1" customHeight="1" ht="11.25">
      <c r="A304" s="1262" t="s">
        <v>1194</v>
      </c>
      <c r="B304" s="1262"/>
      <c r="C304" s="1262"/>
      <c r="D304" s="1462"/>
      <c r="E304" s="1266"/>
      <c r="F304" s="3394"/>
      <c r="G304" s="3396"/>
      <c r="H304" s="3263" t="s">
        <v>1292</v>
      </c>
      <c r="I304" s="3374"/>
      <c r="J304" s="3400"/>
      <c r="K304" s="3372"/>
      <c r="L304" s="2989"/>
      <c r="M304" s="2990"/>
      <c r="N304" s="3341"/>
      <c r="O304" s="3377"/>
      <c r="P304" s="3345"/>
      <c r="Q304" s="3236"/>
      <c r="R304" s="3236"/>
      <c r="S304" s="3346"/>
      <c r="T304" s="3236"/>
      <c r="U304" s="3236"/>
      <c r="V304" s="3236"/>
      <c r="W304" s="3236"/>
      <c r="X304" s="3236"/>
      <c r="Y304" s="3236"/>
      <c r="Z304" s="1271"/>
      <c r="AA304" s="1272"/>
      <c r="AB304" s="1337" t="s">
        <v>1203</v>
      </c>
      <c r="AC304" s="1276"/>
      <c r="AD304" s="1276"/>
      <c r="AE304" s="1278"/>
      <c r="AF304" s="3375"/>
      <c r="AG304" s="3376"/>
      <c r="AH304" s="3376"/>
      <c r="AI304" s="3375"/>
      <c r="AJ304" s="3376"/>
      <c r="AK304" s="3376"/>
      <c r="AL304" s="2079"/>
      <c r="AM304" s="1917"/>
      <c r="AN304" s="1917"/>
      <c r="AO304" s="1917"/>
      <c r="AP304" s="1917"/>
      <c r="AQ304" s="1917"/>
      <c r="AR304" s="1917"/>
      <c r="AS304" s="1917"/>
      <c r="AT304" s="1917"/>
      <c r="AU304" s="1917"/>
      <c r="AV304" s="1917"/>
      <c r="AW304" s="1917"/>
      <c r="AX304" s="1917"/>
      <c r="AY304" s="1917"/>
      <c r="AZ304" s="1917"/>
      <c r="BA304" s="1917"/>
      <c r="BB304" s="1917"/>
      <c r="BC304" s="1917"/>
      <c r="BD304" s="1917"/>
      <c r="BE304" s="1917"/>
      <c r="BF304" s="1917"/>
    </row>
    <row s="10365" customFormat="1" customHeight="1" ht="11.25">
      <c r="A305" s="1262" t="s">
        <v>1194</v>
      </c>
      <c r="B305" s="1262"/>
      <c r="C305" s="1262"/>
      <c r="D305" s="1462"/>
      <c r="E305" s="1266"/>
      <c r="F305" s="3394"/>
      <c r="G305" s="3396"/>
      <c r="H305" s="3263" t="s">
        <v>1292</v>
      </c>
      <c r="I305" s="3374"/>
      <c r="J305" s="3400"/>
      <c r="K305" s="3372"/>
      <c r="L305" s="2989"/>
      <c r="M305" s="2990"/>
      <c r="N305" s="1271"/>
      <c r="O305" s="1272"/>
      <c r="P305" s="1337" t="s">
        <v>1204</v>
      </c>
      <c r="Q305" s="1272"/>
      <c r="R305" s="1272"/>
      <c r="S305" s="1272"/>
      <c r="T305" s="1272"/>
      <c r="U305" s="1272"/>
      <c r="V305" s="1272"/>
      <c r="W305" s="1272"/>
      <c r="X305" s="1272"/>
      <c r="Y305" s="1272"/>
      <c r="Z305" s="1272"/>
      <c r="AA305" s="1272"/>
      <c r="AB305" s="1272"/>
      <c r="AC305" s="1272"/>
      <c r="AD305" s="1272"/>
      <c r="AE305" s="1279"/>
      <c r="AF305" s="3375"/>
      <c r="AG305" s="3376"/>
      <c r="AH305" s="3376"/>
      <c r="AI305" s="3375"/>
      <c r="AJ305" s="3376"/>
      <c r="AK305" s="3376"/>
      <c r="AL305" s="2079"/>
      <c r="AM305" s="1917"/>
      <c r="AN305" s="1917"/>
      <c r="AO305" s="1917"/>
      <c r="AP305" s="1917"/>
      <c r="AQ305" s="1917"/>
      <c r="AR305" s="1917"/>
      <c r="AS305" s="1917"/>
      <c r="AT305" s="1917"/>
      <c r="AU305" s="1917"/>
      <c r="AV305" s="1917"/>
      <c r="AW305" s="1917"/>
      <c r="AX305" s="1917"/>
      <c r="AY305" s="1917"/>
      <c r="AZ305" s="1917"/>
      <c r="BA305" s="1917"/>
      <c r="BB305" s="1917"/>
      <c r="BC305" s="1917"/>
      <c r="BD305" s="1917"/>
      <c r="BE305" s="1917"/>
      <c r="BF305" s="1917"/>
    </row>
    <row s="10365" customFormat="1" customHeight="1" ht="11.25">
      <c r="A306" s="1262" t="s">
        <v>1194</v>
      </c>
      <c r="B306" s="1262" t="s">
        <v>22</v>
      </c>
      <c r="C306" s="1262"/>
      <c r="D306" s="1462"/>
      <c r="E306" s="1266"/>
      <c r="F306" s="3394"/>
      <c r="G306" s="3004" t="s">
        <v>103</v>
      </c>
      <c r="H306" s="3263" t="s">
        <v>128</v>
      </c>
      <c r="I306" s="3374" t="s">
        <v>1238</v>
      </c>
      <c r="J306" s="3400" t="s">
        <v>22</v>
      </c>
      <c r="K306" s="3372" t="s">
        <v>1297</v>
      </c>
      <c r="L306" s="2989" t="s">
        <v>19</v>
      </c>
      <c r="M306" s="2990"/>
      <c r="N306" s="2077"/>
      <c r="O306" s="1273" t="s">
        <v>461</v>
      </c>
      <c r="P306" s="1274"/>
      <c r="Q306" s="1274"/>
      <c r="R306" s="1274"/>
      <c r="S306" s="1274"/>
      <c r="T306" s="1274"/>
      <c r="U306" s="1274"/>
      <c r="V306" s="1274"/>
      <c r="W306" s="1274"/>
      <c r="X306" s="1274"/>
      <c r="Y306" s="1274"/>
      <c r="Z306" s="1274"/>
      <c r="AA306" s="1274"/>
      <c r="AB306" s="1274"/>
      <c r="AC306" s="1274"/>
      <c r="AD306" s="1274"/>
      <c r="AE306" s="1274"/>
      <c r="AF306" s="3375">
        <v>6</v>
      </c>
      <c r="AG306" s="3376" t="s">
        <v>1199</v>
      </c>
      <c r="AH306" s="3376" t="s">
        <v>1213</v>
      </c>
      <c r="AI306" s="3375">
        <v>6</v>
      </c>
      <c r="AJ306" s="3376" t="s">
        <v>1199</v>
      </c>
      <c r="AK306" s="3376" t="s">
        <v>1213</v>
      </c>
      <c r="AL306" s="2079"/>
      <c r="AM306" s="1917"/>
      <c r="AN306" s="1917"/>
      <c r="AO306" s="1917"/>
      <c r="AP306" s="1917"/>
      <c r="AQ306" s="1917"/>
      <c r="AR306" s="1917"/>
      <c r="AS306" s="1917"/>
      <c r="AT306" s="1917"/>
      <c r="AU306" s="1917"/>
      <c r="AV306" s="1917"/>
      <c r="AW306" s="1917"/>
      <c r="AX306" s="1917"/>
      <c r="AY306" s="1917"/>
      <c r="AZ306" s="1917"/>
      <c r="BA306" s="1917"/>
      <c r="BB306" s="1917"/>
      <c r="BC306" s="1917"/>
      <c r="BD306" s="1917"/>
      <c r="BE306" s="1917"/>
      <c r="BF306" s="1917"/>
    </row>
    <row s="10365" customFormat="1" customHeight="1" ht="11.25">
      <c r="A307" s="1262" t="s">
        <v>1194</v>
      </c>
      <c r="B307" s="1262"/>
      <c r="C307" s="1262"/>
      <c r="D307" s="1462"/>
      <c r="E307" s="1266"/>
      <c r="F307" s="3394"/>
      <c r="G307" s="3396"/>
      <c r="H307" s="3263" t="s">
        <v>1295</v>
      </c>
      <c r="I307" s="3374"/>
      <c r="J307" s="3400"/>
      <c r="K307" s="3372"/>
      <c r="L307" s="2989"/>
      <c r="M307" s="2990"/>
      <c r="N307" s="3341"/>
      <c r="O307" s="3377">
        <v>1</v>
      </c>
      <c r="P307" s="3343" t="s">
        <v>19</v>
      </c>
      <c r="Q307" s="3236" t="s">
        <v>22</v>
      </c>
      <c r="R307" s="3236" t="s">
        <v>22</v>
      </c>
      <c r="S307" s="3236" t="s">
        <v>22</v>
      </c>
      <c r="T307" s="3236" t="s">
        <v>22</v>
      </c>
      <c r="U307" s="3236" t="s">
        <v>22</v>
      </c>
      <c r="V307" s="3236" t="s">
        <v>22</v>
      </c>
      <c r="W307" s="3236" t="s">
        <v>22</v>
      </c>
      <c r="X307" s="3236" t="s">
        <v>22</v>
      </c>
      <c r="Y307" s="3236"/>
      <c r="Z307" s="1271"/>
      <c r="AA307" s="1272"/>
      <c r="AB307" s="1272"/>
      <c r="AC307" s="1276"/>
      <c r="AD307" s="1276"/>
      <c r="AE307" s="1277"/>
      <c r="AF307" s="3375"/>
      <c r="AG307" s="3376"/>
      <c r="AH307" s="3376"/>
      <c r="AI307" s="3375"/>
      <c r="AJ307" s="3376"/>
      <c r="AK307" s="3376"/>
      <c r="AL307" s="2079"/>
      <c r="AM307" s="1917"/>
      <c r="AN307" s="1917"/>
      <c r="AO307" s="1917"/>
      <c r="AP307" s="1917"/>
      <c r="AQ307" s="1917"/>
      <c r="AR307" s="1917"/>
      <c r="AS307" s="1917"/>
      <c r="AT307" s="1917"/>
      <c r="AU307" s="1917"/>
      <c r="AV307" s="1917"/>
      <c r="AW307" s="1917"/>
      <c r="AX307" s="1917"/>
      <c r="AY307" s="1917"/>
      <c r="AZ307" s="1917"/>
      <c r="BA307" s="1917"/>
      <c r="BB307" s="1917"/>
      <c r="BC307" s="1917"/>
      <c r="BD307" s="1917"/>
      <c r="BE307" s="1917"/>
      <c r="BF307" s="1917"/>
    </row>
    <row s="10365" customFormat="1" customHeight="1" ht="11.25">
      <c r="A308" s="1262" t="s">
        <v>1194</v>
      </c>
      <c r="B308" s="1262"/>
      <c r="C308" s="1262"/>
      <c r="D308" s="1462"/>
      <c r="E308" s="1266"/>
      <c r="F308" s="3394"/>
      <c r="G308" s="3396"/>
      <c r="H308" s="3263" t="s">
        <v>1295</v>
      </c>
      <c r="I308" s="3374"/>
      <c r="J308" s="3400"/>
      <c r="K308" s="3372"/>
      <c r="L308" s="2989"/>
      <c r="M308" s="2990"/>
      <c r="N308" s="3341"/>
      <c r="O308" s="3377"/>
      <c r="P308" s="3344"/>
      <c r="Q308" s="3236"/>
      <c r="R308" s="3236"/>
      <c r="S308" s="3346"/>
      <c r="T308" s="3236"/>
      <c r="U308" s="3236"/>
      <c r="V308" s="3236"/>
      <c r="W308" s="3236"/>
      <c r="X308" s="3236"/>
      <c r="Y308" s="3236"/>
      <c r="Z308" s="1922"/>
      <c r="AA308" s="2198">
        <v>1</v>
      </c>
      <c r="AB308" s="1275" t="s">
        <v>1201</v>
      </c>
      <c r="AC308" s="1265">
        <v>13033.06</v>
      </c>
      <c r="AD308" s="1275" t="str">
        <f>AB308</f>
        <v>      Амортизационные отчисления с выделением результатов переоценки основных средств и нематериальных активов</v>
      </c>
      <c r="AE308" s="1265">
        <v>6403.38</v>
      </c>
      <c r="AF308" s="3375"/>
      <c r="AG308" s="3376"/>
      <c r="AH308" s="3376"/>
      <c r="AI308" s="3375"/>
      <c r="AJ308" s="3376"/>
      <c r="AK308" s="3376"/>
      <c r="AL308" s="2079"/>
      <c r="AM308" s="1917"/>
      <c r="AN308" s="1917"/>
      <c r="AO308" s="1917"/>
      <c r="AP308" s="1917"/>
      <c r="AQ308" s="1917"/>
      <c r="AR308" s="1917"/>
      <c r="AS308" s="1917"/>
      <c r="AT308" s="1917"/>
      <c r="AU308" s="1917"/>
      <c r="AV308" s="1917"/>
      <c r="AW308" s="1917"/>
      <c r="AX308" s="1917"/>
      <c r="AY308" s="1917"/>
      <c r="AZ308" s="1917"/>
      <c r="BA308" s="1917"/>
      <c r="BB308" s="1917"/>
      <c r="BC308" s="1917"/>
      <c r="BD308" s="1917"/>
      <c r="BE308" s="1917"/>
      <c r="BF308" s="1917"/>
    </row>
    <row s="10365" customFormat="1" customHeight="1" ht="11.25">
      <c r="A309" s="1262" t="s">
        <v>1194</v>
      </c>
      <c r="B309" s="1262"/>
      <c r="C309" s="1262"/>
      <c r="D309" s="1462"/>
      <c r="E309" s="1266"/>
      <c r="F309" s="3394"/>
      <c r="G309" s="3396"/>
      <c r="H309" s="3396"/>
      <c r="I309" s="3396"/>
      <c r="J309" s="3396"/>
      <c r="K309" s="3396"/>
      <c r="L309" s="3396"/>
      <c r="M309" s="3396"/>
      <c r="N309" s="3396"/>
      <c r="O309" s="3396"/>
      <c r="P309" s="3396"/>
      <c r="Q309" s="3396"/>
      <c r="R309" s="3396"/>
      <c r="S309" s="3396"/>
      <c r="T309" s="3396"/>
      <c r="U309" s="3396"/>
      <c r="V309" s="3396"/>
      <c r="W309" s="3396"/>
      <c r="X309" s="3396"/>
      <c r="Y309" s="3396"/>
      <c r="Z309" s="790" t="s">
        <v>103</v>
      </c>
      <c r="AA309" s="2195" t="s">
        <v>102</v>
      </c>
      <c r="AB309" s="1275" t="s">
        <v>1208</v>
      </c>
      <c r="AC309" s="1265">
        <v>2606.61</v>
      </c>
      <c r="AD309" s="1275" t="str">
        <f>AB309</f>
        <v>  Прочие собственные средства</v>
      </c>
      <c r="AE309" s="1265">
        <v>1280.67661</v>
      </c>
      <c r="AF309" s="3397"/>
      <c r="AG309" s="3398"/>
      <c r="AH309" s="3398"/>
      <c r="AI309" s="3397"/>
      <c r="AJ309" s="3398"/>
      <c r="AK309" s="3399"/>
      <c r="AL309" s="2079"/>
      <c r="AM309" s="1917"/>
      <c r="AN309" s="1917"/>
      <c r="AO309" s="1917"/>
      <c r="AP309" s="1917"/>
      <c r="AQ309" s="1917"/>
      <c r="AR309" s="1917"/>
      <c r="AS309" s="1917"/>
      <c r="AT309" s="1917"/>
      <c r="AU309" s="1917"/>
      <c r="AV309" s="1917"/>
      <c r="AW309" s="1917"/>
      <c r="AX309" s="1917"/>
      <c r="AY309" s="1917"/>
      <c r="AZ309" s="1917"/>
      <c r="BA309" s="1917"/>
      <c r="BB309" s="1917"/>
      <c r="BC309" s="1917"/>
      <c r="BD309" s="1917"/>
      <c r="BE309" s="1917"/>
      <c r="BF309" s="1917"/>
    </row>
    <row s="10365" customFormat="1" customHeight="1" ht="11.25">
      <c r="A310" s="1262" t="s">
        <v>1194</v>
      </c>
      <c r="B310" s="1262"/>
      <c r="C310" s="1262"/>
      <c r="D310" s="1462"/>
      <c r="E310" s="1266"/>
      <c r="F310" s="3394"/>
      <c r="G310" s="3396"/>
      <c r="H310" s="3263" t="s">
        <v>1295</v>
      </c>
      <c r="I310" s="3374"/>
      <c r="J310" s="3400"/>
      <c r="K310" s="3372"/>
      <c r="L310" s="2989"/>
      <c r="M310" s="2990"/>
      <c r="N310" s="3341"/>
      <c r="O310" s="3377"/>
      <c r="P310" s="3345"/>
      <c r="Q310" s="3236"/>
      <c r="R310" s="3236"/>
      <c r="S310" s="3346"/>
      <c r="T310" s="3236"/>
      <c r="U310" s="3236"/>
      <c r="V310" s="3236"/>
      <c r="W310" s="3236"/>
      <c r="X310" s="3236"/>
      <c r="Y310" s="3236"/>
      <c r="Z310" s="1271"/>
      <c r="AA310" s="1272"/>
      <c r="AB310" s="1337" t="s">
        <v>1203</v>
      </c>
      <c r="AC310" s="1276"/>
      <c r="AD310" s="1276"/>
      <c r="AE310" s="1278"/>
      <c r="AF310" s="3375"/>
      <c r="AG310" s="3376"/>
      <c r="AH310" s="3376"/>
      <c r="AI310" s="3375"/>
      <c r="AJ310" s="3376"/>
      <c r="AK310" s="3376"/>
      <c r="AL310" s="2079"/>
      <c r="AM310" s="1917"/>
      <c r="AN310" s="1917"/>
      <c r="AO310" s="1917"/>
      <c r="AP310" s="1917"/>
      <c r="AQ310" s="1917"/>
      <c r="AR310" s="1917"/>
      <c r="AS310" s="1917"/>
      <c r="AT310" s="1917"/>
      <c r="AU310" s="1917"/>
      <c r="AV310" s="1917"/>
      <c r="AW310" s="1917"/>
      <c r="AX310" s="1917"/>
      <c r="AY310" s="1917"/>
      <c r="AZ310" s="1917"/>
      <c r="BA310" s="1917"/>
      <c r="BB310" s="1917"/>
      <c r="BC310" s="1917"/>
      <c r="BD310" s="1917"/>
      <c r="BE310" s="1917"/>
      <c r="BF310" s="1917"/>
    </row>
    <row s="10365" customFormat="1" customHeight="1" ht="11.25">
      <c r="A311" s="1262" t="s">
        <v>1194</v>
      </c>
      <c r="B311" s="1262"/>
      <c r="C311" s="1262"/>
      <c r="D311" s="1462"/>
      <c r="E311" s="1266"/>
      <c r="F311" s="3394"/>
      <c r="G311" s="3396"/>
      <c r="H311" s="3263" t="s">
        <v>1295</v>
      </c>
      <c r="I311" s="3374"/>
      <c r="J311" s="3400"/>
      <c r="K311" s="3372"/>
      <c r="L311" s="2989"/>
      <c r="M311" s="2990"/>
      <c r="N311" s="1271"/>
      <c r="O311" s="1272"/>
      <c r="P311" s="1337" t="s">
        <v>1204</v>
      </c>
      <c r="Q311" s="1272"/>
      <c r="R311" s="1272"/>
      <c r="S311" s="1272"/>
      <c r="T311" s="1272"/>
      <c r="U311" s="1272"/>
      <c r="V311" s="1272"/>
      <c r="W311" s="1272"/>
      <c r="X311" s="1272"/>
      <c r="Y311" s="1272"/>
      <c r="Z311" s="1272"/>
      <c r="AA311" s="1272"/>
      <c r="AB311" s="1272"/>
      <c r="AC311" s="1272"/>
      <c r="AD311" s="1272"/>
      <c r="AE311" s="1279"/>
      <c r="AF311" s="3375"/>
      <c r="AG311" s="3376"/>
      <c r="AH311" s="3376"/>
      <c r="AI311" s="3375"/>
      <c r="AJ311" s="3376"/>
      <c r="AK311" s="3376"/>
      <c r="AL311" s="2079"/>
      <c r="AM311" s="1917"/>
      <c r="AN311" s="1917"/>
      <c r="AO311" s="1917"/>
      <c r="AP311" s="1917"/>
      <c r="AQ311" s="1917"/>
      <c r="AR311" s="1917"/>
      <c r="AS311" s="1917"/>
      <c r="AT311" s="1917"/>
      <c r="AU311" s="1917"/>
      <c r="AV311" s="1917"/>
      <c r="AW311" s="1917"/>
      <c r="AX311" s="1917"/>
      <c r="AY311" s="1917"/>
      <c r="AZ311" s="1917"/>
      <c r="BA311" s="1917"/>
      <c r="BB311" s="1917"/>
      <c r="BC311" s="1917"/>
      <c r="BD311" s="1917"/>
      <c r="BE311" s="1917"/>
      <c r="BF311" s="1917"/>
    </row>
    <row s="10365" customFormat="1" customHeight="1" ht="11.25">
      <c r="A312" s="1262" t="s">
        <v>1194</v>
      </c>
      <c r="B312" s="1262" t="s">
        <v>22</v>
      </c>
      <c r="C312" s="1262"/>
      <c r="D312" s="1462"/>
      <c r="E312" s="1266"/>
      <c r="F312" s="3394"/>
      <c r="G312" s="3004" t="s">
        <v>103</v>
      </c>
      <c r="H312" s="3263" t="s">
        <v>1298</v>
      </c>
      <c r="I312" s="3374" t="s">
        <v>1217</v>
      </c>
      <c r="J312" s="3400" t="s">
        <v>22</v>
      </c>
      <c r="K312" s="3372" t="s">
        <v>1299</v>
      </c>
      <c r="L312" s="2989" t="s">
        <v>19</v>
      </c>
      <c r="M312" s="2990"/>
      <c r="N312" s="2077"/>
      <c r="O312" s="1273" t="s">
        <v>461</v>
      </c>
      <c r="P312" s="1274"/>
      <c r="Q312" s="1274"/>
      <c r="R312" s="1274"/>
      <c r="S312" s="1274"/>
      <c r="T312" s="1274"/>
      <c r="U312" s="1274"/>
      <c r="V312" s="1274"/>
      <c r="W312" s="1274"/>
      <c r="X312" s="1274"/>
      <c r="Y312" s="1274"/>
      <c r="Z312" s="1274"/>
      <c r="AA312" s="1274"/>
      <c r="AB312" s="1274"/>
      <c r="AC312" s="1274"/>
      <c r="AD312" s="1274"/>
      <c r="AE312" s="1274"/>
      <c r="AF312" s="3375">
        <v>1</v>
      </c>
      <c r="AG312" s="3376" t="s">
        <v>1206</v>
      </c>
      <c r="AH312" s="3376" t="s">
        <v>1210</v>
      </c>
      <c r="AI312" s="3375">
        <v>1</v>
      </c>
      <c r="AJ312" s="3376" t="s">
        <v>1206</v>
      </c>
      <c r="AK312" s="3376" t="s">
        <v>1210</v>
      </c>
      <c r="AL312" s="2079"/>
      <c r="AM312" s="1917"/>
      <c r="AN312" s="1917"/>
      <c r="AO312" s="1917"/>
      <c r="AP312" s="1917"/>
      <c r="AQ312" s="1917"/>
      <c r="AR312" s="1917"/>
      <c r="AS312" s="1917"/>
      <c r="AT312" s="1917"/>
      <c r="AU312" s="1917"/>
      <c r="AV312" s="1917"/>
      <c r="AW312" s="1917"/>
      <c r="AX312" s="1917"/>
      <c r="AY312" s="1917"/>
      <c r="AZ312" s="1917"/>
      <c r="BA312" s="1917"/>
      <c r="BB312" s="1917"/>
      <c r="BC312" s="1917"/>
      <c r="BD312" s="1917"/>
      <c r="BE312" s="1917"/>
      <c r="BF312" s="1917"/>
    </row>
    <row s="10365" customFormat="1" customHeight="1" ht="11.25">
      <c r="A313" s="1262" t="s">
        <v>1194</v>
      </c>
      <c r="B313" s="1262"/>
      <c r="C313" s="1262"/>
      <c r="D313" s="1462"/>
      <c r="E313" s="1266"/>
      <c r="F313" s="3394"/>
      <c r="G313" s="3396"/>
      <c r="H313" s="3263" t="s">
        <v>128</v>
      </c>
      <c r="I313" s="3374"/>
      <c r="J313" s="3400"/>
      <c r="K313" s="3372"/>
      <c r="L313" s="2989"/>
      <c r="M313" s="2990"/>
      <c r="N313" s="3341"/>
      <c r="O313" s="3377">
        <v>1</v>
      </c>
      <c r="P313" s="3343" t="s">
        <v>19</v>
      </c>
      <c r="Q313" s="3236" t="s">
        <v>22</v>
      </c>
      <c r="R313" s="3236" t="s">
        <v>22</v>
      </c>
      <c r="S313" s="3236" t="s">
        <v>22</v>
      </c>
      <c r="T313" s="3236" t="s">
        <v>22</v>
      </c>
      <c r="U313" s="3236" t="s">
        <v>22</v>
      </c>
      <c r="V313" s="3236" t="s">
        <v>22</v>
      </c>
      <c r="W313" s="3236" t="s">
        <v>22</v>
      </c>
      <c r="X313" s="3236" t="s">
        <v>22</v>
      </c>
      <c r="Y313" s="3236"/>
      <c r="Z313" s="1271"/>
      <c r="AA313" s="1272"/>
      <c r="AB313" s="1272"/>
      <c r="AC313" s="1276"/>
      <c r="AD313" s="1276"/>
      <c r="AE313" s="1277"/>
      <c r="AF313" s="3375"/>
      <c r="AG313" s="3376"/>
      <c r="AH313" s="3376"/>
      <c r="AI313" s="3375"/>
      <c r="AJ313" s="3376"/>
      <c r="AK313" s="3376"/>
      <c r="AL313" s="2079"/>
      <c r="AM313" s="1917"/>
      <c r="AN313" s="1917"/>
      <c r="AO313" s="1917"/>
      <c r="AP313" s="1917"/>
      <c r="AQ313" s="1917"/>
      <c r="AR313" s="1917"/>
      <c r="AS313" s="1917"/>
      <c r="AT313" s="1917"/>
      <c r="AU313" s="1917"/>
      <c r="AV313" s="1917"/>
      <c r="AW313" s="1917"/>
      <c r="AX313" s="1917"/>
      <c r="AY313" s="1917"/>
      <c r="AZ313" s="1917"/>
      <c r="BA313" s="1917"/>
      <c r="BB313" s="1917"/>
      <c r="BC313" s="1917"/>
      <c r="BD313" s="1917"/>
      <c r="BE313" s="1917"/>
      <c r="BF313" s="1917"/>
    </row>
    <row s="10365" customFormat="1" customHeight="1" ht="11.25">
      <c r="A314" s="1262" t="s">
        <v>1194</v>
      </c>
      <c r="B314" s="1262"/>
      <c r="C314" s="1262"/>
      <c r="D314" s="1462"/>
      <c r="E314" s="1266"/>
      <c r="F314" s="3394"/>
      <c r="G314" s="3396"/>
      <c r="H314" s="3263" t="s">
        <v>128</v>
      </c>
      <c r="I314" s="3374"/>
      <c r="J314" s="3400"/>
      <c r="K314" s="3372"/>
      <c r="L314" s="2989"/>
      <c r="M314" s="2990"/>
      <c r="N314" s="3341"/>
      <c r="O314" s="3377"/>
      <c r="P314" s="3344"/>
      <c r="Q314" s="3236"/>
      <c r="R314" s="3236"/>
      <c r="S314" s="3346"/>
      <c r="T314" s="3236"/>
      <c r="U314" s="3236"/>
      <c r="V314" s="3236"/>
      <c r="W314" s="3236"/>
      <c r="X314" s="3236"/>
      <c r="Y314" s="3236"/>
      <c r="Z314" s="1922"/>
      <c r="AA314" s="2198">
        <v>1</v>
      </c>
      <c r="AB314" s="1275" t="s">
        <v>1294</v>
      </c>
      <c r="AC314" s="1265">
        <v>18048.97</v>
      </c>
      <c r="AD314" s="1275" t="str">
        <f>AB314</f>
        <v>  Кредиты</v>
      </c>
      <c r="AE314" s="1265">
        <v>18048.97</v>
      </c>
      <c r="AF314" s="3375"/>
      <c r="AG314" s="3376"/>
      <c r="AH314" s="3376"/>
      <c r="AI314" s="3375"/>
      <c r="AJ314" s="3376"/>
      <c r="AK314" s="3376"/>
      <c r="AL314" s="2079"/>
      <c r="AM314" s="1917"/>
      <c r="AN314" s="1917"/>
      <c r="AO314" s="1917"/>
      <c r="AP314" s="1917"/>
      <c r="AQ314" s="1917"/>
      <c r="AR314" s="1917"/>
      <c r="AS314" s="1917"/>
      <c r="AT314" s="1917"/>
      <c r="AU314" s="1917"/>
      <c r="AV314" s="1917"/>
      <c r="AW314" s="1917"/>
      <c r="AX314" s="1917"/>
      <c r="AY314" s="1917"/>
      <c r="AZ314" s="1917"/>
      <c r="BA314" s="1917"/>
      <c r="BB314" s="1917"/>
      <c r="BC314" s="1917"/>
      <c r="BD314" s="1917"/>
      <c r="BE314" s="1917"/>
      <c r="BF314" s="1917"/>
    </row>
    <row s="10365" customFormat="1" customHeight="1" ht="11.25">
      <c r="A315" s="1262" t="s">
        <v>1194</v>
      </c>
      <c r="B315" s="1262"/>
      <c r="C315" s="1262"/>
      <c r="D315" s="1462"/>
      <c r="E315" s="1266"/>
      <c r="F315" s="3394"/>
      <c r="G315" s="3396"/>
      <c r="H315" s="3263" t="s">
        <v>128</v>
      </c>
      <c r="I315" s="3374"/>
      <c r="J315" s="3400"/>
      <c r="K315" s="3372"/>
      <c r="L315" s="2989"/>
      <c r="M315" s="2990"/>
      <c r="N315" s="3341"/>
      <c r="O315" s="3377"/>
      <c r="P315" s="3345"/>
      <c r="Q315" s="3236"/>
      <c r="R315" s="3236"/>
      <c r="S315" s="3346"/>
      <c r="T315" s="3236"/>
      <c r="U315" s="3236"/>
      <c r="V315" s="3236"/>
      <c r="W315" s="3236"/>
      <c r="X315" s="3236"/>
      <c r="Y315" s="3236"/>
      <c r="Z315" s="1271"/>
      <c r="AA315" s="1272"/>
      <c r="AB315" s="1337" t="s">
        <v>1203</v>
      </c>
      <c r="AC315" s="1276"/>
      <c r="AD315" s="1276"/>
      <c r="AE315" s="1278"/>
      <c r="AF315" s="3375"/>
      <c r="AG315" s="3376"/>
      <c r="AH315" s="3376"/>
      <c r="AI315" s="3375"/>
      <c r="AJ315" s="3376"/>
      <c r="AK315" s="3376"/>
      <c r="AL315" s="2079"/>
      <c r="AM315" s="1917"/>
      <c r="AN315" s="1917"/>
      <c r="AO315" s="1917"/>
      <c r="AP315" s="1917"/>
      <c r="AQ315" s="1917"/>
      <c r="AR315" s="1917"/>
      <c r="AS315" s="1917"/>
      <c r="AT315" s="1917"/>
      <c r="AU315" s="1917"/>
      <c r="AV315" s="1917"/>
      <c r="AW315" s="1917"/>
      <c r="AX315" s="1917"/>
      <c r="AY315" s="1917"/>
      <c r="AZ315" s="1917"/>
      <c r="BA315" s="1917"/>
      <c r="BB315" s="1917"/>
      <c r="BC315" s="1917"/>
      <c r="BD315" s="1917"/>
      <c r="BE315" s="1917"/>
      <c r="BF315" s="1917"/>
    </row>
    <row s="10365" customFormat="1" customHeight="1" ht="11.25">
      <c r="A316" s="1262" t="s">
        <v>1194</v>
      </c>
      <c r="B316" s="1262"/>
      <c r="C316" s="1262"/>
      <c r="D316" s="1462"/>
      <c r="E316" s="1266"/>
      <c r="F316" s="3394"/>
      <c r="G316" s="3396"/>
      <c r="H316" s="3263" t="s">
        <v>128</v>
      </c>
      <c r="I316" s="3374"/>
      <c r="J316" s="3400"/>
      <c r="K316" s="3372"/>
      <c r="L316" s="2989"/>
      <c r="M316" s="2990"/>
      <c r="N316" s="1271"/>
      <c r="O316" s="1272"/>
      <c r="P316" s="1337" t="s">
        <v>1204</v>
      </c>
      <c r="Q316" s="1272"/>
      <c r="R316" s="1272"/>
      <c r="S316" s="1272"/>
      <c r="T316" s="1272"/>
      <c r="U316" s="1272"/>
      <c r="V316" s="1272"/>
      <c r="W316" s="1272"/>
      <c r="X316" s="1272"/>
      <c r="Y316" s="1272"/>
      <c r="Z316" s="1272"/>
      <c r="AA316" s="1272"/>
      <c r="AB316" s="1272"/>
      <c r="AC316" s="1272"/>
      <c r="AD316" s="1272"/>
      <c r="AE316" s="1279"/>
      <c r="AF316" s="3375"/>
      <c r="AG316" s="3376"/>
      <c r="AH316" s="3376"/>
      <c r="AI316" s="3375"/>
      <c r="AJ316" s="3376"/>
      <c r="AK316" s="3376"/>
      <c r="AL316" s="2079"/>
      <c r="AM316" s="1917"/>
      <c r="AN316" s="1917"/>
      <c r="AO316" s="1917"/>
      <c r="AP316" s="1917"/>
      <c r="AQ316" s="1917"/>
      <c r="AR316" s="1917"/>
      <c r="AS316" s="1917"/>
      <c r="AT316" s="1917"/>
      <c r="AU316" s="1917"/>
      <c r="AV316" s="1917"/>
      <c r="AW316" s="1917"/>
      <c r="AX316" s="1917"/>
      <c r="AY316" s="1917"/>
      <c r="AZ316" s="1917"/>
      <c r="BA316" s="1917"/>
      <c r="BB316" s="1917"/>
      <c r="BC316" s="1917"/>
      <c r="BD316" s="1917"/>
      <c r="BE316" s="1917"/>
      <c r="BF316" s="1917"/>
    </row>
    <row s="10365" customFormat="1" customHeight="1" ht="11.25">
      <c r="A317" s="1262" t="s">
        <v>1194</v>
      </c>
      <c r="B317" s="1262" t="s">
        <v>1195</v>
      </c>
      <c r="C317" s="1262"/>
      <c r="D317" s="1462"/>
      <c r="E317" s="1266"/>
      <c r="F317" s="3394"/>
      <c r="G317" s="3004" t="s">
        <v>103</v>
      </c>
      <c r="H317" s="3263" t="s">
        <v>1300</v>
      </c>
      <c r="I317" s="3374" t="s">
        <v>1196</v>
      </c>
      <c r="J317" s="3334" t="s">
        <v>1197</v>
      </c>
      <c r="K317" s="3372" t="s">
        <v>1301</v>
      </c>
      <c r="L317" s="2989" t="s">
        <v>19</v>
      </c>
      <c r="M317" s="2990"/>
      <c r="N317" s="2077"/>
      <c r="O317" s="1273" t="s">
        <v>461</v>
      </c>
      <c r="P317" s="1274"/>
      <c r="Q317" s="1274"/>
      <c r="R317" s="1274"/>
      <c r="S317" s="1274"/>
      <c r="T317" s="1274"/>
      <c r="U317" s="1274"/>
      <c r="V317" s="1274"/>
      <c r="W317" s="1274"/>
      <c r="X317" s="1274"/>
      <c r="Y317" s="1274"/>
      <c r="Z317" s="1274"/>
      <c r="AA317" s="1274"/>
      <c r="AB317" s="1274"/>
      <c r="AC317" s="1274"/>
      <c r="AD317" s="1274"/>
      <c r="AE317" s="1274"/>
      <c r="AF317" s="3375">
        <v>3</v>
      </c>
      <c r="AG317" s="3376" t="s">
        <v>1206</v>
      </c>
      <c r="AH317" s="3376" t="s">
        <v>1260</v>
      </c>
      <c r="AI317" s="3375">
        <v>3</v>
      </c>
      <c r="AJ317" s="3376" t="s">
        <v>1206</v>
      </c>
      <c r="AK317" s="3376" t="s">
        <v>1260</v>
      </c>
      <c r="AL317" s="2079"/>
      <c r="AM317" s="1917"/>
      <c r="AN317" s="1917"/>
      <c r="AO317" s="1917"/>
      <c r="AP317" s="1917"/>
      <c r="AQ317" s="1917"/>
      <c r="AR317" s="1917"/>
      <c r="AS317" s="1917"/>
      <c r="AT317" s="1917"/>
      <c r="AU317" s="1917"/>
      <c r="AV317" s="1917"/>
      <c r="AW317" s="1917"/>
      <c r="AX317" s="1917"/>
      <c r="AY317" s="1917"/>
      <c r="AZ317" s="1917"/>
      <c r="BA317" s="1917"/>
      <c r="BB317" s="1917"/>
      <c r="BC317" s="1917"/>
      <c r="BD317" s="1917"/>
      <c r="BE317" s="1917"/>
      <c r="BF317" s="1917"/>
    </row>
    <row s="10365" customFormat="1" customHeight="1" ht="11.25">
      <c r="A318" s="1262" t="s">
        <v>1194</v>
      </c>
      <c r="B318" s="1262"/>
      <c r="C318" s="1262"/>
      <c r="D318" s="1462"/>
      <c r="E318" s="1266"/>
      <c r="F318" s="3394"/>
      <c r="G318" s="3396"/>
      <c r="H318" s="3263" t="s">
        <v>1298</v>
      </c>
      <c r="I318" s="3374"/>
      <c r="J318" s="3334"/>
      <c r="K318" s="3372"/>
      <c r="L318" s="2989"/>
      <c r="M318" s="2990"/>
      <c r="N318" s="3341"/>
      <c r="O318" s="3377">
        <v>1</v>
      </c>
      <c r="P318" s="3343" t="s">
        <v>19</v>
      </c>
      <c r="Q318" s="3236" t="s">
        <v>22</v>
      </c>
      <c r="R318" s="3236" t="s">
        <v>22</v>
      </c>
      <c r="S318" s="3236" t="s">
        <v>22</v>
      </c>
      <c r="T318" s="3236" t="s">
        <v>22</v>
      </c>
      <c r="U318" s="3236" t="s">
        <v>22</v>
      </c>
      <c r="V318" s="3236" t="s">
        <v>22</v>
      </c>
      <c r="W318" s="3236" t="s">
        <v>22</v>
      </c>
      <c r="X318" s="3236" t="s">
        <v>22</v>
      </c>
      <c r="Y318" s="3236"/>
      <c r="Z318" s="1271"/>
      <c r="AA318" s="1272"/>
      <c r="AB318" s="1272"/>
      <c r="AC318" s="1276"/>
      <c r="AD318" s="1276"/>
      <c r="AE318" s="1277"/>
      <c r="AF318" s="3375"/>
      <c r="AG318" s="3376"/>
      <c r="AH318" s="3376"/>
      <c r="AI318" s="3375"/>
      <c r="AJ318" s="3376"/>
      <c r="AK318" s="3376"/>
      <c r="AL318" s="2079"/>
      <c r="AM318" s="1917"/>
      <c r="AN318" s="1917"/>
      <c r="AO318" s="1917"/>
      <c r="AP318" s="1917"/>
      <c r="AQ318" s="1917"/>
      <c r="AR318" s="1917"/>
      <c r="AS318" s="1917"/>
      <c r="AT318" s="1917"/>
      <c r="AU318" s="1917"/>
      <c r="AV318" s="1917"/>
      <c r="AW318" s="1917"/>
      <c r="AX318" s="1917"/>
      <c r="AY318" s="1917"/>
      <c r="AZ318" s="1917"/>
      <c r="BA318" s="1917"/>
      <c r="BB318" s="1917"/>
      <c r="BC318" s="1917"/>
      <c r="BD318" s="1917"/>
      <c r="BE318" s="1917"/>
      <c r="BF318" s="1917"/>
    </row>
    <row s="10365" customFormat="1" customHeight="1" ht="11.25">
      <c r="A319" s="1262" t="s">
        <v>1194</v>
      </c>
      <c r="B319" s="1262"/>
      <c r="C319" s="1262"/>
      <c r="D319" s="1462"/>
      <c r="E319" s="1266"/>
      <c r="F319" s="3394"/>
      <c r="G319" s="3396"/>
      <c r="H319" s="3263" t="s">
        <v>1298</v>
      </c>
      <c r="I319" s="3374"/>
      <c r="J319" s="3334"/>
      <c r="K319" s="3372"/>
      <c r="L319" s="2989"/>
      <c r="M319" s="2990"/>
      <c r="N319" s="3341"/>
      <c r="O319" s="3377"/>
      <c r="P319" s="3344"/>
      <c r="Q319" s="3236"/>
      <c r="R319" s="3236"/>
      <c r="S319" s="3346"/>
      <c r="T319" s="3236"/>
      <c r="U319" s="3236"/>
      <c r="V319" s="3236"/>
      <c r="W319" s="3236"/>
      <c r="X319" s="3236"/>
      <c r="Y319" s="3236"/>
      <c r="Z319" s="1922"/>
      <c r="AA319" s="2198">
        <v>1</v>
      </c>
      <c r="AB319" s="1275" t="s">
        <v>1242</v>
      </c>
      <c r="AC319" s="1265">
        <v>52139.98</v>
      </c>
      <c r="AD319" s="1275" t="str">
        <f>AB319</f>
        <v>  За счет платы за технологическое присоединение</v>
      </c>
      <c r="AE319" s="1265">
        <v>359146.93</v>
      </c>
      <c r="AF319" s="3375"/>
      <c r="AG319" s="3376"/>
      <c r="AH319" s="3376"/>
      <c r="AI319" s="3375"/>
      <c r="AJ319" s="3376"/>
      <c r="AK319" s="3376"/>
      <c r="AL319" s="2079"/>
      <c r="AM319" s="1917"/>
      <c r="AN319" s="1917"/>
      <c r="AO319" s="1917"/>
      <c r="AP319" s="1917"/>
      <c r="AQ319" s="1917"/>
      <c r="AR319" s="1917"/>
      <c r="AS319" s="1917"/>
      <c r="AT319" s="1917"/>
      <c r="AU319" s="1917"/>
      <c r="AV319" s="1917"/>
      <c r="AW319" s="1917"/>
      <c r="AX319" s="1917"/>
      <c r="AY319" s="1917"/>
      <c r="AZ319" s="1917"/>
      <c r="BA319" s="1917"/>
      <c r="BB319" s="1917"/>
      <c r="BC319" s="1917"/>
      <c r="BD319" s="1917"/>
      <c r="BE319" s="1917"/>
      <c r="BF319" s="1917"/>
    </row>
    <row s="10365" customFormat="1" customHeight="1" ht="11.25">
      <c r="A320" s="1262" t="s">
        <v>1194</v>
      </c>
      <c r="B320" s="1262"/>
      <c r="C320" s="1262"/>
      <c r="D320" s="1462"/>
      <c r="E320" s="1266"/>
      <c r="F320" s="3394"/>
      <c r="G320" s="3396"/>
      <c r="H320" s="3396"/>
      <c r="I320" s="3396"/>
      <c r="J320" s="3396"/>
      <c r="K320" s="3396"/>
      <c r="L320" s="3396"/>
      <c r="M320" s="3396"/>
      <c r="N320" s="3396"/>
      <c r="O320" s="3396"/>
      <c r="P320" s="3396"/>
      <c r="Q320" s="3396"/>
      <c r="R320" s="3396"/>
      <c r="S320" s="3396"/>
      <c r="T320" s="3396"/>
      <c r="U320" s="3396"/>
      <c r="V320" s="3396"/>
      <c r="W320" s="3396"/>
      <c r="X320" s="3396"/>
      <c r="Y320" s="3396"/>
      <c r="Z320" s="790" t="s">
        <v>103</v>
      </c>
      <c r="AA320" s="2195" t="s">
        <v>102</v>
      </c>
      <c r="AB320" s="1275" t="s">
        <v>1208</v>
      </c>
      <c r="AC320" s="1265">
        <v>10428</v>
      </c>
      <c r="AD320" s="1275" t="str">
        <f>AB320</f>
        <v>  Прочие собственные средства</v>
      </c>
      <c r="AE320" s="1265">
        <v>70526.325</v>
      </c>
      <c r="AF320" s="3397"/>
      <c r="AG320" s="3398"/>
      <c r="AH320" s="3398"/>
      <c r="AI320" s="3397"/>
      <c r="AJ320" s="3398"/>
      <c r="AK320" s="3399"/>
      <c r="AL320" s="2079"/>
      <c r="AM320" s="1917"/>
      <c r="AN320" s="1917"/>
      <c r="AO320" s="1917"/>
      <c r="AP320" s="1917"/>
      <c r="AQ320" s="1917"/>
      <c r="AR320" s="1917"/>
      <c r="AS320" s="1917"/>
      <c r="AT320" s="1917"/>
      <c r="AU320" s="1917"/>
      <c r="AV320" s="1917"/>
      <c r="AW320" s="1917"/>
      <c r="AX320" s="1917"/>
      <c r="AY320" s="1917"/>
      <c r="AZ320" s="1917"/>
      <c r="BA320" s="1917"/>
      <c r="BB320" s="1917"/>
      <c r="BC320" s="1917"/>
      <c r="BD320" s="1917"/>
      <c r="BE320" s="1917"/>
      <c r="BF320" s="1917"/>
    </row>
    <row s="10365" customFormat="1" customHeight="1" ht="11.25">
      <c r="A321" s="1262" t="s">
        <v>1194</v>
      </c>
      <c r="B321" s="1262"/>
      <c r="C321" s="1262"/>
      <c r="D321" s="1462"/>
      <c r="E321" s="1266"/>
      <c r="F321" s="3394"/>
      <c r="G321" s="3396"/>
      <c r="H321" s="3263" t="s">
        <v>1298</v>
      </c>
      <c r="I321" s="3374"/>
      <c r="J321" s="3334"/>
      <c r="K321" s="3372"/>
      <c r="L321" s="2989"/>
      <c r="M321" s="2990"/>
      <c r="N321" s="3341"/>
      <c r="O321" s="3377"/>
      <c r="P321" s="3345"/>
      <c r="Q321" s="3236"/>
      <c r="R321" s="3236"/>
      <c r="S321" s="3346"/>
      <c r="T321" s="3236"/>
      <c r="U321" s="3236"/>
      <c r="V321" s="3236"/>
      <c r="W321" s="3236"/>
      <c r="X321" s="3236"/>
      <c r="Y321" s="3236"/>
      <c r="Z321" s="1271"/>
      <c r="AA321" s="1272"/>
      <c r="AB321" s="1337" t="s">
        <v>1203</v>
      </c>
      <c r="AC321" s="1276"/>
      <c r="AD321" s="1276"/>
      <c r="AE321" s="1278"/>
      <c r="AF321" s="3375"/>
      <c r="AG321" s="3376"/>
      <c r="AH321" s="3376"/>
      <c r="AI321" s="3375"/>
      <c r="AJ321" s="3376"/>
      <c r="AK321" s="3376"/>
      <c r="AL321" s="2079"/>
      <c r="AM321" s="1917"/>
      <c r="AN321" s="1917"/>
      <c r="AO321" s="1917"/>
      <c r="AP321" s="1917"/>
      <c r="AQ321" s="1917"/>
      <c r="AR321" s="1917"/>
      <c r="AS321" s="1917"/>
      <c r="AT321" s="1917"/>
      <c r="AU321" s="1917"/>
      <c r="AV321" s="1917"/>
      <c r="AW321" s="1917"/>
      <c r="AX321" s="1917"/>
      <c r="AY321" s="1917"/>
      <c r="AZ321" s="1917"/>
      <c r="BA321" s="1917"/>
      <c r="BB321" s="1917"/>
      <c r="BC321" s="1917"/>
      <c r="BD321" s="1917"/>
      <c r="BE321" s="1917"/>
      <c r="BF321" s="1917"/>
    </row>
    <row s="10365" customFormat="1" customHeight="1" ht="11.25">
      <c r="A322" s="1262" t="s">
        <v>1194</v>
      </c>
      <c r="B322" s="1262"/>
      <c r="C322" s="1262"/>
      <c r="D322" s="1462"/>
      <c r="E322" s="1266"/>
      <c r="F322" s="3394"/>
      <c r="G322" s="3396"/>
      <c r="H322" s="3263" t="s">
        <v>1298</v>
      </c>
      <c r="I322" s="3374"/>
      <c r="J322" s="3334"/>
      <c r="K322" s="3372"/>
      <c r="L322" s="2989"/>
      <c r="M322" s="2990"/>
      <c r="N322" s="1271"/>
      <c r="O322" s="1272"/>
      <c r="P322" s="1337" t="s">
        <v>1204</v>
      </c>
      <c r="Q322" s="1272"/>
      <c r="R322" s="1272"/>
      <c r="S322" s="1272"/>
      <c r="T322" s="1272"/>
      <c r="U322" s="1272"/>
      <c r="V322" s="1272"/>
      <c r="W322" s="1272"/>
      <c r="X322" s="1272"/>
      <c r="Y322" s="1272"/>
      <c r="Z322" s="1272"/>
      <c r="AA322" s="1272"/>
      <c r="AB322" s="1272"/>
      <c r="AC322" s="1272"/>
      <c r="AD322" s="1272"/>
      <c r="AE322" s="1279"/>
      <c r="AF322" s="3375"/>
      <c r="AG322" s="3376"/>
      <c r="AH322" s="3376"/>
      <c r="AI322" s="3375"/>
      <c r="AJ322" s="3376"/>
      <c r="AK322" s="3376"/>
      <c r="AL322" s="2079"/>
      <c r="AM322" s="1917"/>
      <c r="AN322" s="1917"/>
      <c r="AO322" s="1917"/>
      <c r="AP322" s="1917"/>
      <c r="AQ322" s="1917"/>
      <c r="AR322" s="1917"/>
      <c r="AS322" s="1917"/>
      <c r="AT322" s="1917"/>
      <c r="AU322" s="1917"/>
      <c r="AV322" s="1917"/>
      <c r="AW322" s="1917"/>
      <c r="AX322" s="1917"/>
      <c r="AY322" s="1917"/>
      <c r="AZ322" s="1917"/>
      <c r="BA322" s="1917"/>
      <c r="BB322" s="1917"/>
      <c r="BC322" s="1917"/>
      <c r="BD322" s="1917"/>
      <c r="BE322" s="1917"/>
      <c r="BF322" s="1917"/>
    </row>
    <row s="10365" customFormat="1" customHeight="1" ht="11.25">
      <c r="A323" s="1262" t="s">
        <v>1194</v>
      </c>
      <c r="B323" s="1262" t="s">
        <v>1195</v>
      </c>
      <c r="C323" s="1262"/>
      <c r="D323" s="1462"/>
      <c r="E323" s="1266"/>
      <c r="F323" s="3394"/>
      <c r="G323" s="3004" t="s">
        <v>103</v>
      </c>
      <c r="H323" s="3263" t="s">
        <v>1302</v>
      </c>
      <c r="I323" s="3374" t="s">
        <v>1196</v>
      </c>
      <c r="J323" s="3334" t="s">
        <v>1219</v>
      </c>
      <c r="K323" s="3372" t="s">
        <v>1303</v>
      </c>
      <c r="L323" s="2989" t="s">
        <v>19</v>
      </c>
      <c r="M323" s="2990"/>
      <c r="N323" s="2077"/>
      <c r="O323" s="1273" t="s">
        <v>461</v>
      </c>
      <c r="P323" s="1274"/>
      <c r="Q323" s="1274"/>
      <c r="R323" s="1274"/>
      <c r="S323" s="1274"/>
      <c r="T323" s="1274"/>
      <c r="U323" s="1274"/>
      <c r="V323" s="1274"/>
      <c r="W323" s="1274"/>
      <c r="X323" s="1274"/>
      <c r="Y323" s="1274"/>
      <c r="Z323" s="1274"/>
      <c r="AA323" s="1274"/>
      <c r="AB323" s="1274"/>
      <c r="AC323" s="1274"/>
      <c r="AD323" s="1274"/>
      <c r="AE323" s="1274"/>
      <c r="AF323" s="3375">
        <v>5</v>
      </c>
      <c r="AG323" s="3376" t="s">
        <v>1206</v>
      </c>
      <c r="AH323" s="3376" t="s">
        <v>1200</v>
      </c>
      <c r="AI323" s="3375">
        <v>5</v>
      </c>
      <c r="AJ323" s="3376" t="s">
        <v>1206</v>
      </c>
      <c r="AK323" s="3376" t="s">
        <v>1200</v>
      </c>
      <c r="AL323" s="2079"/>
      <c r="AM323" s="1917"/>
      <c r="AN323" s="1917"/>
      <c r="AO323" s="1917"/>
      <c r="AP323" s="1917"/>
      <c r="AQ323" s="1917"/>
      <c r="AR323" s="1917"/>
      <c r="AS323" s="1917"/>
      <c r="AT323" s="1917"/>
      <c r="AU323" s="1917"/>
      <c r="AV323" s="1917"/>
      <c r="AW323" s="1917"/>
      <c r="AX323" s="1917"/>
      <c r="AY323" s="1917"/>
      <c r="AZ323" s="1917"/>
      <c r="BA323" s="1917"/>
      <c r="BB323" s="1917"/>
      <c r="BC323" s="1917"/>
      <c r="BD323" s="1917"/>
      <c r="BE323" s="1917"/>
      <c r="BF323" s="1917"/>
    </row>
    <row s="10365" customFormat="1" customHeight="1" ht="11.25">
      <c r="A324" s="1262" t="s">
        <v>1194</v>
      </c>
      <c r="B324" s="1262"/>
      <c r="C324" s="1262"/>
      <c r="D324" s="1462"/>
      <c r="E324" s="1266"/>
      <c r="F324" s="3394"/>
      <c r="G324" s="3396"/>
      <c r="H324" s="3263" t="s">
        <v>1300</v>
      </c>
      <c r="I324" s="3374"/>
      <c r="J324" s="3334"/>
      <c r="K324" s="3372"/>
      <c r="L324" s="2989"/>
      <c r="M324" s="2990"/>
      <c r="N324" s="3341"/>
      <c r="O324" s="3377">
        <v>1</v>
      </c>
      <c r="P324" s="3343" t="s">
        <v>19</v>
      </c>
      <c r="Q324" s="3236" t="s">
        <v>22</v>
      </c>
      <c r="R324" s="3236" t="s">
        <v>22</v>
      </c>
      <c r="S324" s="3236" t="s">
        <v>22</v>
      </c>
      <c r="T324" s="3236" t="s">
        <v>22</v>
      </c>
      <c r="U324" s="3236" t="s">
        <v>22</v>
      </c>
      <c r="V324" s="3236" t="s">
        <v>22</v>
      </c>
      <c r="W324" s="3236" t="s">
        <v>22</v>
      </c>
      <c r="X324" s="3236" t="s">
        <v>22</v>
      </c>
      <c r="Y324" s="3236"/>
      <c r="Z324" s="1271"/>
      <c r="AA324" s="1272"/>
      <c r="AB324" s="1272"/>
      <c r="AC324" s="1276"/>
      <c r="AD324" s="1276"/>
      <c r="AE324" s="1277"/>
      <c r="AF324" s="3375"/>
      <c r="AG324" s="3376"/>
      <c r="AH324" s="3376"/>
      <c r="AI324" s="3375"/>
      <c r="AJ324" s="3376"/>
      <c r="AK324" s="3376"/>
      <c r="AL324" s="2079"/>
      <c r="AM324" s="1917"/>
      <c r="AN324" s="1917"/>
      <c r="AO324" s="1917"/>
      <c r="AP324" s="1917"/>
      <c r="AQ324" s="1917"/>
      <c r="AR324" s="1917"/>
      <c r="AS324" s="1917"/>
      <c r="AT324" s="1917"/>
      <c r="AU324" s="1917"/>
      <c r="AV324" s="1917"/>
      <c r="AW324" s="1917"/>
      <c r="AX324" s="1917"/>
      <c r="AY324" s="1917"/>
      <c r="AZ324" s="1917"/>
      <c r="BA324" s="1917"/>
      <c r="BB324" s="1917"/>
      <c r="BC324" s="1917"/>
      <c r="BD324" s="1917"/>
      <c r="BE324" s="1917"/>
      <c r="BF324" s="1917"/>
    </row>
    <row s="10365" customFormat="1" customHeight="1" ht="11.25">
      <c r="A325" s="1262" t="s">
        <v>1194</v>
      </c>
      <c r="B325" s="1262"/>
      <c r="C325" s="1262"/>
      <c r="D325" s="1462"/>
      <c r="E325" s="1266"/>
      <c r="F325" s="3394"/>
      <c r="G325" s="3396"/>
      <c r="H325" s="3263" t="s">
        <v>1300</v>
      </c>
      <c r="I325" s="3374"/>
      <c r="J325" s="3334"/>
      <c r="K325" s="3372"/>
      <c r="L325" s="2989"/>
      <c r="M325" s="2990"/>
      <c r="N325" s="3341"/>
      <c r="O325" s="3377"/>
      <c r="P325" s="3344"/>
      <c r="Q325" s="3236"/>
      <c r="R325" s="3236"/>
      <c r="S325" s="3346"/>
      <c r="T325" s="3236"/>
      <c r="U325" s="3236"/>
      <c r="V325" s="3236"/>
      <c r="W325" s="3236"/>
      <c r="X325" s="3236"/>
      <c r="Y325" s="3236"/>
      <c r="Z325" s="1922"/>
      <c r="AA325" s="2198">
        <v>1</v>
      </c>
      <c r="AB325" s="1275" t="s">
        <v>1201</v>
      </c>
      <c r="AC325" s="1265">
        <v>0</v>
      </c>
      <c r="AD325" s="1275" t="str">
        <f>AB325</f>
        <v>      Амортизационные отчисления с выделением результатов переоценки основных средств и нематериальных активов</v>
      </c>
      <c r="AE325" s="1265">
        <v>1950.1</v>
      </c>
      <c r="AF325" s="3375"/>
      <c r="AG325" s="3376"/>
      <c r="AH325" s="3376"/>
      <c r="AI325" s="3375"/>
      <c r="AJ325" s="3376"/>
      <c r="AK325" s="3376"/>
      <c r="AL325" s="2079"/>
      <c r="AM325" s="1917"/>
      <c r="AN325" s="1917"/>
      <c r="AO325" s="1917"/>
      <c r="AP325" s="1917"/>
      <c r="AQ325" s="1917"/>
      <c r="AR325" s="1917"/>
      <c r="AS325" s="1917"/>
      <c r="AT325" s="1917"/>
      <c r="AU325" s="1917"/>
      <c r="AV325" s="1917"/>
      <c r="AW325" s="1917"/>
      <c r="AX325" s="1917"/>
      <c r="AY325" s="1917"/>
      <c r="AZ325" s="1917"/>
      <c r="BA325" s="1917"/>
      <c r="BB325" s="1917"/>
      <c r="BC325" s="1917"/>
      <c r="BD325" s="1917"/>
      <c r="BE325" s="1917"/>
      <c r="BF325" s="1917"/>
    </row>
    <row s="10365" customFormat="1" customHeight="1" ht="11.25">
      <c r="A326" s="1262" t="s">
        <v>1194</v>
      </c>
      <c r="B326" s="1262"/>
      <c r="C326" s="1262"/>
      <c r="D326" s="1462"/>
      <c r="E326" s="1266"/>
      <c r="F326" s="3394"/>
      <c r="G326" s="3396"/>
      <c r="H326" s="3396"/>
      <c r="I326" s="3396"/>
      <c r="J326" s="3396"/>
      <c r="K326" s="3396"/>
      <c r="L326" s="3396"/>
      <c r="M326" s="3396"/>
      <c r="N326" s="3396"/>
      <c r="O326" s="3396"/>
      <c r="P326" s="3396"/>
      <c r="Q326" s="3396"/>
      <c r="R326" s="3396"/>
      <c r="S326" s="3396"/>
      <c r="T326" s="3396"/>
      <c r="U326" s="3396"/>
      <c r="V326" s="3396"/>
      <c r="W326" s="3396"/>
      <c r="X326" s="3396"/>
      <c r="Y326" s="3396"/>
      <c r="Z326" s="790" t="s">
        <v>103</v>
      </c>
      <c r="AA326" s="2195" t="s">
        <v>102</v>
      </c>
      <c r="AB326" s="1275" t="s">
        <v>1208</v>
      </c>
      <c r="AC326" s="1265">
        <v>0</v>
      </c>
      <c r="AD326" s="1275" t="str">
        <f>AB326</f>
        <v>  Прочие собственные средства</v>
      </c>
      <c r="AE326" s="1265">
        <v>361.03808</v>
      </c>
      <c r="AF326" s="3397"/>
      <c r="AG326" s="3398"/>
      <c r="AH326" s="3398"/>
      <c r="AI326" s="3397"/>
      <c r="AJ326" s="3398"/>
      <c r="AK326" s="3399"/>
      <c r="AL326" s="2079"/>
      <c r="AM326" s="1917"/>
      <c r="AN326" s="1917"/>
      <c r="AO326" s="1917"/>
      <c r="AP326" s="1917"/>
      <c r="AQ326" s="1917"/>
      <c r="AR326" s="1917"/>
      <c r="AS326" s="1917"/>
      <c r="AT326" s="1917"/>
      <c r="AU326" s="1917"/>
      <c r="AV326" s="1917"/>
      <c r="AW326" s="1917"/>
      <c r="AX326" s="1917"/>
      <c r="AY326" s="1917"/>
      <c r="AZ326" s="1917"/>
      <c r="BA326" s="1917"/>
      <c r="BB326" s="1917"/>
      <c r="BC326" s="1917"/>
      <c r="BD326" s="1917"/>
      <c r="BE326" s="1917"/>
      <c r="BF326" s="1917"/>
    </row>
    <row s="10365" customFormat="1" customHeight="1" ht="11.25">
      <c r="A327" s="1262" t="s">
        <v>1194</v>
      </c>
      <c r="B327" s="1262"/>
      <c r="C327" s="1262"/>
      <c r="D327" s="1462"/>
      <c r="E327" s="1266"/>
      <c r="F327" s="3394"/>
      <c r="G327" s="3396"/>
      <c r="H327" s="3263" t="s">
        <v>1300</v>
      </c>
      <c r="I327" s="3374"/>
      <c r="J327" s="3334"/>
      <c r="K327" s="3372"/>
      <c r="L327" s="2989"/>
      <c r="M327" s="2990"/>
      <c r="N327" s="3341"/>
      <c r="O327" s="3377"/>
      <c r="P327" s="3345"/>
      <c r="Q327" s="3236"/>
      <c r="R327" s="3236"/>
      <c r="S327" s="3346"/>
      <c r="T327" s="3236"/>
      <c r="U327" s="3236"/>
      <c r="V327" s="3236"/>
      <c r="W327" s="3236"/>
      <c r="X327" s="3236"/>
      <c r="Y327" s="3236"/>
      <c r="Z327" s="1271"/>
      <c r="AA327" s="1272"/>
      <c r="AB327" s="1337" t="s">
        <v>1203</v>
      </c>
      <c r="AC327" s="1276"/>
      <c r="AD327" s="1276"/>
      <c r="AE327" s="1278"/>
      <c r="AF327" s="3375"/>
      <c r="AG327" s="3376"/>
      <c r="AH327" s="3376"/>
      <c r="AI327" s="3375"/>
      <c r="AJ327" s="3376"/>
      <c r="AK327" s="3376"/>
      <c r="AL327" s="2079"/>
      <c r="AM327" s="1917"/>
      <c r="AN327" s="1917"/>
      <c r="AO327" s="1917"/>
      <c r="AP327" s="1917"/>
      <c r="AQ327" s="1917"/>
      <c r="AR327" s="1917"/>
      <c r="AS327" s="1917"/>
      <c r="AT327" s="1917"/>
      <c r="AU327" s="1917"/>
      <c r="AV327" s="1917"/>
      <c r="AW327" s="1917"/>
      <c r="AX327" s="1917"/>
      <c r="AY327" s="1917"/>
      <c r="AZ327" s="1917"/>
      <c r="BA327" s="1917"/>
      <c r="BB327" s="1917"/>
      <c r="BC327" s="1917"/>
      <c r="BD327" s="1917"/>
      <c r="BE327" s="1917"/>
      <c r="BF327" s="1917"/>
    </row>
    <row s="10365" customFormat="1" customHeight="1" ht="30.75">
      <c r="A328" s="1262" t="s">
        <v>1194</v>
      </c>
      <c r="B328" s="1262"/>
      <c r="C328" s="1262"/>
      <c r="D328" s="1462"/>
      <c r="E328" s="1266"/>
      <c r="F328" s="3394"/>
      <c r="G328" s="3396"/>
      <c r="H328" s="3263" t="s">
        <v>1300</v>
      </c>
      <c r="I328" s="3374"/>
      <c r="J328" s="3334"/>
      <c r="K328" s="3372"/>
      <c r="L328" s="2989"/>
      <c r="M328" s="2990"/>
      <c r="N328" s="1271"/>
      <c r="O328" s="1272"/>
      <c r="P328" s="1337" t="s">
        <v>1204</v>
      </c>
      <c r="Q328" s="1272"/>
      <c r="R328" s="1272"/>
      <c r="S328" s="1272"/>
      <c r="T328" s="1272"/>
      <c r="U328" s="1272"/>
      <c r="V328" s="1272"/>
      <c r="W328" s="1272"/>
      <c r="X328" s="1272"/>
      <c r="Y328" s="1272"/>
      <c r="Z328" s="1272"/>
      <c r="AA328" s="1272"/>
      <c r="AB328" s="1272"/>
      <c r="AC328" s="1272"/>
      <c r="AD328" s="1272"/>
      <c r="AE328" s="1279"/>
      <c r="AF328" s="3375"/>
      <c r="AG328" s="3376"/>
      <c r="AH328" s="3376"/>
      <c r="AI328" s="3375"/>
      <c r="AJ328" s="3376"/>
      <c r="AK328" s="3376"/>
      <c r="AL328" s="2079"/>
      <c r="AM328" s="1917"/>
      <c r="AN328" s="1917"/>
      <c r="AO328" s="1917"/>
      <c r="AP328" s="1917"/>
      <c r="AQ328" s="1917"/>
      <c r="AR328" s="1917"/>
      <c r="AS328" s="1917"/>
      <c r="AT328" s="1917"/>
      <c r="AU328" s="1917"/>
      <c r="AV328" s="1917"/>
      <c r="AW328" s="1917"/>
      <c r="AX328" s="1917"/>
      <c r="AY328" s="1917"/>
      <c r="AZ328" s="1917"/>
      <c r="BA328" s="1917"/>
      <c r="BB328" s="1917"/>
      <c r="BC328" s="1917"/>
      <c r="BD328" s="1917"/>
      <c r="BE328" s="1917"/>
      <c r="BF328" s="1917"/>
    </row>
    <row customHeight="1" ht="12">
      <c r="A329" s="1262" t="s">
        <v>1161</v>
      </c>
      <c r="D329" s="1256"/>
      <c r="E329" s="1266"/>
      <c r="F329" s="3267"/>
      <c r="G329" s="1286"/>
      <c r="H329" s="1286"/>
      <c r="I329" s="3265" t="s">
        <v>1193</v>
      </c>
      <c r="J329" s="3265"/>
      <c r="K329" s="3265"/>
      <c r="L329" s="1269"/>
      <c r="M329" s="1269"/>
      <c r="N329" s="1270"/>
      <c r="O329" s="1270"/>
      <c r="P329" s="1270"/>
      <c r="Q329" s="1270"/>
      <c r="R329" s="1270"/>
      <c r="S329" s="1270"/>
      <c r="T329" s="1270"/>
      <c r="U329" s="1270"/>
      <c r="V329" s="1270"/>
      <c r="W329" s="1270"/>
      <c r="X329" s="1270"/>
      <c r="Y329" s="1270"/>
      <c r="Z329" s="1270"/>
      <c r="AA329" s="1270"/>
      <c r="AB329" s="1270"/>
      <c r="AC329" s="1270"/>
      <c r="AD329" s="1270"/>
      <c r="AE329" s="1270"/>
      <c r="AF329" s="1270"/>
      <c r="AG329" s="1269"/>
      <c r="AH329" s="1269"/>
      <c r="AI329" s="1270"/>
      <c r="AJ329" s="1269"/>
      <c r="AK329" s="1270"/>
      <c r="AL329" s="2079"/>
      <c r="AM329" s="1917"/>
      <c r="AN329" s="1917"/>
      <c r="AO329" s="1917"/>
      <c r="AP329" s="1917"/>
      <c r="AQ329" s="1917"/>
      <c r="AR329" s="1917"/>
      <c r="AS329" s="1917"/>
      <c r="AT329" s="1917"/>
      <c r="AU329" s="1917"/>
      <c r="AV329" s="1917"/>
      <c r="AW329" s="1917"/>
      <c r="AX329" s="1917"/>
      <c r="AY329" s="1917"/>
      <c r="AZ329" s="1917"/>
      <c r="BA329" s="1917"/>
      <c r="BB329" s="1917"/>
      <c r="BC329" s="1917"/>
      <c r="BD329" s="1917"/>
      <c r="BE329" s="1917"/>
      <c r="BF329" s="1917"/>
    </row>
    <row customHeight="1" ht="0.75">
      <c r="A330" s="1262" t="s">
        <v>1161</v>
      </c>
      <c r="D330" s="1256"/>
      <c r="E330" s="1266"/>
      <c r="F330" s="3266">
        <v>2024</v>
      </c>
      <c r="G330" s="3263"/>
      <c r="H330" s="3269" t="s">
        <v>461</v>
      </c>
      <c r="I330" s="3270"/>
      <c r="J330" s="3262"/>
      <c r="K330" s="3262"/>
      <c r="L330" s="3264"/>
      <c r="M330" s="3112"/>
      <c r="N330" s="2127"/>
      <c r="O330" s="2126"/>
      <c r="P330" s="2127"/>
      <c r="Q330" s="2127"/>
      <c r="R330" s="2127"/>
      <c r="S330" s="2127"/>
      <c r="T330" s="2127"/>
      <c r="U330" s="2127"/>
      <c r="V330" s="2127"/>
      <c r="W330" s="2127"/>
      <c r="X330" s="2127"/>
      <c r="Y330" s="2127"/>
      <c r="Z330" s="2127"/>
      <c r="AA330" s="2127"/>
      <c r="AB330" s="2127"/>
      <c r="AC330" s="2127"/>
      <c r="AD330" s="2127"/>
      <c r="AE330" s="2127"/>
      <c r="AF330" s="3268"/>
      <c r="AG330" s="3264"/>
      <c r="AH330" s="3264"/>
      <c r="AI330" s="3268"/>
      <c r="AJ330" s="3264"/>
      <c r="AK330" s="3264"/>
      <c r="AL330" s="2079"/>
      <c r="AM330" s="1917"/>
      <c r="AN330" s="1917"/>
      <c r="AO330" s="1917"/>
      <c r="AP330" s="1917"/>
      <c r="AQ330" s="1917"/>
      <c r="AR330" s="1917"/>
      <c r="AS330" s="1917"/>
      <c r="AT330" s="1917"/>
      <c r="AU330" s="1917"/>
      <c r="AV330" s="1917"/>
      <c r="AW330" s="1917"/>
      <c r="AX330" s="1917"/>
      <c r="AY330" s="1917"/>
      <c r="AZ330" s="1917"/>
      <c r="BA330" s="1917"/>
      <c r="BB330" s="1917"/>
      <c r="BC330" s="1917"/>
      <c r="BD330" s="1917"/>
      <c r="BE330" s="1917"/>
      <c r="BF330" s="1917"/>
    </row>
    <row customHeight="1" ht="0.75">
      <c r="A331" s="1262" t="s">
        <v>1161</v>
      </c>
      <c r="D331" s="1256"/>
      <c r="E331" s="1266"/>
      <c r="F331" s="3266"/>
      <c r="G331" s="3263"/>
      <c r="H331" s="3269"/>
      <c r="I331" s="3270"/>
      <c r="J331" s="3262"/>
      <c r="K331" s="3262"/>
      <c r="L331" s="3264"/>
      <c r="M331" s="3112"/>
      <c r="N331" s="3271"/>
      <c r="O331" s="3272"/>
      <c r="P331" s="3259"/>
      <c r="Q331" s="3262"/>
      <c r="R331" s="3262"/>
      <c r="S331" s="3262"/>
      <c r="T331" s="3262"/>
      <c r="U331" s="3262"/>
      <c r="V331" s="3262"/>
      <c r="W331" s="3262"/>
      <c r="X331" s="3262"/>
      <c r="Y331" s="3262"/>
      <c r="Z331" s="2128"/>
      <c r="AA331" s="2129"/>
      <c r="AB331" s="2129"/>
      <c r="AC331" s="2130"/>
      <c r="AD331" s="2130"/>
      <c r="AE331" s="2131"/>
      <c r="AF331" s="3268"/>
      <c r="AG331" s="3264"/>
      <c r="AH331" s="3264"/>
      <c r="AI331" s="3268"/>
      <c r="AJ331" s="3264"/>
      <c r="AK331" s="3264"/>
      <c r="AL331" s="2079"/>
      <c r="AM331" s="1917"/>
      <c r="AN331" s="1917"/>
      <c r="AO331" s="1917"/>
      <c r="AP331" s="1917"/>
      <c r="AQ331" s="1917"/>
      <c r="AR331" s="1917"/>
      <c r="AS331" s="1917"/>
      <c r="AT331" s="1917"/>
      <c r="AU331" s="1917"/>
      <c r="AV331" s="1917"/>
      <c r="AW331" s="1917"/>
      <c r="AX331" s="1917"/>
      <c r="AY331" s="1917"/>
      <c r="AZ331" s="1917"/>
      <c r="BA331" s="1917"/>
      <c r="BB331" s="1917"/>
      <c r="BC331" s="1917"/>
      <c r="BD331" s="1917"/>
      <c r="BE331" s="1917"/>
      <c r="BF331" s="1917"/>
    </row>
    <row customHeight="1" ht="0.75">
      <c r="A332" s="1262" t="s">
        <v>1161</v>
      </c>
      <c r="D332" s="1256"/>
      <c r="E332" s="1266"/>
      <c r="F332" s="3266"/>
      <c r="G332" s="3263"/>
      <c r="H332" s="3269"/>
      <c r="I332" s="3270"/>
      <c r="J332" s="3262"/>
      <c r="K332" s="3262"/>
      <c r="L332" s="3264"/>
      <c r="M332" s="3112"/>
      <c r="N332" s="3271"/>
      <c r="O332" s="3272"/>
      <c r="P332" s="3260"/>
      <c r="Q332" s="3262"/>
      <c r="R332" s="3262"/>
      <c r="S332" s="3262"/>
      <c r="T332" s="3262"/>
      <c r="U332" s="3262"/>
      <c r="V332" s="3262"/>
      <c r="W332" s="3262"/>
      <c r="X332" s="3262"/>
      <c r="Y332" s="3262"/>
      <c r="Z332" s="2132"/>
      <c r="AA332" s="2133"/>
      <c r="AB332" s="2134"/>
      <c r="AC332" s="2135"/>
      <c r="AD332" s="2134"/>
      <c r="AE332" s="2135"/>
      <c r="AF332" s="3268"/>
      <c r="AG332" s="3264"/>
      <c r="AH332" s="3264"/>
      <c r="AI332" s="3268"/>
      <c r="AJ332" s="3264"/>
      <c r="AK332" s="3264"/>
      <c r="AL332" s="2079"/>
      <c r="AM332" s="1917"/>
      <c r="AN332" s="1917"/>
      <c r="AO332" s="1917"/>
      <c r="AP332" s="1917"/>
      <c r="AQ332" s="1917"/>
      <c r="AR332" s="1917"/>
      <c r="AS332" s="1917"/>
      <c r="AT332" s="1917"/>
      <c r="AU332" s="1917"/>
      <c r="AV332" s="1917"/>
      <c r="AW332" s="1917"/>
      <c r="AX332" s="1917"/>
      <c r="AY332" s="1917"/>
      <c r="AZ332" s="1917"/>
      <c r="BA332" s="1917"/>
      <c r="BB332" s="1917"/>
      <c r="BC332" s="1917"/>
      <c r="BD332" s="1917"/>
      <c r="BE332" s="1917"/>
      <c r="BF332" s="1917"/>
    </row>
    <row customHeight="1" ht="0.75">
      <c r="A333" s="1262" t="s">
        <v>1161</v>
      </c>
      <c r="D333" s="1256"/>
      <c r="E333" s="1266"/>
      <c r="F333" s="3266"/>
      <c r="G333" s="3263"/>
      <c r="H333" s="3269"/>
      <c r="I333" s="3270"/>
      <c r="J333" s="3262"/>
      <c r="K333" s="3262"/>
      <c r="L333" s="3264"/>
      <c r="M333" s="3112"/>
      <c r="N333" s="3271"/>
      <c r="O333" s="3272"/>
      <c r="P333" s="3261"/>
      <c r="Q333" s="3262"/>
      <c r="R333" s="3262"/>
      <c r="S333" s="3262"/>
      <c r="T333" s="3262"/>
      <c r="U333" s="3262"/>
      <c r="V333" s="3262"/>
      <c r="W333" s="3262"/>
      <c r="X333" s="3262"/>
      <c r="Y333" s="3262"/>
      <c r="Z333" s="2128"/>
      <c r="AA333" s="2129"/>
      <c r="AB333" s="2136"/>
      <c r="AC333" s="2130"/>
      <c r="AD333" s="2130"/>
      <c r="AE333" s="2137"/>
      <c r="AF333" s="3268"/>
      <c r="AG333" s="3264"/>
      <c r="AH333" s="3264"/>
      <c r="AI333" s="3268"/>
      <c r="AJ333" s="3264"/>
      <c r="AK333" s="3264"/>
      <c r="AL333" s="2079"/>
      <c r="AM333" s="1917"/>
      <c r="AN333" s="1917"/>
      <c r="AO333" s="1917"/>
      <c r="AP333" s="1917"/>
      <c r="AQ333" s="1917"/>
      <c r="AR333" s="1917"/>
      <c r="AS333" s="1917"/>
      <c r="AT333" s="1917"/>
      <c r="AU333" s="1917"/>
      <c r="AV333" s="1917"/>
      <c r="AW333" s="1917"/>
      <c r="AX333" s="1917"/>
      <c r="AY333" s="1917"/>
      <c r="AZ333" s="1917"/>
      <c r="BA333" s="1917"/>
      <c r="BB333" s="1917"/>
      <c r="BC333" s="1917"/>
      <c r="BD333" s="1917"/>
      <c r="BE333" s="1917"/>
      <c r="BF333" s="1917"/>
    </row>
    <row customHeight="1" ht="0.75">
      <c r="A334" s="1262" t="s">
        <v>1161</v>
      </c>
      <c r="D334" s="1256"/>
      <c r="E334" s="1266"/>
      <c r="F334" s="3266"/>
      <c r="G334" s="3263"/>
      <c r="H334" s="3269"/>
      <c r="I334" s="3270"/>
      <c r="J334" s="3262"/>
      <c r="K334" s="3262"/>
      <c r="L334" s="3264"/>
      <c r="M334" s="3112"/>
      <c r="N334" s="2129"/>
      <c r="O334" s="2129"/>
      <c r="P334" s="2136"/>
      <c r="Q334" s="2129"/>
      <c r="R334" s="2129"/>
      <c r="S334" s="2129"/>
      <c r="T334" s="2129"/>
      <c r="U334" s="2129"/>
      <c r="V334" s="2129"/>
      <c r="W334" s="2129"/>
      <c r="X334" s="2129"/>
      <c r="Y334" s="2129"/>
      <c r="Z334" s="2129"/>
      <c r="AA334" s="2129"/>
      <c r="AB334" s="2129"/>
      <c r="AC334" s="2129"/>
      <c r="AD334" s="2129"/>
      <c r="AE334" s="2138"/>
      <c r="AF334" s="3268"/>
      <c r="AG334" s="3264"/>
      <c r="AH334" s="3264"/>
      <c r="AI334" s="3268"/>
      <c r="AJ334" s="3264"/>
      <c r="AK334" s="3264"/>
      <c r="AL334" s="2079"/>
      <c r="AM334" s="1917"/>
      <c r="AN334" s="1917"/>
      <c r="AO334" s="1917"/>
      <c r="AP334" s="1917"/>
      <c r="AQ334" s="1917"/>
      <c r="AR334" s="1917"/>
      <c r="AS334" s="1917"/>
      <c r="AT334" s="1917"/>
      <c r="AU334" s="1917"/>
      <c r="AV334" s="1917"/>
      <c r="AW334" s="1917"/>
      <c r="AX334" s="1917"/>
      <c r="AY334" s="1917"/>
      <c r="AZ334" s="1917"/>
      <c r="BA334" s="1917"/>
      <c r="BB334" s="1917"/>
      <c r="BC334" s="1917"/>
      <c r="BD334" s="1917"/>
      <c r="BE334" s="1917"/>
      <c r="BF334" s="1917"/>
    </row>
    <row customHeight="1" ht="12">
      <c r="A335" s="1262" t="s">
        <v>1161</v>
      </c>
      <c r="D335" s="1256"/>
      <c r="E335" s="1266"/>
      <c r="F335" s="3267"/>
      <c r="G335" s="1286"/>
      <c r="H335" s="1286"/>
      <c r="I335" s="3265" t="s">
        <v>1193</v>
      </c>
      <c r="J335" s="3265"/>
      <c r="K335" s="3265"/>
      <c r="L335" s="1269"/>
      <c r="M335" s="1269"/>
      <c r="N335" s="1270"/>
      <c r="O335" s="1270"/>
      <c r="P335" s="1270"/>
      <c r="Q335" s="1270"/>
      <c r="R335" s="1270"/>
      <c r="S335" s="1270"/>
      <c r="T335" s="1270"/>
      <c r="U335" s="1270"/>
      <c r="V335" s="1270"/>
      <c r="W335" s="1270"/>
      <c r="X335" s="1270"/>
      <c r="Y335" s="1270"/>
      <c r="Z335" s="1270"/>
      <c r="AA335" s="1270"/>
      <c r="AB335" s="1270"/>
      <c r="AC335" s="1270"/>
      <c r="AD335" s="1270"/>
      <c r="AE335" s="1270"/>
      <c r="AF335" s="1270"/>
      <c r="AG335" s="1269"/>
      <c r="AH335" s="1269"/>
      <c r="AI335" s="1270"/>
      <c r="AJ335" s="1269"/>
      <c r="AK335" s="1270"/>
      <c r="AL335" s="2079"/>
      <c r="AM335" s="1917"/>
      <c r="AN335" s="1917"/>
      <c r="AO335" s="1917"/>
      <c r="AP335" s="1917"/>
      <c r="AQ335" s="1917"/>
      <c r="AR335" s="1917"/>
      <c r="AS335" s="1917"/>
      <c r="AT335" s="1917"/>
      <c r="AU335" s="1917"/>
      <c r="AV335" s="1917"/>
      <c r="AW335" s="1917"/>
      <c r="AX335" s="1917"/>
      <c r="AY335" s="1917"/>
      <c r="AZ335" s="1917"/>
      <c r="BA335" s="1917"/>
      <c r="BB335" s="1917"/>
      <c r="BC335" s="1917"/>
      <c r="BD335" s="1917"/>
      <c r="BE335" s="1917"/>
      <c r="BF335" s="1917"/>
    </row>
    <row customHeight="1" ht="0.75">
      <c r="A336" s="1262" t="s">
        <v>1161</v>
      </c>
      <c r="D336" s="1256"/>
      <c r="E336" s="1266"/>
      <c r="F336" s="3266">
        <v>2025</v>
      </c>
      <c r="G336" s="3263"/>
      <c r="H336" s="3269" t="s">
        <v>461</v>
      </c>
      <c r="I336" s="3270"/>
      <c r="J336" s="3262"/>
      <c r="K336" s="3262"/>
      <c r="L336" s="3264"/>
      <c r="M336" s="3112"/>
      <c r="N336" s="2127"/>
      <c r="O336" s="2126"/>
      <c r="P336" s="2127"/>
      <c r="Q336" s="2127"/>
      <c r="R336" s="2127"/>
      <c r="S336" s="2127"/>
      <c r="T336" s="2127"/>
      <c r="U336" s="2127"/>
      <c r="V336" s="2127"/>
      <c r="W336" s="2127"/>
      <c r="X336" s="2127"/>
      <c r="Y336" s="2127"/>
      <c r="Z336" s="2127"/>
      <c r="AA336" s="2127"/>
      <c r="AB336" s="2127"/>
      <c r="AC336" s="2127"/>
      <c r="AD336" s="2127"/>
      <c r="AE336" s="2127"/>
      <c r="AF336" s="3268"/>
      <c r="AG336" s="3264"/>
      <c r="AH336" s="3264"/>
      <c r="AI336" s="3268"/>
      <c r="AJ336" s="3264"/>
      <c r="AK336" s="3264"/>
      <c r="AL336" s="2079"/>
      <c r="AM336" s="1917"/>
      <c r="AN336" s="1917"/>
      <c r="AO336" s="1917"/>
      <c r="AP336" s="1917"/>
      <c r="AQ336" s="1917"/>
      <c r="AR336" s="1917"/>
      <c r="AS336" s="1917"/>
      <c r="AT336" s="1917"/>
      <c r="AU336" s="1917"/>
      <c r="AV336" s="1917"/>
      <c r="AW336" s="1917"/>
      <c r="AX336" s="1917"/>
      <c r="AY336" s="1917"/>
      <c r="AZ336" s="1917"/>
      <c r="BA336" s="1917"/>
      <c r="BB336" s="1917"/>
      <c r="BC336" s="1917"/>
      <c r="BD336" s="1917"/>
      <c r="BE336" s="1917"/>
      <c r="BF336" s="1917"/>
    </row>
    <row customHeight="1" ht="0.75">
      <c r="A337" s="1262" t="s">
        <v>1161</v>
      </c>
      <c r="D337" s="1256"/>
      <c r="E337" s="1266"/>
      <c r="F337" s="3266"/>
      <c r="G337" s="3263"/>
      <c r="H337" s="3269"/>
      <c r="I337" s="3270"/>
      <c r="J337" s="3262"/>
      <c r="K337" s="3262"/>
      <c r="L337" s="3264"/>
      <c r="M337" s="3112"/>
      <c r="N337" s="3271"/>
      <c r="O337" s="3272"/>
      <c r="P337" s="3259"/>
      <c r="Q337" s="3262"/>
      <c r="R337" s="3262"/>
      <c r="S337" s="3262"/>
      <c r="T337" s="3262"/>
      <c r="U337" s="3262"/>
      <c r="V337" s="3262"/>
      <c r="W337" s="3262"/>
      <c r="X337" s="3262"/>
      <c r="Y337" s="3262"/>
      <c r="Z337" s="2128"/>
      <c r="AA337" s="2129"/>
      <c r="AB337" s="2129"/>
      <c r="AC337" s="2130"/>
      <c r="AD337" s="2130"/>
      <c r="AE337" s="2131"/>
      <c r="AF337" s="3268"/>
      <c r="AG337" s="3264"/>
      <c r="AH337" s="3264"/>
      <c r="AI337" s="3268"/>
      <c r="AJ337" s="3264"/>
      <c r="AK337" s="3264"/>
      <c r="AL337" s="2079"/>
      <c r="AM337" s="1917"/>
      <c r="AN337" s="1917"/>
      <c r="AO337" s="1917"/>
      <c r="AP337" s="1917"/>
      <c r="AQ337" s="1917"/>
      <c r="AR337" s="1917"/>
      <c r="AS337" s="1917"/>
      <c r="AT337" s="1917"/>
      <c r="AU337" s="1917"/>
      <c r="AV337" s="1917"/>
      <c r="AW337" s="1917"/>
      <c r="AX337" s="1917"/>
      <c r="AY337" s="1917"/>
      <c r="AZ337" s="1917"/>
      <c r="BA337" s="1917"/>
      <c r="BB337" s="1917"/>
      <c r="BC337" s="1917"/>
      <c r="BD337" s="1917"/>
      <c r="BE337" s="1917"/>
      <c r="BF337" s="1917"/>
    </row>
    <row customHeight="1" ht="0.75">
      <c r="A338" s="1262" t="s">
        <v>1161</v>
      </c>
      <c r="D338" s="1256"/>
      <c r="E338" s="1266"/>
      <c r="F338" s="3266"/>
      <c r="G338" s="3263"/>
      <c r="H338" s="3269"/>
      <c r="I338" s="3270"/>
      <c r="J338" s="3262"/>
      <c r="K338" s="3262"/>
      <c r="L338" s="3264"/>
      <c r="M338" s="3112"/>
      <c r="N338" s="3271"/>
      <c r="O338" s="3272"/>
      <c r="P338" s="3260"/>
      <c r="Q338" s="3262"/>
      <c r="R338" s="3262"/>
      <c r="S338" s="3262"/>
      <c r="T338" s="3262"/>
      <c r="U338" s="3262"/>
      <c r="V338" s="3262"/>
      <c r="W338" s="3262"/>
      <c r="X338" s="3262"/>
      <c r="Y338" s="3262"/>
      <c r="Z338" s="2132"/>
      <c r="AA338" s="2133"/>
      <c r="AB338" s="2134"/>
      <c r="AC338" s="2135"/>
      <c r="AD338" s="2134"/>
      <c r="AE338" s="2135"/>
      <c r="AF338" s="3268"/>
      <c r="AG338" s="3264"/>
      <c r="AH338" s="3264"/>
      <c r="AI338" s="3268"/>
      <c r="AJ338" s="3264"/>
      <c r="AK338" s="3264"/>
      <c r="AL338" s="2079"/>
      <c r="AM338" s="1917"/>
      <c r="AN338" s="1917"/>
      <c r="AO338" s="1917"/>
      <c r="AP338" s="1917"/>
      <c r="AQ338" s="1917"/>
      <c r="AR338" s="1917"/>
      <c r="AS338" s="1917"/>
      <c r="AT338" s="1917"/>
      <c r="AU338" s="1917"/>
      <c r="AV338" s="1917"/>
      <c r="AW338" s="1917"/>
      <c r="AX338" s="1917"/>
      <c r="AY338" s="1917"/>
      <c r="AZ338" s="1917"/>
      <c r="BA338" s="1917"/>
      <c r="BB338" s="1917"/>
      <c r="BC338" s="1917"/>
      <c r="BD338" s="1917"/>
      <c r="BE338" s="1917"/>
      <c r="BF338" s="1917"/>
    </row>
    <row customHeight="1" ht="0.75">
      <c r="A339" s="1262" t="s">
        <v>1161</v>
      </c>
      <c r="D339" s="1256"/>
      <c r="E339" s="1266"/>
      <c r="F339" s="3266"/>
      <c r="G339" s="3263"/>
      <c r="H339" s="3269"/>
      <c r="I339" s="3270"/>
      <c r="J339" s="3262"/>
      <c r="K339" s="3262"/>
      <c r="L339" s="3264"/>
      <c r="M339" s="3112"/>
      <c r="N339" s="3271"/>
      <c r="O339" s="3272"/>
      <c r="P339" s="3261"/>
      <c r="Q339" s="3262"/>
      <c r="R339" s="3262"/>
      <c r="S339" s="3262"/>
      <c r="T339" s="3262"/>
      <c r="U339" s="3262"/>
      <c r="V339" s="3262"/>
      <c r="W339" s="3262"/>
      <c r="X339" s="3262"/>
      <c r="Y339" s="3262"/>
      <c r="Z339" s="2128"/>
      <c r="AA339" s="2129"/>
      <c r="AB339" s="2136"/>
      <c r="AC339" s="2130"/>
      <c r="AD339" s="2130"/>
      <c r="AE339" s="2137"/>
      <c r="AF339" s="3268"/>
      <c r="AG339" s="3264"/>
      <c r="AH339" s="3264"/>
      <c r="AI339" s="3268"/>
      <c r="AJ339" s="3264"/>
      <c r="AK339" s="3264"/>
      <c r="AL339" s="2079"/>
      <c r="AM339" s="1917"/>
      <c r="AN339" s="1917"/>
      <c r="AO339" s="1917"/>
      <c r="AP339" s="1917"/>
      <c r="AQ339" s="1917"/>
      <c r="AR339" s="1917"/>
      <c r="AS339" s="1917"/>
      <c r="AT339" s="1917"/>
      <c r="AU339" s="1917"/>
      <c r="AV339" s="1917"/>
      <c r="AW339" s="1917"/>
      <c r="AX339" s="1917"/>
      <c r="AY339" s="1917"/>
      <c r="AZ339" s="1917"/>
      <c r="BA339" s="1917"/>
      <c r="BB339" s="1917"/>
      <c r="BC339" s="1917"/>
      <c r="BD339" s="1917"/>
      <c r="BE339" s="1917"/>
      <c r="BF339" s="1917"/>
    </row>
    <row customHeight="1" ht="0.75">
      <c r="A340" s="1262" t="s">
        <v>1161</v>
      </c>
      <c r="D340" s="1256"/>
      <c r="E340" s="1266"/>
      <c r="F340" s="3266"/>
      <c r="G340" s="3263"/>
      <c r="H340" s="3269"/>
      <c r="I340" s="3270"/>
      <c r="J340" s="3262"/>
      <c r="K340" s="3262"/>
      <c r="L340" s="3264"/>
      <c r="M340" s="3112"/>
      <c r="N340" s="2129"/>
      <c r="O340" s="2129"/>
      <c r="P340" s="2136"/>
      <c r="Q340" s="2129"/>
      <c r="R340" s="2129"/>
      <c r="S340" s="2129"/>
      <c r="T340" s="2129"/>
      <c r="U340" s="2129"/>
      <c r="V340" s="2129"/>
      <c r="W340" s="2129"/>
      <c r="X340" s="2129"/>
      <c r="Y340" s="2129"/>
      <c r="Z340" s="2129"/>
      <c r="AA340" s="2129"/>
      <c r="AB340" s="2129"/>
      <c r="AC340" s="2129"/>
      <c r="AD340" s="2129"/>
      <c r="AE340" s="2138"/>
      <c r="AF340" s="3268"/>
      <c r="AG340" s="3264"/>
      <c r="AH340" s="3264"/>
      <c r="AI340" s="3268"/>
      <c r="AJ340" s="3264"/>
      <c r="AK340" s="3264"/>
      <c r="AL340" s="2079"/>
      <c r="AM340" s="1917"/>
      <c r="AN340" s="1917"/>
      <c r="AO340" s="1917"/>
      <c r="AP340" s="1917"/>
      <c r="AQ340" s="1917"/>
      <c r="AR340" s="1917"/>
      <c r="AS340" s="1917"/>
      <c r="AT340" s="1917"/>
      <c r="AU340" s="1917"/>
      <c r="AV340" s="1917"/>
      <c r="AW340" s="1917"/>
      <c r="AX340" s="1917"/>
      <c r="AY340" s="1917"/>
      <c r="AZ340" s="1917"/>
      <c r="BA340" s="1917"/>
      <c r="BB340" s="1917"/>
      <c r="BC340" s="1917"/>
      <c r="BD340" s="1917"/>
      <c r="BE340" s="1917"/>
      <c r="BF340" s="1917"/>
    </row>
    <row customHeight="1" ht="12">
      <c r="A341" s="1262" t="s">
        <v>1161</v>
      </c>
      <c r="D341" s="1256"/>
      <c r="E341" s="1266"/>
      <c r="F341" s="3267"/>
      <c r="G341" s="1286"/>
      <c r="H341" s="1286"/>
      <c r="I341" s="3265" t="s">
        <v>1193</v>
      </c>
      <c r="J341" s="3265"/>
      <c r="K341" s="3265"/>
      <c r="L341" s="1269"/>
      <c r="M341" s="1269"/>
      <c r="N341" s="1270"/>
      <c r="O341" s="1270"/>
      <c r="P341" s="1270"/>
      <c r="Q341" s="1270"/>
      <c r="R341" s="1270"/>
      <c r="S341" s="1270"/>
      <c r="T341" s="1270"/>
      <c r="U341" s="1270"/>
      <c r="V341" s="1270"/>
      <c r="W341" s="1270"/>
      <c r="X341" s="1270"/>
      <c r="Y341" s="1270"/>
      <c r="Z341" s="1270"/>
      <c r="AA341" s="1270"/>
      <c r="AB341" s="1270"/>
      <c r="AC341" s="1270"/>
      <c r="AD341" s="1270"/>
      <c r="AE341" s="1270"/>
      <c r="AF341" s="1270"/>
      <c r="AG341" s="1269"/>
      <c r="AH341" s="1269"/>
      <c r="AI341" s="1270"/>
      <c r="AJ341" s="1269"/>
      <c r="AK341" s="1270"/>
      <c r="AL341" s="2079"/>
      <c r="AM341" s="1917"/>
      <c r="AN341" s="1917"/>
      <c r="AO341" s="1917"/>
      <c r="AP341" s="1917"/>
      <c r="AQ341" s="1917"/>
      <c r="AR341" s="1917"/>
      <c r="AS341" s="1917"/>
      <c r="AT341" s="1917"/>
      <c r="AU341" s="1917"/>
      <c r="AV341" s="1917"/>
      <c r="AW341" s="1917"/>
      <c r="AX341" s="1917"/>
      <c r="AY341" s="1917"/>
      <c r="AZ341" s="1917"/>
      <c r="BA341" s="1917"/>
      <c r="BB341" s="1917"/>
      <c r="BC341" s="1917"/>
      <c r="BD341" s="1917"/>
      <c r="BE341" s="1917"/>
      <c r="BF341" s="1917"/>
    </row>
    <row customHeight="1" ht="0.75">
      <c r="A342" s="1262" t="s">
        <v>1161</v>
      </c>
      <c r="D342" s="1256"/>
      <c r="E342" s="1266"/>
      <c r="F342" s="3266">
        <v>2026</v>
      </c>
      <c r="G342" s="3263"/>
      <c r="H342" s="3269" t="s">
        <v>461</v>
      </c>
      <c r="I342" s="3270"/>
      <c r="J342" s="3262"/>
      <c r="K342" s="3262"/>
      <c r="L342" s="3264"/>
      <c r="M342" s="3112"/>
      <c r="N342" s="2127"/>
      <c r="O342" s="2126"/>
      <c r="P342" s="2127"/>
      <c r="Q342" s="2127"/>
      <c r="R342" s="2127"/>
      <c r="S342" s="2127"/>
      <c r="T342" s="2127"/>
      <c r="U342" s="2127"/>
      <c r="V342" s="2127"/>
      <c r="W342" s="2127"/>
      <c r="X342" s="2127"/>
      <c r="Y342" s="2127"/>
      <c r="Z342" s="2127"/>
      <c r="AA342" s="2127"/>
      <c r="AB342" s="2127"/>
      <c r="AC342" s="2127"/>
      <c r="AD342" s="2127"/>
      <c r="AE342" s="2127"/>
      <c r="AF342" s="3268"/>
      <c r="AG342" s="3264"/>
      <c r="AH342" s="3264"/>
      <c r="AI342" s="3268"/>
      <c r="AJ342" s="3264"/>
      <c r="AK342" s="3264"/>
      <c r="AL342" s="2079"/>
      <c r="AM342" s="1917"/>
      <c r="AN342" s="1917"/>
      <c r="AO342" s="1917"/>
      <c r="AP342" s="1917"/>
      <c r="AQ342" s="1917"/>
      <c r="AR342" s="1917"/>
      <c r="AS342" s="1917"/>
      <c r="AT342" s="1917"/>
      <c r="AU342" s="1917"/>
      <c r="AV342" s="1917"/>
      <c r="AW342" s="1917"/>
      <c r="AX342" s="1917"/>
      <c r="AY342" s="1917"/>
      <c r="AZ342" s="1917"/>
      <c r="BA342" s="1917"/>
      <c r="BB342" s="1917"/>
      <c r="BC342" s="1917"/>
      <c r="BD342" s="1917"/>
      <c r="BE342" s="1917"/>
      <c r="BF342" s="1917"/>
    </row>
    <row customHeight="1" ht="0.75">
      <c r="A343" s="1262" t="s">
        <v>1161</v>
      </c>
      <c r="D343" s="1256"/>
      <c r="E343" s="1266"/>
      <c r="F343" s="3266"/>
      <c r="G343" s="3263"/>
      <c r="H343" s="3269"/>
      <c r="I343" s="3270"/>
      <c r="J343" s="3262"/>
      <c r="K343" s="3262"/>
      <c r="L343" s="3264"/>
      <c r="M343" s="3112"/>
      <c r="N343" s="3271"/>
      <c r="O343" s="3272"/>
      <c r="P343" s="3259"/>
      <c r="Q343" s="3262"/>
      <c r="R343" s="3262"/>
      <c r="S343" s="3262"/>
      <c r="T343" s="3262"/>
      <c r="U343" s="3262"/>
      <c r="V343" s="3262"/>
      <c r="W343" s="3262"/>
      <c r="X343" s="3262"/>
      <c r="Y343" s="3262"/>
      <c r="Z343" s="2128"/>
      <c r="AA343" s="2129"/>
      <c r="AB343" s="2129"/>
      <c r="AC343" s="2130"/>
      <c r="AD343" s="2130"/>
      <c r="AE343" s="2131"/>
      <c r="AF343" s="3268"/>
      <c r="AG343" s="3264"/>
      <c r="AH343" s="3264"/>
      <c r="AI343" s="3268"/>
      <c r="AJ343" s="3264"/>
      <c r="AK343" s="3264"/>
      <c r="AL343" s="2079"/>
      <c r="AM343" s="1917"/>
      <c r="AN343" s="1917"/>
      <c r="AO343" s="1917"/>
      <c r="AP343" s="1917"/>
      <c r="AQ343" s="1917"/>
      <c r="AR343" s="1917"/>
      <c r="AS343" s="1917"/>
      <c r="AT343" s="1917"/>
      <c r="AU343" s="1917"/>
      <c r="AV343" s="1917"/>
      <c r="AW343" s="1917"/>
      <c r="AX343" s="1917"/>
      <c r="AY343" s="1917"/>
      <c r="AZ343" s="1917"/>
      <c r="BA343" s="1917"/>
      <c r="BB343" s="1917"/>
      <c r="BC343" s="1917"/>
      <c r="BD343" s="1917"/>
      <c r="BE343" s="1917"/>
      <c r="BF343" s="1917"/>
    </row>
    <row customHeight="1" ht="0.75">
      <c r="A344" s="1262" t="s">
        <v>1161</v>
      </c>
      <c r="D344" s="1256"/>
      <c r="E344" s="1266"/>
      <c r="F344" s="3266"/>
      <c r="G344" s="3263"/>
      <c r="H344" s="3269"/>
      <c r="I344" s="3270"/>
      <c r="J344" s="3262"/>
      <c r="K344" s="3262"/>
      <c r="L344" s="3264"/>
      <c r="M344" s="3112"/>
      <c r="N344" s="3271"/>
      <c r="O344" s="3272"/>
      <c r="P344" s="3260"/>
      <c r="Q344" s="3262"/>
      <c r="R344" s="3262"/>
      <c r="S344" s="3262"/>
      <c r="T344" s="3262"/>
      <c r="U344" s="3262"/>
      <c r="V344" s="3262"/>
      <c r="W344" s="3262"/>
      <c r="X344" s="3262"/>
      <c r="Y344" s="3262"/>
      <c r="Z344" s="2132"/>
      <c r="AA344" s="2133"/>
      <c r="AB344" s="2134"/>
      <c r="AC344" s="2135"/>
      <c r="AD344" s="2134"/>
      <c r="AE344" s="2135"/>
      <c r="AF344" s="3268"/>
      <c r="AG344" s="3264"/>
      <c r="AH344" s="3264"/>
      <c r="AI344" s="3268"/>
      <c r="AJ344" s="3264"/>
      <c r="AK344" s="3264"/>
      <c r="AL344" s="2079"/>
      <c r="AM344" s="1917"/>
      <c r="AN344" s="1917"/>
      <c r="AO344" s="1917"/>
      <c r="AP344" s="1917"/>
      <c r="AQ344" s="1917"/>
      <c r="AR344" s="1917"/>
      <c r="AS344" s="1917"/>
      <c r="AT344" s="1917"/>
      <c r="AU344" s="1917"/>
      <c r="AV344" s="1917"/>
      <c r="AW344" s="1917"/>
      <c r="AX344" s="1917"/>
      <c r="AY344" s="1917"/>
      <c r="AZ344" s="1917"/>
      <c r="BA344" s="1917"/>
      <c r="BB344" s="1917"/>
      <c r="BC344" s="1917"/>
      <c r="BD344" s="1917"/>
      <c r="BE344" s="1917"/>
      <c r="BF344" s="1917"/>
    </row>
    <row customHeight="1" ht="0.75">
      <c r="A345" s="1262" t="s">
        <v>1161</v>
      </c>
      <c r="D345" s="1256"/>
      <c r="E345" s="1266"/>
      <c r="F345" s="3266"/>
      <c r="G345" s="3263"/>
      <c r="H345" s="3269"/>
      <c r="I345" s="3270"/>
      <c r="J345" s="3262"/>
      <c r="K345" s="3262"/>
      <c r="L345" s="3264"/>
      <c r="M345" s="3112"/>
      <c r="N345" s="3271"/>
      <c r="O345" s="3272"/>
      <c r="P345" s="3261"/>
      <c r="Q345" s="3262"/>
      <c r="R345" s="3262"/>
      <c r="S345" s="3262"/>
      <c r="T345" s="3262"/>
      <c r="U345" s="3262"/>
      <c r="V345" s="3262"/>
      <c r="W345" s="3262"/>
      <c r="X345" s="3262"/>
      <c r="Y345" s="3262"/>
      <c r="Z345" s="2128"/>
      <c r="AA345" s="2129"/>
      <c r="AB345" s="2136"/>
      <c r="AC345" s="2130"/>
      <c r="AD345" s="2130"/>
      <c r="AE345" s="2137"/>
      <c r="AF345" s="3268"/>
      <c r="AG345" s="3264"/>
      <c r="AH345" s="3264"/>
      <c r="AI345" s="3268"/>
      <c r="AJ345" s="3264"/>
      <c r="AK345" s="3264"/>
      <c r="AL345" s="2079"/>
      <c r="AM345" s="1917"/>
      <c r="AN345" s="1917"/>
      <c r="AO345" s="1917"/>
      <c r="AP345" s="1917"/>
      <c r="AQ345" s="1917"/>
      <c r="AR345" s="1917"/>
      <c r="AS345" s="1917"/>
      <c r="AT345" s="1917"/>
      <c r="AU345" s="1917"/>
      <c r="AV345" s="1917"/>
      <c r="AW345" s="1917"/>
      <c r="AX345" s="1917"/>
      <c r="AY345" s="1917"/>
      <c r="AZ345" s="1917"/>
      <c r="BA345" s="1917"/>
      <c r="BB345" s="1917"/>
      <c r="BC345" s="1917"/>
      <c r="BD345" s="1917"/>
      <c r="BE345" s="1917"/>
      <c r="BF345" s="1917"/>
    </row>
    <row customHeight="1" ht="0.75">
      <c r="A346" s="1262" t="s">
        <v>1161</v>
      </c>
      <c r="D346" s="1256"/>
      <c r="E346" s="1266"/>
      <c r="F346" s="3266"/>
      <c r="G346" s="3263"/>
      <c r="H346" s="3269"/>
      <c r="I346" s="3270"/>
      <c r="J346" s="3262"/>
      <c r="K346" s="3262"/>
      <c r="L346" s="3264"/>
      <c r="M346" s="3112"/>
      <c r="N346" s="2129"/>
      <c r="O346" s="2129"/>
      <c r="P346" s="2136"/>
      <c r="Q346" s="2129"/>
      <c r="R346" s="2129"/>
      <c r="S346" s="2129"/>
      <c r="T346" s="2129"/>
      <c r="U346" s="2129"/>
      <c r="V346" s="2129"/>
      <c r="W346" s="2129"/>
      <c r="X346" s="2129"/>
      <c r="Y346" s="2129"/>
      <c r="Z346" s="2129"/>
      <c r="AA346" s="2129"/>
      <c r="AB346" s="2129"/>
      <c r="AC346" s="2129"/>
      <c r="AD346" s="2129"/>
      <c r="AE346" s="2138"/>
      <c r="AF346" s="3268"/>
      <c r="AG346" s="3264"/>
      <c r="AH346" s="3264"/>
      <c r="AI346" s="3268"/>
      <c r="AJ346" s="3264"/>
      <c r="AK346" s="3264"/>
      <c r="AL346" s="2079"/>
      <c r="AM346" s="1917"/>
      <c r="AN346" s="1917"/>
      <c r="AO346" s="1917"/>
      <c r="AP346" s="1917"/>
      <c r="AQ346" s="1917"/>
      <c r="AR346" s="1917"/>
      <c r="AS346" s="1917"/>
      <c r="AT346" s="1917"/>
      <c r="AU346" s="1917"/>
      <c r="AV346" s="1917"/>
      <c r="AW346" s="1917"/>
      <c r="AX346" s="1917"/>
      <c r="AY346" s="1917"/>
      <c r="AZ346" s="1917"/>
      <c r="BA346" s="1917"/>
      <c r="BB346" s="1917"/>
      <c r="BC346" s="1917"/>
      <c r="BD346" s="1917"/>
      <c r="BE346" s="1917"/>
      <c r="BF346" s="1917"/>
    </row>
    <row customHeight="1" ht="12">
      <c r="A347" s="1262" t="s">
        <v>1161</v>
      </c>
      <c r="D347" s="1256"/>
      <c r="E347" s="1266"/>
      <c r="F347" s="3267"/>
      <c r="G347" s="1286"/>
      <c r="H347" s="1286"/>
      <c r="I347" s="3265" t="s">
        <v>1193</v>
      </c>
      <c r="J347" s="3265"/>
      <c r="K347" s="3265"/>
      <c r="L347" s="1269"/>
      <c r="M347" s="1269"/>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69"/>
      <c r="AH347" s="1269"/>
      <c r="AI347" s="1270"/>
      <c r="AJ347" s="1269"/>
      <c r="AK347" s="1270"/>
      <c r="AL347" s="2079"/>
      <c r="AM347" s="1917"/>
      <c r="AN347" s="1917"/>
      <c r="AO347" s="1917"/>
      <c r="AP347" s="1917"/>
      <c r="AQ347" s="1917"/>
      <c r="AR347" s="1917"/>
      <c r="AS347" s="1917"/>
      <c r="AT347" s="1917"/>
      <c r="AU347" s="1917"/>
      <c r="AV347" s="1917"/>
      <c r="AW347" s="1917"/>
      <c r="AX347" s="1917"/>
      <c r="AY347" s="1917"/>
      <c r="AZ347" s="1917"/>
      <c r="BA347" s="1917"/>
      <c r="BB347" s="1917"/>
      <c r="BC347" s="1917"/>
      <c r="BD347" s="1917"/>
      <c r="BE347" s="1917"/>
      <c r="BF347" s="1917"/>
    </row>
    <row customHeight="1" ht="0.75">
      <c r="A348" s="1262" t="s">
        <v>1161</v>
      </c>
      <c r="D348" s="1256"/>
      <c r="E348" s="1266"/>
      <c r="F348" s="3266">
        <v>2027</v>
      </c>
      <c r="G348" s="3263"/>
      <c r="H348" s="3269" t="s">
        <v>461</v>
      </c>
      <c r="I348" s="3270"/>
      <c r="J348" s="3262"/>
      <c r="K348" s="3262"/>
      <c r="L348" s="3264"/>
      <c r="M348" s="3112"/>
      <c r="N348" s="2127"/>
      <c r="O348" s="2126"/>
      <c r="P348" s="2127"/>
      <c r="Q348" s="2127"/>
      <c r="R348" s="2127"/>
      <c r="S348" s="2127"/>
      <c r="T348" s="2127"/>
      <c r="U348" s="2127"/>
      <c r="V348" s="2127"/>
      <c r="W348" s="2127"/>
      <c r="X348" s="2127"/>
      <c r="Y348" s="2127"/>
      <c r="Z348" s="2127"/>
      <c r="AA348" s="2127"/>
      <c r="AB348" s="2127"/>
      <c r="AC348" s="2127"/>
      <c r="AD348" s="2127"/>
      <c r="AE348" s="2127"/>
      <c r="AF348" s="3268"/>
      <c r="AG348" s="3264"/>
      <c r="AH348" s="3264"/>
      <c r="AI348" s="3268"/>
      <c r="AJ348" s="3264"/>
      <c r="AK348" s="3264"/>
      <c r="AL348" s="2079"/>
      <c r="AM348" s="1917"/>
      <c r="AN348" s="1917"/>
      <c r="AO348" s="1917"/>
      <c r="AP348" s="1917"/>
      <c r="AQ348" s="1917"/>
      <c r="AR348" s="1917"/>
      <c r="AS348" s="1917"/>
      <c r="AT348" s="1917"/>
      <c r="AU348" s="1917"/>
      <c r="AV348" s="1917"/>
      <c r="AW348" s="1917"/>
      <c r="AX348" s="1917"/>
      <c r="AY348" s="1917"/>
      <c r="AZ348" s="1917"/>
      <c r="BA348" s="1917"/>
      <c r="BB348" s="1917"/>
      <c r="BC348" s="1917"/>
      <c r="BD348" s="1917"/>
      <c r="BE348" s="1917"/>
      <c r="BF348" s="1917"/>
    </row>
    <row customHeight="1" ht="0.75">
      <c r="A349" s="1262" t="s">
        <v>1161</v>
      </c>
      <c r="D349" s="1256"/>
      <c r="E349" s="1266"/>
      <c r="F349" s="3266"/>
      <c r="G349" s="3263"/>
      <c r="H349" s="3269"/>
      <c r="I349" s="3270"/>
      <c r="J349" s="3262"/>
      <c r="K349" s="3262"/>
      <c r="L349" s="3264"/>
      <c r="M349" s="3112"/>
      <c r="N349" s="3271"/>
      <c r="O349" s="3272"/>
      <c r="P349" s="3259"/>
      <c r="Q349" s="3262"/>
      <c r="R349" s="3262"/>
      <c r="S349" s="3262"/>
      <c r="T349" s="3262"/>
      <c r="U349" s="3262"/>
      <c r="V349" s="3262"/>
      <c r="W349" s="3262"/>
      <c r="X349" s="3262"/>
      <c r="Y349" s="3262"/>
      <c r="Z349" s="2128"/>
      <c r="AA349" s="2129"/>
      <c r="AB349" s="2129"/>
      <c r="AC349" s="2130"/>
      <c r="AD349" s="2130"/>
      <c r="AE349" s="2131"/>
      <c r="AF349" s="3268"/>
      <c r="AG349" s="3264"/>
      <c r="AH349" s="3264"/>
      <c r="AI349" s="3268"/>
      <c r="AJ349" s="3264"/>
      <c r="AK349" s="3264"/>
      <c r="AL349" s="2079"/>
      <c r="AM349" s="1917"/>
      <c r="AN349" s="1917"/>
      <c r="AO349" s="1917"/>
      <c r="AP349" s="1917"/>
      <c r="AQ349" s="1917"/>
      <c r="AR349" s="1917"/>
      <c r="AS349" s="1917"/>
      <c r="AT349" s="1917"/>
      <c r="AU349" s="1917"/>
      <c r="AV349" s="1917"/>
      <c r="AW349" s="1917"/>
      <c r="AX349" s="1917"/>
      <c r="AY349" s="1917"/>
      <c r="AZ349" s="1917"/>
      <c r="BA349" s="1917"/>
      <c r="BB349" s="1917"/>
      <c r="BC349" s="1917"/>
      <c r="BD349" s="1917"/>
      <c r="BE349" s="1917"/>
      <c r="BF349" s="1917"/>
    </row>
    <row customHeight="1" ht="0.75">
      <c r="A350" s="1262" t="s">
        <v>1161</v>
      </c>
      <c r="D350" s="1256"/>
      <c r="E350" s="1266"/>
      <c r="F350" s="3266"/>
      <c r="G350" s="3263"/>
      <c r="H350" s="3269"/>
      <c r="I350" s="3270"/>
      <c r="J350" s="3262"/>
      <c r="K350" s="3262"/>
      <c r="L350" s="3264"/>
      <c r="M350" s="3112"/>
      <c r="N350" s="3271"/>
      <c r="O350" s="3272"/>
      <c r="P350" s="3260"/>
      <c r="Q350" s="3262"/>
      <c r="R350" s="3262"/>
      <c r="S350" s="3262"/>
      <c r="T350" s="3262"/>
      <c r="U350" s="3262"/>
      <c r="V350" s="3262"/>
      <c r="W350" s="3262"/>
      <c r="X350" s="3262"/>
      <c r="Y350" s="3262"/>
      <c r="Z350" s="2132"/>
      <c r="AA350" s="2133"/>
      <c r="AB350" s="2134"/>
      <c r="AC350" s="2135"/>
      <c r="AD350" s="2134"/>
      <c r="AE350" s="2135"/>
      <c r="AF350" s="3268"/>
      <c r="AG350" s="3264"/>
      <c r="AH350" s="3264"/>
      <c r="AI350" s="3268"/>
      <c r="AJ350" s="3264"/>
      <c r="AK350" s="3264"/>
      <c r="AL350" s="2079"/>
      <c r="AM350" s="1917"/>
      <c r="AN350" s="1917"/>
      <c r="AO350" s="1917"/>
      <c r="AP350" s="1917"/>
      <c r="AQ350" s="1917"/>
      <c r="AR350" s="1917"/>
      <c r="AS350" s="1917"/>
      <c r="AT350" s="1917"/>
      <c r="AU350" s="1917"/>
      <c r="AV350" s="1917"/>
      <c r="AW350" s="1917"/>
      <c r="AX350" s="1917"/>
      <c r="AY350" s="1917"/>
      <c r="AZ350" s="1917"/>
      <c r="BA350" s="1917"/>
      <c r="BB350" s="1917"/>
      <c r="BC350" s="1917"/>
      <c r="BD350" s="1917"/>
      <c r="BE350" s="1917"/>
      <c r="BF350" s="1917"/>
    </row>
    <row customHeight="1" ht="0.75">
      <c r="A351" s="1262" t="s">
        <v>1161</v>
      </c>
      <c r="D351" s="1256"/>
      <c r="E351" s="1266"/>
      <c r="F351" s="3266"/>
      <c r="G351" s="3263"/>
      <c r="H351" s="3269"/>
      <c r="I351" s="3270"/>
      <c r="J351" s="3262"/>
      <c r="K351" s="3262"/>
      <c r="L351" s="3264"/>
      <c r="M351" s="3112"/>
      <c r="N351" s="3271"/>
      <c r="O351" s="3272"/>
      <c r="P351" s="3261"/>
      <c r="Q351" s="3262"/>
      <c r="R351" s="3262"/>
      <c r="S351" s="3262"/>
      <c r="T351" s="3262"/>
      <c r="U351" s="3262"/>
      <c r="V351" s="3262"/>
      <c r="W351" s="3262"/>
      <c r="X351" s="3262"/>
      <c r="Y351" s="3262"/>
      <c r="Z351" s="2128"/>
      <c r="AA351" s="2129"/>
      <c r="AB351" s="2136"/>
      <c r="AC351" s="2130"/>
      <c r="AD351" s="2130"/>
      <c r="AE351" s="2137"/>
      <c r="AF351" s="3268"/>
      <c r="AG351" s="3264"/>
      <c r="AH351" s="3264"/>
      <c r="AI351" s="3268"/>
      <c r="AJ351" s="3264"/>
      <c r="AK351" s="3264"/>
      <c r="AL351" s="2079"/>
      <c r="AM351" s="1917"/>
      <c r="AN351" s="1917"/>
      <c r="AO351" s="1917"/>
      <c r="AP351" s="1917"/>
      <c r="AQ351" s="1917"/>
      <c r="AR351" s="1917"/>
      <c r="AS351" s="1917"/>
      <c r="AT351" s="1917"/>
      <c r="AU351" s="1917"/>
      <c r="AV351" s="1917"/>
      <c r="AW351" s="1917"/>
      <c r="AX351" s="1917"/>
      <c r="AY351" s="1917"/>
      <c r="AZ351" s="1917"/>
      <c r="BA351" s="1917"/>
      <c r="BB351" s="1917"/>
      <c r="BC351" s="1917"/>
      <c r="BD351" s="1917"/>
      <c r="BE351" s="1917"/>
      <c r="BF351" s="1917"/>
    </row>
    <row customHeight="1" ht="0.75">
      <c r="A352" s="1262" t="s">
        <v>1161</v>
      </c>
      <c r="D352" s="1256"/>
      <c r="E352" s="1266"/>
      <c r="F352" s="3266"/>
      <c r="G352" s="3263"/>
      <c r="H352" s="3269"/>
      <c r="I352" s="3270"/>
      <c r="J352" s="3262"/>
      <c r="K352" s="3262"/>
      <c r="L352" s="3264"/>
      <c r="M352" s="3112"/>
      <c r="N352" s="2129"/>
      <c r="O352" s="2129"/>
      <c r="P352" s="2136"/>
      <c r="Q352" s="2129"/>
      <c r="R352" s="2129"/>
      <c r="S352" s="2129"/>
      <c r="T352" s="2129"/>
      <c r="U352" s="2129"/>
      <c r="V352" s="2129"/>
      <c r="W352" s="2129"/>
      <c r="X352" s="2129"/>
      <c r="Y352" s="2129"/>
      <c r="Z352" s="2129"/>
      <c r="AA352" s="2129"/>
      <c r="AB352" s="2129"/>
      <c r="AC352" s="2129"/>
      <c r="AD352" s="2129"/>
      <c r="AE352" s="2138"/>
      <c r="AF352" s="3268"/>
      <c r="AG352" s="3264"/>
      <c r="AH352" s="3264"/>
      <c r="AI352" s="3268"/>
      <c r="AJ352" s="3264"/>
      <c r="AK352" s="3264"/>
      <c r="AL352" s="2079"/>
      <c r="AM352" s="1917"/>
      <c r="AN352" s="1917"/>
      <c r="AO352" s="1917"/>
      <c r="AP352" s="1917"/>
      <c r="AQ352" s="1917"/>
      <c r="AR352" s="1917"/>
      <c r="AS352" s="1917"/>
      <c r="AT352" s="1917"/>
      <c r="AU352" s="1917"/>
      <c r="AV352" s="1917"/>
      <c r="AW352" s="1917"/>
      <c r="AX352" s="1917"/>
      <c r="AY352" s="1917"/>
      <c r="AZ352" s="1917"/>
      <c r="BA352" s="1917"/>
      <c r="BB352" s="1917"/>
      <c r="BC352" s="1917"/>
      <c r="BD352" s="1917"/>
      <c r="BE352" s="1917"/>
      <c r="BF352" s="1917"/>
    </row>
    <row customHeight="1" ht="12">
      <c r="A353" s="1262" t="s">
        <v>1161</v>
      </c>
      <c r="D353" s="1256"/>
      <c r="E353" s="1266"/>
      <c r="F353" s="3267"/>
      <c r="G353" s="1286"/>
      <c r="H353" s="1286"/>
      <c r="I353" s="3265" t="s">
        <v>1193</v>
      </c>
      <c r="J353" s="3265"/>
      <c r="K353" s="3265"/>
      <c r="L353" s="1269"/>
      <c r="M353" s="1269"/>
      <c r="N353" s="1270"/>
      <c r="O353" s="1270"/>
      <c r="P353" s="1270"/>
      <c r="Q353" s="1270"/>
      <c r="R353" s="1270"/>
      <c r="S353" s="1270"/>
      <c r="T353" s="1270"/>
      <c r="U353" s="1270"/>
      <c r="V353" s="1270"/>
      <c r="W353" s="1270"/>
      <c r="X353" s="1270"/>
      <c r="Y353" s="1270"/>
      <c r="Z353" s="1270"/>
      <c r="AA353" s="1270"/>
      <c r="AB353" s="1270"/>
      <c r="AC353" s="1270"/>
      <c r="AD353" s="1270"/>
      <c r="AE353" s="1270"/>
      <c r="AF353" s="1270"/>
      <c r="AG353" s="1269"/>
      <c r="AH353" s="1269"/>
      <c r="AI353" s="1270"/>
      <c r="AJ353" s="1269"/>
      <c r="AK353" s="1270"/>
      <c r="AL353" s="2079"/>
      <c r="AM353" s="1917"/>
      <c r="AN353" s="1917"/>
      <c r="AO353" s="1917"/>
      <c r="AP353" s="1917"/>
      <c r="AQ353" s="1917"/>
      <c r="AR353" s="1917"/>
      <c r="AS353" s="1917"/>
      <c r="AT353" s="1917"/>
      <c r="AU353" s="1917"/>
      <c r="AV353" s="1917"/>
      <c r="AW353" s="1917"/>
      <c r="AX353" s="1917"/>
      <c r="AY353" s="1917"/>
      <c r="AZ353" s="1917"/>
      <c r="BA353" s="1917"/>
      <c r="BB353" s="1917"/>
      <c r="BC353" s="1917"/>
      <c r="BD353" s="1917"/>
      <c r="BE353" s="1917"/>
      <c r="BF353" s="1917"/>
    </row>
    <row customHeight="1" ht="10.5">
      <c r="E354" s="1007"/>
      <c r="F354" s="1018"/>
      <c r="G354" s="1018"/>
      <c r="H354" s="1268"/>
      <c r="I354" s="1018"/>
      <c r="J354" s="1018"/>
      <c r="K354" s="1018"/>
      <c r="L354" s="1228"/>
      <c r="M354" s="1228"/>
      <c r="N354" s="1018"/>
      <c r="O354" s="1018"/>
      <c r="P354" s="1018"/>
      <c r="Q354" s="1018"/>
      <c r="R354" s="1018"/>
      <c r="S354" s="1018"/>
      <c r="T354" s="1018"/>
      <c r="U354" s="1018"/>
      <c r="V354" s="1018"/>
      <c r="W354" s="1018"/>
      <c r="X354" s="1018"/>
      <c r="Y354" s="1018"/>
      <c r="Z354" s="1018"/>
      <c r="AA354" s="1018"/>
      <c r="AB354" s="1018"/>
      <c r="AC354" s="1018"/>
      <c r="AD354" s="1228"/>
      <c r="AE354" s="1018"/>
      <c r="AF354" s="1018"/>
      <c r="AG354" s="1018"/>
      <c r="AH354" s="1246"/>
      <c r="AI354" s="1239"/>
      <c r="AJ354" s="1018"/>
      <c r="AK354" s="1018"/>
      <c r="AL354" s="1007"/>
      <c r="AM354" s="1007"/>
      <c r="AN354" s="1007"/>
      <c r="AO354" s="1007"/>
      <c r="AP354" s="1007"/>
      <c r="AQ354" s="1007"/>
      <c r="AR354" s="1007"/>
      <c r="AS354" s="1007"/>
      <c r="AT354" s="1007"/>
      <c r="AU354" s="1007"/>
      <c r="AV354" s="1007"/>
      <c r="AW354" s="1007"/>
      <c r="AX354" s="1007"/>
      <c r="AY354" s="1007"/>
      <c r="AZ354" s="1007"/>
      <c r="BA354" s="1007"/>
      <c r="BB354" s="1007"/>
      <c r="BC354" s="1007"/>
      <c r="BD354" s="1007"/>
      <c r="BE354" s="1007"/>
      <c r="BF354" s="1007"/>
      <c r="BG354" s="863">
        <v>10</v>
      </c>
    </row>
    <row customHeight="1" ht="13.5">
      <c r="E355" s="1007"/>
      <c r="F355" s="1014" t="s">
        <v>1304</v>
      </c>
      <c r="G355" s="1014"/>
      <c r="H355" s="1267"/>
      <c r="I355" s="1014"/>
      <c r="J355" s="1014"/>
      <c r="K355" s="1011"/>
      <c r="L355" s="1224"/>
      <c r="M355" s="1224"/>
      <c r="N355" s="1013"/>
      <c r="O355" s="1013"/>
      <c r="P355" s="1013"/>
      <c r="Q355" s="1013"/>
      <c r="R355" s="1013"/>
      <c r="S355" s="1013"/>
      <c r="T355" s="1013"/>
      <c r="U355" s="1013"/>
      <c r="V355" s="1013"/>
      <c r="W355" s="1013"/>
      <c r="X355" s="1013"/>
      <c r="Y355" s="1013"/>
      <c r="Z355" s="1011"/>
      <c r="AA355" s="1011"/>
      <c r="AB355" s="1011"/>
      <c r="AC355" s="1011"/>
      <c r="AD355" s="1224"/>
      <c r="AE355" s="1011"/>
      <c r="AF355" s="1011"/>
      <c r="AG355" s="1011"/>
      <c r="AH355" s="1243"/>
      <c r="AI355" s="1236"/>
      <c r="AJ355" s="1011"/>
      <c r="AK355" s="1011"/>
      <c r="AL355" s="1007"/>
      <c r="AM355" s="1007"/>
      <c r="AN355" s="1007"/>
      <c r="AO355" s="1007"/>
      <c r="AP355" s="1007"/>
      <c r="AQ355" s="1007"/>
      <c r="AR355" s="1007"/>
      <c r="AS355" s="1007"/>
      <c r="AT355" s="1007"/>
      <c r="AU355" s="1007"/>
      <c r="AV355" s="1007"/>
      <c r="AW355" s="1007"/>
      <c r="AX355" s="1007"/>
      <c r="AY355" s="1007"/>
      <c r="AZ355" s="1007"/>
      <c r="BA355" s="1007"/>
      <c r="BB355" s="1007"/>
      <c r="BC355" s="1007"/>
      <c r="BD355" s="1007"/>
      <c r="BE355" s="1007"/>
      <c r="BF355" s="1007"/>
      <c r="BG355" s="863">
        <v>13</v>
      </c>
    </row>
    <row customHeight="1" ht="10.5">
      <c r="BG356" s="863">
        <v>10</v>
      </c>
    </row>
    <row customHeight="1" ht="10.5">
      <c r="E357" s="1007"/>
      <c r="F357" s="3254"/>
      <c r="G357" s="3254"/>
      <c r="H357" s="3254"/>
      <c r="I357" s="3254"/>
      <c r="J357" s="3254"/>
      <c r="K357" s="1011"/>
      <c r="L357" s="1224"/>
      <c r="M357" s="1224"/>
      <c r="N357" s="1013"/>
      <c r="O357" s="1013"/>
      <c r="P357" s="1013"/>
      <c r="Q357" s="1013"/>
      <c r="R357" s="1013"/>
      <c r="S357" s="1013"/>
      <c r="T357" s="1013"/>
      <c r="U357" s="1013"/>
      <c r="V357" s="1013"/>
      <c r="W357" s="1013"/>
      <c r="X357" s="1013"/>
      <c r="Y357" s="1013"/>
      <c r="Z357" s="1011"/>
      <c r="AA357" s="1011"/>
      <c r="AB357" s="1011"/>
      <c r="AC357" s="1011"/>
      <c r="AD357" s="1224"/>
      <c r="AE357" s="1011"/>
      <c r="AF357" s="1011"/>
      <c r="AG357" s="1011"/>
      <c r="AH357" s="1243"/>
      <c r="AI357" s="1236"/>
      <c r="AJ357" s="1011"/>
      <c r="AK357" s="1011"/>
      <c r="AL357" s="1007"/>
      <c r="AM357" s="1007"/>
      <c r="AN357" s="1007"/>
      <c r="AO357" s="1007"/>
      <c r="AP357" s="1007"/>
      <c r="AQ357" s="1007"/>
      <c r="AR357" s="1007"/>
      <c r="AS357" s="1007"/>
      <c r="AT357" s="1007"/>
      <c r="AU357" s="1007"/>
      <c r="AV357" s="1007"/>
      <c r="AW357" s="1007"/>
      <c r="AX357" s="1007"/>
      <c r="AY357" s="1007"/>
      <c r="AZ357" s="1007"/>
      <c r="BA357" s="1007"/>
      <c r="BB357" s="1007"/>
      <c r="BC357" s="1007"/>
      <c r="BD357" s="1007"/>
      <c r="BE357" s="1007"/>
      <c r="BF357" s="1007"/>
      <c r="BG357" s="863">
        <v>10</v>
      </c>
    </row>
    <row customHeight="1" ht="10.5">
      <c r="E358" s="1007"/>
      <c r="F358" s="3254"/>
      <c r="G358" s="3254"/>
      <c r="H358" s="3254"/>
      <c r="I358" s="3254"/>
      <c r="J358" s="3254"/>
      <c r="K358" s="1011"/>
      <c r="L358" s="1224"/>
      <c r="M358" s="1224"/>
      <c r="N358" s="1013"/>
      <c r="O358" s="1013"/>
      <c r="P358" s="1013"/>
      <c r="Q358" s="1013"/>
      <c r="R358" s="1013"/>
      <c r="S358" s="1013"/>
      <c r="T358" s="1013"/>
      <c r="U358" s="1013"/>
      <c r="V358" s="1013"/>
      <c r="W358" s="1013"/>
      <c r="X358" s="1013"/>
      <c r="Y358" s="1013"/>
      <c r="Z358" s="1011"/>
      <c r="AA358" s="1011"/>
      <c r="AB358" s="1011"/>
      <c r="AC358" s="1011"/>
      <c r="AD358" s="1224"/>
      <c r="AE358" s="1011"/>
      <c r="AF358" s="1011"/>
      <c r="AG358" s="1011"/>
      <c r="AH358" s="1243"/>
      <c r="AI358" s="1236"/>
      <c r="AJ358" s="1011"/>
      <c r="AK358" s="1011"/>
      <c r="AL358" s="1007"/>
      <c r="AM358" s="1007"/>
      <c r="AN358" s="1007"/>
      <c r="AO358" s="1007"/>
      <c r="AP358" s="1007"/>
      <c r="AQ358" s="1007"/>
      <c r="AR358" s="1007"/>
      <c r="AS358" s="1007"/>
      <c r="AT358" s="1007"/>
      <c r="AU358" s="1007"/>
      <c r="AV358" s="1007"/>
      <c r="AW358" s="1007"/>
      <c r="AX358" s="1007"/>
      <c r="AY358" s="1007"/>
      <c r="AZ358" s="1007"/>
      <c r="BA358" s="1007"/>
      <c r="BB358" s="1007"/>
      <c r="BC358" s="1007"/>
      <c r="BD358" s="1007"/>
      <c r="BE358" s="1007"/>
      <c r="BF358" s="1007"/>
      <c r="BG358" s="863">
        <v>10</v>
      </c>
    </row>
    <row customHeight="1" ht="10.5">
      <c r="E359" s="1007"/>
      <c r="F359" s="3254"/>
      <c r="G359" s="3254"/>
      <c r="H359" s="3254"/>
      <c r="I359" s="3254"/>
      <c r="J359" s="3254"/>
      <c r="K359" s="1011"/>
      <c r="L359" s="1224"/>
      <c r="M359" s="1224"/>
      <c r="N359" s="1013"/>
      <c r="O359" s="1013"/>
      <c r="P359" s="1013"/>
      <c r="Q359" s="1013"/>
      <c r="R359" s="1013"/>
      <c r="S359" s="1013"/>
      <c r="T359" s="1013"/>
      <c r="U359" s="1013"/>
      <c r="V359" s="1013"/>
      <c r="W359" s="1013"/>
      <c r="X359" s="1013"/>
      <c r="Y359" s="1013"/>
      <c r="Z359" s="1011"/>
      <c r="AA359" s="1011"/>
      <c r="AB359" s="1011"/>
      <c r="AC359" s="1011"/>
      <c r="AD359" s="1224"/>
      <c r="AE359" s="1011"/>
      <c r="AF359" s="1011"/>
      <c r="AG359" s="1011"/>
      <c r="AH359" s="1243"/>
      <c r="AI359" s="1236"/>
      <c r="AJ359" s="1011"/>
      <c r="AK359" s="1011"/>
      <c r="AL359" s="1007"/>
      <c r="AM359" s="1007"/>
      <c r="AN359" s="1007"/>
      <c r="AO359" s="1007"/>
      <c r="AP359" s="1007"/>
      <c r="AQ359" s="1007"/>
      <c r="AR359" s="1007"/>
      <c r="AS359" s="1007"/>
      <c r="AT359" s="1007"/>
      <c r="AU359" s="1007"/>
      <c r="AV359" s="1007"/>
      <c r="AW359" s="1007"/>
      <c r="AX359" s="1007"/>
      <c r="AY359" s="1007"/>
      <c r="AZ359" s="1007"/>
      <c r="BA359" s="1007"/>
      <c r="BB359" s="1007"/>
      <c r="BC359" s="1007"/>
      <c r="BD359" s="1007"/>
      <c r="BE359" s="1007"/>
      <c r="BF359" s="1007"/>
      <c r="BG359" s="863">
        <v>10</v>
      </c>
    </row>
    <row customHeight="1" ht="10.5" hidden="1">
      <c r="A360" s="995" t="s">
        <v>82</v>
      </c>
      <c r="B360" s="995">
        <v>0</v>
      </c>
      <c r="C360" s="995">
        <v>0</v>
      </c>
      <c r="D360" s="524">
        <v>0</v>
      </c>
      <c r="E360" s="616">
        <v>3</v>
      </c>
      <c r="F360" s="863">
        <v>14</v>
      </c>
      <c r="G360" s="863">
        <v>3</v>
      </c>
      <c r="H360" s="1251">
        <v>7</v>
      </c>
      <c r="I360" s="863">
        <v>16</v>
      </c>
      <c r="J360" s="863">
        <v>16</v>
      </c>
      <c r="K360" s="863">
        <v>25</v>
      </c>
      <c r="L360" s="1222">
        <v>7</v>
      </c>
      <c r="M360" s="1222">
        <v>15</v>
      </c>
      <c r="N360" s="863">
        <v>3</v>
      </c>
      <c r="O360" s="863">
        <v>4</v>
      </c>
      <c r="P360" s="863">
        <v>8</v>
      </c>
      <c r="Q360" s="863">
        <v>21</v>
      </c>
      <c r="R360" s="863">
        <v>14</v>
      </c>
      <c r="S360" s="863">
        <v>17</v>
      </c>
      <c r="T360" s="863">
        <v>17</v>
      </c>
      <c r="U360" s="863">
        <v>9</v>
      </c>
      <c r="V360" s="863">
        <v>12</v>
      </c>
      <c r="W360" s="863">
        <v>9</v>
      </c>
      <c r="X360" s="863">
        <v>21</v>
      </c>
      <c r="Y360" s="863">
        <v>12</v>
      </c>
      <c r="Z360" s="863">
        <v>3</v>
      </c>
      <c r="AA360" s="863">
        <v>6</v>
      </c>
      <c r="AB360" s="863">
        <v>38</v>
      </c>
      <c r="AC360" s="863">
        <v>15</v>
      </c>
      <c r="AD360" s="1222">
        <v>0</v>
      </c>
      <c r="AE360" s="863">
        <v>0</v>
      </c>
      <c r="AF360" s="863">
        <v>16</v>
      </c>
      <c r="AG360" s="863">
        <v>16</v>
      </c>
      <c r="AH360" s="1241">
        <v>16</v>
      </c>
      <c r="AI360" s="1234">
        <v>0</v>
      </c>
      <c r="AJ360" s="863">
        <v>0</v>
      </c>
      <c r="AK360" s="863">
        <v>0</v>
      </c>
      <c r="AL360" s="863">
        <v>8</v>
      </c>
      <c r="AM360" s="863">
        <v>8</v>
      </c>
      <c r="AN360" s="863">
        <v>8</v>
      </c>
      <c r="AO360" s="863">
        <v>8</v>
      </c>
      <c r="AP360" s="863">
        <v>8</v>
      </c>
      <c r="AQ360" s="863">
        <v>8</v>
      </c>
      <c r="AR360" s="863">
        <v>8</v>
      </c>
      <c r="AS360" s="863">
        <v>8</v>
      </c>
      <c r="AT360" s="863">
        <v>8</v>
      </c>
      <c r="AU360" s="863">
        <v>8</v>
      </c>
      <c r="AV360" s="863">
        <v>8</v>
      </c>
      <c r="AW360" s="863">
        <v>8</v>
      </c>
      <c r="AX360" s="863">
        <v>8</v>
      </c>
      <c r="AY360" s="863">
        <v>8</v>
      </c>
      <c r="AZ360" s="863">
        <v>8</v>
      </c>
      <c r="BA360" s="863">
        <v>8</v>
      </c>
      <c r="BB360" s="863">
        <v>8</v>
      </c>
      <c r="BC360" s="863">
        <v>8</v>
      </c>
      <c r="BD360" s="863">
        <v>8</v>
      </c>
      <c r="BE360" s="863">
        <v>8</v>
      </c>
      <c r="BF360" s="863">
        <v>8</v>
      </c>
      <c r="BG360" s="863">
        <v>10</v>
      </c>
    </row>
  </sheetData>
  <sheetProtection formatColumns="0" formatRows="0" autoFilter="0" sort="0" insertRows="0" insertColumns="1" deleteRows="0" deleteColumns="0"/>
  <mergeCells count="1444">
    <mergeCell ref="AH323:AH328"/>
    <mergeCell ref="AI323:AI328"/>
    <mergeCell ref="AJ323:AJ328"/>
    <mergeCell ref="AK323:AK328"/>
    <mergeCell ref="N324:N327"/>
    <mergeCell ref="O324:O327"/>
    <mergeCell ref="P324:P327"/>
    <mergeCell ref="Q324:Q327"/>
    <mergeCell ref="R324:R327"/>
    <mergeCell ref="S324:S327"/>
    <mergeCell ref="T324:T327"/>
    <mergeCell ref="U324:U327"/>
    <mergeCell ref="V324:V327"/>
    <mergeCell ref="W324:W327"/>
    <mergeCell ref="X324:X327"/>
    <mergeCell ref="Y324:Y327"/>
    <mergeCell ref="G323:G328"/>
    <mergeCell ref="H323:H328"/>
    <mergeCell ref="I323:I328"/>
    <mergeCell ref="J323:J328"/>
    <mergeCell ref="K323:K328"/>
    <mergeCell ref="L323:L328"/>
    <mergeCell ref="M323:M328"/>
    <mergeCell ref="AF323:AF328"/>
    <mergeCell ref="AG323:AG328"/>
    <mergeCell ref="AH317:AH322"/>
    <mergeCell ref="AI317:AI322"/>
    <mergeCell ref="AJ317:AJ322"/>
    <mergeCell ref="AK317:AK322"/>
    <mergeCell ref="N318:N321"/>
    <mergeCell ref="O318:O321"/>
    <mergeCell ref="P318:P321"/>
    <mergeCell ref="Q318:Q321"/>
    <mergeCell ref="R318:R321"/>
    <mergeCell ref="S318:S321"/>
    <mergeCell ref="T318:T321"/>
    <mergeCell ref="U318:U321"/>
    <mergeCell ref="V318:V321"/>
    <mergeCell ref="W318:W321"/>
    <mergeCell ref="X318:X321"/>
    <mergeCell ref="Y318:Y321"/>
    <mergeCell ref="G317:G322"/>
    <mergeCell ref="H317:H322"/>
    <mergeCell ref="I317:I322"/>
    <mergeCell ref="J317:J322"/>
    <mergeCell ref="K317:K322"/>
    <mergeCell ref="L317:L322"/>
    <mergeCell ref="M317:M322"/>
    <mergeCell ref="AF317:AF322"/>
    <mergeCell ref="AG317:AG322"/>
    <mergeCell ref="AH312:AH316"/>
    <mergeCell ref="AI312:AI316"/>
    <mergeCell ref="AJ312:AJ316"/>
    <mergeCell ref="AK312:AK316"/>
    <mergeCell ref="N313:N315"/>
    <mergeCell ref="O313:O315"/>
    <mergeCell ref="P313:P315"/>
    <mergeCell ref="Q313:Q315"/>
    <mergeCell ref="R313:R315"/>
    <mergeCell ref="S313:S315"/>
    <mergeCell ref="T313:T315"/>
    <mergeCell ref="U313:U315"/>
    <mergeCell ref="V313:V315"/>
    <mergeCell ref="W313:W315"/>
    <mergeCell ref="X313:X315"/>
    <mergeCell ref="Y313:Y315"/>
    <mergeCell ref="G312:G316"/>
    <mergeCell ref="H312:H316"/>
    <mergeCell ref="I312:I316"/>
    <mergeCell ref="J312:J316"/>
    <mergeCell ref="K312:K316"/>
    <mergeCell ref="L312:L316"/>
    <mergeCell ref="M312:M316"/>
    <mergeCell ref="AF312:AF316"/>
    <mergeCell ref="AG312:AG316"/>
    <mergeCell ref="AH306:AH311"/>
    <mergeCell ref="AI306:AI311"/>
    <mergeCell ref="AJ306:AJ311"/>
    <mergeCell ref="AK306:AK311"/>
    <mergeCell ref="N307:N310"/>
    <mergeCell ref="O307:O310"/>
    <mergeCell ref="P307:P310"/>
    <mergeCell ref="Q307:Q310"/>
    <mergeCell ref="R307:R310"/>
    <mergeCell ref="S307:S310"/>
    <mergeCell ref="T307:T310"/>
    <mergeCell ref="U307:U310"/>
    <mergeCell ref="V307:V310"/>
    <mergeCell ref="W307:W310"/>
    <mergeCell ref="X307:X310"/>
    <mergeCell ref="Y307:Y310"/>
    <mergeCell ref="G306:G311"/>
    <mergeCell ref="H306:H311"/>
    <mergeCell ref="I306:I311"/>
    <mergeCell ref="J306:J311"/>
    <mergeCell ref="K306:K311"/>
    <mergeCell ref="L306:L311"/>
    <mergeCell ref="M306:M311"/>
    <mergeCell ref="AF306:AF311"/>
    <mergeCell ref="AG306:AG311"/>
    <mergeCell ref="AH300:AH305"/>
    <mergeCell ref="AI300:AI305"/>
    <mergeCell ref="AJ300:AJ305"/>
    <mergeCell ref="AK300:AK305"/>
    <mergeCell ref="N301:N304"/>
    <mergeCell ref="O301:O304"/>
    <mergeCell ref="P301:P304"/>
    <mergeCell ref="Q301:Q304"/>
    <mergeCell ref="R301:R304"/>
    <mergeCell ref="S301:S304"/>
    <mergeCell ref="T301:T304"/>
    <mergeCell ref="U301:U304"/>
    <mergeCell ref="V301:V304"/>
    <mergeCell ref="W301:W304"/>
    <mergeCell ref="X301:X304"/>
    <mergeCell ref="Y301:Y304"/>
    <mergeCell ref="G300:G305"/>
    <mergeCell ref="H300:H305"/>
    <mergeCell ref="I300:I305"/>
    <mergeCell ref="J300:J305"/>
    <mergeCell ref="K300:K305"/>
    <mergeCell ref="L300:L305"/>
    <mergeCell ref="M300:M305"/>
    <mergeCell ref="AF300:AF305"/>
    <mergeCell ref="AG300:AG305"/>
    <mergeCell ref="AH294:AH299"/>
    <mergeCell ref="AI294:AI299"/>
    <mergeCell ref="AJ294:AJ299"/>
    <mergeCell ref="AK294:AK299"/>
    <mergeCell ref="N295:N298"/>
    <mergeCell ref="O295:O298"/>
    <mergeCell ref="P295:P298"/>
    <mergeCell ref="Q295:Q298"/>
    <mergeCell ref="R295:R298"/>
    <mergeCell ref="S295:S298"/>
    <mergeCell ref="T295:T298"/>
    <mergeCell ref="U295:U298"/>
    <mergeCell ref="V295:V298"/>
    <mergeCell ref="W295:W298"/>
    <mergeCell ref="X295:X298"/>
    <mergeCell ref="Y295:Y298"/>
    <mergeCell ref="G294:G299"/>
    <mergeCell ref="H294:H299"/>
    <mergeCell ref="I294:I299"/>
    <mergeCell ref="J294:J299"/>
    <mergeCell ref="K294:K299"/>
    <mergeCell ref="L294:L299"/>
    <mergeCell ref="M294:M299"/>
    <mergeCell ref="AF294:AF299"/>
    <mergeCell ref="AG294:AG299"/>
    <mergeCell ref="AH288:AH293"/>
    <mergeCell ref="AI288:AI293"/>
    <mergeCell ref="AJ288:AJ293"/>
    <mergeCell ref="AK288:AK293"/>
    <mergeCell ref="N289:N292"/>
    <mergeCell ref="O289:O292"/>
    <mergeCell ref="P289:P292"/>
    <mergeCell ref="Q289:Q292"/>
    <mergeCell ref="R289:R292"/>
    <mergeCell ref="S289:S292"/>
    <mergeCell ref="T289:T292"/>
    <mergeCell ref="U289:U292"/>
    <mergeCell ref="V289:V292"/>
    <mergeCell ref="W289:W292"/>
    <mergeCell ref="X289:X292"/>
    <mergeCell ref="Y289:Y292"/>
    <mergeCell ref="G288:G293"/>
    <mergeCell ref="H288:H293"/>
    <mergeCell ref="I288:I293"/>
    <mergeCell ref="J288:J293"/>
    <mergeCell ref="K288:K293"/>
    <mergeCell ref="L288:L293"/>
    <mergeCell ref="M288:M293"/>
    <mergeCell ref="AF288:AF293"/>
    <mergeCell ref="AG288:AG293"/>
    <mergeCell ref="AH282:AH287"/>
    <mergeCell ref="AI282:AI287"/>
    <mergeCell ref="AJ282:AJ287"/>
    <mergeCell ref="AK282:AK287"/>
    <mergeCell ref="N283:N286"/>
    <mergeCell ref="O283:O286"/>
    <mergeCell ref="P283:P286"/>
    <mergeCell ref="Q283:Q286"/>
    <mergeCell ref="R283:R286"/>
    <mergeCell ref="S283:S286"/>
    <mergeCell ref="T283:T286"/>
    <mergeCell ref="U283:U286"/>
    <mergeCell ref="V283:V286"/>
    <mergeCell ref="W283:W286"/>
    <mergeCell ref="X283:X286"/>
    <mergeCell ref="Y283:Y286"/>
    <mergeCell ref="G282:G287"/>
    <mergeCell ref="H282:H287"/>
    <mergeCell ref="I282:I287"/>
    <mergeCell ref="J282:J287"/>
    <mergeCell ref="K282:K287"/>
    <mergeCell ref="L282:L287"/>
    <mergeCell ref="M282:M287"/>
    <mergeCell ref="AF282:AF287"/>
    <mergeCell ref="AG282:AG287"/>
    <mergeCell ref="AH275:AH281"/>
    <mergeCell ref="AI275:AI281"/>
    <mergeCell ref="AJ275:AJ281"/>
    <mergeCell ref="AK275:AK281"/>
    <mergeCell ref="N276:N280"/>
    <mergeCell ref="O276:O280"/>
    <mergeCell ref="P276:P280"/>
    <mergeCell ref="Q276:Q280"/>
    <mergeCell ref="R276:R280"/>
    <mergeCell ref="S276:S280"/>
    <mergeCell ref="T276:T280"/>
    <mergeCell ref="U276:U280"/>
    <mergeCell ref="V276:V280"/>
    <mergeCell ref="W276:W280"/>
    <mergeCell ref="X276:X280"/>
    <mergeCell ref="Y276:Y280"/>
    <mergeCell ref="G275:G281"/>
    <mergeCell ref="H275:H281"/>
    <mergeCell ref="I275:I281"/>
    <mergeCell ref="J275:J281"/>
    <mergeCell ref="K275:K281"/>
    <mergeCell ref="L275:L281"/>
    <mergeCell ref="M275:M281"/>
    <mergeCell ref="AF275:AF281"/>
    <mergeCell ref="AG275:AG281"/>
    <mergeCell ref="AH269:AH274"/>
    <mergeCell ref="AI269:AI274"/>
    <mergeCell ref="AJ269:AJ274"/>
    <mergeCell ref="AK269:AK274"/>
    <mergeCell ref="N270:N273"/>
    <mergeCell ref="O270:O273"/>
    <mergeCell ref="P270:P273"/>
    <mergeCell ref="Q270:Q273"/>
    <mergeCell ref="R270:R273"/>
    <mergeCell ref="S270:S273"/>
    <mergeCell ref="T270:T273"/>
    <mergeCell ref="U270:U273"/>
    <mergeCell ref="V270:V273"/>
    <mergeCell ref="W270:W273"/>
    <mergeCell ref="X270:X273"/>
    <mergeCell ref="Y270:Y273"/>
    <mergeCell ref="G269:G274"/>
    <mergeCell ref="H269:H274"/>
    <mergeCell ref="I269:I274"/>
    <mergeCell ref="J269:J274"/>
    <mergeCell ref="K269:K274"/>
    <mergeCell ref="L269:L274"/>
    <mergeCell ref="M269:M274"/>
    <mergeCell ref="AF269:AF274"/>
    <mergeCell ref="AG269:AG274"/>
    <mergeCell ref="AH263:AH268"/>
    <mergeCell ref="AI263:AI268"/>
    <mergeCell ref="AJ263:AJ268"/>
    <mergeCell ref="AK263:AK268"/>
    <mergeCell ref="N264:N267"/>
    <mergeCell ref="O264:O267"/>
    <mergeCell ref="P264:P267"/>
    <mergeCell ref="Q264:Q267"/>
    <mergeCell ref="R264:R267"/>
    <mergeCell ref="S264:S267"/>
    <mergeCell ref="T264:T267"/>
    <mergeCell ref="U264:U267"/>
    <mergeCell ref="V264:V267"/>
    <mergeCell ref="W264:W267"/>
    <mergeCell ref="X264:X267"/>
    <mergeCell ref="Y264:Y267"/>
    <mergeCell ref="G263:G268"/>
    <mergeCell ref="H263:H268"/>
    <mergeCell ref="I263:I268"/>
    <mergeCell ref="J263:J268"/>
    <mergeCell ref="K263:K268"/>
    <mergeCell ref="L263:L268"/>
    <mergeCell ref="M263:M268"/>
    <mergeCell ref="AF263:AF268"/>
    <mergeCell ref="AG263:AG268"/>
    <mergeCell ref="AH256:AH262"/>
    <mergeCell ref="AI256:AI262"/>
    <mergeCell ref="AJ256:AJ262"/>
    <mergeCell ref="AK256:AK262"/>
    <mergeCell ref="N257:N261"/>
    <mergeCell ref="O257:O261"/>
    <mergeCell ref="P257:P261"/>
    <mergeCell ref="Q257:Q261"/>
    <mergeCell ref="R257:R261"/>
    <mergeCell ref="S257:S261"/>
    <mergeCell ref="T257:T261"/>
    <mergeCell ref="U257:U261"/>
    <mergeCell ref="V257:V261"/>
    <mergeCell ref="W257:W261"/>
    <mergeCell ref="X257:X261"/>
    <mergeCell ref="Y257:Y261"/>
    <mergeCell ref="G256:G262"/>
    <mergeCell ref="H256:H262"/>
    <mergeCell ref="I256:I262"/>
    <mergeCell ref="J256:J262"/>
    <mergeCell ref="K256:K262"/>
    <mergeCell ref="L256:L262"/>
    <mergeCell ref="M256:M262"/>
    <mergeCell ref="AF256:AF262"/>
    <mergeCell ref="AG256:AG262"/>
    <mergeCell ref="AH250:AH255"/>
    <mergeCell ref="AI250:AI255"/>
    <mergeCell ref="AJ250:AJ255"/>
    <mergeCell ref="AK250:AK255"/>
    <mergeCell ref="N251:N254"/>
    <mergeCell ref="O251:O254"/>
    <mergeCell ref="P251:P254"/>
    <mergeCell ref="Q251:Q254"/>
    <mergeCell ref="R251:R254"/>
    <mergeCell ref="S251:S254"/>
    <mergeCell ref="T251:T254"/>
    <mergeCell ref="U251:U254"/>
    <mergeCell ref="V251:V254"/>
    <mergeCell ref="W251:W254"/>
    <mergeCell ref="X251:X254"/>
    <mergeCell ref="Y251:Y254"/>
    <mergeCell ref="G250:G255"/>
    <mergeCell ref="H250:H255"/>
    <mergeCell ref="I250:I255"/>
    <mergeCell ref="J250:J255"/>
    <mergeCell ref="K250:K255"/>
    <mergeCell ref="L250:L255"/>
    <mergeCell ref="M250:M255"/>
    <mergeCell ref="AF250:AF255"/>
    <mergeCell ref="AG250:AG255"/>
    <mergeCell ref="AH244:AH249"/>
    <mergeCell ref="AI244:AI249"/>
    <mergeCell ref="AJ244:AJ249"/>
    <mergeCell ref="AK244:AK249"/>
    <mergeCell ref="N245:N248"/>
    <mergeCell ref="O245:O248"/>
    <mergeCell ref="P245:P248"/>
    <mergeCell ref="Q245:Q248"/>
    <mergeCell ref="R245:R248"/>
    <mergeCell ref="S245:S248"/>
    <mergeCell ref="T245:T248"/>
    <mergeCell ref="U245:U248"/>
    <mergeCell ref="V245:V248"/>
    <mergeCell ref="W245:W248"/>
    <mergeCell ref="X245:X248"/>
    <mergeCell ref="Y245:Y248"/>
    <mergeCell ref="G244:G249"/>
    <mergeCell ref="H244:H249"/>
    <mergeCell ref="I244:I249"/>
    <mergeCell ref="J244:J249"/>
    <mergeCell ref="K244:K249"/>
    <mergeCell ref="L244:L249"/>
    <mergeCell ref="M244:M249"/>
    <mergeCell ref="AF244:AF249"/>
    <mergeCell ref="AG244:AG249"/>
    <mergeCell ref="AH238:AH243"/>
    <mergeCell ref="AI238:AI243"/>
    <mergeCell ref="AJ238:AJ243"/>
    <mergeCell ref="AK238:AK243"/>
    <mergeCell ref="N239:N242"/>
    <mergeCell ref="O239:O242"/>
    <mergeCell ref="P239:P242"/>
    <mergeCell ref="Q239:Q242"/>
    <mergeCell ref="R239:R242"/>
    <mergeCell ref="S239:S242"/>
    <mergeCell ref="T239:T242"/>
    <mergeCell ref="U239:U242"/>
    <mergeCell ref="V239:V242"/>
    <mergeCell ref="W239:W242"/>
    <mergeCell ref="X239:X242"/>
    <mergeCell ref="Y239:Y242"/>
    <mergeCell ref="G238:G243"/>
    <mergeCell ref="H238:H243"/>
    <mergeCell ref="I238:I243"/>
    <mergeCell ref="J238:J243"/>
    <mergeCell ref="K238:K243"/>
    <mergeCell ref="L238:L243"/>
    <mergeCell ref="M238:M243"/>
    <mergeCell ref="AF238:AF243"/>
    <mergeCell ref="AG238:AG243"/>
    <mergeCell ref="AH232:AH237"/>
    <mergeCell ref="AI232:AI237"/>
    <mergeCell ref="AJ232:AJ237"/>
    <mergeCell ref="AK232:AK237"/>
    <mergeCell ref="N233:N236"/>
    <mergeCell ref="O233:O236"/>
    <mergeCell ref="P233:P236"/>
    <mergeCell ref="Q233:Q236"/>
    <mergeCell ref="R233:R236"/>
    <mergeCell ref="S233:S236"/>
    <mergeCell ref="T233:T236"/>
    <mergeCell ref="U233:U236"/>
    <mergeCell ref="V233:V236"/>
    <mergeCell ref="W233:W236"/>
    <mergeCell ref="X233:X236"/>
    <mergeCell ref="Y233:Y236"/>
    <mergeCell ref="G232:G237"/>
    <mergeCell ref="H232:H237"/>
    <mergeCell ref="I232:I237"/>
    <mergeCell ref="J232:J237"/>
    <mergeCell ref="K232:K237"/>
    <mergeCell ref="L232:L237"/>
    <mergeCell ref="M232:M237"/>
    <mergeCell ref="AF232:AF237"/>
    <mergeCell ref="AG232:AG237"/>
    <mergeCell ref="AH226:AH231"/>
    <mergeCell ref="AI226:AI231"/>
    <mergeCell ref="AJ226:AJ231"/>
    <mergeCell ref="AK226:AK231"/>
    <mergeCell ref="N227:N230"/>
    <mergeCell ref="O227:O230"/>
    <mergeCell ref="P227:P230"/>
    <mergeCell ref="Q227:Q230"/>
    <mergeCell ref="R227:R230"/>
    <mergeCell ref="S227:S230"/>
    <mergeCell ref="T227:T230"/>
    <mergeCell ref="U227:U230"/>
    <mergeCell ref="V227:V230"/>
    <mergeCell ref="W227:W230"/>
    <mergeCell ref="X227:X230"/>
    <mergeCell ref="Y227:Y230"/>
    <mergeCell ref="G226:G231"/>
    <mergeCell ref="H226:H231"/>
    <mergeCell ref="I226:I231"/>
    <mergeCell ref="J226:J231"/>
    <mergeCell ref="K226:K231"/>
    <mergeCell ref="L226:L231"/>
    <mergeCell ref="M226:M231"/>
    <mergeCell ref="AF226:AF231"/>
    <mergeCell ref="AG226:AG231"/>
    <mergeCell ref="AH220:AH225"/>
    <mergeCell ref="AI220:AI225"/>
    <mergeCell ref="AJ220:AJ225"/>
    <mergeCell ref="AK220:AK225"/>
    <mergeCell ref="N221:N224"/>
    <mergeCell ref="O221:O224"/>
    <mergeCell ref="P221:P224"/>
    <mergeCell ref="Q221:Q224"/>
    <mergeCell ref="R221:R224"/>
    <mergeCell ref="S221:S224"/>
    <mergeCell ref="T221:T224"/>
    <mergeCell ref="U221:U224"/>
    <mergeCell ref="V221:V224"/>
    <mergeCell ref="W221:W224"/>
    <mergeCell ref="X221:X224"/>
    <mergeCell ref="Y221:Y224"/>
    <mergeCell ref="G220:G225"/>
    <mergeCell ref="H220:H225"/>
    <mergeCell ref="I220:I225"/>
    <mergeCell ref="J220:J225"/>
    <mergeCell ref="K220:K225"/>
    <mergeCell ref="L220:L225"/>
    <mergeCell ref="M220:M225"/>
    <mergeCell ref="AF220:AF225"/>
    <mergeCell ref="AG220:AG225"/>
    <mergeCell ref="AH214:AH219"/>
    <mergeCell ref="AI214:AI219"/>
    <mergeCell ref="AJ214:AJ219"/>
    <mergeCell ref="AK214:AK219"/>
    <mergeCell ref="N215:N218"/>
    <mergeCell ref="O215:O218"/>
    <mergeCell ref="P215:P218"/>
    <mergeCell ref="Q215:Q218"/>
    <mergeCell ref="R215:R218"/>
    <mergeCell ref="S215:S218"/>
    <mergeCell ref="T215:T218"/>
    <mergeCell ref="U215:U218"/>
    <mergeCell ref="V215:V218"/>
    <mergeCell ref="W215:W218"/>
    <mergeCell ref="X215:X218"/>
    <mergeCell ref="Y215:Y218"/>
    <mergeCell ref="G214:G219"/>
    <mergeCell ref="H214:H219"/>
    <mergeCell ref="I214:I219"/>
    <mergeCell ref="J214:J219"/>
    <mergeCell ref="K214:K219"/>
    <mergeCell ref="L214:L219"/>
    <mergeCell ref="M214:M219"/>
    <mergeCell ref="AF214:AF219"/>
    <mergeCell ref="AG214:AG219"/>
    <mergeCell ref="AH208:AH213"/>
    <mergeCell ref="AI208:AI213"/>
    <mergeCell ref="AJ208:AJ213"/>
    <mergeCell ref="AK208:AK213"/>
    <mergeCell ref="N209:N212"/>
    <mergeCell ref="O209:O212"/>
    <mergeCell ref="P209:P212"/>
    <mergeCell ref="Q209:Q212"/>
    <mergeCell ref="R209:R212"/>
    <mergeCell ref="S209:S212"/>
    <mergeCell ref="T209:T212"/>
    <mergeCell ref="U209:U212"/>
    <mergeCell ref="V209:V212"/>
    <mergeCell ref="W209:W212"/>
    <mergeCell ref="X209:X212"/>
    <mergeCell ref="Y209:Y212"/>
    <mergeCell ref="G208:G213"/>
    <mergeCell ref="H208:H213"/>
    <mergeCell ref="I208:I213"/>
    <mergeCell ref="J208:J213"/>
    <mergeCell ref="K208:K213"/>
    <mergeCell ref="L208:L213"/>
    <mergeCell ref="M208:M213"/>
    <mergeCell ref="AF208:AF213"/>
    <mergeCell ref="AG208:AG213"/>
    <mergeCell ref="AH202:AH207"/>
    <mergeCell ref="AI202:AI207"/>
    <mergeCell ref="AJ202:AJ207"/>
    <mergeCell ref="AK202:AK207"/>
    <mergeCell ref="N203:N206"/>
    <mergeCell ref="O203:O206"/>
    <mergeCell ref="P203:P206"/>
    <mergeCell ref="Q203:Q206"/>
    <mergeCell ref="R203:R206"/>
    <mergeCell ref="S203:S206"/>
    <mergeCell ref="T203:T206"/>
    <mergeCell ref="U203:U206"/>
    <mergeCell ref="V203:V206"/>
    <mergeCell ref="W203:W206"/>
    <mergeCell ref="X203:X206"/>
    <mergeCell ref="Y203:Y206"/>
    <mergeCell ref="G202:G207"/>
    <mergeCell ref="H202:H207"/>
    <mergeCell ref="I202:I207"/>
    <mergeCell ref="J202:J207"/>
    <mergeCell ref="K202:K207"/>
    <mergeCell ref="L202:L207"/>
    <mergeCell ref="M202:M207"/>
    <mergeCell ref="AF202:AF207"/>
    <mergeCell ref="AG202:AG207"/>
    <mergeCell ref="AH196:AH201"/>
    <mergeCell ref="AI196:AI201"/>
    <mergeCell ref="AJ196:AJ201"/>
    <mergeCell ref="AK196:AK201"/>
    <mergeCell ref="N197:N200"/>
    <mergeCell ref="O197:O200"/>
    <mergeCell ref="P197:P200"/>
    <mergeCell ref="Q197:Q200"/>
    <mergeCell ref="R197:R200"/>
    <mergeCell ref="S197:S200"/>
    <mergeCell ref="T197:T200"/>
    <mergeCell ref="U197:U200"/>
    <mergeCell ref="V197:V200"/>
    <mergeCell ref="W197:W200"/>
    <mergeCell ref="X197:X200"/>
    <mergeCell ref="Y197:Y200"/>
    <mergeCell ref="G196:G201"/>
    <mergeCell ref="H196:H201"/>
    <mergeCell ref="I196:I201"/>
    <mergeCell ref="J196:J201"/>
    <mergeCell ref="K196:K201"/>
    <mergeCell ref="L196:L201"/>
    <mergeCell ref="M196:M201"/>
    <mergeCell ref="AF196:AF201"/>
    <mergeCell ref="AG196:AG201"/>
    <mergeCell ref="AH190:AH195"/>
    <mergeCell ref="AI190:AI195"/>
    <mergeCell ref="AJ190:AJ195"/>
    <mergeCell ref="AK190:AK195"/>
    <mergeCell ref="N191:N194"/>
    <mergeCell ref="O191:O194"/>
    <mergeCell ref="P191:P194"/>
    <mergeCell ref="Q191:Q194"/>
    <mergeCell ref="R191:R194"/>
    <mergeCell ref="S191:S194"/>
    <mergeCell ref="T191:T194"/>
    <mergeCell ref="U191:U194"/>
    <mergeCell ref="V191:V194"/>
    <mergeCell ref="W191:W194"/>
    <mergeCell ref="X191:X194"/>
    <mergeCell ref="Y191:Y194"/>
    <mergeCell ref="G190:G195"/>
    <mergeCell ref="H190:H195"/>
    <mergeCell ref="I190:I195"/>
    <mergeCell ref="J190:J195"/>
    <mergeCell ref="K190:K195"/>
    <mergeCell ref="L190:L195"/>
    <mergeCell ref="M190:M195"/>
    <mergeCell ref="AF190:AF195"/>
    <mergeCell ref="AG190:AG195"/>
    <mergeCell ref="AH184:AH189"/>
    <mergeCell ref="AI184:AI189"/>
    <mergeCell ref="AJ184:AJ189"/>
    <mergeCell ref="AK184:AK189"/>
    <mergeCell ref="N185:N188"/>
    <mergeCell ref="O185:O188"/>
    <mergeCell ref="P185:P188"/>
    <mergeCell ref="Q185:Q188"/>
    <mergeCell ref="R185:R188"/>
    <mergeCell ref="S185:S188"/>
    <mergeCell ref="T185:T188"/>
    <mergeCell ref="U185:U188"/>
    <mergeCell ref="V185:V188"/>
    <mergeCell ref="W185:W188"/>
    <mergeCell ref="X185:X188"/>
    <mergeCell ref="Y185:Y188"/>
    <mergeCell ref="G184:G189"/>
    <mergeCell ref="H184:H189"/>
    <mergeCell ref="I184:I189"/>
    <mergeCell ref="J184:J189"/>
    <mergeCell ref="K184:K189"/>
    <mergeCell ref="L184:L189"/>
    <mergeCell ref="M184:M189"/>
    <mergeCell ref="AF184:AF189"/>
    <mergeCell ref="AG184:AG189"/>
    <mergeCell ref="AH178:AH183"/>
    <mergeCell ref="AI178:AI183"/>
    <mergeCell ref="AJ178:AJ183"/>
    <mergeCell ref="AK178:AK183"/>
    <mergeCell ref="N179:N182"/>
    <mergeCell ref="O179:O182"/>
    <mergeCell ref="P179:P182"/>
    <mergeCell ref="Q179:Q182"/>
    <mergeCell ref="R179:R182"/>
    <mergeCell ref="S179:S182"/>
    <mergeCell ref="T179:T182"/>
    <mergeCell ref="U179:U182"/>
    <mergeCell ref="V179:V182"/>
    <mergeCell ref="W179:W182"/>
    <mergeCell ref="X179:X182"/>
    <mergeCell ref="Y179:Y182"/>
    <mergeCell ref="G178:G183"/>
    <mergeCell ref="H178:H183"/>
    <mergeCell ref="I178:I183"/>
    <mergeCell ref="J178:J183"/>
    <mergeCell ref="K178:K183"/>
    <mergeCell ref="L178:L183"/>
    <mergeCell ref="M178:M183"/>
    <mergeCell ref="AF178:AF183"/>
    <mergeCell ref="AG178:AG183"/>
    <mergeCell ref="AH172:AH177"/>
    <mergeCell ref="AI172:AI177"/>
    <mergeCell ref="AJ172:AJ177"/>
    <mergeCell ref="AK172:AK177"/>
    <mergeCell ref="N173:N176"/>
    <mergeCell ref="O173:O176"/>
    <mergeCell ref="P173:P176"/>
    <mergeCell ref="Q173:Q176"/>
    <mergeCell ref="R173:R176"/>
    <mergeCell ref="S173:S176"/>
    <mergeCell ref="T173:T176"/>
    <mergeCell ref="U173:U176"/>
    <mergeCell ref="V173:V176"/>
    <mergeCell ref="W173:W176"/>
    <mergeCell ref="X173:X176"/>
    <mergeCell ref="Y173:Y176"/>
    <mergeCell ref="G172:G177"/>
    <mergeCell ref="H172:H177"/>
    <mergeCell ref="I172:I177"/>
    <mergeCell ref="J172:J177"/>
    <mergeCell ref="K172:K177"/>
    <mergeCell ref="L172:L177"/>
    <mergeCell ref="M172:M177"/>
    <mergeCell ref="AF172:AF177"/>
    <mergeCell ref="AG172:AG177"/>
    <mergeCell ref="AH166:AH171"/>
    <mergeCell ref="AI166:AI171"/>
    <mergeCell ref="AJ166:AJ171"/>
    <mergeCell ref="AK166:AK171"/>
    <mergeCell ref="N167:N170"/>
    <mergeCell ref="O167:O170"/>
    <mergeCell ref="P167:P170"/>
    <mergeCell ref="Q167:Q170"/>
    <mergeCell ref="R167:R170"/>
    <mergeCell ref="S167:S170"/>
    <mergeCell ref="T167:T170"/>
    <mergeCell ref="U167:U170"/>
    <mergeCell ref="V167:V170"/>
    <mergeCell ref="W167:W170"/>
    <mergeCell ref="X167:X170"/>
    <mergeCell ref="Y167:Y170"/>
    <mergeCell ref="G166:G171"/>
    <mergeCell ref="H166:H171"/>
    <mergeCell ref="I166:I171"/>
    <mergeCell ref="J166:J171"/>
    <mergeCell ref="K166:K171"/>
    <mergeCell ref="L166:L171"/>
    <mergeCell ref="M166:M171"/>
    <mergeCell ref="AF166:AF171"/>
    <mergeCell ref="AG166:AG171"/>
    <mergeCell ref="AH160:AH165"/>
    <mergeCell ref="AI160:AI165"/>
    <mergeCell ref="AJ160:AJ165"/>
    <mergeCell ref="AK160:AK165"/>
    <mergeCell ref="N161:N164"/>
    <mergeCell ref="O161:O164"/>
    <mergeCell ref="P161:P164"/>
    <mergeCell ref="Q161:Q164"/>
    <mergeCell ref="R161:R164"/>
    <mergeCell ref="S161:S164"/>
    <mergeCell ref="T161:T164"/>
    <mergeCell ref="U161:U164"/>
    <mergeCell ref="V161:V164"/>
    <mergeCell ref="W161:W164"/>
    <mergeCell ref="X161:X164"/>
    <mergeCell ref="Y161:Y164"/>
    <mergeCell ref="G160:G165"/>
    <mergeCell ref="H160:H165"/>
    <mergeCell ref="I160:I165"/>
    <mergeCell ref="J160:J165"/>
    <mergeCell ref="K160:K165"/>
    <mergeCell ref="L160:L165"/>
    <mergeCell ref="M160:M165"/>
    <mergeCell ref="AF160:AF165"/>
    <mergeCell ref="AG160:AG165"/>
    <mergeCell ref="AH153:AH159"/>
    <mergeCell ref="AI153:AI159"/>
    <mergeCell ref="AJ153:AJ159"/>
    <mergeCell ref="AK153:AK159"/>
    <mergeCell ref="N154:N158"/>
    <mergeCell ref="O154:O158"/>
    <mergeCell ref="P154:P158"/>
    <mergeCell ref="Q154:Q158"/>
    <mergeCell ref="R154:R158"/>
    <mergeCell ref="S154:S158"/>
    <mergeCell ref="T154:T158"/>
    <mergeCell ref="U154:U158"/>
    <mergeCell ref="V154:V158"/>
    <mergeCell ref="W154:W158"/>
    <mergeCell ref="X154:X158"/>
    <mergeCell ref="Y154:Y158"/>
    <mergeCell ref="G153:G159"/>
    <mergeCell ref="H153:H159"/>
    <mergeCell ref="I153:I159"/>
    <mergeCell ref="J153:J159"/>
    <mergeCell ref="K153:K159"/>
    <mergeCell ref="L153:L159"/>
    <mergeCell ref="M153:M159"/>
    <mergeCell ref="AF153:AF159"/>
    <mergeCell ref="AG153:AG159"/>
    <mergeCell ref="AH147:AH152"/>
    <mergeCell ref="AI147:AI152"/>
    <mergeCell ref="AJ147:AJ152"/>
    <mergeCell ref="AK147:AK152"/>
    <mergeCell ref="N148:N151"/>
    <mergeCell ref="O148:O151"/>
    <mergeCell ref="P148:P151"/>
    <mergeCell ref="Q148:Q151"/>
    <mergeCell ref="R148:R151"/>
    <mergeCell ref="S148:S151"/>
    <mergeCell ref="T148:T151"/>
    <mergeCell ref="U148:U151"/>
    <mergeCell ref="V148:V151"/>
    <mergeCell ref="W148:W151"/>
    <mergeCell ref="X148:X151"/>
    <mergeCell ref="Y148:Y151"/>
    <mergeCell ref="G147:G152"/>
    <mergeCell ref="H147:H152"/>
    <mergeCell ref="I147:I152"/>
    <mergeCell ref="J147:J152"/>
    <mergeCell ref="K147:K152"/>
    <mergeCell ref="L147:L152"/>
    <mergeCell ref="M147:M152"/>
    <mergeCell ref="AF147:AF152"/>
    <mergeCell ref="AG147:AG152"/>
    <mergeCell ref="AH140:AH146"/>
    <mergeCell ref="AI140:AI146"/>
    <mergeCell ref="AJ140:AJ146"/>
    <mergeCell ref="AK140:AK146"/>
    <mergeCell ref="N141:N145"/>
    <mergeCell ref="O141:O145"/>
    <mergeCell ref="P141:P145"/>
    <mergeCell ref="Q141:Q145"/>
    <mergeCell ref="R141:R145"/>
    <mergeCell ref="S141:S145"/>
    <mergeCell ref="T141:T145"/>
    <mergeCell ref="U141:U145"/>
    <mergeCell ref="V141:V145"/>
    <mergeCell ref="W141:W145"/>
    <mergeCell ref="X141:X145"/>
    <mergeCell ref="Y141:Y145"/>
    <mergeCell ref="G140:G146"/>
    <mergeCell ref="H140:H146"/>
    <mergeCell ref="I140:I146"/>
    <mergeCell ref="J140:J146"/>
    <mergeCell ref="K140:K146"/>
    <mergeCell ref="L140:L146"/>
    <mergeCell ref="M140:M146"/>
    <mergeCell ref="AF140:AF146"/>
    <mergeCell ref="AG140:AG146"/>
    <mergeCell ref="AH134:AH139"/>
    <mergeCell ref="AI134:AI139"/>
    <mergeCell ref="AJ134:AJ139"/>
    <mergeCell ref="AK134:AK139"/>
    <mergeCell ref="N135:N138"/>
    <mergeCell ref="O135:O138"/>
    <mergeCell ref="P135:P138"/>
    <mergeCell ref="Q135:Q138"/>
    <mergeCell ref="R135:R138"/>
    <mergeCell ref="S135:S138"/>
    <mergeCell ref="T135:T138"/>
    <mergeCell ref="U135:U138"/>
    <mergeCell ref="V135:V138"/>
    <mergeCell ref="W135:W138"/>
    <mergeCell ref="X135:X138"/>
    <mergeCell ref="Y135:Y138"/>
    <mergeCell ref="G134:G139"/>
    <mergeCell ref="H134:H139"/>
    <mergeCell ref="I134:I139"/>
    <mergeCell ref="J134:J139"/>
    <mergeCell ref="K134:K139"/>
    <mergeCell ref="L134:L139"/>
    <mergeCell ref="M134:M139"/>
    <mergeCell ref="AF134:AF139"/>
    <mergeCell ref="AG134:AG139"/>
    <mergeCell ref="AH128:AH133"/>
    <mergeCell ref="AI128:AI133"/>
    <mergeCell ref="AJ128:AJ133"/>
    <mergeCell ref="AK128:AK133"/>
    <mergeCell ref="N129:N132"/>
    <mergeCell ref="O129:O132"/>
    <mergeCell ref="P129:P132"/>
    <mergeCell ref="Q129:Q132"/>
    <mergeCell ref="R129:R132"/>
    <mergeCell ref="S129:S132"/>
    <mergeCell ref="T129:T132"/>
    <mergeCell ref="U129:U132"/>
    <mergeCell ref="V129:V132"/>
    <mergeCell ref="W129:W132"/>
    <mergeCell ref="X129:X132"/>
    <mergeCell ref="Y129:Y132"/>
    <mergeCell ref="G128:G133"/>
    <mergeCell ref="H128:H133"/>
    <mergeCell ref="I128:I133"/>
    <mergeCell ref="J128:J133"/>
    <mergeCell ref="K128:K133"/>
    <mergeCell ref="L128:L133"/>
    <mergeCell ref="M128:M133"/>
    <mergeCell ref="AF128:AF133"/>
    <mergeCell ref="AG128:AG133"/>
    <mergeCell ref="AH122:AH127"/>
    <mergeCell ref="AI122:AI127"/>
    <mergeCell ref="AJ122:AJ127"/>
    <mergeCell ref="AK122:AK127"/>
    <mergeCell ref="N123:N126"/>
    <mergeCell ref="O123:O126"/>
    <mergeCell ref="P123:P126"/>
    <mergeCell ref="Q123:Q126"/>
    <mergeCell ref="R123:R126"/>
    <mergeCell ref="S123:S126"/>
    <mergeCell ref="T123:T126"/>
    <mergeCell ref="U123:U126"/>
    <mergeCell ref="V123:V126"/>
    <mergeCell ref="W123:W126"/>
    <mergeCell ref="X123:X126"/>
    <mergeCell ref="Y123:Y126"/>
    <mergeCell ref="G122:G127"/>
    <mergeCell ref="H122:H127"/>
    <mergeCell ref="I122:I127"/>
    <mergeCell ref="J122:J127"/>
    <mergeCell ref="K122:K127"/>
    <mergeCell ref="L122:L127"/>
    <mergeCell ref="M122:M127"/>
    <mergeCell ref="AF122:AF127"/>
    <mergeCell ref="AG122:AG127"/>
    <mergeCell ref="AH116:AH121"/>
    <mergeCell ref="AI116:AI121"/>
    <mergeCell ref="AJ116:AJ121"/>
    <mergeCell ref="AK116:AK121"/>
    <mergeCell ref="N117:N120"/>
    <mergeCell ref="O117:O120"/>
    <mergeCell ref="P117:P120"/>
    <mergeCell ref="Q117:Q120"/>
    <mergeCell ref="R117:R120"/>
    <mergeCell ref="S117:S120"/>
    <mergeCell ref="T117:T120"/>
    <mergeCell ref="U117:U120"/>
    <mergeCell ref="V117:V120"/>
    <mergeCell ref="W117:W120"/>
    <mergeCell ref="X117:X120"/>
    <mergeCell ref="Y117:Y120"/>
    <mergeCell ref="G116:G121"/>
    <mergeCell ref="H116:H121"/>
    <mergeCell ref="I116:I121"/>
    <mergeCell ref="J116:J121"/>
    <mergeCell ref="K116:K121"/>
    <mergeCell ref="L116:L121"/>
    <mergeCell ref="M116:M121"/>
    <mergeCell ref="AF116:AF121"/>
    <mergeCell ref="AG116:AG121"/>
    <mergeCell ref="AH110:AH115"/>
    <mergeCell ref="AI110:AI115"/>
    <mergeCell ref="AJ110:AJ115"/>
    <mergeCell ref="AK110:AK115"/>
    <mergeCell ref="N111:N114"/>
    <mergeCell ref="O111:O114"/>
    <mergeCell ref="P111:P114"/>
    <mergeCell ref="Q111:Q114"/>
    <mergeCell ref="R111:R114"/>
    <mergeCell ref="S111:S114"/>
    <mergeCell ref="T111:T114"/>
    <mergeCell ref="U111:U114"/>
    <mergeCell ref="V111:V114"/>
    <mergeCell ref="W111:W114"/>
    <mergeCell ref="X111:X114"/>
    <mergeCell ref="Y111:Y114"/>
    <mergeCell ref="G110:G115"/>
    <mergeCell ref="H110:H115"/>
    <mergeCell ref="I110:I115"/>
    <mergeCell ref="J110:J115"/>
    <mergeCell ref="K110:K115"/>
    <mergeCell ref="L110:L115"/>
    <mergeCell ref="M110:M115"/>
    <mergeCell ref="AF110:AF115"/>
    <mergeCell ref="AG110:AG115"/>
    <mergeCell ref="AH104:AH109"/>
    <mergeCell ref="AI104:AI109"/>
    <mergeCell ref="AJ104:AJ109"/>
    <mergeCell ref="AK104:AK109"/>
    <mergeCell ref="N105:N108"/>
    <mergeCell ref="O105:O108"/>
    <mergeCell ref="P105:P108"/>
    <mergeCell ref="Q105:Q108"/>
    <mergeCell ref="R105:R108"/>
    <mergeCell ref="S105:S108"/>
    <mergeCell ref="T105:T108"/>
    <mergeCell ref="U105:U108"/>
    <mergeCell ref="V105:V108"/>
    <mergeCell ref="W105:W108"/>
    <mergeCell ref="X105:X108"/>
    <mergeCell ref="Y105:Y108"/>
    <mergeCell ref="G104:G109"/>
    <mergeCell ref="H104:H109"/>
    <mergeCell ref="I104:I109"/>
    <mergeCell ref="J104:J109"/>
    <mergeCell ref="K104:K109"/>
    <mergeCell ref="L104:L109"/>
    <mergeCell ref="M104:M109"/>
    <mergeCell ref="AF104:AF109"/>
    <mergeCell ref="AG104:AG109"/>
    <mergeCell ref="AH98:AH103"/>
    <mergeCell ref="AI98:AI103"/>
    <mergeCell ref="AJ98:AJ103"/>
    <mergeCell ref="AK98:AK103"/>
    <mergeCell ref="N99:N102"/>
    <mergeCell ref="O99:O102"/>
    <mergeCell ref="P99:P102"/>
    <mergeCell ref="Q99:Q102"/>
    <mergeCell ref="R99:R102"/>
    <mergeCell ref="S99:S102"/>
    <mergeCell ref="T99:T102"/>
    <mergeCell ref="U99:U102"/>
    <mergeCell ref="V99:V102"/>
    <mergeCell ref="W99:W102"/>
    <mergeCell ref="X99:X102"/>
    <mergeCell ref="Y99:Y102"/>
    <mergeCell ref="G98:G103"/>
    <mergeCell ref="H98:H103"/>
    <mergeCell ref="I98:I103"/>
    <mergeCell ref="J98:J103"/>
    <mergeCell ref="K98:K103"/>
    <mergeCell ref="L98:L103"/>
    <mergeCell ref="M98:M103"/>
    <mergeCell ref="AF98:AF103"/>
    <mergeCell ref="AG98:AG103"/>
    <mergeCell ref="AH92:AH97"/>
    <mergeCell ref="AI92:AI97"/>
    <mergeCell ref="AJ92:AJ97"/>
    <mergeCell ref="AK92:AK97"/>
    <mergeCell ref="N93:N96"/>
    <mergeCell ref="O93:O96"/>
    <mergeCell ref="P93:P96"/>
    <mergeCell ref="Q93:Q96"/>
    <mergeCell ref="R93:R96"/>
    <mergeCell ref="S93:S96"/>
    <mergeCell ref="T93:T96"/>
    <mergeCell ref="U93:U96"/>
    <mergeCell ref="V93:V96"/>
    <mergeCell ref="W93:W96"/>
    <mergeCell ref="X93:X96"/>
    <mergeCell ref="Y93:Y96"/>
    <mergeCell ref="G92:G97"/>
    <mergeCell ref="H92:H97"/>
    <mergeCell ref="I92:I97"/>
    <mergeCell ref="J92:J97"/>
    <mergeCell ref="K92:K97"/>
    <mergeCell ref="L92:L97"/>
    <mergeCell ref="M92:M97"/>
    <mergeCell ref="AF92:AF97"/>
    <mergeCell ref="AG92:AG97"/>
    <mergeCell ref="AH86:AH91"/>
    <mergeCell ref="AI86:AI91"/>
    <mergeCell ref="AJ86:AJ91"/>
    <mergeCell ref="AK86:AK91"/>
    <mergeCell ref="N87:N90"/>
    <mergeCell ref="O87:O90"/>
    <mergeCell ref="P87:P90"/>
    <mergeCell ref="Q87:Q90"/>
    <mergeCell ref="R87:R90"/>
    <mergeCell ref="S87:S90"/>
    <mergeCell ref="T87:T90"/>
    <mergeCell ref="U87:U90"/>
    <mergeCell ref="V87:V90"/>
    <mergeCell ref="W87:W90"/>
    <mergeCell ref="X87:X90"/>
    <mergeCell ref="Y87:Y90"/>
    <mergeCell ref="G86:G91"/>
    <mergeCell ref="H86:H91"/>
    <mergeCell ref="I86:I91"/>
    <mergeCell ref="J86:J91"/>
    <mergeCell ref="K86:K91"/>
    <mergeCell ref="L86:L91"/>
    <mergeCell ref="M86:M91"/>
    <mergeCell ref="AF86:AF91"/>
    <mergeCell ref="AG86:AG91"/>
    <mergeCell ref="AH80:AH85"/>
    <mergeCell ref="AI80:AI85"/>
    <mergeCell ref="AJ80:AJ85"/>
    <mergeCell ref="AK80:AK85"/>
    <mergeCell ref="N81:N84"/>
    <mergeCell ref="O81:O84"/>
    <mergeCell ref="P81:P84"/>
    <mergeCell ref="Q81:Q84"/>
    <mergeCell ref="R81:R84"/>
    <mergeCell ref="S81:S84"/>
    <mergeCell ref="T81:T84"/>
    <mergeCell ref="U81:U84"/>
    <mergeCell ref="V81:V84"/>
    <mergeCell ref="W81:W84"/>
    <mergeCell ref="X81:X84"/>
    <mergeCell ref="Y81:Y84"/>
    <mergeCell ref="G80:G85"/>
    <mergeCell ref="H80:H85"/>
    <mergeCell ref="I80:I85"/>
    <mergeCell ref="J80:J85"/>
    <mergeCell ref="K80:K85"/>
    <mergeCell ref="L80:L85"/>
    <mergeCell ref="M80:M85"/>
    <mergeCell ref="AF80:AF85"/>
    <mergeCell ref="AG80:AG85"/>
    <mergeCell ref="AH74:AH79"/>
    <mergeCell ref="AI74:AI79"/>
    <mergeCell ref="AJ74:AJ79"/>
    <mergeCell ref="AK74:AK79"/>
    <mergeCell ref="N75:N78"/>
    <mergeCell ref="O75:O78"/>
    <mergeCell ref="P75:P78"/>
    <mergeCell ref="Q75:Q78"/>
    <mergeCell ref="R75:R78"/>
    <mergeCell ref="S75:S78"/>
    <mergeCell ref="T75:T78"/>
    <mergeCell ref="U75:U78"/>
    <mergeCell ref="V75:V78"/>
    <mergeCell ref="W75:W78"/>
    <mergeCell ref="X75:X78"/>
    <mergeCell ref="Y75:Y78"/>
    <mergeCell ref="G74:G79"/>
    <mergeCell ref="H74:H79"/>
    <mergeCell ref="I74:I79"/>
    <mergeCell ref="J74:J79"/>
    <mergeCell ref="K74:K79"/>
    <mergeCell ref="L74:L79"/>
    <mergeCell ref="M74:M79"/>
    <mergeCell ref="AF74:AF79"/>
    <mergeCell ref="AG74:AG79"/>
    <mergeCell ref="AH68:AH73"/>
    <mergeCell ref="AI68:AI73"/>
    <mergeCell ref="AJ68:AJ73"/>
    <mergeCell ref="AK68:AK73"/>
    <mergeCell ref="N69:N72"/>
    <mergeCell ref="O69:O72"/>
    <mergeCell ref="P69:P72"/>
    <mergeCell ref="Q69:Q72"/>
    <mergeCell ref="R69:R72"/>
    <mergeCell ref="S69:S72"/>
    <mergeCell ref="T69:T72"/>
    <mergeCell ref="U69:U72"/>
    <mergeCell ref="V69:V72"/>
    <mergeCell ref="W69:W72"/>
    <mergeCell ref="X69:X72"/>
    <mergeCell ref="Y69:Y72"/>
    <mergeCell ref="G68:G73"/>
    <mergeCell ref="H68:H73"/>
    <mergeCell ref="I68:I73"/>
    <mergeCell ref="J68:J73"/>
    <mergeCell ref="K68:K73"/>
    <mergeCell ref="L68:L73"/>
    <mergeCell ref="M68:M73"/>
    <mergeCell ref="AF68:AF73"/>
    <mergeCell ref="AG68:AG73"/>
    <mergeCell ref="AH62:AH67"/>
    <mergeCell ref="AI62:AI67"/>
    <mergeCell ref="AJ62:AJ67"/>
    <mergeCell ref="AK62:AK67"/>
    <mergeCell ref="N63:N66"/>
    <mergeCell ref="O63:O66"/>
    <mergeCell ref="P63:P66"/>
    <mergeCell ref="Q63:Q66"/>
    <mergeCell ref="R63:R66"/>
    <mergeCell ref="S63:S66"/>
    <mergeCell ref="T63:T66"/>
    <mergeCell ref="U63:U66"/>
    <mergeCell ref="V63:V66"/>
    <mergeCell ref="W63:W66"/>
    <mergeCell ref="X63:X66"/>
    <mergeCell ref="Y63:Y66"/>
    <mergeCell ref="G62:G67"/>
    <mergeCell ref="H62:H67"/>
    <mergeCell ref="I62:I67"/>
    <mergeCell ref="J62:J67"/>
    <mergeCell ref="K62:K67"/>
    <mergeCell ref="L62:L67"/>
    <mergeCell ref="M62:M67"/>
    <mergeCell ref="AF62:AF67"/>
    <mergeCell ref="AG62:AG67"/>
    <mergeCell ref="L56:L61"/>
    <mergeCell ref="M56:M61"/>
    <mergeCell ref="AF56:AF61"/>
    <mergeCell ref="AG56:AG61"/>
    <mergeCell ref="AH56:AH61"/>
    <mergeCell ref="AI56:AI61"/>
    <mergeCell ref="AJ56:AJ61"/>
    <mergeCell ref="AK56:AK61"/>
    <mergeCell ref="N57:N60"/>
    <mergeCell ref="O57:O60"/>
    <mergeCell ref="P57:P60"/>
    <mergeCell ref="Q57:Q60"/>
    <mergeCell ref="R57:R60"/>
    <mergeCell ref="S57:S60"/>
    <mergeCell ref="T57:T60"/>
    <mergeCell ref="U57:U60"/>
    <mergeCell ref="V57:V60"/>
    <mergeCell ref="W57:W60"/>
    <mergeCell ref="X57:X60"/>
    <mergeCell ref="Y57:Y60"/>
    <mergeCell ref="AF50:AF55"/>
    <mergeCell ref="AG50:AG55"/>
    <mergeCell ref="AH50:AH55"/>
    <mergeCell ref="AI50:AI55"/>
    <mergeCell ref="AJ50:AJ55"/>
    <mergeCell ref="AK50:AK55"/>
    <mergeCell ref="N51:N54"/>
    <mergeCell ref="O51:O54"/>
    <mergeCell ref="P51:P54"/>
    <mergeCell ref="Q51:Q54"/>
    <mergeCell ref="R51:R54"/>
    <mergeCell ref="S51:S54"/>
    <mergeCell ref="T51:T54"/>
    <mergeCell ref="U51:U54"/>
    <mergeCell ref="V51:V54"/>
    <mergeCell ref="W51:W54"/>
    <mergeCell ref="X51:X54"/>
    <mergeCell ref="Y51:Y54"/>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Y39:Y42"/>
    <mergeCell ref="G44:G49"/>
    <mergeCell ref="H44:H49"/>
    <mergeCell ref="I44:I49"/>
    <mergeCell ref="J44:J49"/>
    <mergeCell ref="K44:K49"/>
    <mergeCell ref="L44:L49"/>
    <mergeCell ref="M44:M49"/>
    <mergeCell ref="AF44:AF49"/>
    <mergeCell ref="M348:M352"/>
    <mergeCell ref="N349:N351"/>
    <mergeCell ref="O349:O351"/>
    <mergeCell ref="G38:G43"/>
    <mergeCell ref="H38:H43"/>
    <mergeCell ref="I38:I43"/>
    <mergeCell ref="J38:J43"/>
    <mergeCell ref="K38:K43"/>
    <mergeCell ref="L38:L43"/>
    <mergeCell ref="M38:M43"/>
    <mergeCell ref="N39:N42"/>
    <mergeCell ref="O39:O42"/>
    <mergeCell ref="G50:G55"/>
    <mergeCell ref="H50:H55"/>
    <mergeCell ref="I50:I55"/>
    <mergeCell ref="J50:J55"/>
    <mergeCell ref="K50:K55"/>
    <mergeCell ref="L50:L55"/>
    <mergeCell ref="M50:M55"/>
    <mergeCell ref="G56:G61"/>
    <mergeCell ref="H56:H61"/>
    <mergeCell ref="I56:I61"/>
    <mergeCell ref="J56:J61"/>
    <mergeCell ref="K56:K61"/>
    <mergeCell ref="P349:P351"/>
    <mergeCell ref="Q349:Q351"/>
    <mergeCell ref="R349:R351"/>
    <mergeCell ref="G348:G352"/>
    <mergeCell ref="AJ348:AJ352"/>
    <mergeCell ref="AK348:AK352"/>
    <mergeCell ref="I353:K353"/>
    <mergeCell ref="F348:F353"/>
    <mergeCell ref="AF348:AF352"/>
    <mergeCell ref="AG348:AG352"/>
    <mergeCell ref="AH348:AH352"/>
    <mergeCell ref="AI348:AI352"/>
    <mergeCell ref="S349:S351"/>
    <mergeCell ref="T349:T351"/>
    <mergeCell ref="U349:U351"/>
    <mergeCell ref="V349:V351"/>
    <mergeCell ref="W349:W351"/>
    <mergeCell ref="X349:X351"/>
    <mergeCell ref="Y349:Y351"/>
    <mergeCell ref="H348:H352"/>
    <mergeCell ref="I348:I352"/>
    <mergeCell ref="J348:J352"/>
    <mergeCell ref="K348:K352"/>
    <mergeCell ref="L348:L352"/>
    <mergeCell ref="I347:K347"/>
    <mergeCell ref="F342:F347"/>
    <mergeCell ref="AF342:AF346"/>
    <mergeCell ref="AG342:AG346"/>
    <mergeCell ref="AH342:AH346"/>
    <mergeCell ref="AI342:AI346"/>
    <mergeCell ref="S343:S345"/>
    <mergeCell ref="T343:T345"/>
    <mergeCell ref="U343:U345"/>
    <mergeCell ref="V343:V345"/>
    <mergeCell ref="W343:W345"/>
    <mergeCell ref="X343:X345"/>
    <mergeCell ref="Y343:Y345"/>
    <mergeCell ref="H342:H346"/>
    <mergeCell ref="I342:I346"/>
    <mergeCell ref="J342:J346"/>
    <mergeCell ref="K342:K346"/>
    <mergeCell ref="L342:L346"/>
    <mergeCell ref="M342:M346"/>
    <mergeCell ref="N343:N345"/>
    <mergeCell ref="O343:O345"/>
    <mergeCell ref="M336:M340"/>
    <mergeCell ref="N337:N339"/>
    <mergeCell ref="O337:O339"/>
    <mergeCell ref="P343:P345"/>
    <mergeCell ref="Q343:Q345"/>
    <mergeCell ref="R343:R345"/>
    <mergeCell ref="G342:G346"/>
    <mergeCell ref="AJ342:AJ346"/>
    <mergeCell ref="AK342:AK346"/>
    <mergeCell ref="P337:P339"/>
    <mergeCell ref="Q337:Q339"/>
    <mergeCell ref="R337:R339"/>
    <mergeCell ref="G336:G340"/>
    <mergeCell ref="AJ336:AJ340"/>
    <mergeCell ref="AK336:AK340"/>
    <mergeCell ref="I341:K341"/>
    <mergeCell ref="F336:F341"/>
    <mergeCell ref="AF336:AF340"/>
    <mergeCell ref="AG336:AG340"/>
    <mergeCell ref="AH336:AH340"/>
    <mergeCell ref="AI336:AI340"/>
    <mergeCell ref="S337:S339"/>
    <mergeCell ref="T337:T339"/>
    <mergeCell ref="U337:U339"/>
    <mergeCell ref="V337:V339"/>
    <mergeCell ref="W337:W339"/>
    <mergeCell ref="X337:X339"/>
    <mergeCell ref="Y337:Y339"/>
    <mergeCell ref="H336:H340"/>
    <mergeCell ref="I336:I340"/>
    <mergeCell ref="J336:J340"/>
    <mergeCell ref="K336:K340"/>
    <mergeCell ref="L336:L340"/>
    <mergeCell ref="I335:K335"/>
    <mergeCell ref="F330:F335"/>
    <mergeCell ref="AF330:AF334"/>
    <mergeCell ref="AG330:AG334"/>
    <mergeCell ref="AH330:AH334"/>
    <mergeCell ref="AI330:AI334"/>
    <mergeCell ref="S331:S333"/>
    <mergeCell ref="T331:T333"/>
    <mergeCell ref="U331:U333"/>
    <mergeCell ref="V331:V333"/>
    <mergeCell ref="W331:W333"/>
    <mergeCell ref="X331:X333"/>
    <mergeCell ref="Y331:Y333"/>
    <mergeCell ref="H330:H334"/>
    <mergeCell ref="I330:I334"/>
    <mergeCell ref="J330:J334"/>
    <mergeCell ref="K330:K334"/>
    <mergeCell ref="L330:L334"/>
    <mergeCell ref="M330:M334"/>
    <mergeCell ref="N331:N333"/>
    <mergeCell ref="O331:O333"/>
    <mergeCell ref="M33:M37"/>
    <mergeCell ref="N34:N36"/>
    <mergeCell ref="O34:O36"/>
    <mergeCell ref="P331:P333"/>
    <mergeCell ref="Q331:Q333"/>
    <mergeCell ref="R331:R333"/>
    <mergeCell ref="G330:G334"/>
    <mergeCell ref="AJ330:AJ334"/>
    <mergeCell ref="AK330:AK334"/>
    <mergeCell ref="AF38:AF43"/>
    <mergeCell ref="AG38:AG43"/>
    <mergeCell ref="AH38:AH43"/>
    <mergeCell ref="AI38:AI43"/>
    <mergeCell ref="AJ38:AJ43"/>
    <mergeCell ref="AK38:AK43"/>
    <mergeCell ref="P39:P42"/>
    <mergeCell ref="Q39:Q42"/>
    <mergeCell ref="R39:R42"/>
    <mergeCell ref="S39:S42"/>
    <mergeCell ref="T39:T42"/>
    <mergeCell ref="U39:U42"/>
    <mergeCell ref="V39:V42"/>
    <mergeCell ref="W39:W42"/>
    <mergeCell ref="X39:X42"/>
    <mergeCell ref="P34:P36"/>
    <mergeCell ref="Q34:Q36"/>
    <mergeCell ref="R34:R36"/>
    <mergeCell ref="G33:G37"/>
    <mergeCell ref="AJ33:AJ37"/>
    <mergeCell ref="AK33:AK37"/>
    <mergeCell ref="I329:K329"/>
    <mergeCell ref="F33:F329"/>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AJ27:AJ31"/>
    <mergeCell ref="AK27:AK31"/>
    <mergeCell ref="I32:K32"/>
    <mergeCell ref="F27:F32"/>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AJ21:AJ25"/>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359:J359"/>
    <mergeCell ref="F9:F12"/>
    <mergeCell ref="G9:H12"/>
    <mergeCell ref="F358:J358"/>
    <mergeCell ref="F357:J357"/>
    <mergeCell ref="L15:L19"/>
    <mergeCell ref="M15:M19"/>
    <mergeCell ref="N16:N18"/>
    <mergeCell ref="O16:O18"/>
    <mergeCell ref="P22:P24"/>
    <mergeCell ref="Q22:Q24"/>
    <mergeCell ref="R22:R24"/>
    <mergeCell ref="G21:G25"/>
    <mergeCell ref="P28:P30"/>
    <mergeCell ref="Q28:Q30"/>
    <mergeCell ref="R28:R30"/>
    <mergeCell ref="G27:G31"/>
  </mergeCells>
  <dataValidations count="4">
    <dataValidation type="decimal" allowBlank="1" showErrorMessage="1" errorTitle="Ошибка" error="Допускается ввод только неотрицательных чисел!" sqref="AC17 AE350 AC350 AE344 AC344 AE338 AC338 AE332 AC332 AE35 AC35 AE29 AC29 AE23 AC23 AE17 AE325:AE326 AC325:AC326 AC186:AC187 AE186:AE187 AC228:AC229 AE228:AE229 AC234:AC235 AE234:AE235 AC252:AC253 AE252:AE253 AC265:AC266 AE265:AE266 AC296:AC297 AE296:AE297 AC308:AC309 AE308:AE309 AC314 AE314 AE319:AE320 AC40:AC41 AE40:AE41 AC46:AC47 AE46:AE47 AC52:AC53 AE52:AE53 AC58:AC59 AE58:AE59 AC64:AC65 AE64:AE65 AC70:AC71 AE70:AE71 AC76:AC77 AE76:AE77 AC82:AC83 AE82:AE83 AC88:AC89 AE88:AE89 AC94:AC95 AE94:AE95 AC100:AC101 AE100:AE101 AC106:AC107 AE106:AE107 AC112:AC113 AE112:AE113 AC118:AC119 AE118:AE119 AC124:AC125 AE124:AE125 AC130:AC131 AE130:AE131 AC136:AC137 AE136:AE137 AC142:AC144 AE142:AE144 AC149:AC150 AE149:AE150 AC162:AC163 AE162:AE163 AC168:AC169 AE168:AE169 AC174:AC175 AE174:AE175 AC192:AC193 AE192:AE193 AC155:AC157 AE155:AE157 AC180:AC181 AE180:AE181 AC198:AC199 AE198:AE199 AC204:AC205 AE204:AE205 AC210:AC211 AE210:AE211 AC216:AC217 AE216:AE217 AC222:AC223 AE222:AE223 AC240:AC241 AE240:AE241 AC246:AC247 AE246:AE247 AC258:AC260 AE258:AE260 AC271:AC272 AE271:AE272 AC277:AC279 AE277:AE279 AC284:AC285 AE284:AE285 AC302:AC303 AE302:AE303 AC290:AC291 AE290:AE291 AC319:AC320">
      <formula1>0</formula1>
      <formula2>9.99999999999999E+23</formula2>
    </dataValidation>
    <dataValidation type="whole" allowBlank="1" showErrorMessage="1" errorTitle="Ошибка" error="Допускается ввод только неотрицательных целых чисел!" sqref="AI348:AI352 AF348:AF352 AI342:AI346 AF342:AF346 AI336:AI340 AF336:AF340 AI330:AI334 AF330:AF334 AF33:AF328 AI15:AI19 AI27:AI31 AF27:AF31 AI21:AI25 AF21:AF25 AF15:AF19 AI33:AI328">
      <formula1>0</formula1>
      <formula2>9.99999999999999E+23</formula2>
    </dataValidation>
    <dataValidation type="textLength" operator="lessThanOrEqual" allowBlank="1" showInputMessage="1" showErrorMessage="1" errorTitle="Ошибка" error="Допускается ввод не более 900 символов!" sqref="M348 K348:K351 M342 K342:K345 M336 K336:K339 M330 K330:K333 M33 K33:K36 M27 K27:K30 M21 K21:K24 K15:K18 M15 M323 K323:K327 M38 M44 M50 M56 M62 M68 M74 M80 M86 M92 M98 M104 M110 M116 M122 M128 M134 M140 M147 M153 M160 M166 M172 M178 M184 K184:K188 M190 M196 M202 M208 M214 M220 M226 K226:K230 M232 K232:K236 M238 M244 M250 K250:K254 M256 M263 K263:K267 M269 M275 M282 M288 M294 K294:K298 M300 M306 K306:K310 M312 K312:K315 M317 K317:K321 K38:K42 K44:K48 K50:K54 K56:K60 K62:K66 K68:K72 K74:K78 K80:K84 K86:K90 K92:K96 K98:K102 K104:K108 K110:K114 K116:K120 K122:K126 K128:K132 K134:K138 K140:K145 K147:K151 K160:K164 K166:K170 K172:K176 K190:K194 K153:K158 K178:K182 K196:K200 K202:K206 K208:K212 K214:K218 K220:K224 K238:K242 K244:K248 K256:K261 K269:K273 K275:K280 K282:K286 K300:K304 K288: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J351 I342:J345 I336:J339 I330:J333 I33:J36 I27:J30 I21:J24 I15:J18 I323:J327 I263:J267 I250:J254 I232:J236 I226:J230 I184:J188 I140:J145 I306:J310 I294:J298 I38:J42 I44:J48 I50:J54 I56:J60 I62:J66 I68:J72 I74:J78 I80:J84 I86:J90 I92:J96 I98:J102 I104:J108 I110:J114 I116:J120 I122:J126 I128:J132 I134:J138 I147:J151 I153:J158 I160:J164 I166:J170 I172:J176 I178:J182 I190:J194 I196:J200 I202:J206 I208:J212 I214:J218 I220:J224 I238:J242 I244:J248 I256:J261 I269:J273 I275:J280 I282:J286 I288:J292 I300:J304 I312:J315 I317:J321">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6E8F9-F2EB-A01D-D1BF-3838C33F63B2}" mc:Ignorable="x14ac xr xr2 xr3">
  <sheetPr>
    <tabColor theme="9" tint="-0.25"/>
  </sheetPr>
  <dimension ref="A1:AG59"/>
  <sheetViews>
    <sheetView topLeftCell="A1" showGridLines="0" zoomScale="85" workbookViewId="0">
      <selection activeCell="S1" sqref="S1:S59"/>
    </sheetView>
  </sheetViews>
  <sheetFormatPr defaultColWidth="9.140625" customHeight="1" defaultRowHeight="10.5"/>
  <cols>
    <col min="1" max="3" style="12083" width="4.140625" hidden="1" customWidth="1"/>
    <col min="4" max="4" style="10306" width="4.140625" hidden="1" customWidth="1"/>
    <col min="5" max="5" style="10232" width="3.00390625" customWidth="1"/>
    <col min="6" max="6" style="10232" width="6.00390625" customWidth="1"/>
    <col min="7" max="7" style="10232" width="60.00390625" customWidth="1"/>
    <col min="8" max="9" style="10232" width="21.7109375" hidden="1" customWidth="1"/>
    <col min="10" max="10" style="10232" width="0.140625" customWidth="1"/>
    <col min="11" max="19" style="10232" width="21.7109375" hidden="1" customWidth="1"/>
    <col min="20" max="20" style="10232" width="0.140625" customWidth="1"/>
    <col min="21" max="21" style="10232" width="1.00390625" customWidth="1"/>
    <col min="22" max="32" style="10232" width="8.00390625" customWidth="1"/>
    <col min="33" max="33" style="10232" width="9.140625" hidden="1"/>
  </cols>
  <sheetData>
    <row s="10306" customFormat="1" customHeight="1" ht="10.5" hidden="1">
      <c r="A1" s="1262"/>
      <c r="B1" s="1262"/>
      <c r="C1" s="1262"/>
      <c r="E1" s="644"/>
      <c r="AG1" s="1256" t="s">
        <v>14</v>
      </c>
    </row>
    <row customHeight="1" ht="10.5" hidden="1">
      <c r="AG2" s="1251">
        <v>0</v>
      </c>
    </row>
    <row s="10196" customFormat="1" customHeight="1" ht="10.5" hidden="1">
      <c r="A3" s="1262"/>
      <c r="B3" s="1262"/>
      <c r="C3" s="1262"/>
      <c r="D3" s="1256"/>
      <c r="E3" s="469"/>
      <c r="AG3" s="1252">
        <v>0</v>
      </c>
    </row>
    <row customHeight="1" ht="3">
      <c r="AG4" s="1251">
        <v>3</v>
      </c>
    </row>
    <row customHeight="1" ht="27.299999999999997">
      <c r="F5" s="309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096"/>
      <c r="H5" s="3096"/>
      <c r="I5" s="3096"/>
      <c r="J5" s="3096"/>
      <c r="K5" s="2172"/>
      <c r="L5" s="2172"/>
      <c r="M5" s="2172"/>
      <c r="N5" s="2172"/>
      <c r="O5" s="2172"/>
      <c r="P5" s="2172"/>
      <c r="Q5" s="2172"/>
      <c r="R5" s="2172"/>
      <c r="S5" s="2172"/>
      <c r="T5" s="2172"/>
      <c r="AG5" s="1251">
        <v>26</v>
      </c>
    </row>
    <row customHeight="1" ht="10.5">
      <c r="F6" s="3069" t="str">
        <f>IF(org=0,"Не определено",org)</f>
        <v>АО "ДГК"</v>
      </c>
      <c r="G6" s="3069"/>
      <c r="H6" s="3069"/>
      <c r="I6" s="3069"/>
      <c r="J6" s="3069"/>
      <c r="K6" s="2173"/>
      <c r="L6" s="2173"/>
      <c r="M6" s="2173"/>
      <c r="N6" s="2173"/>
      <c r="O6" s="2173"/>
      <c r="P6" s="2173"/>
      <c r="Q6" s="2173"/>
      <c r="R6" s="2173"/>
      <c r="S6" s="2173"/>
      <c r="T6" s="2173"/>
      <c r="AG6" s="1251">
        <v>10</v>
      </c>
    </row>
    <row customHeight="1" ht="11.549999999999999">
      <c r="E7" s="1266"/>
      <c r="F7" s="1323"/>
      <c r="G7" s="1323"/>
      <c r="H7" s="1323"/>
      <c r="I7" s="1323"/>
      <c r="J7" s="1323"/>
      <c r="K7" s="1323" t="s">
        <v>22</v>
      </c>
      <c r="L7" s="1323"/>
      <c r="M7" s="1323" t="s">
        <v>22</v>
      </c>
      <c r="N7" s="1323" t="s">
        <v>22</v>
      </c>
      <c r="O7" s="1323" t="s">
        <v>22</v>
      </c>
      <c r="P7" s="1323" t="s">
        <v>22</v>
      </c>
      <c r="Q7" s="1323" t="s">
        <v>22</v>
      </c>
      <c r="R7" s="1323" t="s">
        <v>22</v>
      </c>
      <c r="S7" s="1323" t="s">
        <v>22</v>
      </c>
      <c r="T7" s="1323"/>
      <c r="U7" s="1253"/>
      <c r="V7" s="1253"/>
      <c r="W7" s="1253"/>
      <c r="X7" s="1253"/>
      <c r="Y7" s="1253"/>
      <c r="Z7" s="1253"/>
      <c r="AA7" s="1253"/>
      <c r="AB7" s="1253"/>
      <c r="AC7" s="1253"/>
      <c r="AD7" s="1253"/>
      <c r="AE7" s="1253"/>
      <c r="AF7" s="1253"/>
      <c r="AG7" s="1251">
        <v>11</v>
      </c>
    </row>
    <row s="10307" customFormat="1" customHeight="1" ht="4.2">
      <c r="A8" s="1263"/>
      <c r="B8" s="1263"/>
      <c r="C8" s="1263"/>
      <c r="E8" s="1324"/>
      <c r="F8" s="1325"/>
      <c r="G8" s="1325"/>
      <c r="H8" s="1325"/>
      <c r="I8" s="1325"/>
      <c r="J8" s="1325"/>
      <c r="K8" s="1325" t="s">
        <v>1161</v>
      </c>
      <c r="L8" s="1325"/>
      <c r="M8" s="1325"/>
      <c r="N8" s="1325"/>
      <c r="O8" s="1325"/>
      <c r="P8" s="1325"/>
      <c r="Q8" s="1325"/>
      <c r="R8" s="1325"/>
      <c r="S8" s="1325"/>
      <c r="T8" s="1325"/>
      <c r="U8" s="1324"/>
      <c r="V8" s="1324"/>
      <c r="W8" s="1324"/>
      <c r="X8" s="1324"/>
      <c r="Y8" s="1324"/>
      <c r="Z8" s="1324"/>
      <c r="AA8" s="1324"/>
      <c r="AB8" s="1324"/>
      <c r="AC8" s="1324"/>
      <c r="AD8" s="1324"/>
      <c r="AE8" s="1324"/>
      <c r="AF8" s="1324"/>
      <c r="AG8" s="618">
        <v>4</v>
      </c>
    </row>
    <row customHeight="1" ht="10.5">
      <c r="E9" s="1266"/>
      <c r="F9" s="3273" t="s">
        <v>385</v>
      </c>
      <c r="G9" s="3274"/>
      <c r="H9" s="3274"/>
      <c r="I9" s="3274"/>
      <c r="J9" s="3274"/>
      <c r="K9" s="2188"/>
      <c r="L9" s="2188"/>
      <c r="M9" s="2188"/>
      <c r="N9" s="2188"/>
      <c r="O9" s="2188"/>
      <c r="P9" s="2188"/>
      <c r="Q9" s="2188"/>
      <c r="R9" s="2188"/>
      <c r="S9" s="2188"/>
      <c r="T9" s="2188"/>
      <c r="U9" s="1336"/>
      <c r="V9" s="1253"/>
      <c r="W9" s="1253"/>
      <c r="X9" s="1253"/>
      <c r="Y9" s="1253"/>
      <c r="Z9" s="1253"/>
      <c r="AA9" s="1253"/>
      <c r="AB9" s="1253"/>
      <c r="AC9" s="1253"/>
      <c r="AD9" s="1253"/>
      <c r="AE9" s="1253"/>
      <c r="AF9" s="1253"/>
      <c r="AG9" s="1251">
        <v>10</v>
      </c>
    </row>
    <row customHeight="1" ht="25.2">
      <c r="E10" s="1253"/>
      <c r="F10" s="3277" t="s">
        <v>88</v>
      </c>
      <c r="G10" s="3281" t="s">
        <v>1305</v>
      </c>
      <c r="H10" s="3233" t="s">
        <v>1306</v>
      </c>
      <c r="I10" s="3233"/>
      <c r="J10" s="3233"/>
      <c r="K10" s="3233" t="s">
        <v>1306</v>
      </c>
      <c r="L10" s="3233"/>
      <c r="M10" s="3233"/>
      <c r="N10" s="3233"/>
      <c r="O10" s="3233"/>
      <c r="P10" s="3233"/>
      <c r="Q10" s="3233"/>
      <c r="R10" s="3233"/>
      <c r="S10" s="3233"/>
      <c r="T10" s="3233"/>
      <c r="U10" s="1329"/>
      <c r="V10" s="1253"/>
      <c r="W10" s="1253"/>
      <c r="X10" s="1253"/>
      <c r="Y10" s="1253"/>
      <c r="Z10" s="1253"/>
      <c r="AA10" s="1253"/>
      <c r="AB10" s="1253"/>
      <c r="AC10" s="1253"/>
      <c r="AD10" s="1253"/>
      <c r="AE10" s="1253"/>
      <c r="AF10" s="1253"/>
      <c r="AG10" s="1251">
        <v>24</v>
      </c>
    </row>
    <row customHeight="1" ht="25.5">
      <c r="E11" s="1253"/>
      <c r="F11" s="3278"/>
      <c r="G11" s="3281"/>
      <c r="H11" s="3280">
        <f>INDEX(IP_MAIN_LIST_NAME_IP,MATCH(H8,IP_MAIN_LIST_IP_ID,0))&amp;" ("&amp;INDEX(IP_MAIN_START_DATE,MATCH(H8,IP_MAIN_LIST_IP_ID,0))&amp;"-"&amp;INDEX(IP_MAIN_END_DATE,MATCH(H8,IP_MAIN_LIST_IP_ID,0))&amp;")"</f>
      </c>
      <c r="I11" s="3280"/>
      <c r="J11" s="3280"/>
      <c r="K11" s="3280" t="str">
        <f>INDEX(IP_MAIN_LIST_NAME_IP,MATCH(K8,IP_MAIN_LIST_IP_ID,0))&amp;" ("&amp;INDEX(IP_MAIN_START_DATE,MATCH(K8,IP_MAIN_LIST_IP_ID,0))&amp;"-"&amp;INDEX(IP_MAIN_END_DATE,MATCH(K8,IP_MAIN_LIST_IP_ID,0))&amp;")"</f>
        <v>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 (01.01.2020-31.12.2027)</v>
      </c>
      <c r="L11" s="3280"/>
      <c r="M11" s="3280"/>
      <c r="N11" s="3280"/>
      <c r="O11" s="3280"/>
      <c r="P11" s="3280"/>
      <c r="Q11" s="3280"/>
      <c r="R11" s="3280"/>
      <c r="S11" s="3280"/>
      <c r="T11" s="3280"/>
      <c r="U11" s="1329"/>
      <c r="V11" s="1253"/>
      <c r="W11" s="1253"/>
      <c r="X11" s="1253"/>
      <c r="Y11" s="1253"/>
      <c r="Z11" s="1253"/>
      <c r="AA11" s="1253"/>
      <c r="AB11" s="1253"/>
      <c r="AC11" s="1253"/>
      <c r="AD11" s="1253"/>
      <c r="AE11" s="1253"/>
      <c r="AF11" s="1253"/>
      <c r="AG11" s="1251">
        <v>24</v>
      </c>
    </row>
    <row customHeight="1" ht="10.5">
      <c r="F12" s="3279"/>
      <c r="G12" s="3281"/>
      <c r="H12" s="1322" t="s">
        <v>1307</v>
      </c>
      <c r="I12" s="1328"/>
      <c r="J12" s="1322"/>
      <c r="K12" s="2192" t="s">
        <v>1307</v>
      </c>
      <c r="L12" s="1328">
        <v>2020</v>
      </c>
      <c r="M12" s="1328">
        <v>2021</v>
      </c>
      <c r="N12" s="1328">
        <v>2022</v>
      </c>
      <c r="O12" s="1328">
        <v>2023</v>
      </c>
      <c r="P12" s="1328">
        <v>2024</v>
      </c>
      <c r="Q12" s="1328">
        <v>2025</v>
      </c>
      <c r="R12" s="1328">
        <v>2026</v>
      </c>
      <c r="S12" s="1328">
        <v>2027</v>
      </c>
      <c r="T12" s="2192"/>
      <c r="U12" s="1330"/>
      <c r="AG12" s="1251">
        <v>10</v>
      </c>
    </row>
    <row customHeight="1" ht="10.5" hidden="1">
      <c r="F13" s="1322">
        <v>1</v>
      </c>
      <c r="G13" s="1322">
        <v>2</v>
      </c>
      <c r="H13" s="1322">
        <v>3</v>
      </c>
      <c r="I13" s="1322">
        <v>4</v>
      </c>
      <c r="J13" s="1322">
        <v>5</v>
      </c>
      <c r="K13" s="2192">
        <v>3</v>
      </c>
      <c r="L13" s="2192">
        <v>4</v>
      </c>
      <c r="M13" s="2192">
        <v>4</v>
      </c>
      <c r="N13" s="2192">
        <v>4</v>
      </c>
      <c r="O13" s="2192">
        <v>4</v>
      </c>
      <c r="P13" s="2192">
        <v>4</v>
      </c>
      <c r="Q13" s="2192">
        <v>4</v>
      </c>
      <c r="R13" s="2192">
        <v>4</v>
      </c>
      <c r="S13" s="2192">
        <v>4</v>
      </c>
      <c r="T13" s="2192">
        <v>5</v>
      </c>
      <c r="U13" s="1330"/>
      <c r="AG13" s="1251">
        <v>0</v>
      </c>
    </row>
    <row customHeight="1" ht="11.549999999999999">
      <c r="F14" s="1321" t="s">
        <v>1308</v>
      </c>
      <c r="G14" s="3275" t="s">
        <v>1309</v>
      </c>
      <c r="H14" s="3275"/>
      <c r="I14" s="3275"/>
      <c r="J14" s="3275"/>
      <c r="K14" s="2189"/>
      <c r="L14" s="2189"/>
      <c r="M14" s="2189"/>
      <c r="N14" s="2189"/>
      <c r="O14" s="2189"/>
      <c r="P14" s="2189"/>
      <c r="Q14" s="2189"/>
      <c r="R14" s="2189"/>
      <c r="S14" s="2189"/>
      <c r="T14" s="2189"/>
      <c r="U14" s="1330"/>
      <c r="AG14" s="1251">
        <v>11</v>
      </c>
    </row>
    <row customHeight="1" ht="11.549999999999999">
      <c r="F15" s="1326">
        <v>1</v>
      </c>
      <c r="G15" s="797" t="s">
        <v>1310</v>
      </c>
      <c r="H15" s="1332">
        <f>SUM(I15:J15)</f>
        <v>0</v>
      </c>
      <c r="I15" s="1332">
        <f>SUM(I16:I27)</f>
        <v>0</v>
      </c>
      <c r="J15" s="1321"/>
      <c r="K15" s="1332">
        <f>SUM(L15:T15)</f>
        <v>0</v>
      </c>
      <c r="L15" s="1332">
        <f>SUM(L16:L27)</f>
        <v>0</v>
      </c>
      <c r="M15" s="1332">
        <f>SUM(M16:M27)</f>
        <v>0</v>
      </c>
      <c r="N15" s="1332">
        <f>SUM(N16:N27)</f>
        <v>0</v>
      </c>
      <c r="O15" s="1332">
        <f>SUM(O16:O27)</f>
        <v>0</v>
      </c>
      <c r="P15" s="1332">
        <f>SUM(P16:P27)</f>
        <v>0</v>
      </c>
      <c r="Q15" s="1332">
        <f>SUM(Q16:Q27)</f>
        <v>0</v>
      </c>
      <c r="R15" s="1332">
        <f>SUM(R16:R27)</f>
        <v>0</v>
      </c>
      <c r="S15" s="1332">
        <f>SUM(S16:S27)</f>
        <v>0</v>
      </c>
      <c r="T15" s="2191"/>
      <c r="U15" s="1330"/>
      <c r="AG15" s="1251">
        <v>11</v>
      </c>
    </row>
    <row customHeight="1" ht="24">
      <c r="F16" s="1326" t="s">
        <v>1311</v>
      </c>
      <c r="G16" s="1333" t="s">
        <v>1312</v>
      </c>
      <c r="H16" s="1332">
        <f>SUM(I16:J16)</f>
        <v>0</v>
      </c>
      <c r="I16" s="1331"/>
      <c r="J16" s="1321"/>
      <c r="K16" s="1332">
        <f>SUM(L16:T16)</f>
        <v>0</v>
      </c>
      <c r="L16" s="1331"/>
      <c r="M16" s="1331"/>
      <c r="N16" s="1331"/>
      <c r="O16" s="1331"/>
      <c r="P16" s="1331"/>
      <c r="Q16" s="1331"/>
      <c r="R16" s="1331"/>
      <c r="S16" s="1331"/>
      <c r="T16" s="2191"/>
      <c r="U16" s="1330"/>
      <c r="AG16" s="1251">
        <v>23</v>
      </c>
    </row>
    <row customHeight="1" ht="24">
      <c r="F17" s="1326" t="s">
        <v>1313</v>
      </c>
      <c r="G17" s="1333" t="s">
        <v>1314</v>
      </c>
      <c r="H17" s="1332">
        <f>SUM(I17:J17)</f>
        <v>0</v>
      </c>
      <c r="I17" s="1331"/>
      <c r="J17" s="1321"/>
      <c r="K17" s="1332">
        <f>SUM(L17:T17)</f>
        <v>0</v>
      </c>
      <c r="L17" s="1331"/>
      <c r="M17" s="1331"/>
      <c r="N17" s="1331"/>
      <c r="O17" s="1331"/>
      <c r="P17" s="1331"/>
      <c r="Q17" s="1331"/>
      <c r="R17" s="1331"/>
      <c r="S17" s="1331"/>
      <c r="T17" s="2191"/>
      <c r="U17" s="1330"/>
      <c r="AG17" s="1251">
        <v>23</v>
      </c>
    </row>
    <row customHeight="1" ht="35.699999999999996">
      <c r="F18" s="1326" t="s">
        <v>1315</v>
      </c>
      <c r="G18" s="1333" t="s">
        <v>1316</v>
      </c>
      <c r="H18" s="1332">
        <f>SUM(I18:J18)</f>
        <v>0</v>
      </c>
      <c r="I18" s="1331"/>
      <c r="J18" s="1321"/>
      <c r="K18" s="1332">
        <f>SUM(L18:T18)</f>
        <v>0</v>
      </c>
      <c r="L18" s="1331"/>
      <c r="M18" s="1331"/>
      <c r="N18" s="1331"/>
      <c r="O18" s="1331"/>
      <c r="P18" s="1331"/>
      <c r="Q18" s="1331"/>
      <c r="R18" s="1331"/>
      <c r="S18" s="1331"/>
      <c r="T18" s="2191"/>
      <c r="U18" s="1330"/>
      <c r="AG18" s="1251">
        <v>34</v>
      </c>
    </row>
    <row customHeight="1" ht="35.699999999999996">
      <c r="F19" s="1326" t="s">
        <v>1317</v>
      </c>
      <c r="G19" s="1333" t="s">
        <v>1318</v>
      </c>
      <c r="H19" s="1332">
        <f>SUM(I19:J19)</f>
        <v>0</v>
      </c>
      <c r="I19" s="1331"/>
      <c r="J19" s="1321"/>
      <c r="K19" s="1332">
        <f>SUM(L19:T19)</f>
        <v>0</v>
      </c>
      <c r="L19" s="1331"/>
      <c r="M19" s="1331"/>
      <c r="N19" s="1331"/>
      <c r="O19" s="1331"/>
      <c r="P19" s="1331"/>
      <c r="Q19" s="1331"/>
      <c r="R19" s="1331"/>
      <c r="S19" s="1331"/>
      <c r="T19" s="2191"/>
      <c r="U19" s="1330"/>
      <c r="AG19" s="1251">
        <v>34</v>
      </c>
    </row>
    <row customHeight="1" ht="48.29999999999999">
      <c r="F20" s="1326" t="s">
        <v>1319</v>
      </c>
      <c r="G20" s="1333" t="s">
        <v>1320</v>
      </c>
      <c r="H20" s="1332">
        <f>SUM(I20:J20)</f>
        <v>0</v>
      </c>
      <c r="I20" s="1331"/>
      <c r="J20" s="1321"/>
      <c r="K20" s="1332">
        <f>SUM(L20:T20)</f>
        <v>0</v>
      </c>
      <c r="L20" s="1331"/>
      <c r="M20" s="1331"/>
      <c r="N20" s="1331"/>
      <c r="O20" s="1331"/>
      <c r="P20" s="1331"/>
      <c r="Q20" s="1331"/>
      <c r="R20" s="1331"/>
      <c r="S20" s="1331"/>
      <c r="T20" s="2191"/>
      <c r="U20" s="1330"/>
      <c r="AG20" s="1251">
        <v>46</v>
      </c>
    </row>
    <row customHeight="1" ht="35.699999999999996">
      <c r="F21" s="1326" t="s">
        <v>1321</v>
      </c>
      <c r="G21" s="1333" t="s">
        <v>1322</v>
      </c>
      <c r="H21" s="1332">
        <f>SUM(I21:J21)</f>
        <v>0</v>
      </c>
      <c r="I21" s="1331"/>
      <c r="J21" s="1321"/>
      <c r="K21" s="1332">
        <f>SUM(L21:T21)</f>
        <v>0</v>
      </c>
      <c r="L21" s="1331"/>
      <c r="M21" s="1331"/>
      <c r="N21" s="1331"/>
      <c r="O21" s="1331"/>
      <c r="P21" s="1331"/>
      <c r="Q21" s="1331"/>
      <c r="R21" s="1331"/>
      <c r="S21" s="1331"/>
      <c r="T21" s="2191"/>
      <c r="U21" s="1330"/>
      <c r="AG21" s="1251">
        <v>34</v>
      </c>
    </row>
    <row customHeight="1" ht="35.699999999999996">
      <c r="F22" s="1326" t="s">
        <v>1323</v>
      </c>
      <c r="G22" s="1333" t="s">
        <v>1324</v>
      </c>
      <c r="H22" s="1332">
        <f>SUM(I22:J22)</f>
        <v>0</v>
      </c>
      <c r="I22" s="1331"/>
      <c r="J22" s="1321"/>
      <c r="K22" s="1332">
        <f>SUM(L22:T22)</f>
        <v>0</v>
      </c>
      <c r="L22" s="1331"/>
      <c r="M22" s="1331"/>
      <c r="N22" s="1331"/>
      <c r="O22" s="1331"/>
      <c r="P22" s="1331"/>
      <c r="Q22" s="1331"/>
      <c r="R22" s="1331"/>
      <c r="S22" s="1331"/>
      <c r="T22" s="2191"/>
      <c r="U22" s="1330"/>
      <c r="AG22" s="1251">
        <v>34</v>
      </c>
    </row>
    <row customHeight="1" ht="24">
      <c r="F23" s="1326" t="s">
        <v>1325</v>
      </c>
      <c r="G23" s="1333" t="s">
        <v>1326</v>
      </c>
      <c r="H23" s="1332">
        <f>SUM(I23:J23)</f>
        <v>0</v>
      </c>
      <c r="I23" s="1331"/>
      <c r="J23" s="1321"/>
      <c r="K23" s="1332">
        <f>SUM(L23:T23)</f>
        <v>0</v>
      </c>
      <c r="L23" s="1331"/>
      <c r="M23" s="1331"/>
      <c r="N23" s="1331"/>
      <c r="O23" s="1331"/>
      <c r="P23" s="1331"/>
      <c r="Q23" s="1331"/>
      <c r="R23" s="1331"/>
      <c r="S23" s="1331"/>
      <c r="T23" s="2191"/>
      <c r="U23" s="1330"/>
      <c r="AG23" s="1251">
        <v>23</v>
      </c>
    </row>
    <row customHeight="1" ht="24">
      <c r="F24" s="1326" t="s">
        <v>1327</v>
      </c>
      <c r="G24" s="1333" t="s">
        <v>1328</v>
      </c>
      <c r="H24" s="1332">
        <f>SUM(I24:J24)</f>
        <v>0</v>
      </c>
      <c r="I24" s="1331"/>
      <c r="J24" s="1321"/>
      <c r="K24" s="1332">
        <f>SUM(L24:T24)</f>
        <v>0</v>
      </c>
      <c r="L24" s="1331"/>
      <c r="M24" s="1331"/>
      <c r="N24" s="1331"/>
      <c r="O24" s="1331"/>
      <c r="P24" s="1331"/>
      <c r="Q24" s="1331"/>
      <c r="R24" s="1331"/>
      <c r="S24" s="1331"/>
      <c r="T24" s="2191"/>
      <c r="U24" s="1330"/>
      <c r="AG24" s="1251">
        <v>23</v>
      </c>
    </row>
    <row customHeight="1" ht="35.699999999999996">
      <c r="F25" s="1326" t="s">
        <v>1329</v>
      </c>
      <c r="G25" s="1333" t="s">
        <v>1330</v>
      </c>
      <c r="H25" s="1332">
        <f>SUM(I25:J25)</f>
        <v>0</v>
      </c>
      <c r="I25" s="1331"/>
      <c r="J25" s="1321"/>
      <c r="K25" s="1332">
        <f>SUM(L25:T25)</f>
        <v>0</v>
      </c>
      <c r="L25" s="1331"/>
      <c r="M25" s="1331"/>
      <c r="N25" s="1331"/>
      <c r="O25" s="1331"/>
      <c r="P25" s="1331"/>
      <c r="Q25" s="1331"/>
      <c r="R25" s="1331"/>
      <c r="S25" s="1331"/>
      <c r="T25" s="2191"/>
      <c r="U25" s="1330"/>
      <c r="AG25" s="1251">
        <v>34</v>
      </c>
    </row>
    <row customHeight="1" ht="35.699999999999996">
      <c r="F26" s="1326" t="s">
        <v>1331</v>
      </c>
      <c r="G26" s="1333" t="s">
        <v>1332</v>
      </c>
      <c r="H26" s="1332">
        <f>SUM(I26:J26)</f>
        <v>0</v>
      </c>
      <c r="I26" s="1331"/>
      <c r="J26" s="1321"/>
      <c r="K26" s="1332">
        <f>SUM(L26:T26)</f>
        <v>0</v>
      </c>
      <c r="L26" s="1331"/>
      <c r="M26" s="1331"/>
      <c r="N26" s="1331"/>
      <c r="O26" s="1331"/>
      <c r="P26" s="1331"/>
      <c r="Q26" s="1331"/>
      <c r="R26" s="1331"/>
      <c r="S26" s="1331"/>
      <c r="T26" s="2191"/>
      <c r="U26" s="1330"/>
      <c r="AG26" s="1251">
        <v>34</v>
      </c>
    </row>
    <row customHeight="1" ht="11.549999999999999">
      <c r="F27" s="1326" t="s">
        <v>1333</v>
      </c>
      <c r="G27" s="1333" t="s">
        <v>1334</v>
      </c>
      <c r="H27" s="1332">
        <f>SUM(I27:J27)</f>
        <v>0</v>
      </c>
      <c r="I27" s="1331"/>
      <c r="J27" s="1321"/>
      <c r="K27" s="1332">
        <f>SUM(L27:T27)</f>
        <v>0</v>
      </c>
      <c r="L27" s="1331"/>
      <c r="M27" s="1331"/>
      <c r="N27" s="1331"/>
      <c r="O27" s="1331"/>
      <c r="P27" s="1331"/>
      <c r="Q27" s="1331"/>
      <c r="R27" s="1331"/>
      <c r="S27" s="1331"/>
      <c r="T27" s="2191"/>
      <c r="U27" s="1330"/>
      <c r="AG27" s="1251">
        <v>11</v>
      </c>
    </row>
    <row customHeight="1" ht="11.549999999999999">
      <c r="F28" s="1326">
        <v>2</v>
      </c>
      <c r="G28" s="797" t="s">
        <v>1335</v>
      </c>
      <c r="H28" s="1332">
        <f>SUM(I28:J28)</f>
        <v>0</v>
      </c>
      <c r="I28" s="1332">
        <f>SUM(I29:I31)</f>
        <v>0</v>
      </c>
      <c r="J28" s="1321"/>
      <c r="K28" s="1332">
        <f>SUM(L28:T28)</f>
        <v>0</v>
      </c>
      <c r="L28" s="1332">
        <f>SUM(L29:L31)</f>
        <v>0</v>
      </c>
      <c r="M28" s="1332">
        <f>SUM(M29:M31)</f>
        <v>0</v>
      </c>
      <c r="N28" s="1332">
        <f>SUM(N29:N31)</f>
        <v>0</v>
      </c>
      <c r="O28" s="1332">
        <f>SUM(O29:O31)</f>
        <v>0</v>
      </c>
      <c r="P28" s="1332">
        <f>SUM(P29:P31)</f>
        <v>0</v>
      </c>
      <c r="Q28" s="1332">
        <f>SUM(Q29:Q31)</f>
        <v>0</v>
      </c>
      <c r="R28" s="1332">
        <f>SUM(R29:R31)</f>
        <v>0</v>
      </c>
      <c r="S28" s="1332">
        <f>SUM(S29:S31)</f>
        <v>0</v>
      </c>
      <c r="T28" s="2191"/>
      <c r="U28" s="1330"/>
      <c r="AG28" s="1251">
        <v>11</v>
      </c>
    </row>
    <row customHeight="1" ht="11.549999999999999">
      <c r="F29" s="1326" t="s">
        <v>848</v>
      </c>
      <c r="G29" s="1333" t="s">
        <v>1336</v>
      </c>
      <c r="H29" s="1332">
        <f>SUM(I29:J29)</f>
        <v>0</v>
      </c>
      <c r="I29" s="1331"/>
      <c r="J29" s="1321"/>
      <c r="K29" s="1332">
        <f>SUM(L29:T29)</f>
        <v>0</v>
      </c>
      <c r="L29" s="1331"/>
      <c r="M29" s="1331"/>
      <c r="N29" s="1331"/>
      <c r="O29" s="1331"/>
      <c r="P29" s="1331"/>
      <c r="Q29" s="1331"/>
      <c r="R29" s="1331"/>
      <c r="S29" s="1331"/>
      <c r="T29" s="2191"/>
      <c r="U29" s="1330"/>
      <c r="AG29" s="1251">
        <v>11</v>
      </c>
    </row>
    <row customHeight="1" ht="11.549999999999999">
      <c r="F30" s="1326" t="s">
        <v>392</v>
      </c>
      <c r="G30" s="1333" t="s">
        <v>1337</v>
      </c>
      <c r="H30" s="1332">
        <f>SUM(I30:J30)</f>
        <v>0</v>
      </c>
      <c r="I30" s="1331"/>
      <c r="J30" s="1321"/>
      <c r="K30" s="1332">
        <f>SUM(L30:T30)</f>
        <v>0</v>
      </c>
      <c r="L30" s="1331"/>
      <c r="M30" s="1331"/>
      <c r="N30" s="1331"/>
      <c r="O30" s="1331"/>
      <c r="P30" s="1331"/>
      <c r="Q30" s="1331"/>
      <c r="R30" s="1331"/>
      <c r="S30" s="1331"/>
      <c r="T30" s="2191"/>
      <c r="U30" s="1330"/>
      <c r="AG30" s="1251">
        <v>11</v>
      </c>
    </row>
    <row customHeight="1" ht="11.549999999999999">
      <c r="F31" s="1326" t="s">
        <v>395</v>
      </c>
      <c r="G31" s="1333" t="s">
        <v>1338</v>
      </c>
      <c r="H31" s="1332">
        <f>SUM(I31:J31)</f>
        <v>0</v>
      </c>
      <c r="I31" s="1331"/>
      <c r="J31" s="1321"/>
      <c r="K31" s="1332">
        <f>SUM(L31:T31)</f>
        <v>0</v>
      </c>
      <c r="L31" s="1331"/>
      <c r="M31" s="1331"/>
      <c r="N31" s="1331"/>
      <c r="O31" s="1331"/>
      <c r="P31" s="1331"/>
      <c r="Q31" s="1331"/>
      <c r="R31" s="1331"/>
      <c r="S31" s="1331"/>
      <c r="T31" s="2191"/>
      <c r="U31" s="1330"/>
      <c r="AG31" s="1251">
        <v>11</v>
      </c>
    </row>
    <row customHeight="1" ht="11.549999999999999">
      <c r="F32" s="1326">
        <v>3</v>
      </c>
      <c r="G32" s="797" t="s">
        <v>1339</v>
      </c>
      <c r="H32" s="1332">
        <f>SUM(I32:J32)</f>
        <v>0</v>
      </c>
      <c r="I32" s="1332">
        <f>SUM(I33:I34)</f>
        <v>0</v>
      </c>
      <c r="J32" s="1321"/>
      <c r="K32" s="1332">
        <f>SUM(L32:T32)</f>
        <v>0</v>
      </c>
      <c r="L32" s="1332">
        <f>SUM(L33:L34)</f>
        <v>0</v>
      </c>
      <c r="M32" s="1332">
        <f>SUM(M33:M34)</f>
        <v>0</v>
      </c>
      <c r="N32" s="1332">
        <f>SUM(N33:N34)</f>
        <v>0</v>
      </c>
      <c r="O32" s="1332">
        <f>SUM(O33:O34)</f>
        <v>0</v>
      </c>
      <c r="P32" s="1332">
        <f>SUM(P33:P34)</f>
        <v>0</v>
      </c>
      <c r="Q32" s="1332">
        <f>SUM(Q33:Q34)</f>
        <v>0</v>
      </c>
      <c r="R32" s="1332">
        <f>SUM(R33:R34)</f>
        <v>0</v>
      </c>
      <c r="S32" s="1332">
        <f>SUM(S33:S34)</f>
        <v>0</v>
      </c>
      <c r="T32" s="2191"/>
      <c r="U32" s="1330"/>
      <c r="AG32" s="1251">
        <v>11</v>
      </c>
    </row>
    <row customHeight="1" ht="48.29999999999999">
      <c r="F33" s="1326" t="s">
        <v>409</v>
      </c>
      <c r="G33" s="1333" t="s">
        <v>1340</v>
      </c>
      <c r="H33" s="1332">
        <f>SUM(I33:J33)</f>
        <v>0</v>
      </c>
      <c r="I33" s="1331"/>
      <c r="J33" s="1321"/>
      <c r="K33" s="1332">
        <f>SUM(L33:T33)</f>
        <v>0</v>
      </c>
      <c r="L33" s="1331"/>
      <c r="M33" s="1331"/>
      <c r="N33" s="1331"/>
      <c r="O33" s="1331"/>
      <c r="P33" s="1331"/>
      <c r="Q33" s="1331"/>
      <c r="R33" s="1331"/>
      <c r="S33" s="1331"/>
      <c r="T33" s="2191"/>
      <c r="U33" s="1330"/>
      <c r="AG33" s="1251">
        <v>46</v>
      </c>
    </row>
    <row customHeight="1" ht="11.549999999999999">
      <c r="F34" s="1326" t="s">
        <v>417</v>
      </c>
      <c r="G34" s="1333" t="s">
        <v>1341</v>
      </c>
      <c r="H34" s="1332">
        <f>SUM(I34:J34)</f>
        <v>0</v>
      </c>
      <c r="I34" s="1331"/>
      <c r="J34" s="1321"/>
      <c r="K34" s="1332">
        <f>SUM(L34:T34)</f>
        <v>0</v>
      </c>
      <c r="L34" s="1331"/>
      <c r="M34" s="1331"/>
      <c r="N34" s="1331"/>
      <c r="O34" s="1331"/>
      <c r="P34" s="1331"/>
      <c r="Q34" s="1331"/>
      <c r="R34" s="1331"/>
      <c r="S34" s="1331"/>
      <c r="T34" s="2191"/>
      <c r="U34" s="1330"/>
      <c r="AG34" s="1251">
        <v>11</v>
      </c>
    </row>
    <row customHeight="1" ht="11.549999999999999">
      <c r="F35" s="1326">
        <v>4</v>
      </c>
      <c r="G35" s="797" t="s">
        <v>1342</v>
      </c>
      <c r="H35" s="1332">
        <f>SUM(I35:J35)</f>
        <v>0</v>
      </c>
      <c r="I35" s="1331"/>
      <c r="J35" s="1321"/>
      <c r="K35" s="1332">
        <f>SUM(L35:T35)</f>
        <v>0</v>
      </c>
      <c r="L35" s="1331"/>
      <c r="M35" s="1331"/>
      <c r="N35" s="1331"/>
      <c r="O35" s="1331"/>
      <c r="P35" s="1331"/>
      <c r="Q35" s="1331"/>
      <c r="R35" s="1331"/>
      <c r="S35" s="1331"/>
      <c r="T35" s="2191"/>
      <c r="U35" s="1330"/>
      <c r="AG35" s="1251">
        <v>11</v>
      </c>
    </row>
    <row customHeight="1" ht="11.549999999999999">
      <c r="F36" s="1326"/>
      <c r="G36" s="800" t="s">
        <v>1343</v>
      </c>
      <c r="H36" s="1332">
        <f>SUM(I36:J36)</f>
        <v>0</v>
      </c>
      <c r="I36" s="1332">
        <f>SUM(I15,I28,I32,I35)</f>
        <v>0</v>
      </c>
      <c r="J36" s="1321"/>
      <c r="K36" s="1332">
        <f>SUM(L36:T36)</f>
        <v>0</v>
      </c>
      <c r="L36" s="1332">
        <f>SUM(L15,L28,L32,L35)</f>
        <v>0</v>
      </c>
      <c r="M36" s="1332">
        <f>SUM(M15,M28,M32,M35)</f>
        <v>0</v>
      </c>
      <c r="N36" s="1332">
        <f>SUM(N15,N28,N32,N35)</f>
        <v>0</v>
      </c>
      <c r="O36" s="1332">
        <f>SUM(O15,O28,O32,O35)</f>
        <v>0</v>
      </c>
      <c r="P36" s="1332">
        <f>SUM(P15,P28,P32,P35)</f>
        <v>0</v>
      </c>
      <c r="Q36" s="1332">
        <f>SUM(Q15,Q28,Q32,Q35)</f>
        <v>0</v>
      </c>
      <c r="R36" s="1332">
        <f>SUM(R15,R28,R32,R35)</f>
        <v>0</v>
      </c>
      <c r="S36" s="1332">
        <f>SUM(S15,S28,S32,S35)</f>
        <v>0</v>
      </c>
      <c r="T36" s="2191"/>
      <c r="U36" s="1330"/>
      <c r="AG36" s="1251">
        <v>11</v>
      </c>
    </row>
    <row customHeight="1" ht="29.25">
      <c r="F37" s="1327" t="s">
        <v>1344</v>
      </c>
      <c r="G37" s="3276" t="s">
        <v>1345</v>
      </c>
      <c r="H37" s="3276"/>
      <c r="I37" s="3276"/>
      <c r="J37" s="3276"/>
      <c r="K37" s="2190"/>
      <c r="L37" s="2190"/>
      <c r="M37" s="2190"/>
      <c r="N37" s="2190"/>
      <c r="O37" s="2190"/>
      <c r="P37" s="2190"/>
      <c r="Q37" s="2190"/>
      <c r="R37" s="2190"/>
      <c r="S37" s="2190"/>
      <c r="T37" s="2190"/>
      <c r="U37" s="1330"/>
      <c r="AG37" s="1251">
        <v>28</v>
      </c>
    </row>
    <row customHeight="1" ht="24">
      <c r="F38" s="1326" t="s">
        <v>144</v>
      </c>
      <c r="G38" s="797" t="s">
        <v>1346</v>
      </c>
      <c r="H38" s="1332">
        <f>SUM(I38:J38)</f>
        <v>0</v>
      </c>
      <c r="I38" s="1332">
        <f>SUM(I39,I44,I47)</f>
        <v>0</v>
      </c>
      <c r="J38" s="1321"/>
      <c r="K38" s="1332">
        <f>SUM(L38:T38)</f>
        <v>0</v>
      </c>
      <c r="L38" s="1332">
        <f>SUM(L39,L44,L47)</f>
        <v>0</v>
      </c>
      <c r="M38" s="1332">
        <f>SUM(M39,M44,M47)</f>
        <v>0</v>
      </c>
      <c r="N38" s="1332">
        <f>SUM(N39,N44,N47)</f>
        <v>0</v>
      </c>
      <c r="O38" s="1332">
        <f>SUM(O39,O44,O47)</f>
        <v>0</v>
      </c>
      <c r="P38" s="1332">
        <f>SUM(P39,P44,P47)</f>
        <v>0</v>
      </c>
      <c r="Q38" s="1332">
        <f>SUM(Q39,Q44,Q47)</f>
        <v>0</v>
      </c>
      <c r="R38" s="1332">
        <f>SUM(R39,R44,R47)</f>
        <v>0</v>
      </c>
      <c r="S38" s="1332">
        <f>SUM(S39,S44,S47)</f>
        <v>0</v>
      </c>
      <c r="T38" s="2191"/>
      <c r="U38" s="1330"/>
      <c r="AG38" s="1251">
        <v>23</v>
      </c>
    </row>
    <row customHeight="1" ht="11.549999999999999">
      <c r="F39" s="1326" t="s">
        <v>1311</v>
      </c>
      <c r="G39" s="1333" t="s">
        <v>1310</v>
      </c>
      <c r="H39" s="1332">
        <f>SUM(I39:J39)</f>
        <v>0</v>
      </c>
      <c r="I39" s="1332">
        <f>SUM(I40:I43)</f>
        <v>0</v>
      </c>
      <c r="J39" s="1321"/>
      <c r="K39" s="1332">
        <f>SUM(L39:T39)</f>
        <v>0</v>
      </c>
      <c r="L39" s="1332">
        <f>SUM(L40:L43)</f>
        <v>0</v>
      </c>
      <c r="M39" s="1332">
        <f>SUM(M40:M43)</f>
        <v>0</v>
      </c>
      <c r="N39" s="1332">
        <f>SUM(N40:N43)</f>
        <v>0</v>
      </c>
      <c r="O39" s="1332">
        <f>SUM(O40:O43)</f>
        <v>0</v>
      </c>
      <c r="P39" s="1332">
        <f>SUM(P40:P43)</f>
        <v>0</v>
      </c>
      <c r="Q39" s="1332">
        <f>SUM(Q40:Q43)</f>
        <v>0</v>
      </c>
      <c r="R39" s="1332">
        <f>SUM(R40:R43)</f>
        <v>0</v>
      </c>
      <c r="S39" s="1332">
        <f>SUM(S40:S43)</f>
        <v>0</v>
      </c>
      <c r="T39" s="2191"/>
      <c r="U39" s="1330"/>
      <c r="AG39" s="1251">
        <v>11</v>
      </c>
    </row>
    <row customHeight="1" ht="24">
      <c r="F40" s="1326" t="s">
        <v>1347</v>
      </c>
      <c r="G40" s="1334" t="s">
        <v>1348</v>
      </c>
      <c r="H40" s="1332">
        <f>SUM(I40:J40)</f>
        <v>0</v>
      </c>
      <c r="I40" s="1331"/>
      <c r="J40" s="1321"/>
      <c r="K40" s="1332">
        <f>SUM(L40:T40)</f>
        <v>0</v>
      </c>
      <c r="L40" s="1331"/>
      <c r="M40" s="1331"/>
      <c r="N40" s="1331"/>
      <c r="O40" s="1331"/>
      <c r="P40" s="1331"/>
      <c r="Q40" s="1331"/>
      <c r="R40" s="1331"/>
      <c r="S40" s="1331"/>
      <c r="T40" s="2191"/>
      <c r="U40" s="1330"/>
      <c r="AG40" s="1251">
        <v>23</v>
      </c>
    </row>
    <row customHeight="1" ht="11.549999999999999">
      <c r="F41" s="1326" t="s">
        <v>1349</v>
      </c>
      <c r="G41" s="1334" t="s">
        <v>1350</v>
      </c>
      <c r="H41" s="1332">
        <f>SUM(I41:J41)</f>
        <v>0</v>
      </c>
      <c r="I41" s="1331"/>
      <c r="J41" s="1321"/>
      <c r="K41" s="1332">
        <f>SUM(L41:T41)</f>
        <v>0</v>
      </c>
      <c r="L41" s="1331"/>
      <c r="M41" s="1331"/>
      <c r="N41" s="1331"/>
      <c r="O41" s="1331"/>
      <c r="P41" s="1331"/>
      <c r="Q41" s="1331"/>
      <c r="R41" s="1331"/>
      <c r="S41" s="1331"/>
      <c r="T41" s="2191"/>
      <c r="U41" s="1330"/>
      <c r="AG41" s="1251">
        <v>11</v>
      </c>
    </row>
    <row customHeight="1" ht="11.549999999999999">
      <c r="F42" s="1326" t="s">
        <v>1351</v>
      </c>
      <c r="G42" s="1334" t="s">
        <v>1352</v>
      </c>
      <c r="H42" s="1332">
        <f>SUM(I42:J42)</f>
        <v>0</v>
      </c>
      <c r="I42" s="1331"/>
      <c r="J42" s="1321"/>
      <c r="K42" s="1332">
        <f>SUM(L42:T42)</f>
        <v>0</v>
      </c>
      <c r="L42" s="1331"/>
      <c r="M42" s="1331"/>
      <c r="N42" s="1331"/>
      <c r="O42" s="1331"/>
      <c r="P42" s="1331"/>
      <c r="Q42" s="1331"/>
      <c r="R42" s="1331"/>
      <c r="S42" s="1331"/>
      <c r="T42" s="2191"/>
      <c r="U42" s="1330"/>
      <c r="AG42" s="1251">
        <v>11</v>
      </c>
    </row>
    <row customHeight="1" ht="35.699999999999996">
      <c r="F43" s="1326" t="s">
        <v>1353</v>
      </c>
      <c r="G43" s="1334" t="s">
        <v>1354</v>
      </c>
      <c r="H43" s="1332">
        <f>SUM(I43:J43)</f>
        <v>0</v>
      </c>
      <c r="I43" s="1331"/>
      <c r="J43" s="1321"/>
      <c r="K43" s="1332">
        <f>SUM(L43:T43)</f>
        <v>0</v>
      </c>
      <c r="L43" s="1331"/>
      <c r="M43" s="1331"/>
      <c r="N43" s="1331"/>
      <c r="O43" s="1331"/>
      <c r="P43" s="1331"/>
      <c r="Q43" s="1331"/>
      <c r="R43" s="1331"/>
      <c r="S43" s="1331"/>
      <c r="T43" s="2191"/>
      <c r="U43" s="1330"/>
      <c r="AG43" s="1251">
        <v>34</v>
      </c>
    </row>
    <row customHeight="1" ht="11.549999999999999">
      <c r="F44" s="1326" t="s">
        <v>1313</v>
      </c>
      <c r="G44" s="1333" t="s">
        <v>1339</v>
      </c>
      <c r="H44" s="1332">
        <f>SUM(I44:J44)</f>
        <v>0</v>
      </c>
      <c r="I44" s="1332">
        <f>SUM(I45:I46)</f>
        <v>0</v>
      </c>
      <c r="J44" s="1321"/>
      <c r="K44" s="1332">
        <f>SUM(L44:T44)</f>
        <v>0</v>
      </c>
      <c r="L44" s="1332">
        <f>SUM(L45:L46)</f>
        <v>0</v>
      </c>
      <c r="M44" s="1332">
        <f>SUM(M45:M46)</f>
        <v>0</v>
      </c>
      <c r="N44" s="1332">
        <f>SUM(N45:N46)</f>
        <v>0</v>
      </c>
      <c r="O44" s="1332">
        <f>SUM(O45:O46)</f>
        <v>0</v>
      </c>
      <c r="P44" s="1332">
        <f>SUM(P45:P46)</f>
        <v>0</v>
      </c>
      <c r="Q44" s="1332">
        <f>SUM(Q45:Q46)</f>
        <v>0</v>
      </c>
      <c r="R44" s="1332">
        <f>SUM(R45:R46)</f>
        <v>0</v>
      </c>
      <c r="S44" s="1332">
        <f>SUM(S45:S46)</f>
        <v>0</v>
      </c>
      <c r="T44" s="2191"/>
      <c r="U44" s="1330"/>
      <c r="AG44" s="1251">
        <v>11</v>
      </c>
    </row>
    <row customHeight="1" ht="48.29999999999999">
      <c r="F45" s="1326" t="s">
        <v>1355</v>
      </c>
      <c r="G45" s="1334" t="s">
        <v>1340</v>
      </c>
      <c r="H45" s="1332">
        <f>SUM(I45:J45)</f>
        <v>0</v>
      </c>
      <c r="I45" s="1331"/>
      <c r="J45" s="1321"/>
      <c r="K45" s="1332">
        <f>SUM(L45:T45)</f>
        <v>0</v>
      </c>
      <c r="L45" s="1331"/>
      <c r="M45" s="1331"/>
      <c r="N45" s="1331"/>
      <c r="O45" s="1331"/>
      <c r="P45" s="1331"/>
      <c r="Q45" s="1331"/>
      <c r="R45" s="1331"/>
      <c r="S45" s="1331"/>
      <c r="T45" s="2191"/>
      <c r="U45" s="1330"/>
      <c r="AG45" s="1251">
        <v>46</v>
      </c>
    </row>
    <row customHeight="1" ht="11.549999999999999">
      <c r="F46" s="1326" t="s">
        <v>1356</v>
      </c>
      <c r="G46" s="1334" t="s">
        <v>1341</v>
      </c>
      <c r="H46" s="1332">
        <f>SUM(I46:J46)</f>
        <v>0</v>
      </c>
      <c r="I46" s="1331"/>
      <c r="J46" s="1321"/>
      <c r="K46" s="1332">
        <f>SUM(L46:T46)</f>
        <v>0</v>
      </c>
      <c r="L46" s="1331"/>
      <c r="M46" s="1331"/>
      <c r="N46" s="1331"/>
      <c r="O46" s="1331"/>
      <c r="P46" s="1331"/>
      <c r="Q46" s="1331"/>
      <c r="R46" s="1331"/>
      <c r="S46" s="1331"/>
      <c r="T46" s="2191"/>
      <c r="U46" s="1330"/>
      <c r="AG46" s="1251">
        <v>11</v>
      </c>
    </row>
    <row customHeight="1" ht="11.549999999999999">
      <c r="F47" s="1326" t="s">
        <v>1315</v>
      </c>
      <c r="G47" s="1333" t="s">
        <v>1357</v>
      </c>
      <c r="H47" s="1332">
        <f>SUM(I47:J47)</f>
        <v>0</v>
      </c>
      <c r="I47" s="1331"/>
      <c r="J47" s="1321"/>
      <c r="K47" s="1332">
        <f>SUM(L47:T47)</f>
        <v>0</v>
      </c>
      <c r="L47" s="1331"/>
      <c r="M47" s="1331"/>
      <c r="N47" s="1331"/>
      <c r="O47" s="1331"/>
      <c r="P47" s="1331"/>
      <c r="Q47" s="1331"/>
      <c r="R47" s="1331"/>
      <c r="S47" s="1331"/>
      <c r="T47" s="2191"/>
      <c r="U47" s="1330"/>
      <c r="AG47" s="1251">
        <v>11</v>
      </c>
    </row>
    <row customHeight="1" ht="24">
      <c r="F48" s="1326" t="s">
        <v>102</v>
      </c>
      <c r="G48" s="797" t="s">
        <v>1358</v>
      </c>
      <c r="H48" s="1332">
        <f>SUM(I48:J48)</f>
        <v>0</v>
      </c>
      <c r="I48" s="1332">
        <f>SUM(I49,I54,I57)</f>
        <v>0</v>
      </c>
      <c r="J48" s="1321"/>
      <c r="K48" s="1332">
        <f>SUM(L48:T48)</f>
        <v>0</v>
      </c>
      <c r="L48" s="1332">
        <f>SUM(L49,L54,L57)</f>
        <v>0</v>
      </c>
      <c r="M48" s="1332">
        <f>SUM(M49,M54,M57)</f>
        <v>0</v>
      </c>
      <c r="N48" s="1332">
        <f>SUM(N49,N54,N57)</f>
        <v>0</v>
      </c>
      <c r="O48" s="1332">
        <f>SUM(O49,O54,O57)</f>
        <v>0</v>
      </c>
      <c r="P48" s="1332">
        <f>SUM(P49,P54,P57)</f>
        <v>0</v>
      </c>
      <c r="Q48" s="1332">
        <f>SUM(Q49,Q54,Q57)</f>
        <v>0</v>
      </c>
      <c r="R48" s="1332">
        <f>SUM(R49,R54,R57)</f>
        <v>0</v>
      </c>
      <c r="S48" s="1332">
        <f>SUM(S49,S54,S57)</f>
        <v>0</v>
      </c>
      <c r="T48" s="2191"/>
      <c r="U48" s="1330"/>
      <c r="AG48" s="1251">
        <v>23</v>
      </c>
    </row>
    <row customHeight="1" ht="11.549999999999999">
      <c r="F49" s="1326" t="s">
        <v>848</v>
      </c>
      <c r="G49" s="1333" t="s">
        <v>1310</v>
      </c>
      <c r="H49" s="1332">
        <f>SUM(I49:J49)</f>
        <v>0</v>
      </c>
      <c r="I49" s="1332">
        <f>SUM(I50:I53)</f>
        <v>0</v>
      </c>
      <c r="J49" s="1321"/>
      <c r="K49" s="1332">
        <f>SUM(L49:T49)</f>
        <v>0</v>
      </c>
      <c r="L49" s="1332">
        <f>SUM(L50:L53)</f>
        <v>0</v>
      </c>
      <c r="M49" s="1332">
        <f>SUM(M50:M53)</f>
        <v>0</v>
      </c>
      <c r="N49" s="1332">
        <f>SUM(N50:N53)</f>
        <v>0</v>
      </c>
      <c r="O49" s="1332">
        <f>SUM(O50:O53)</f>
        <v>0</v>
      </c>
      <c r="P49" s="1332">
        <f>SUM(P50:P53)</f>
        <v>0</v>
      </c>
      <c r="Q49" s="1332">
        <f>SUM(Q50:Q53)</f>
        <v>0</v>
      </c>
      <c r="R49" s="1332">
        <f>SUM(R50:R53)</f>
        <v>0</v>
      </c>
      <c r="S49" s="1332">
        <f>SUM(S50:S53)</f>
        <v>0</v>
      </c>
      <c r="T49" s="2191"/>
      <c r="U49" s="1330"/>
      <c r="AG49" s="1251">
        <v>11</v>
      </c>
    </row>
    <row customHeight="1" ht="24">
      <c r="F50" s="1326" t="s">
        <v>851</v>
      </c>
      <c r="G50" s="1334" t="s">
        <v>1348</v>
      </c>
      <c r="H50" s="1332">
        <f>SUM(I50:J50)</f>
        <v>0</v>
      </c>
      <c r="I50" s="1331"/>
      <c r="J50" s="1321"/>
      <c r="K50" s="1332">
        <f>SUM(L50:T50)</f>
        <v>0</v>
      </c>
      <c r="L50" s="1331"/>
      <c r="M50" s="1331"/>
      <c r="N50" s="1331"/>
      <c r="O50" s="1331"/>
      <c r="P50" s="1331"/>
      <c r="Q50" s="1331"/>
      <c r="R50" s="1331"/>
      <c r="S50" s="1331"/>
      <c r="T50" s="2191"/>
      <c r="U50" s="1330"/>
      <c r="AG50" s="1251">
        <v>23</v>
      </c>
    </row>
    <row customHeight="1" ht="11.549999999999999">
      <c r="F51" s="1326" t="s">
        <v>854</v>
      </c>
      <c r="G51" s="1334" t="s">
        <v>1350</v>
      </c>
      <c r="H51" s="1332">
        <f>SUM(I51:J51)</f>
        <v>0</v>
      </c>
      <c r="I51" s="1331"/>
      <c r="J51" s="1321"/>
      <c r="K51" s="1332">
        <f>SUM(L51:T51)</f>
        <v>0</v>
      </c>
      <c r="L51" s="1331"/>
      <c r="M51" s="1331"/>
      <c r="N51" s="1331"/>
      <c r="O51" s="1331"/>
      <c r="P51" s="1331"/>
      <c r="Q51" s="1331"/>
      <c r="R51" s="1331"/>
      <c r="S51" s="1331"/>
      <c r="T51" s="2191"/>
      <c r="U51" s="1330"/>
      <c r="AG51" s="1251">
        <v>11</v>
      </c>
    </row>
    <row customHeight="1" ht="11.549999999999999">
      <c r="F52" s="1326" t="s">
        <v>1359</v>
      </c>
      <c r="G52" s="1334" t="s">
        <v>1352</v>
      </c>
      <c r="H52" s="1332">
        <f>SUM(I52:J52)</f>
        <v>0</v>
      </c>
      <c r="I52" s="1331"/>
      <c r="J52" s="1321"/>
      <c r="K52" s="1332">
        <f>SUM(L52:T52)</f>
        <v>0</v>
      </c>
      <c r="L52" s="1331"/>
      <c r="M52" s="1331"/>
      <c r="N52" s="1331"/>
      <c r="O52" s="1331"/>
      <c r="P52" s="1331"/>
      <c r="Q52" s="1331"/>
      <c r="R52" s="1331"/>
      <c r="S52" s="1331"/>
      <c r="T52" s="2191"/>
      <c r="U52" s="1330"/>
      <c r="AG52" s="1251">
        <v>11</v>
      </c>
    </row>
    <row customHeight="1" ht="35.699999999999996">
      <c r="F53" s="1326" t="s">
        <v>1360</v>
      </c>
      <c r="G53" s="1334" t="s">
        <v>1354</v>
      </c>
      <c r="H53" s="1332">
        <f>SUM(I53:J53)</f>
        <v>0</v>
      </c>
      <c r="I53" s="1331"/>
      <c r="J53" s="1321"/>
      <c r="K53" s="1332">
        <f>SUM(L53:T53)</f>
        <v>0</v>
      </c>
      <c r="L53" s="1331"/>
      <c r="M53" s="1331"/>
      <c r="N53" s="1331"/>
      <c r="O53" s="1331"/>
      <c r="P53" s="1331"/>
      <c r="Q53" s="1331"/>
      <c r="R53" s="1331"/>
      <c r="S53" s="1331"/>
      <c r="T53" s="2191"/>
      <c r="U53" s="1330"/>
      <c r="AG53" s="1251">
        <v>34</v>
      </c>
    </row>
    <row customHeight="1" ht="11.549999999999999">
      <c r="F54" s="1326" t="s">
        <v>392</v>
      </c>
      <c r="G54" s="1333" t="s">
        <v>1339</v>
      </c>
      <c r="H54" s="1332">
        <f>SUM(I54:J54)</f>
        <v>0</v>
      </c>
      <c r="I54" s="1332">
        <f>SUM(I55:I56)</f>
        <v>0</v>
      </c>
      <c r="J54" s="1321"/>
      <c r="K54" s="1332">
        <f>SUM(L54:T54)</f>
        <v>0</v>
      </c>
      <c r="L54" s="1332">
        <f>SUM(L55:L56)</f>
        <v>0</v>
      </c>
      <c r="M54" s="1332">
        <f>SUM(M55:M56)</f>
        <v>0</v>
      </c>
      <c r="N54" s="1332">
        <f>SUM(N55:N56)</f>
        <v>0</v>
      </c>
      <c r="O54" s="1332">
        <f>SUM(O55:O56)</f>
        <v>0</v>
      </c>
      <c r="P54" s="1332">
        <f>SUM(P55:P56)</f>
        <v>0</v>
      </c>
      <c r="Q54" s="1332">
        <f>SUM(Q55:Q56)</f>
        <v>0</v>
      </c>
      <c r="R54" s="1332">
        <f>SUM(R55:R56)</f>
        <v>0</v>
      </c>
      <c r="S54" s="1332">
        <f>SUM(S55:S56)</f>
        <v>0</v>
      </c>
      <c r="T54" s="2191"/>
      <c r="U54" s="1330"/>
      <c r="AG54" s="1251">
        <v>11</v>
      </c>
    </row>
    <row customHeight="1" ht="48.29999999999999">
      <c r="F55" s="1326" t="s">
        <v>858</v>
      </c>
      <c r="G55" s="1334" t="s">
        <v>1340</v>
      </c>
      <c r="H55" s="1332">
        <f>SUM(I55:J55)</f>
        <v>0</v>
      </c>
      <c r="I55" s="1331"/>
      <c r="J55" s="1321"/>
      <c r="K55" s="1332">
        <f>SUM(L55:T55)</f>
        <v>0</v>
      </c>
      <c r="L55" s="1331"/>
      <c r="M55" s="1331"/>
      <c r="N55" s="1331"/>
      <c r="O55" s="1331"/>
      <c r="P55" s="1331"/>
      <c r="Q55" s="1331"/>
      <c r="R55" s="1331"/>
      <c r="S55" s="1331"/>
      <c r="T55" s="2191"/>
      <c r="U55" s="1330"/>
      <c r="AG55" s="1251">
        <v>46</v>
      </c>
    </row>
    <row customHeight="1" ht="11.549999999999999">
      <c r="F56" s="1326" t="s">
        <v>860</v>
      </c>
      <c r="G56" s="1334" t="s">
        <v>1341</v>
      </c>
      <c r="H56" s="1332">
        <f>SUM(I56:J56)</f>
        <v>0</v>
      </c>
      <c r="I56" s="1331"/>
      <c r="J56" s="1321"/>
      <c r="K56" s="1332">
        <f>SUM(L56:T56)</f>
        <v>0</v>
      </c>
      <c r="L56" s="1331"/>
      <c r="M56" s="1331"/>
      <c r="N56" s="1331"/>
      <c r="O56" s="1331"/>
      <c r="P56" s="1331"/>
      <c r="Q56" s="1331"/>
      <c r="R56" s="1331"/>
      <c r="S56" s="1331"/>
      <c r="T56" s="2191"/>
      <c r="U56" s="1330"/>
      <c r="AG56" s="1251">
        <v>11</v>
      </c>
    </row>
    <row customHeight="1" ht="11.549999999999999">
      <c r="F57" s="1326" t="s">
        <v>395</v>
      </c>
      <c r="G57" s="1333" t="s">
        <v>1357</v>
      </c>
      <c r="H57" s="1332">
        <f>SUM(I57:J57)</f>
        <v>0</v>
      </c>
      <c r="I57" s="1331"/>
      <c r="J57" s="1321"/>
      <c r="K57" s="1332">
        <f>SUM(L57:T57)</f>
        <v>0</v>
      </c>
      <c r="L57" s="1331"/>
      <c r="M57" s="1331"/>
      <c r="N57" s="1331"/>
      <c r="O57" s="1331"/>
      <c r="P57" s="1331"/>
      <c r="Q57" s="1331"/>
      <c r="R57" s="1331"/>
      <c r="S57" s="1331"/>
      <c r="T57" s="2191"/>
      <c r="U57" s="1330"/>
      <c r="AG57" s="1251">
        <v>11</v>
      </c>
    </row>
    <row customHeight="1" ht="11.549999999999999">
      <c r="F58" s="1326"/>
      <c r="G58" s="1335" t="s">
        <v>1343</v>
      </c>
      <c r="H58" s="1332">
        <f>SUM(I58:J58)</f>
        <v>0</v>
      </c>
      <c r="I58" s="1332">
        <f>SUM(I38,I48)</f>
        <v>0</v>
      </c>
      <c r="J58" s="1321"/>
      <c r="K58" s="1332">
        <f>SUM(L58:T58)</f>
        <v>0</v>
      </c>
      <c r="L58" s="1332">
        <f>SUM(L38,L48)</f>
        <v>0</v>
      </c>
      <c r="M58" s="1332">
        <f>SUM(M38,M48)</f>
        <v>0</v>
      </c>
      <c r="N58" s="1332">
        <f>SUM(N38,N48)</f>
        <v>0</v>
      </c>
      <c r="O58" s="1332">
        <f>SUM(O38,O48)</f>
        <v>0</v>
      </c>
      <c r="P58" s="1332">
        <f>SUM(P38,P48)</f>
        <v>0</v>
      </c>
      <c r="Q58" s="1332">
        <f>SUM(Q38,Q48)</f>
        <v>0</v>
      </c>
      <c r="R58" s="1332">
        <f>SUM(R38,R48)</f>
        <v>0</v>
      </c>
      <c r="S58" s="1332">
        <f>SUM(S38,S48)</f>
        <v>0</v>
      </c>
      <c r="T58" s="2191"/>
      <c r="U58" s="1330"/>
      <c r="AG58" s="1251">
        <v>11</v>
      </c>
    </row>
    <row customHeight="1" ht="10.5" hidden="1">
      <c r="A59" s="1262" t="s">
        <v>82</v>
      </c>
      <c r="B59" s="1262">
        <v>0</v>
      </c>
      <c r="C59" s="1262">
        <v>0</v>
      </c>
      <c r="D59" s="1256">
        <v>0</v>
      </c>
      <c r="E59" s="616">
        <v>3</v>
      </c>
      <c r="F59" s="1251">
        <v>6</v>
      </c>
      <c r="G59" s="1251">
        <v>60</v>
      </c>
      <c r="H59" s="1251">
        <v>0</v>
      </c>
      <c r="I59" s="1251">
        <v>0</v>
      </c>
      <c r="J59" s="1251">
        <v>0</v>
      </c>
      <c r="K59" s="1731">
        <v>0</v>
      </c>
      <c r="L59" s="1731">
        <v>0</v>
      </c>
      <c r="M59" s="1731">
        <v>0</v>
      </c>
      <c r="N59" s="1731">
        <v>0</v>
      </c>
      <c r="O59" s="1731">
        <v>0</v>
      </c>
      <c r="P59" s="1731">
        <v>0</v>
      </c>
      <c r="Q59" s="1731">
        <v>0</v>
      </c>
      <c r="R59" s="1731">
        <v>0</v>
      </c>
      <c r="S59" s="1731">
        <v>0</v>
      </c>
      <c r="T59" s="1731">
        <v>0</v>
      </c>
      <c r="U59" s="1251">
        <v>1</v>
      </c>
      <c r="V59" s="1251">
        <v>8</v>
      </c>
      <c r="W59" s="1251">
        <v>8</v>
      </c>
      <c r="X59" s="1251">
        <v>8</v>
      </c>
      <c r="Y59" s="1251">
        <v>8</v>
      </c>
      <c r="Z59" s="1251">
        <v>8</v>
      </c>
      <c r="AA59" s="1251">
        <v>8</v>
      </c>
      <c r="AB59" s="1251">
        <v>8</v>
      </c>
      <c r="AC59" s="1251">
        <v>8</v>
      </c>
      <c r="AD59" s="1251">
        <v>8</v>
      </c>
      <c r="AE59" s="1251">
        <v>8</v>
      </c>
      <c r="AF59" s="1251">
        <v>8</v>
      </c>
      <c r="AG59" s="1251">
        <v>10</v>
      </c>
    </row>
  </sheetData>
  <sheetProtection formatColumns="0" formatRows="0" autoFilter="0" sort="0" insertRows="0" insertColumns="1" deleteRows="0" deleteColumns="0"/>
  <mergeCells count="11">
    <mergeCell ref="K10:T10"/>
    <mergeCell ref="K11:T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S16 L17:S17 L18:S18 L19:S19 L20:S20 L21:S21 L22:S22 L23:S23 L24:S24 L25:S25 L26:S26 L27:S27 L29:S29 L30:S30 L31:S31 L33:S33 L34:S34 L35:S35 L40:S40 L41:S41 L42:S42 L43:S43 L45:S45 L46:S46 L47:S47 L50:S50 L51:S51 L52:S52 L53:S53 L55:S55 L56:S56 L57:S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6AC52-077E-665F-CE17-BA6A5D484762}" mc:Ignorable="x14ac xr xr2 xr3">
  <sheetPr>
    <tabColor theme="9" tint="-0.25"/>
  </sheetPr>
  <dimension ref="A1:GC28"/>
  <sheetViews>
    <sheetView topLeftCell="A1" showGridLines="0" zoomScale="90" workbookViewId="0">
      <selection activeCell="AB22" sqref="AB22"/>
    </sheetView>
  </sheetViews>
  <sheetFormatPr defaultColWidth="9.140625" customHeight="1" defaultRowHeight="12"/>
  <cols>
    <col min="1" max="1" style="12833" width="4.7109375" hidden="1" customWidth="1"/>
    <col min="2" max="2" style="12837" width="4.7109375" hidden="1" customWidth="1"/>
    <col min="3" max="4" style="12833" width="4.7109375" hidden="1" customWidth="1"/>
    <col min="5" max="5" style="12833" width="3.00390625" customWidth="1"/>
    <col min="6" max="6" style="12833" width="6.00390625" customWidth="1"/>
    <col min="7" max="7" style="12833" width="18.00390625" customWidth="1"/>
    <col min="8" max="8" style="12833" width="27.00390625" customWidth="1"/>
    <col min="9" max="9" style="12833" width="18.00390625" customWidth="1"/>
    <col min="10" max="14" style="12833" width="0.8515625" hidden="1" customWidth="1"/>
    <col min="15" max="28" style="12833" width="21.7109375" customWidth="1"/>
    <col min="29" max="71" style="12833" width="0.8515625" customWidth="1"/>
    <col min="72" max="79" style="12833" width="21.7109375" hidden="1" customWidth="1"/>
    <col min="80" max="81" style="12833" width="29.140625" hidden="1" customWidth="1"/>
    <col min="82" max="89" style="12833" width="21.7109375" hidden="1" customWidth="1"/>
    <col min="90" max="102" style="12833" width="0.7109375" hidden="1" customWidth="1"/>
    <col min="103" max="114" style="12833" width="21.7109375" hidden="1" customWidth="1"/>
    <col min="115" max="178" style="12833" width="0.7109375" hidden="1" customWidth="1"/>
    <col min="179" max="179" style="12833" width="0.140625" customWidth="1"/>
    <col min="180" max="184" style="12833" width="8.00390625" customWidth="1"/>
    <col min="185" max="185" style="12833" width="9.140625" hidden="1"/>
  </cols>
  <sheetData>
    <row s="12581" customFormat="1" customHeight="1" ht="12" hidden="1">
      <c r="B1" s="1023"/>
      <c r="C1" s="1024"/>
      <c r="D1" s="1024"/>
      <c r="GC1" s="1022" t="s">
        <v>14</v>
      </c>
    </row>
    <row s="12581" customFormat="1" customHeight="1" ht="12" hidden="1">
      <c r="B2" s="1023"/>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C2" s="1024"/>
      <c r="AD2" s="1024"/>
      <c r="AE2" s="1024"/>
      <c r="AF2" s="1024"/>
      <c r="AG2" s="1024"/>
      <c r="AH2" s="1024"/>
      <c r="AI2" s="1024"/>
      <c r="AJ2" s="1024"/>
      <c r="AK2" s="1024"/>
      <c r="AL2" s="1024"/>
      <c r="AM2" s="1024"/>
      <c r="AN2" s="1024"/>
      <c r="AO2" s="1024"/>
      <c r="AP2" s="1024"/>
      <c r="AQ2" s="1024"/>
      <c r="AR2" s="1024"/>
      <c r="AS2" s="1024"/>
      <c r="AT2" s="1024"/>
      <c r="AU2" s="1024"/>
      <c r="AV2" s="1024"/>
      <c r="AW2" s="1024"/>
      <c r="AX2" s="1024"/>
      <c r="AY2" s="1024"/>
      <c r="AZ2" s="1024"/>
      <c r="BA2" s="1024"/>
      <c r="BB2" s="1024"/>
      <c r="BC2" s="1024"/>
      <c r="BD2" s="1024"/>
      <c r="BE2" s="1024"/>
      <c r="BF2" s="1024"/>
      <c r="BG2" s="1024"/>
      <c r="BH2" s="1024"/>
      <c r="BI2" s="1024"/>
      <c r="BJ2" s="1024"/>
      <c r="BK2" s="1024"/>
      <c r="BL2" s="1024"/>
      <c r="BM2" s="1024"/>
      <c r="BN2" s="1024"/>
      <c r="BO2" s="1024"/>
      <c r="BP2" s="1024"/>
      <c r="BQ2" s="1024"/>
      <c r="BR2" s="1024"/>
      <c r="BS2" s="1024"/>
      <c r="BT2" s="1024"/>
      <c r="BU2" s="1024"/>
      <c r="BV2" s="1024"/>
      <c r="BW2" s="1024"/>
      <c r="BX2" s="1024"/>
      <c r="BY2" s="1024"/>
      <c r="BZ2" s="1024"/>
      <c r="CA2" s="1024"/>
      <c r="CB2" s="1024"/>
      <c r="CC2" s="1024"/>
      <c r="CD2" s="1024"/>
      <c r="CE2" s="1024"/>
      <c r="CF2" s="1024"/>
      <c r="CG2" s="1024"/>
      <c r="CH2" s="1024"/>
      <c r="CI2" s="1024"/>
      <c r="CJ2" s="1024"/>
      <c r="CK2" s="1024"/>
      <c r="CL2" s="1024"/>
      <c r="CM2" s="1024"/>
      <c r="CN2" s="1024"/>
      <c r="CO2" s="1024"/>
      <c r="CP2" s="1024"/>
      <c r="CQ2" s="1024"/>
      <c r="CR2" s="1024"/>
      <c r="CS2" s="1024"/>
      <c r="CT2" s="1024"/>
      <c r="CU2" s="1024"/>
      <c r="CV2" s="1024"/>
      <c r="CW2" s="1024"/>
      <c r="CX2" s="1024"/>
      <c r="CY2" s="1024"/>
      <c r="CZ2" s="1024"/>
      <c r="DA2" s="1024"/>
      <c r="DB2" s="1024"/>
      <c r="DC2" s="1024"/>
      <c r="DD2" s="1024"/>
      <c r="DE2" s="1024"/>
      <c r="DF2" s="1024"/>
      <c r="DG2" s="1024"/>
      <c r="DH2" s="1024"/>
      <c r="DI2" s="1024"/>
      <c r="DJ2" s="1024"/>
      <c r="DK2" s="1024"/>
      <c r="DL2" s="1024"/>
      <c r="DM2" s="1024"/>
      <c r="DN2" s="1024"/>
      <c r="DO2" s="1024"/>
      <c r="DP2" s="1024"/>
      <c r="DQ2" s="1024"/>
      <c r="DR2" s="1024"/>
      <c r="DS2" s="1024"/>
      <c r="DT2" s="1024"/>
      <c r="DU2" s="1024"/>
      <c r="DV2" s="1024"/>
      <c r="DW2" s="1024"/>
      <c r="DX2" s="1024"/>
      <c r="DY2" s="1024"/>
      <c r="DZ2" s="1024"/>
      <c r="EA2" s="1024"/>
      <c r="EB2" s="1024"/>
      <c r="EC2" s="1024"/>
      <c r="ED2" s="1024"/>
      <c r="EE2" s="1024"/>
      <c r="EF2" s="1024"/>
      <c r="EG2" s="1024"/>
      <c r="EH2" s="1024"/>
      <c r="EI2" s="1024"/>
      <c r="EJ2" s="1024"/>
      <c r="EK2" s="1024"/>
      <c r="EL2" s="1024"/>
      <c r="EM2" s="1024"/>
      <c r="EN2" s="1024"/>
      <c r="EO2" s="1024"/>
      <c r="EP2" s="1024"/>
      <c r="EQ2" s="1024"/>
      <c r="ER2" s="1024"/>
      <c r="ES2" s="1024"/>
      <c r="ET2" s="1024"/>
      <c r="EU2" s="1024"/>
      <c r="EV2" s="1024"/>
      <c r="EW2" s="1024"/>
      <c r="EX2" s="1024"/>
      <c r="EY2" s="1024"/>
      <c r="EZ2" s="1024"/>
      <c r="FA2" s="1024"/>
      <c r="FB2" s="1024"/>
      <c r="FC2" s="1024"/>
      <c r="FD2" s="1024"/>
      <c r="FE2" s="1024"/>
      <c r="FF2" s="1024"/>
      <c r="FG2" s="1024"/>
      <c r="FH2" s="1024"/>
      <c r="FI2" s="1024"/>
      <c r="FJ2" s="1024"/>
      <c r="FK2" s="1024"/>
      <c r="FL2" s="1024"/>
      <c r="FM2" s="1024"/>
      <c r="FN2" s="1024"/>
      <c r="FO2" s="1024"/>
      <c r="FP2" s="1024"/>
      <c r="FQ2" s="1024"/>
      <c r="FR2" s="1024"/>
      <c r="FS2" s="1024"/>
      <c r="FT2" s="1024"/>
      <c r="FU2" s="1024"/>
      <c r="FV2" s="1024"/>
      <c r="FW2" s="1024"/>
      <c r="GC2" s="1022">
        <v>0</v>
      </c>
    </row>
    <row s="12581" customFormat="1" customHeight="1" ht="12" hidden="1">
      <c r="B3" s="1023"/>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C3" s="1024"/>
      <c r="AD3" s="1024"/>
      <c r="AE3" s="1024"/>
      <c r="AF3" s="1024"/>
      <c r="AG3" s="1024"/>
      <c r="AH3" s="1024"/>
      <c r="AI3" s="1024"/>
      <c r="AJ3" s="1024"/>
      <c r="AK3" s="1024"/>
      <c r="AL3" s="1024"/>
      <c r="AM3" s="1024"/>
      <c r="AN3" s="1024"/>
      <c r="AO3" s="1024"/>
      <c r="AP3" s="1024"/>
      <c r="AQ3" s="1024"/>
      <c r="AR3" s="1024"/>
      <c r="AS3" s="1024"/>
      <c r="AT3" s="1024"/>
      <c r="AU3" s="1024"/>
      <c r="AV3" s="1024"/>
      <c r="AW3" s="1024"/>
      <c r="AX3" s="1024"/>
      <c r="AY3" s="1024"/>
      <c r="AZ3" s="1024"/>
      <c r="BA3" s="1024"/>
      <c r="BB3" s="1024"/>
      <c r="BC3" s="1024"/>
      <c r="BD3" s="1024"/>
      <c r="BE3" s="1024"/>
      <c r="BF3" s="1024"/>
      <c r="BG3" s="1024"/>
      <c r="BH3" s="1024"/>
      <c r="BI3" s="1024"/>
      <c r="BJ3" s="1024"/>
      <c r="BK3" s="1024"/>
      <c r="BL3" s="1024"/>
      <c r="BM3" s="1024"/>
      <c r="BN3" s="1024"/>
      <c r="BO3" s="1024"/>
      <c r="BP3" s="1024"/>
      <c r="BQ3" s="1024"/>
      <c r="BR3" s="1024"/>
      <c r="BS3" s="1024"/>
      <c r="BT3" s="1024"/>
      <c r="BU3" s="1024"/>
      <c r="BV3" s="1024"/>
      <c r="BW3" s="1024"/>
      <c r="BX3" s="1024"/>
      <c r="BY3" s="1024"/>
      <c r="BZ3" s="1024"/>
      <c r="CA3" s="1024"/>
      <c r="CB3" s="1024"/>
      <c r="CC3" s="1024"/>
      <c r="CD3" s="1024"/>
      <c r="CE3" s="1024"/>
      <c r="CF3" s="1024"/>
      <c r="CG3" s="1024"/>
      <c r="CH3" s="1024"/>
      <c r="CI3" s="1024"/>
      <c r="CJ3" s="1024"/>
      <c r="CK3" s="1024"/>
      <c r="CL3" s="1024"/>
      <c r="CM3" s="1024"/>
      <c r="CN3" s="1024"/>
      <c r="CO3" s="1024"/>
      <c r="CP3" s="1024"/>
      <c r="CQ3" s="1024"/>
      <c r="CR3" s="1024"/>
      <c r="CS3" s="1024"/>
      <c r="CT3" s="1024"/>
      <c r="CU3" s="1024"/>
      <c r="CV3" s="1024"/>
      <c r="CW3" s="1024"/>
      <c r="CX3" s="1024"/>
      <c r="CY3" s="1024"/>
      <c r="CZ3" s="1024"/>
      <c r="DA3" s="1024"/>
      <c r="DB3" s="1024"/>
      <c r="DC3" s="1024"/>
      <c r="DD3" s="1024"/>
      <c r="DE3" s="1024"/>
      <c r="DF3" s="1024"/>
      <c r="DG3" s="1024"/>
      <c r="DH3" s="1024"/>
      <c r="DI3" s="1024"/>
      <c r="DJ3" s="1024"/>
      <c r="DK3" s="1024"/>
      <c r="DL3" s="1024"/>
      <c r="DM3" s="1024"/>
      <c r="DN3" s="1024"/>
      <c r="DO3" s="1024"/>
      <c r="DP3" s="1024"/>
      <c r="DQ3" s="1024"/>
      <c r="DR3" s="1024"/>
      <c r="DS3" s="1024"/>
      <c r="DT3" s="1024"/>
      <c r="DU3" s="1024"/>
      <c r="DV3" s="1024"/>
      <c r="DW3" s="1024"/>
      <c r="DX3" s="1024"/>
      <c r="DY3" s="1024"/>
      <c r="DZ3" s="1024"/>
      <c r="EA3" s="1024"/>
      <c r="EB3" s="1024"/>
      <c r="EC3" s="1024"/>
      <c r="ED3" s="1024"/>
      <c r="EE3" s="1024"/>
      <c r="EF3" s="1024"/>
      <c r="EG3" s="1024"/>
      <c r="EH3" s="1024"/>
      <c r="EI3" s="1024"/>
      <c r="EJ3" s="1024"/>
      <c r="EK3" s="1024"/>
      <c r="EL3" s="1024"/>
      <c r="EM3" s="1024"/>
      <c r="EN3" s="1024"/>
      <c r="EO3" s="1024"/>
      <c r="EP3" s="1024"/>
      <c r="EQ3" s="1024"/>
      <c r="ER3" s="1024"/>
      <c r="ES3" s="1024"/>
      <c r="ET3" s="1024"/>
      <c r="EU3" s="1024"/>
      <c r="EV3" s="1024"/>
      <c r="EW3" s="1024"/>
      <c r="EX3" s="1024"/>
      <c r="EY3" s="1024"/>
      <c r="EZ3" s="1024"/>
      <c r="FA3" s="1024"/>
      <c r="FB3" s="1024"/>
      <c r="FC3" s="1024"/>
      <c r="FD3" s="1024"/>
      <c r="FE3" s="1024"/>
      <c r="FF3" s="1024"/>
      <c r="FG3" s="1024"/>
      <c r="FH3" s="1024"/>
      <c r="FI3" s="1024"/>
      <c r="FJ3" s="1024"/>
      <c r="FK3" s="1024"/>
      <c r="FL3" s="1024"/>
      <c r="FM3" s="1024"/>
      <c r="FN3" s="1024"/>
      <c r="FO3" s="1024"/>
      <c r="FP3" s="1024"/>
      <c r="FQ3" s="1024"/>
      <c r="FR3" s="1024"/>
      <c r="FS3" s="1024"/>
      <c r="FT3" s="1024"/>
      <c r="FU3" s="1024"/>
      <c r="FV3" s="1024"/>
      <c r="FW3" s="1024"/>
      <c r="GC3" s="1022">
        <v>0</v>
      </c>
    </row>
    <row customHeight="1" ht="10.5">
      <c r="B4" s="1027"/>
      <c r="C4" s="1028"/>
      <c r="D4" s="1028"/>
      <c r="E4" s="1028"/>
      <c r="F4" s="1028"/>
      <c r="G4" s="1028"/>
      <c r="H4" s="1029"/>
      <c r="I4" s="1029"/>
      <c r="J4" s="1029"/>
      <c r="K4" s="1029"/>
      <c r="L4" s="1029"/>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1030"/>
      <c r="BA4" s="1030"/>
      <c r="BB4" s="1030"/>
      <c r="BC4" s="1030"/>
      <c r="BD4" s="1030"/>
      <c r="BE4" s="1030"/>
      <c r="BF4" s="1030"/>
      <c r="BG4" s="1030"/>
      <c r="BH4" s="1030"/>
      <c r="BI4" s="1030"/>
      <c r="BJ4" s="1030"/>
      <c r="BK4" s="1030"/>
      <c r="BL4" s="1030"/>
      <c r="BM4" s="1030"/>
      <c r="BN4" s="1030"/>
      <c r="BO4" s="1030"/>
      <c r="BP4" s="1030"/>
      <c r="BQ4" s="1030"/>
      <c r="BR4" s="1030"/>
      <c r="BS4" s="1030"/>
      <c r="BT4" s="1030"/>
      <c r="BU4" s="1030"/>
      <c r="BV4" s="1030"/>
      <c r="BW4" s="1030"/>
      <c r="BX4" s="1030"/>
      <c r="BY4" s="1030"/>
      <c r="BZ4" s="1030"/>
      <c r="CA4" s="1030"/>
      <c r="CB4" s="1030"/>
      <c r="CC4" s="1030"/>
      <c r="CD4" s="1030"/>
      <c r="CE4" s="1030"/>
      <c r="CF4" s="1030"/>
      <c r="CG4" s="1030"/>
      <c r="CH4" s="1030"/>
      <c r="CI4" s="1030"/>
      <c r="CJ4" s="1030"/>
      <c r="CK4" s="1030"/>
      <c r="CL4" s="1030"/>
      <c r="CM4" s="1030"/>
      <c r="CN4" s="1030"/>
      <c r="CO4" s="1030"/>
      <c r="CP4" s="1030"/>
      <c r="CQ4" s="1030"/>
      <c r="CR4" s="1030"/>
      <c r="CS4" s="1030"/>
      <c r="CT4" s="1030"/>
      <c r="CU4" s="1030"/>
      <c r="CV4" s="1030"/>
      <c r="CW4" s="1030"/>
      <c r="CX4" s="1030"/>
      <c r="CY4" s="1030"/>
      <c r="CZ4" s="1030"/>
      <c r="DA4" s="1030"/>
      <c r="DB4" s="1030"/>
      <c r="DC4" s="1030"/>
      <c r="DD4" s="1030"/>
      <c r="DE4" s="1030"/>
      <c r="DF4" s="1030"/>
      <c r="DG4" s="1030"/>
      <c r="DH4" s="1030"/>
      <c r="DI4" s="1030"/>
      <c r="DJ4" s="1030"/>
      <c r="DK4" s="1030"/>
      <c r="DL4" s="1030"/>
      <c r="DM4" s="1030"/>
      <c r="DN4" s="1030"/>
      <c r="DO4" s="1030"/>
      <c r="DP4" s="1030"/>
      <c r="DQ4" s="1030"/>
      <c r="DR4" s="1030"/>
      <c r="DS4" s="1030"/>
      <c r="DT4" s="1030"/>
      <c r="DU4" s="1030"/>
      <c r="DV4" s="1030"/>
      <c r="DW4" s="1030"/>
      <c r="DX4" s="1030"/>
      <c r="DY4" s="1030"/>
      <c r="DZ4" s="1030"/>
      <c r="EA4" s="1030"/>
      <c r="EB4" s="1030"/>
      <c r="EC4" s="1030"/>
      <c r="ED4" s="1030"/>
      <c r="EE4" s="1030"/>
      <c r="EF4" s="1030"/>
      <c r="EG4" s="1030"/>
      <c r="EH4" s="1030"/>
      <c r="EI4" s="1030"/>
      <c r="EJ4" s="1030"/>
      <c r="EK4" s="1030"/>
      <c r="EL4" s="1030"/>
      <c r="EM4" s="1030"/>
      <c r="EN4" s="1030"/>
      <c r="EO4" s="1030"/>
      <c r="EP4" s="1030"/>
      <c r="EQ4" s="1030"/>
      <c r="ER4" s="1030"/>
      <c r="ES4" s="1030"/>
      <c r="ET4" s="1030"/>
      <c r="EU4" s="1030"/>
      <c r="EV4" s="1030"/>
      <c r="EW4" s="1030"/>
      <c r="EX4" s="1030"/>
      <c r="EY4" s="1030"/>
      <c r="EZ4" s="1030"/>
      <c r="FA4" s="1030"/>
      <c r="FB4" s="1030"/>
      <c r="FC4" s="1030"/>
      <c r="FD4" s="1030"/>
      <c r="FE4" s="1030"/>
      <c r="FF4" s="1030"/>
      <c r="FG4" s="1030"/>
      <c r="FH4" s="1030"/>
      <c r="FI4" s="1030"/>
      <c r="FJ4" s="1030"/>
      <c r="FK4" s="1030"/>
      <c r="FL4" s="1030"/>
      <c r="FM4" s="1030"/>
      <c r="FN4" s="1030"/>
      <c r="FO4" s="1030"/>
      <c r="FP4" s="1030"/>
      <c r="FQ4" s="1030"/>
      <c r="FR4" s="1030"/>
      <c r="FS4" s="1030"/>
      <c r="FT4" s="1030"/>
      <c r="FU4" s="1030"/>
      <c r="FV4" s="1030"/>
      <c r="FW4" s="1030"/>
      <c r="GC4" s="1026">
        <v>10</v>
      </c>
    </row>
    <row s="12590" customFormat="1" customHeight="1" ht="27.299999999999997">
      <c r="B5" s="1966"/>
      <c r="E5" s="1968"/>
      <c r="F5" s="33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3032"/>
      <c r="H5" s="3032"/>
      <c r="I5" s="3032"/>
      <c r="J5" s="3032"/>
      <c r="K5" s="3032"/>
      <c r="L5" s="3032"/>
      <c r="M5" s="3032"/>
      <c r="N5" s="3032"/>
      <c r="O5" s="3032"/>
      <c r="P5" s="3032"/>
      <c r="Q5" s="3032"/>
      <c r="R5" s="3032"/>
      <c r="S5" s="3032"/>
      <c r="T5" s="3032"/>
      <c r="U5" s="3032"/>
      <c r="V5" s="3032"/>
      <c r="W5" s="3032"/>
      <c r="X5" s="3032"/>
      <c r="Y5" s="3032"/>
      <c r="Z5" s="3032"/>
      <c r="AA5" s="3032"/>
      <c r="AB5" s="3032"/>
      <c r="AC5" s="3032"/>
      <c r="AD5" s="3032"/>
      <c r="AE5" s="3032"/>
      <c r="AF5" s="3032"/>
      <c r="AG5" s="3032"/>
      <c r="AH5" s="3032"/>
      <c r="AI5" s="3032"/>
      <c r="AJ5" s="3032"/>
      <c r="AK5" s="3032"/>
      <c r="AL5" s="3032"/>
      <c r="AM5" s="3032"/>
      <c r="AN5" s="3032"/>
      <c r="AO5" s="3032"/>
      <c r="AP5" s="3032"/>
      <c r="AQ5" s="3032"/>
      <c r="AR5" s="3032"/>
      <c r="AS5" s="3032"/>
      <c r="AT5" s="3032"/>
      <c r="AU5" s="3032"/>
      <c r="AV5" s="3032"/>
      <c r="AW5" s="3032"/>
      <c r="AX5" s="3032"/>
      <c r="AY5" s="3032"/>
      <c r="AZ5" s="3032"/>
      <c r="BA5" s="3032"/>
      <c r="BB5" s="3032"/>
      <c r="BC5" s="3032"/>
      <c r="BD5" s="3032"/>
      <c r="BE5" s="3032"/>
      <c r="BF5" s="3032"/>
      <c r="BG5" s="3032"/>
      <c r="BH5" s="3032"/>
      <c r="BI5" s="3032"/>
      <c r="BJ5" s="3032"/>
      <c r="BK5" s="3032"/>
      <c r="BL5" s="3032"/>
      <c r="BM5" s="3032"/>
      <c r="BN5" s="3032"/>
      <c r="BO5" s="3032"/>
      <c r="BP5" s="3032"/>
      <c r="BQ5" s="3032"/>
      <c r="BR5" s="3032"/>
      <c r="BS5" s="3032"/>
      <c r="GC5" s="1967">
        <v>26</v>
      </c>
    </row>
    <row s="12595" customFormat="1" customHeight="1" ht="18.75">
      <c r="B6" s="1043"/>
      <c r="E6" s="1045"/>
      <c r="F6" s="3091" t="str">
        <f>IF(org=0,"Не определено",org)</f>
        <v>АО "ДГК"</v>
      </c>
      <c r="G6" s="3092"/>
      <c r="H6" s="3092"/>
      <c r="I6" s="3092"/>
      <c r="J6" s="3092"/>
      <c r="K6" s="3092"/>
      <c r="L6" s="3092"/>
      <c r="M6" s="3092"/>
      <c r="N6" s="3092"/>
      <c r="O6" s="3092"/>
      <c r="P6" s="3092"/>
      <c r="Q6" s="3092"/>
      <c r="R6" s="3092"/>
      <c r="S6" s="3092"/>
      <c r="T6" s="3092"/>
      <c r="U6" s="3092"/>
      <c r="V6" s="3092"/>
      <c r="W6" s="3092"/>
      <c r="X6" s="3092"/>
      <c r="Y6" s="3092"/>
      <c r="Z6" s="3092"/>
      <c r="AA6" s="3092"/>
      <c r="AB6" s="3092"/>
      <c r="AC6" s="3092"/>
      <c r="AD6" s="3092"/>
      <c r="AE6" s="3092"/>
      <c r="AF6" s="3092"/>
      <c r="AG6" s="3092"/>
      <c r="AH6" s="3092"/>
      <c r="AI6" s="3092"/>
      <c r="AJ6" s="3092"/>
      <c r="AK6" s="3092"/>
      <c r="AL6" s="3092"/>
      <c r="AM6" s="3092"/>
      <c r="AN6" s="3092"/>
      <c r="AO6" s="3092"/>
      <c r="AP6" s="3092"/>
      <c r="AQ6" s="3092"/>
      <c r="AR6" s="3092"/>
      <c r="AS6" s="3092"/>
      <c r="AT6" s="3092"/>
      <c r="AU6" s="3092"/>
      <c r="AV6" s="3092"/>
      <c r="AW6" s="3092"/>
      <c r="AX6" s="3092"/>
      <c r="AY6" s="3092"/>
      <c r="AZ6" s="3092"/>
      <c r="BA6" s="3092"/>
      <c r="BB6" s="3092"/>
      <c r="BC6" s="3092"/>
      <c r="BD6" s="3092"/>
      <c r="BE6" s="3092"/>
      <c r="BF6" s="3092"/>
      <c r="BG6" s="3092"/>
      <c r="BH6" s="3092"/>
      <c r="BI6" s="3092"/>
      <c r="BJ6" s="3092"/>
      <c r="BK6" s="3092"/>
      <c r="BL6" s="3092"/>
      <c r="BM6" s="3092"/>
      <c r="BN6" s="3092"/>
      <c r="BO6" s="3092"/>
      <c r="BP6" s="3092"/>
      <c r="BQ6" s="3092"/>
      <c r="BR6" s="3092"/>
      <c r="BS6" s="3092"/>
      <c r="GC6" s="1044">
        <v>18</v>
      </c>
    </row>
    <row s="12599" customFormat="1" customHeight="1" ht="10.5">
      <c r="B7" s="1032"/>
      <c r="G7" s="1035"/>
      <c r="H7" s="1029"/>
      <c r="I7" s="1029"/>
      <c r="J7" s="1029"/>
      <c r="K7" s="1029"/>
      <c r="L7" s="1029"/>
      <c r="GC7" s="1031">
        <v>10</v>
      </c>
    </row>
    <row s="12599" customFormat="1" customHeight="1" ht="11.25" hidden="1">
      <c r="B8" s="1034"/>
      <c r="F8" s="1156"/>
      <c r="G8" s="868"/>
      <c r="H8" s="467"/>
      <c r="I8" s="467"/>
      <c r="J8" s="467"/>
      <c r="K8" s="467"/>
      <c r="L8" s="467"/>
      <c r="M8" s="1156"/>
      <c r="N8" s="1156"/>
      <c r="O8" s="3291" t="s">
        <v>1361</v>
      </c>
      <c r="P8" s="3292"/>
      <c r="Q8" s="3292"/>
      <c r="R8" s="3292"/>
      <c r="S8" s="3292"/>
      <c r="T8" s="3292"/>
      <c r="U8" s="3292"/>
      <c r="V8" s="3292"/>
      <c r="W8" s="3292"/>
      <c r="X8" s="3292"/>
      <c r="Y8" s="3292"/>
      <c r="Z8" s="3292"/>
      <c r="AA8" s="3292"/>
      <c r="AB8" s="3292"/>
      <c r="AC8" s="3292"/>
      <c r="AD8" s="3292"/>
      <c r="AE8" s="3292"/>
      <c r="AF8" s="3292"/>
      <c r="AG8" s="3292"/>
      <c r="AH8" s="3292"/>
      <c r="AI8" s="3292"/>
      <c r="AJ8" s="3292"/>
      <c r="AK8" s="3292"/>
      <c r="AL8" s="3292"/>
      <c r="AM8" s="3292"/>
      <c r="AN8" s="3292"/>
      <c r="AO8" s="3292"/>
      <c r="AP8" s="3292"/>
      <c r="AQ8" s="3292"/>
      <c r="AR8" s="3292"/>
      <c r="AS8" s="3292"/>
      <c r="AT8" s="3292"/>
      <c r="AU8" s="3292"/>
      <c r="AV8" s="3292"/>
      <c r="AW8" s="3292"/>
      <c r="AX8" s="3292"/>
      <c r="AY8" s="3292"/>
      <c r="AZ8" s="3292"/>
      <c r="BA8" s="3292"/>
      <c r="BB8" s="3292"/>
      <c r="BC8" s="3292"/>
      <c r="BD8" s="3292"/>
      <c r="BE8" s="3292"/>
      <c r="BF8" s="3292"/>
      <c r="BG8" s="3292"/>
      <c r="BH8" s="3292"/>
      <c r="BI8" s="3292"/>
      <c r="BJ8" s="3292"/>
      <c r="BK8" s="3292"/>
      <c r="BL8" s="3292"/>
      <c r="BM8" s="3292"/>
      <c r="BN8" s="3292"/>
      <c r="BO8" s="3292"/>
      <c r="BP8" s="3292"/>
      <c r="BQ8" s="3292"/>
      <c r="BR8" s="3292"/>
      <c r="BS8" s="3293"/>
      <c r="BT8" s="3294"/>
      <c r="BU8" s="3295"/>
      <c r="BV8" s="3295"/>
      <c r="BW8" s="3295"/>
      <c r="BX8" s="3295"/>
      <c r="BY8" s="3295"/>
      <c r="BZ8" s="3295"/>
      <c r="CA8" s="3295"/>
      <c r="CB8" s="3295"/>
      <c r="CC8" s="3295"/>
      <c r="CD8" s="3295"/>
      <c r="CE8" s="3295"/>
      <c r="CF8" s="3295"/>
      <c r="CG8" s="3295"/>
      <c r="CH8" s="3295"/>
      <c r="CI8" s="3295"/>
      <c r="CJ8" s="3295"/>
      <c r="CK8" s="3295"/>
      <c r="CL8" s="3295"/>
      <c r="CM8" s="3295"/>
      <c r="CN8" s="3295"/>
      <c r="CO8" s="3295"/>
      <c r="CP8" s="3295"/>
      <c r="CQ8" s="3295"/>
      <c r="CR8" s="3295"/>
      <c r="CS8" s="3295"/>
      <c r="CT8" s="3295"/>
      <c r="CU8" s="3295"/>
      <c r="CV8" s="3295"/>
      <c r="CW8" s="3295"/>
      <c r="CX8" s="3296"/>
      <c r="CY8" s="3297"/>
      <c r="CZ8" s="3298"/>
      <c r="DA8" s="3298"/>
      <c r="DB8" s="3298"/>
      <c r="DC8" s="3298"/>
      <c r="DD8" s="3298"/>
      <c r="DE8" s="3298"/>
      <c r="DF8" s="3298"/>
      <c r="DG8" s="3298"/>
      <c r="DH8" s="3298"/>
      <c r="DI8" s="3298"/>
      <c r="DJ8" s="3298"/>
      <c r="DK8" s="3298"/>
      <c r="DL8" s="3298"/>
      <c r="DM8" s="3298"/>
      <c r="DN8" s="3298"/>
      <c r="DO8" s="3298"/>
      <c r="DP8" s="3298"/>
      <c r="DQ8" s="3298"/>
      <c r="DR8" s="3298"/>
      <c r="DS8" s="3298"/>
      <c r="DT8" s="3298"/>
      <c r="DU8" s="3298"/>
      <c r="DV8" s="3298"/>
      <c r="DW8" s="3298"/>
      <c r="DX8" s="3299"/>
      <c r="DY8" s="3285" t="s">
        <v>1362</v>
      </c>
      <c r="DZ8" s="3286"/>
      <c r="EA8" s="3286"/>
      <c r="EB8" s="3286"/>
      <c r="EC8" s="3286"/>
      <c r="ED8" s="3286"/>
      <c r="EE8" s="3286"/>
      <c r="EF8" s="3286"/>
      <c r="EG8" s="3286"/>
      <c r="EH8" s="3286"/>
      <c r="EI8" s="3286"/>
      <c r="EJ8" s="3286"/>
      <c r="EK8" s="3286"/>
      <c r="EL8" s="3286"/>
      <c r="EM8" s="3286"/>
      <c r="EN8" s="3286"/>
      <c r="EO8" s="3286"/>
      <c r="EP8" s="3286"/>
      <c r="EQ8" s="3286"/>
      <c r="ER8" s="3286"/>
      <c r="ES8" s="3286"/>
      <c r="ET8" s="3286"/>
      <c r="EU8" s="3286"/>
      <c r="EV8" s="3286"/>
      <c r="EW8" s="3286"/>
      <c r="EX8" s="3286"/>
      <c r="EY8" s="3286"/>
      <c r="EZ8" s="3286"/>
      <c r="FA8" s="3286"/>
      <c r="FB8" s="3286"/>
      <c r="FC8" s="3286"/>
      <c r="FD8" s="3286"/>
      <c r="FE8" s="3286"/>
      <c r="FF8" s="3286"/>
      <c r="FG8" s="3286"/>
      <c r="FH8" s="3286"/>
      <c r="FI8" s="3286"/>
      <c r="FJ8" s="3286"/>
      <c r="FK8" s="3286"/>
      <c r="FL8" s="3286"/>
      <c r="FM8" s="3286"/>
      <c r="FN8" s="3286"/>
      <c r="FO8" s="3286"/>
      <c r="FP8" s="3286"/>
      <c r="FQ8" s="3286"/>
      <c r="FR8" s="3286"/>
      <c r="FS8" s="3286"/>
      <c r="FT8" s="3286"/>
      <c r="FU8" s="3286"/>
      <c r="FV8" s="3286"/>
      <c r="FW8" s="3287"/>
      <c r="FX8" s="1156"/>
      <c r="GC8" s="1033">
        <v>0</v>
      </c>
    </row>
    <row s="12599" customFormat="1" customHeight="1" ht="11.25" hidden="1">
      <c r="B9" s="1034"/>
      <c r="F9" s="1156"/>
      <c r="G9" s="868"/>
      <c r="H9" s="467"/>
      <c r="I9" s="467"/>
      <c r="J9" s="467"/>
      <c r="K9" s="467"/>
      <c r="L9" s="467"/>
      <c r="M9" s="1156"/>
      <c r="N9" s="1156"/>
      <c r="O9" s="1156"/>
      <c r="P9" s="1156"/>
      <c r="Q9" s="1156"/>
      <c r="R9" s="1156"/>
      <c r="S9" s="1156"/>
      <c r="T9" s="1156"/>
      <c r="U9" s="1156"/>
      <c r="V9" s="1156"/>
      <c r="W9" s="1156"/>
      <c r="X9" s="1156"/>
      <c r="Y9" s="1156"/>
      <c r="Z9" s="1156"/>
      <c r="AA9" s="1156"/>
      <c r="AB9" s="1156"/>
      <c r="AC9" s="1156"/>
      <c r="AD9" s="1156"/>
      <c r="AE9" s="1156"/>
      <c r="AF9" s="1156"/>
      <c r="AG9" s="1156"/>
      <c r="AH9" s="1156"/>
      <c r="AI9" s="1156"/>
      <c r="AJ9" s="1156"/>
      <c r="AK9" s="1156"/>
      <c r="AL9" s="1156"/>
      <c r="AM9" s="1156"/>
      <c r="AN9" s="1156"/>
      <c r="AO9" s="1156"/>
      <c r="AP9" s="1156"/>
      <c r="AQ9" s="1156"/>
      <c r="AR9" s="1156"/>
      <c r="AS9" s="1156"/>
      <c r="AT9" s="1156"/>
      <c r="AU9" s="1156"/>
      <c r="AV9" s="1156"/>
      <c r="AW9" s="1156"/>
      <c r="AX9" s="1156"/>
      <c r="AY9" s="1156"/>
      <c r="AZ9" s="1156"/>
      <c r="BA9" s="1156"/>
      <c r="BB9" s="1156"/>
      <c r="BC9" s="1156"/>
      <c r="BD9" s="1156"/>
      <c r="BE9" s="1156"/>
      <c r="BF9" s="1156"/>
      <c r="BG9" s="1156"/>
      <c r="BH9" s="1156"/>
      <c r="BI9" s="1156"/>
      <c r="BJ9" s="1156"/>
      <c r="BK9" s="1156"/>
      <c r="BL9" s="1156"/>
      <c r="BM9" s="1156"/>
      <c r="BN9" s="1156"/>
      <c r="BO9" s="1156"/>
      <c r="BP9" s="1156"/>
      <c r="BQ9" s="1156"/>
      <c r="BR9" s="1156"/>
      <c r="BS9" s="1156"/>
      <c r="BT9" s="1156"/>
      <c r="BU9" s="1156"/>
      <c r="BV9" s="1156"/>
      <c r="BW9" s="1156"/>
      <c r="BX9" s="1156"/>
      <c r="BY9" s="1156"/>
      <c r="BZ9" s="1156"/>
      <c r="CA9" s="1156"/>
      <c r="CB9" s="1156"/>
      <c r="CC9" s="1156"/>
      <c r="CD9" s="1156"/>
      <c r="CE9" s="1156"/>
      <c r="CF9" s="1156"/>
      <c r="CG9" s="1156"/>
      <c r="CH9" s="1156"/>
      <c r="CI9" s="1156"/>
      <c r="CJ9" s="1156"/>
      <c r="CK9" s="1156"/>
      <c r="CL9" s="1156"/>
      <c r="CM9" s="1156"/>
      <c r="CN9" s="1156"/>
      <c r="CO9" s="1156"/>
      <c r="CP9" s="1156"/>
      <c r="CQ9" s="1156"/>
      <c r="CR9" s="1156"/>
      <c r="CS9" s="1156"/>
      <c r="CT9" s="1156"/>
      <c r="CU9" s="1156"/>
      <c r="CV9" s="1156"/>
      <c r="CW9" s="1156"/>
      <c r="CX9" s="1156"/>
      <c r="CY9" s="1156"/>
      <c r="CZ9" s="1156"/>
      <c r="DA9" s="1156"/>
      <c r="DB9" s="1156"/>
      <c r="DC9" s="1156"/>
      <c r="DD9" s="1156"/>
      <c r="DE9" s="1156"/>
      <c r="DF9" s="1156"/>
      <c r="DG9" s="1156"/>
      <c r="DH9" s="1156"/>
      <c r="DI9" s="1156"/>
      <c r="DJ9" s="1156"/>
      <c r="DK9" s="1156"/>
      <c r="DL9" s="1156"/>
      <c r="DM9" s="1156"/>
      <c r="DN9" s="1156"/>
      <c r="DO9" s="1156"/>
      <c r="DP9" s="1156"/>
      <c r="DQ9" s="1156"/>
      <c r="DR9" s="1156"/>
      <c r="DS9" s="1156"/>
      <c r="DT9" s="1156"/>
      <c r="DU9" s="1156"/>
      <c r="DV9" s="1156"/>
      <c r="DW9" s="1156"/>
      <c r="DX9" s="1156"/>
      <c r="DY9" s="1156"/>
      <c r="DZ9" s="1156"/>
      <c r="EA9" s="1156"/>
      <c r="EB9" s="1156"/>
      <c r="EC9" s="1156"/>
      <c r="ED9" s="1156"/>
      <c r="EE9" s="1156"/>
      <c r="EF9" s="1156"/>
      <c r="EG9" s="1156"/>
      <c r="EH9" s="1156"/>
      <c r="EI9" s="1156"/>
      <c r="EJ9" s="1156"/>
      <c r="EK9" s="1156"/>
      <c r="EL9" s="1156"/>
      <c r="EM9" s="1156"/>
      <c r="EN9" s="1156"/>
      <c r="EO9" s="1156"/>
      <c r="EP9" s="1156"/>
      <c r="EQ9" s="1156"/>
      <c r="ER9" s="1156"/>
      <c r="ES9" s="1156"/>
      <c r="ET9" s="1156"/>
      <c r="EU9" s="1156"/>
      <c r="EV9" s="1156"/>
      <c r="EW9" s="1156"/>
      <c r="EX9" s="1156"/>
      <c r="EY9" s="1156"/>
      <c r="EZ9" s="1156"/>
      <c r="FA9" s="1156"/>
      <c r="FB9" s="1156"/>
      <c r="FC9" s="1156"/>
      <c r="FD9" s="1156"/>
      <c r="FE9" s="1156"/>
      <c r="FF9" s="1156"/>
      <c r="FG9" s="1156"/>
      <c r="FH9" s="1156"/>
      <c r="FI9" s="1156"/>
      <c r="FJ9" s="1156"/>
      <c r="FK9" s="1156"/>
      <c r="FL9" s="1156"/>
      <c r="FM9" s="1156"/>
      <c r="FN9" s="1156"/>
      <c r="FO9" s="1156"/>
      <c r="FP9" s="1156"/>
      <c r="FQ9" s="1156"/>
      <c r="FR9" s="1156"/>
      <c r="FS9" s="1156"/>
      <c r="FT9" s="1156"/>
      <c r="FU9" s="1156"/>
      <c r="FV9" s="1156"/>
      <c r="FW9" s="3288"/>
      <c r="FX9" s="1156"/>
      <c r="GC9" s="1033">
        <v>0</v>
      </c>
    </row>
    <row s="12599" customFormat="1" customHeight="1" ht="11.549999999999999">
      <c r="B10" s="1034"/>
      <c r="F10" s="3234" t="s">
        <v>385</v>
      </c>
      <c r="G10" s="3301"/>
      <c r="H10" s="3301"/>
      <c r="I10" s="3301"/>
      <c r="J10" s="3301"/>
      <c r="K10" s="3301"/>
      <c r="L10" s="3301"/>
      <c r="M10" s="3301"/>
      <c r="N10" s="3301"/>
      <c r="O10" s="3301"/>
      <c r="P10" s="3301"/>
      <c r="Q10" s="3301"/>
      <c r="R10" s="3301"/>
      <c r="S10" s="3301"/>
      <c r="T10" s="3301"/>
      <c r="U10" s="3301"/>
      <c r="V10" s="3301"/>
      <c r="W10" s="3301"/>
      <c r="X10" s="3301"/>
      <c r="Y10" s="3301"/>
      <c r="Z10" s="3301"/>
      <c r="AA10" s="3301"/>
      <c r="AB10" s="3301"/>
      <c r="AC10" s="3301"/>
      <c r="AD10" s="3301"/>
      <c r="AE10" s="3301"/>
      <c r="AF10" s="3301"/>
      <c r="AG10" s="3301"/>
      <c r="AH10" s="3301"/>
      <c r="AI10" s="3301"/>
      <c r="AJ10" s="3301"/>
      <c r="AK10" s="3301"/>
      <c r="AL10" s="3301"/>
      <c r="AM10" s="3301"/>
      <c r="AN10" s="3301"/>
      <c r="AO10" s="3301"/>
      <c r="AP10" s="3301"/>
      <c r="AQ10" s="3301"/>
      <c r="AR10" s="3301"/>
      <c r="AS10" s="3301"/>
      <c r="AT10" s="3301"/>
      <c r="AU10" s="3301"/>
      <c r="AV10" s="3301"/>
      <c r="AW10" s="3301"/>
      <c r="AX10" s="3301"/>
      <c r="AY10" s="3301"/>
      <c r="AZ10" s="3301"/>
      <c r="BA10" s="3301"/>
      <c r="BB10" s="3301"/>
      <c r="BC10" s="3301"/>
      <c r="BD10" s="3301"/>
      <c r="BE10" s="3301"/>
      <c r="BF10" s="3301"/>
      <c r="BG10" s="3301"/>
      <c r="BH10" s="3301"/>
      <c r="BI10" s="3301"/>
      <c r="BJ10" s="3301"/>
      <c r="BK10" s="3301"/>
      <c r="BL10" s="3301"/>
      <c r="BM10" s="3301"/>
      <c r="BN10" s="3301"/>
      <c r="BO10" s="3301"/>
      <c r="BP10" s="3301"/>
      <c r="BQ10" s="3301"/>
      <c r="BR10" s="3301"/>
      <c r="BS10" s="3301"/>
      <c r="BT10" s="3301"/>
      <c r="BU10" s="3301"/>
      <c r="BV10" s="3301"/>
      <c r="BW10" s="3301"/>
      <c r="BX10" s="3301"/>
      <c r="BY10" s="3301"/>
      <c r="BZ10" s="3301"/>
      <c r="CA10" s="3301"/>
      <c r="CB10" s="3301"/>
      <c r="CC10" s="3301"/>
      <c r="CD10" s="3301"/>
      <c r="CE10" s="3301"/>
      <c r="CF10" s="3301"/>
      <c r="CG10" s="3301"/>
      <c r="CH10" s="3301"/>
      <c r="CI10" s="3301"/>
      <c r="CJ10" s="3301"/>
      <c r="CK10" s="3301"/>
      <c r="CL10" s="3301"/>
      <c r="CM10" s="3301"/>
      <c r="CN10" s="3301"/>
      <c r="CO10" s="3301"/>
      <c r="CP10" s="3301"/>
      <c r="CQ10" s="3301"/>
      <c r="CR10" s="3301"/>
      <c r="CS10" s="3301"/>
      <c r="CT10" s="3301"/>
      <c r="CU10" s="3301"/>
      <c r="CV10" s="3301"/>
      <c r="CW10" s="3301"/>
      <c r="CX10" s="3301"/>
      <c r="CY10" s="3301"/>
      <c r="CZ10" s="3301"/>
      <c r="DA10" s="3301"/>
      <c r="DB10" s="3301"/>
      <c r="DC10" s="3301"/>
      <c r="DD10" s="3301"/>
      <c r="DE10" s="3301"/>
      <c r="DF10" s="3301"/>
      <c r="DG10" s="3301"/>
      <c r="DH10" s="3301"/>
      <c r="DI10" s="3301"/>
      <c r="DJ10" s="3301"/>
      <c r="DK10" s="3301"/>
      <c r="DL10" s="3301"/>
      <c r="DM10" s="3301"/>
      <c r="DN10" s="3301"/>
      <c r="DO10" s="3301"/>
      <c r="DP10" s="3301"/>
      <c r="DQ10" s="3301"/>
      <c r="DR10" s="3301"/>
      <c r="DS10" s="3301"/>
      <c r="DT10" s="3301"/>
      <c r="DU10" s="3301"/>
      <c r="DV10" s="3301"/>
      <c r="DW10" s="3301"/>
      <c r="DX10" s="3301"/>
      <c r="DY10" s="3301"/>
      <c r="DZ10" s="3301"/>
      <c r="EA10" s="3301"/>
      <c r="EB10" s="3301"/>
      <c r="EC10" s="3301"/>
      <c r="ED10" s="3301"/>
      <c r="EE10" s="3301"/>
      <c r="EF10" s="3301"/>
      <c r="EG10" s="3301"/>
      <c r="EH10" s="3301"/>
      <c r="EI10" s="3301"/>
      <c r="EJ10" s="3301"/>
      <c r="EK10" s="3301"/>
      <c r="EL10" s="3301"/>
      <c r="EM10" s="3301"/>
      <c r="EN10" s="3301"/>
      <c r="EO10" s="3301"/>
      <c r="EP10" s="3301"/>
      <c r="EQ10" s="3301"/>
      <c r="ER10" s="3301"/>
      <c r="ES10" s="3301"/>
      <c r="ET10" s="3301"/>
      <c r="EU10" s="3301"/>
      <c r="EV10" s="3301"/>
      <c r="EW10" s="3301"/>
      <c r="EX10" s="3301"/>
      <c r="EY10" s="3301"/>
      <c r="EZ10" s="3301"/>
      <c r="FA10" s="3301"/>
      <c r="FB10" s="3301"/>
      <c r="FC10" s="3301"/>
      <c r="FD10" s="3301"/>
      <c r="FE10" s="3301"/>
      <c r="FF10" s="3301"/>
      <c r="FG10" s="3301"/>
      <c r="FH10" s="3301"/>
      <c r="FI10" s="3301"/>
      <c r="FJ10" s="3301"/>
      <c r="FK10" s="3301"/>
      <c r="FL10" s="3301"/>
      <c r="FM10" s="3301"/>
      <c r="FN10" s="3301"/>
      <c r="FO10" s="3301"/>
      <c r="FP10" s="3301"/>
      <c r="FQ10" s="3301"/>
      <c r="FR10" s="3301"/>
      <c r="FS10" s="3301"/>
      <c r="FT10" s="3301"/>
      <c r="FU10" s="3301"/>
      <c r="FV10" s="3263"/>
      <c r="FW10" s="3288"/>
      <c r="FX10" s="1156"/>
      <c r="GC10" s="1033">
        <v>11</v>
      </c>
    </row>
    <row customHeight="1" ht="12.75">
      <c r="E11" s="1037"/>
      <c r="F11" s="3073" t="s">
        <v>88</v>
      </c>
      <c r="G11" s="3073" t="s">
        <v>1363</v>
      </c>
      <c r="H11" s="3073" t="s">
        <v>1364</v>
      </c>
      <c r="I11" s="3073" t="s">
        <v>1365</v>
      </c>
      <c r="J11" s="3300"/>
      <c r="K11" s="3300"/>
      <c r="L11" s="3300"/>
      <c r="M11" s="3300"/>
      <c r="N11" s="3300"/>
      <c r="O11" s="3077" t="s">
        <v>1366</v>
      </c>
      <c r="P11" s="3077"/>
      <c r="Q11" s="3077"/>
      <c r="R11" s="3077"/>
      <c r="S11" s="3077"/>
      <c r="T11" s="3077"/>
      <c r="U11" s="3077"/>
      <c r="V11" s="3077"/>
      <c r="W11" s="3077"/>
      <c r="X11" s="3077"/>
      <c r="Y11" s="3077"/>
      <c r="Z11" s="3077"/>
      <c r="AA11" s="3077"/>
      <c r="AB11" s="3077"/>
      <c r="AC11" s="3283"/>
      <c r="AD11" s="3283"/>
      <c r="AE11" s="3283"/>
      <c r="AF11" s="3283"/>
      <c r="AG11" s="3283"/>
      <c r="AH11" s="3283"/>
      <c r="AI11" s="3283"/>
      <c r="AJ11" s="3283"/>
      <c r="AK11" s="3283"/>
      <c r="AL11" s="3283"/>
      <c r="AM11" s="3283"/>
      <c r="AN11" s="3283"/>
      <c r="AO11" s="3283"/>
      <c r="AP11" s="3283"/>
      <c r="AQ11" s="3283"/>
      <c r="AR11" s="3283"/>
      <c r="AS11" s="3283"/>
      <c r="AT11" s="3283"/>
      <c r="AU11" s="3283"/>
      <c r="AV11" s="3283"/>
      <c r="AW11" s="3283"/>
      <c r="AX11" s="3283"/>
      <c r="AY11" s="3283"/>
      <c r="AZ11" s="3283"/>
      <c r="BA11" s="3283"/>
      <c r="BB11" s="3283"/>
      <c r="BC11" s="3283"/>
      <c r="BD11" s="3283"/>
      <c r="BE11" s="3283"/>
      <c r="BF11" s="3283"/>
      <c r="BG11" s="3283"/>
      <c r="BH11" s="3283"/>
      <c r="BI11" s="3283"/>
      <c r="BJ11" s="3283"/>
      <c r="BK11" s="3283"/>
      <c r="BL11" s="3283"/>
      <c r="BM11" s="3283"/>
      <c r="BN11" s="3283"/>
      <c r="BO11" s="3283"/>
      <c r="BP11" s="3283"/>
      <c r="BQ11" s="3283"/>
      <c r="BR11" s="3283"/>
      <c r="BS11" s="3284"/>
      <c r="BT11" s="3221" t="s">
        <v>1366</v>
      </c>
      <c r="BU11" s="3222"/>
      <c r="BV11" s="3222"/>
      <c r="BW11" s="3222"/>
      <c r="BX11" s="3222"/>
      <c r="BY11" s="3222"/>
      <c r="BZ11" s="3222"/>
      <c r="CA11" s="3222"/>
      <c r="CB11" s="3222"/>
      <c r="CC11" s="3222"/>
      <c r="CD11" s="3222"/>
      <c r="CE11" s="3222"/>
      <c r="CF11" s="3222"/>
      <c r="CG11" s="3222"/>
      <c r="CH11" s="3222"/>
      <c r="CI11" s="3222"/>
      <c r="CJ11" s="3222"/>
      <c r="CK11" s="3282"/>
      <c r="CL11" s="3290"/>
      <c r="CM11" s="3283"/>
      <c r="CN11" s="3283"/>
      <c r="CO11" s="3283"/>
      <c r="CP11" s="3283"/>
      <c r="CQ11" s="3283"/>
      <c r="CR11" s="3283"/>
      <c r="CS11" s="3283"/>
      <c r="CT11" s="3283"/>
      <c r="CU11" s="3283"/>
      <c r="CV11" s="3283"/>
      <c r="CW11" s="3283"/>
      <c r="CX11" s="3284"/>
      <c r="CY11" s="3221" t="s">
        <v>1366</v>
      </c>
      <c r="CZ11" s="3222"/>
      <c r="DA11" s="3222"/>
      <c r="DB11" s="3222"/>
      <c r="DC11" s="3222"/>
      <c r="DD11" s="3222"/>
      <c r="DE11" s="3222"/>
      <c r="DF11" s="3222"/>
      <c r="DG11" s="3222"/>
      <c r="DH11" s="3222"/>
      <c r="DI11" s="3222"/>
      <c r="DJ11" s="3282"/>
      <c r="DK11" s="3290"/>
      <c r="DL11" s="3283"/>
      <c r="DM11" s="3283"/>
      <c r="DN11" s="3283"/>
      <c r="DO11" s="3283"/>
      <c r="DP11" s="3283"/>
      <c r="DQ11" s="3283"/>
      <c r="DR11" s="3283"/>
      <c r="DS11" s="3283"/>
      <c r="DT11" s="3283"/>
      <c r="DU11" s="3283"/>
      <c r="DV11" s="3283"/>
      <c r="DW11" s="3283"/>
      <c r="DX11" s="3283"/>
      <c r="DY11" s="3283"/>
      <c r="DZ11" s="3283"/>
      <c r="EA11" s="3283"/>
      <c r="EB11" s="3283"/>
      <c r="EC11" s="3283"/>
      <c r="ED11" s="3283"/>
      <c r="EE11" s="3283"/>
      <c r="EF11" s="3283"/>
      <c r="EG11" s="3283"/>
      <c r="EH11" s="3283"/>
      <c r="EI11" s="3283"/>
      <c r="EJ11" s="3283"/>
      <c r="EK11" s="3283"/>
      <c r="EL11" s="3283"/>
      <c r="EM11" s="3283"/>
      <c r="EN11" s="3283"/>
      <c r="EO11" s="3283"/>
      <c r="EP11" s="3283"/>
      <c r="EQ11" s="3283"/>
      <c r="ER11" s="3283"/>
      <c r="ES11" s="3283"/>
      <c r="ET11" s="3283"/>
      <c r="EU11" s="3283"/>
      <c r="EV11" s="3283"/>
      <c r="EW11" s="3283"/>
      <c r="EX11" s="3283"/>
      <c r="EY11" s="3283"/>
      <c r="EZ11" s="3283"/>
      <c r="FA11" s="3283"/>
      <c r="FB11" s="3283"/>
      <c r="FC11" s="3283"/>
      <c r="FD11" s="3283"/>
      <c r="FE11" s="3283"/>
      <c r="FF11" s="3283"/>
      <c r="FG11" s="3283"/>
      <c r="FH11" s="3283"/>
      <c r="FI11" s="3283"/>
      <c r="FJ11" s="3283"/>
      <c r="FK11" s="3283"/>
      <c r="FL11" s="3283"/>
      <c r="FM11" s="3283"/>
      <c r="FN11" s="3283"/>
      <c r="FO11" s="3283"/>
      <c r="FP11" s="3283"/>
      <c r="FQ11" s="3283"/>
      <c r="FR11" s="3283"/>
      <c r="FS11" s="3283"/>
      <c r="FT11" s="3283"/>
      <c r="FU11" s="3283"/>
      <c r="FV11" s="3283"/>
      <c r="FW11" s="3288"/>
      <c r="FX11" s="867"/>
      <c r="GC11" s="1026">
        <v>12</v>
      </c>
    </row>
    <row customHeight="1" ht="12.75">
      <c r="D12" s="1038"/>
      <c r="E12" s="1037"/>
      <c r="F12" s="3073"/>
      <c r="G12" s="3073"/>
      <c r="H12" s="3073"/>
      <c r="I12" s="3073"/>
      <c r="J12" s="3300"/>
      <c r="K12" s="3300"/>
      <c r="L12" s="3300"/>
      <c r="M12" s="3300"/>
      <c r="N12" s="3300"/>
      <c r="O12" s="3077" t="s">
        <v>1367</v>
      </c>
      <c r="P12" s="3077"/>
      <c r="Q12" s="3077"/>
      <c r="R12" s="3077"/>
      <c r="S12" s="3077" t="s">
        <v>1368</v>
      </c>
      <c r="T12" s="3077"/>
      <c r="U12" s="3077"/>
      <c r="V12" s="3077"/>
      <c r="W12" s="3077"/>
      <c r="X12" s="3077"/>
      <c r="Y12" s="3077"/>
      <c r="Z12" s="3077"/>
      <c r="AA12" s="3077"/>
      <c r="AB12" s="3077"/>
      <c r="AC12" s="3283"/>
      <c r="AD12" s="3283"/>
      <c r="AE12" s="3283"/>
      <c r="AF12" s="3283"/>
      <c r="AG12" s="3283"/>
      <c r="AH12" s="3283"/>
      <c r="AI12" s="3283"/>
      <c r="AJ12" s="3283"/>
      <c r="AK12" s="3283"/>
      <c r="AL12" s="3283"/>
      <c r="AM12" s="3283"/>
      <c r="AN12" s="3283"/>
      <c r="AO12" s="3283"/>
      <c r="AP12" s="3283"/>
      <c r="AQ12" s="3283"/>
      <c r="AR12" s="3283"/>
      <c r="AS12" s="3283"/>
      <c r="AT12" s="3283"/>
      <c r="AU12" s="3283"/>
      <c r="AV12" s="3283"/>
      <c r="AW12" s="3283"/>
      <c r="AX12" s="3283"/>
      <c r="AY12" s="3283"/>
      <c r="AZ12" s="3283"/>
      <c r="BA12" s="3283"/>
      <c r="BB12" s="3283"/>
      <c r="BC12" s="3283"/>
      <c r="BD12" s="3283"/>
      <c r="BE12" s="3283"/>
      <c r="BF12" s="3283"/>
      <c r="BG12" s="3283"/>
      <c r="BH12" s="3283"/>
      <c r="BI12" s="3283"/>
      <c r="BJ12" s="3283"/>
      <c r="BK12" s="3283"/>
      <c r="BL12" s="3283"/>
      <c r="BM12" s="3283"/>
      <c r="BN12" s="3283"/>
      <c r="BO12" s="3283"/>
      <c r="BP12" s="3283"/>
      <c r="BQ12" s="3283"/>
      <c r="BR12" s="3283"/>
      <c r="BS12" s="3284"/>
      <c r="BT12" s="3221" t="s">
        <v>1369</v>
      </c>
      <c r="BU12" s="3222"/>
      <c r="BV12" s="3222"/>
      <c r="BW12" s="3282"/>
      <c r="BX12" s="3221" t="s">
        <v>1370</v>
      </c>
      <c r="BY12" s="3222"/>
      <c r="BZ12" s="3222"/>
      <c r="CA12" s="3282"/>
      <c r="CB12" s="3221" t="s">
        <v>1371</v>
      </c>
      <c r="CC12" s="3282"/>
      <c r="CD12" s="3221" t="s">
        <v>1372</v>
      </c>
      <c r="CE12" s="3222"/>
      <c r="CF12" s="3222"/>
      <c r="CG12" s="3222"/>
      <c r="CH12" s="3222"/>
      <c r="CI12" s="3222"/>
      <c r="CJ12" s="3222"/>
      <c r="CK12" s="3282"/>
      <c r="CL12" s="3290"/>
      <c r="CM12" s="3283"/>
      <c r="CN12" s="3283"/>
      <c r="CO12" s="3283"/>
      <c r="CP12" s="3283"/>
      <c r="CQ12" s="3283"/>
      <c r="CR12" s="3283"/>
      <c r="CS12" s="3283"/>
      <c r="CT12" s="3283"/>
      <c r="CU12" s="3283"/>
      <c r="CV12" s="3283"/>
      <c r="CW12" s="3283"/>
      <c r="CX12" s="3284"/>
      <c r="CY12" s="3221" t="s">
        <v>1373</v>
      </c>
      <c r="CZ12" s="3222"/>
      <c r="DA12" s="3222"/>
      <c r="DB12" s="3222"/>
      <c r="DC12" s="3222"/>
      <c r="DD12" s="3282"/>
      <c r="DE12" s="3221" t="s">
        <v>1374</v>
      </c>
      <c r="DF12" s="3282"/>
      <c r="DG12" s="3221" t="s">
        <v>1372</v>
      </c>
      <c r="DH12" s="3222"/>
      <c r="DI12" s="3222"/>
      <c r="DJ12" s="3282"/>
      <c r="DK12" s="3290"/>
      <c r="DL12" s="3283"/>
      <c r="DM12" s="3283"/>
      <c r="DN12" s="3283"/>
      <c r="DO12" s="3283"/>
      <c r="DP12" s="3283"/>
      <c r="DQ12" s="3283"/>
      <c r="DR12" s="3283"/>
      <c r="DS12" s="3283"/>
      <c r="DT12" s="3283"/>
      <c r="DU12" s="3283"/>
      <c r="DV12" s="3283"/>
      <c r="DW12" s="3283"/>
      <c r="DX12" s="3283"/>
      <c r="DY12" s="3283"/>
      <c r="DZ12" s="3283"/>
      <c r="EA12" s="3283"/>
      <c r="EB12" s="3283"/>
      <c r="EC12" s="3283"/>
      <c r="ED12" s="3283"/>
      <c r="EE12" s="3283"/>
      <c r="EF12" s="3283"/>
      <c r="EG12" s="3283"/>
      <c r="EH12" s="3283"/>
      <c r="EI12" s="3283"/>
      <c r="EJ12" s="3283"/>
      <c r="EK12" s="3283"/>
      <c r="EL12" s="3283"/>
      <c r="EM12" s="3283"/>
      <c r="EN12" s="3283"/>
      <c r="EO12" s="3283"/>
      <c r="EP12" s="3283"/>
      <c r="EQ12" s="3283"/>
      <c r="ER12" s="3283"/>
      <c r="ES12" s="3283"/>
      <c r="ET12" s="3283"/>
      <c r="EU12" s="3283"/>
      <c r="EV12" s="3283"/>
      <c r="EW12" s="3283"/>
      <c r="EX12" s="3283"/>
      <c r="EY12" s="3283"/>
      <c r="EZ12" s="3283"/>
      <c r="FA12" s="3283"/>
      <c r="FB12" s="3283"/>
      <c r="FC12" s="3283"/>
      <c r="FD12" s="3283"/>
      <c r="FE12" s="3283"/>
      <c r="FF12" s="3283"/>
      <c r="FG12" s="3283"/>
      <c r="FH12" s="3283"/>
      <c r="FI12" s="3283"/>
      <c r="FJ12" s="3283"/>
      <c r="FK12" s="3283"/>
      <c r="FL12" s="3283"/>
      <c r="FM12" s="3283"/>
      <c r="FN12" s="3283"/>
      <c r="FO12" s="3283"/>
      <c r="FP12" s="3283"/>
      <c r="FQ12" s="3283"/>
      <c r="FR12" s="3283"/>
      <c r="FS12" s="3283"/>
      <c r="FT12" s="3283"/>
      <c r="FU12" s="3283"/>
      <c r="FV12" s="3283"/>
      <c r="FW12" s="3288"/>
      <c r="FX12" s="867"/>
      <c r="GC12" s="1026">
        <v>12</v>
      </c>
    </row>
    <row customHeight="1" ht="37.8">
      <c r="D13" s="1038"/>
      <c r="E13" s="1037"/>
      <c r="F13" s="3073"/>
      <c r="G13" s="3073"/>
      <c r="H13" s="3073"/>
      <c r="I13" s="3073"/>
      <c r="J13" s="3300"/>
      <c r="K13" s="3300"/>
      <c r="L13" s="3300"/>
      <c r="M13" s="3300"/>
      <c r="N13" s="3300"/>
      <c r="O13" s="3077" t="s">
        <v>1375</v>
      </c>
      <c r="P13" s="3077"/>
      <c r="Q13" s="3077"/>
      <c r="R13" s="3077"/>
      <c r="S13" s="3177" t="s">
        <v>1376</v>
      </c>
      <c r="T13" s="3223"/>
      <c r="U13" s="2978" t="s">
        <v>1377</v>
      </c>
      <c r="V13" s="2978"/>
      <c r="W13" s="2978"/>
      <c r="X13" s="2978"/>
      <c r="Y13" s="2978" t="s">
        <v>1378</v>
      </c>
      <c r="Z13" s="2978"/>
      <c r="AA13" s="2978"/>
      <c r="AB13" s="2978"/>
      <c r="AC13" s="3283"/>
      <c r="AD13" s="3283"/>
      <c r="AE13" s="3283"/>
      <c r="AF13" s="3283"/>
      <c r="AG13" s="3283"/>
      <c r="AH13" s="3283"/>
      <c r="AI13" s="3283"/>
      <c r="AJ13" s="3283"/>
      <c r="AK13" s="3283"/>
      <c r="AL13" s="3283"/>
      <c r="AM13" s="3283"/>
      <c r="AN13" s="3283"/>
      <c r="AO13" s="3283"/>
      <c r="AP13" s="3283"/>
      <c r="AQ13" s="3283"/>
      <c r="AR13" s="3283"/>
      <c r="AS13" s="3283"/>
      <c r="AT13" s="3283"/>
      <c r="AU13" s="3283"/>
      <c r="AV13" s="3283"/>
      <c r="AW13" s="3283"/>
      <c r="AX13" s="3283"/>
      <c r="AY13" s="3283"/>
      <c r="AZ13" s="3283"/>
      <c r="BA13" s="3283"/>
      <c r="BB13" s="3283"/>
      <c r="BC13" s="3283"/>
      <c r="BD13" s="3283"/>
      <c r="BE13" s="3283"/>
      <c r="BF13" s="3283"/>
      <c r="BG13" s="3283"/>
      <c r="BH13" s="3283"/>
      <c r="BI13" s="3283"/>
      <c r="BJ13" s="3283"/>
      <c r="BK13" s="3283"/>
      <c r="BL13" s="3283"/>
      <c r="BM13" s="3283"/>
      <c r="BN13" s="3283"/>
      <c r="BO13" s="3283"/>
      <c r="BP13" s="3283"/>
      <c r="BQ13" s="3283"/>
      <c r="BR13" s="3283"/>
      <c r="BS13" s="3284"/>
      <c r="BT13" s="3177" t="s">
        <v>1379</v>
      </c>
      <c r="BU13" s="3223"/>
      <c r="BV13" s="3177" t="s">
        <v>1380</v>
      </c>
      <c r="BW13" s="3223"/>
      <c r="BX13" s="3177" t="s">
        <v>1381</v>
      </c>
      <c r="BY13" s="3223"/>
      <c r="BZ13" s="3177" t="s">
        <v>1382</v>
      </c>
      <c r="CA13" s="3223"/>
      <c r="CB13" s="3177" t="s">
        <v>1383</v>
      </c>
      <c r="CC13" s="3223"/>
      <c r="CD13" s="3177" t="s">
        <v>1384</v>
      </c>
      <c r="CE13" s="3223"/>
      <c r="CF13" s="3177" t="s">
        <v>1385</v>
      </c>
      <c r="CG13" s="3223"/>
      <c r="CH13" s="3221" t="s">
        <v>1386</v>
      </c>
      <c r="CI13" s="3222"/>
      <c r="CJ13" s="3222"/>
      <c r="CK13" s="3282"/>
      <c r="CL13" s="3290"/>
      <c r="CM13" s="3283"/>
      <c r="CN13" s="3283"/>
      <c r="CO13" s="3283"/>
      <c r="CP13" s="3283"/>
      <c r="CQ13" s="3283"/>
      <c r="CR13" s="3283"/>
      <c r="CS13" s="3283"/>
      <c r="CT13" s="3283"/>
      <c r="CU13" s="3283"/>
      <c r="CV13" s="3283"/>
      <c r="CW13" s="3283"/>
      <c r="CX13" s="3284"/>
      <c r="CY13" s="3177" t="s">
        <v>1387</v>
      </c>
      <c r="CZ13" s="3223"/>
      <c r="DA13" s="3177" t="s">
        <v>1388</v>
      </c>
      <c r="DB13" s="3223"/>
      <c r="DC13" s="3177" t="s">
        <v>1389</v>
      </c>
      <c r="DD13" s="3223"/>
      <c r="DE13" s="3177" t="s">
        <v>1390</v>
      </c>
      <c r="DF13" s="3223"/>
      <c r="DG13" s="3221" t="s">
        <v>1391</v>
      </c>
      <c r="DH13" s="3222"/>
      <c r="DI13" s="3222"/>
      <c r="DJ13" s="3282"/>
      <c r="DK13" s="3290"/>
      <c r="DL13" s="3283"/>
      <c r="DM13" s="3283"/>
      <c r="DN13" s="3283"/>
      <c r="DO13" s="3283"/>
      <c r="DP13" s="3283"/>
      <c r="DQ13" s="3283"/>
      <c r="DR13" s="3283"/>
      <c r="DS13" s="3283"/>
      <c r="DT13" s="3283"/>
      <c r="DU13" s="3283"/>
      <c r="DV13" s="3283"/>
      <c r="DW13" s="3283"/>
      <c r="DX13" s="3283"/>
      <c r="DY13" s="3283"/>
      <c r="DZ13" s="3283"/>
      <c r="EA13" s="3283"/>
      <c r="EB13" s="3283"/>
      <c r="EC13" s="3283"/>
      <c r="ED13" s="3283"/>
      <c r="EE13" s="3283"/>
      <c r="EF13" s="3283"/>
      <c r="EG13" s="3283"/>
      <c r="EH13" s="3283"/>
      <c r="EI13" s="3283"/>
      <c r="EJ13" s="3283"/>
      <c r="EK13" s="3283"/>
      <c r="EL13" s="3283"/>
      <c r="EM13" s="3283"/>
      <c r="EN13" s="3283"/>
      <c r="EO13" s="3283"/>
      <c r="EP13" s="3283"/>
      <c r="EQ13" s="3283"/>
      <c r="ER13" s="3283"/>
      <c r="ES13" s="3283"/>
      <c r="ET13" s="3283"/>
      <c r="EU13" s="3283"/>
      <c r="EV13" s="3283"/>
      <c r="EW13" s="3283"/>
      <c r="EX13" s="3283"/>
      <c r="EY13" s="3283"/>
      <c r="EZ13" s="3283"/>
      <c r="FA13" s="3283"/>
      <c r="FB13" s="3283"/>
      <c r="FC13" s="3283"/>
      <c r="FD13" s="3283"/>
      <c r="FE13" s="3283"/>
      <c r="FF13" s="3283"/>
      <c r="FG13" s="3283"/>
      <c r="FH13" s="3283"/>
      <c r="FI13" s="3283"/>
      <c r="FJ13" s="3283"/>
      <c r="FK13" s="3283"/>
      <c r="FL13" s="3283"/>
      <c r="FM13" s="3283"/>
      <c r="FN13" s="3283"/>
      <c r="FO13" s="3283"/>
      <c r="FP13" s="3283"/>
      <c r="FQ13" s="3283"/>
      <c r="FR13" s="3283"/>
      <c r="FS13" s="3283"/>
      <c r="FT13" s="3283"/>
      <c r="FU13" s="3283"/>
      <c r="FV13" s="3283"/>
      <c r="FW13" s="3288"/>
      <c r="FX13" s="867"/>
      <c r="GC13" s="1026">
        <v>36</v>
      </c>
    </row>
    <row customHeight="1" ht="37.8">
      <c r="D14" s="1038"/>
      <c r="E14" s="1037"/>
      <c r="F14" s="3073"/>
      <c r="G14" s="3073"/>
      <c r="H14" s="3073"/>
      <c r="I14" s="3073"/>
      <c r="J14" s="3300"/>
      <c r="K14" s="3300"/>
      <c r="L14" s="3300"/>
      <c r="M14" s="3300"/>
      <c r="N14" s="3300"/>
      <c r="O14" s="3177" t="s">
        <v>1392</v>
      </c>
      <c r="P14" s="3223"/>
      <c r="Q14" s="3177" t="s">
        <v>1393</v>
      </c>
      <c r="R14" s="3223"/>
      <c r="S14" s="3178"/>
      <c r="T14" s="3081"/>
      <c r="U14" s="3177" t="s">
        <v>1000</v>
      </c>
      <c r="V14" s="3223"/>
      <c r="W14" s="3177" t="s">
        <v>1003</v>
      </c>
      <c r="X14" s="3223"/>
      <c r="Y14" s="3177" t="s">
        <v>1000</v>
      </c>
      <c r="Z14" s="3223"/>
      <c r="AA14" s="3177" t="s">
        <v>1010</v>
      </c>
      <c r="AB14" s="3223"/>
      <c r="AC14" s="3283"/>
      <c r="AD14" s="3283"/>
      <c r="AE14" s="3283"/>
      <c r="AF14" s="3283"/>
      <c r="AG14" s="3283"/>
      <c r="AH14" s="3283"/>
      <c r="AI14" s="3283"/>
      <c r="AJ14" s="3283"/>
      <c r="AK14" s="3283"/>
      <c r="AL14" s="3283"/>
      <c r="AM14" s="3283"/>
      <c r="AN14" s="3283"/>
      <c r="AO14" s="3283"/>
      <c r="AP14" s="3283"/>
      <c r="AQ14" s="3283"/>
      <c r="AR14" s="3283"/>
      <c r="AS14" s="3283"/>
      <c r="AT14" s="3283"/>
      <c r="AU14" s="3283"/>
      <c r="AV14" s="3283"/>
      <c r="AW14" s="3283"/>
      <c r="AX14" s="3283"/>
      <c r="AY14" s="3283"/>
      <c r="AZ14" s="3283"/>
      <c r="BA14" s="3283"/>
      <c r="BB14" s="3283"/>
      <c r="BC14" s="3283"/>
      <c r="BD14" s="3283"/>
      <c r="BE14" s="3283"/>
      <c r="BF14" s="3283"/>
      <c r="BG14" s="3283"/>
      <c r="BH14" s="3283"/>
      <c r="BI14" s="3283"/>
      <c r="BJ14" s="3283"/>
      <c r="BK14" s="3283"/>
      <c r="BL14" s="3283"/>
      <c r="BM14" s="3283"/>
      <c r="BN14" s="3283"/>
      <c r="BO14" s="3283"/>
      <c r="BP14" s="3283"/>
      <c r="BQ14" s="3283"/>
      <c r="BR14" s="3283"/>
      <c r="BS14" s="3284"/>
      <c r="BT14" s="3178"/>
      <c r="BU14" s="3081"/>
      <c r="BV14" s="3178"/>
      <c r="BW14" s="3081"/>
      <c r="BX14" s="3178"/>
      <c r="BY14" s="3081"/>
      <c r="BZ14" s="3178"/>
      <c r="CA14" s="3081"/>
      <c r="CB14" s="3178"/>
      <c r="CC14" s="3081"/>
      <c r="CD14" s="3178"/>
      <c r="CE14" s="3081"/>
      <c r="CF14" s="3178"/>
      <c r="CG14" s="3081"/>
      <c r="CH14" s="3177" t="s">
        <v>1394</v>
      </c>
      <c r="CI14" s="3223"/>
      <c r="CJ14" s="3177" t="s">
        <v>1395</v>
      </c>
      <c r="CK14" s="3223"/>
      <c r="CL14" s="3290"/>
      <c r="CM14" s="3283"/>
      <c r="CN14" s="3283"/>
      <c r="CO14" s="3283"/>
      <c r="CP14" s="3283"/>
      <c r="CQ14" s="3283"/>
      <c r="CR14" s="3283"/>
      <c r="CS14" s="3283"/>
      <c r="CT14" s="3283"/>
      <c r="CU14" s="3283"/>
      <c r="CV14" s="3283"/>
      <c r="CW14" s="3283"/>
      <c r="CX14" s="3284"/>
      <c r="CY14" s="3178"/>
      <c r="CZ14" s="3081"/>
      <c r="DA14" s="3178"/>
      <c r="DB14" s="3081"/>
      <c r="DC14" s="3178"/>
      <c r="DD14" s="3081"/>
      <c r="DE14" s="3178"/>
      <c r="DF14" s="3081"/>
      <c r="DG14" s="3177" t="s">
        <v>1396</v>
      </c>
      <c r="DH14" s="3223"/>
      <c r="DI14" s="3177" t="s">
        <v>1397</v>
      </c>
      <c r="DJ14" s="3223"/>
      <c r="DK14" s="3290"/>
      <c r="DL14" s="3283"/>
      <c r="DM14" s="3283"/>
      <c r="DN14" s="3283"/>
      <c r="DO14" s="3283"/>
      <c r="DP14" s="3283"/>
      <c r="DQ14" s="3283"/>
      <c r="DR14" s="3283"/>
      <c r="DS14" s="3283"/>
      <c r="DT14" s="3283"/>
      <c r="DU14" s="3283"/>
      <c r="DV14" s="3283"/>
      <c r="DW14" s="3283"/>
      <c r="DX14" s="3283"/>
      <c r="DY14" s="3283"/>
      <c r="DZ14" s="3283"/>
      <c r="EA14" s="3283"/>
      <c r="EB14" s="3283"/>
      <c r="EC14" s="3283"/>
      <c r="ED14" s="3283"/>
      <c r="EE14" s="3283"/>
      <c r="EF14" s="3283"/>
      <c r="EG14" s="3283"/>
      <c r="EH14" s="3283"/>
      <c r="EI14" s="3283"/>
      <c r="EJ14" s="3283"/>
      <c r="EK14" s="3283"/>
      <c r="EL14" s="3283"/>
      <c r="EM14" s="3283"/>
      <c r="EN14" s="3283"/>
      <c r="EO14" s="3283"/>
      <c r="EP14" s="3283"/>
      <c r="EQ14" s="3283"/>
      <c r="ER14" s="3283"/>
      <c r="ES14" s="3283"/>
      <c r="ET14" s="3283"/>
      <c r="EU14" s="3283"/>
      <c r="EV14" s="3283"/>
      <c r="EW14" s="3283"/>
      <c r="EX14" s="3283"/>
      <c r="EY14" s="3283"/>
      <c r="EZ14" s="3283"/>
      <c r="FA14" s="3283"/>
      <c r="FB14" s="3283"/>
      <c r="FC14" s="3283"/>
      <c r="FD14" s="3283"/>
      <c r="FE14" s="3283"/>
      <c r="FF14" s="3283"/>
      <c r="FG14" s="3283"/>
      <c r="FH14" s="3283"/>
      <c r="FI14" s="3283"/>
      <c r="FJ14" s="3283"/>
      <c r="FK14" s="3283"/>
      <c r="FL14" s="3283"/>
      <c r="FM14" s="3283"/>
      <c r="FN14" s="3283"/>
      <c r="FO14" s="3283"/>
      <c r="FP14" s="3283"/>
      <c r="FQ14" s="3283"/>
      <c r="FR14" s="3283"/>
      <c r="FS14" s="3283"/>
      <c r="FT14" s="3283"/>
      <c r="FU14" s="3283"/>
      <c r="FV14" s="3283"/>
      <c r="FW14" s="3288"/>
      <c r="FX14" s="867"/>
      <c r="GC14" s="1026">
        <v>36</v>
      </c>
    </row>
    <row customHeight="1" ht="37.8">
      <c r="D15" s="1038"/>
      <c r="E15" s="1037"/>
      <c r="F15" s="3073"/>
      <c r="G15" s="3073"/>
      <c r="H15" s="3073"/>
      <c r="I15" s="3073"/>
      <c r="J15" s="3300"/>
      <c r="K15" s="3300"/>
      <c r="L15" s="3300"/>
      <c r="M15" s="3300"/>
      <c r="N15" s="3300"/>
      <c r="O15" s="3179"/>
      <c r="P15" s="3255"/>
      <c r="Q15" s="3179"/>
      <c r="R15" s="3255"/>
      <c r="S15" s="3179"/>
      <c r="T15" s="3255"/>
      <c r="U15" s="3179"/>
      <c r="V15" s="3255"/>
      <c r="W15" s="3179"/>
      <c r="X15" s="3255"/>
      <c r="Y15" s="3179"/>
      <c r="Z15" s="3255"/>
      <c r="AA15" s="3179"/>
      <c r="AB15" s="3255"/>
      <c r="AC15" s="3283"/>
      <c r="AD15" s="3283"/>
      <c r="AE15" s="3283"/>
      <c r="AF15" s="3283"/>
      <c r="AG15" s="3283"/>
      <c r="AH15" s="3283"/>
      <c r="AI15" s="3283"/>
      <c r="AJ15" s="3283"/>
      <c r="AK15" s="3283"/>
      <c r="AL15" s="3283"/>
      <c r="AM15" s="3283"/>
      <c r="AN15" s="3283"/>
      <c r="AO15" s="3283"/>
      <c r="AP15" s="3283"/>
      <c r="AQ15" s="3283"/>
      <c r="AR15" s="3283"/>
      <c r="AS15" s="3283"/>
      <c r="AT15" s="3283"/>
      <c r="AU15" s="3283"/>
      <c r="AV15" s="3283"/>
      <c r="AW15" s="3283"/>
      <c r="AX15" s="3283"/>
      <c r="AY15" s="3283"/>
      <c r="AZ15" s="3283"/>
      <c r="BA15" s="3283"/>
      <c r="BB15" s="3283"/>
      <c r="BC15" s="3283"/>
      <c r="BD15" s="3283"/>
      <c r="BE15" s="3283"/>
      <c r="BF15" s="3283"/>
      <c r="BG15" s="3283"/>
      <c r="BH15" s="3283"/>
      <c r="BI15" s="3283"/>
      <c r="BJ15" s="3283"/>
      <c r="BK15" s="3283"/>
      <c r="BL15" s="3283"/>
      <c r="BM15" s="3283"/>
      <c r="BN15" s="3283"/>
      <c r="BO15" s="3283"/>
      <c r="BP15" s="3283"/>
      <c r="BQ15" s="3283"/>
      <c r="BR15" s="3283"/>
      <c r="BS15" s="3284"/>
      <c r="BT15" s="3179"/>
      <c r="BU15" s="3255"/>
      <c r="BV15" s="3179"/>
      <c r="BW15" s="3255"/>
      <c r="BX15" s="3179"/>
      <c r="BY15" s="3255"/>
      <c r="BZ15" s="3179"/>
      <c r="CA15" s="3255"/>
      <c r="CB15" s="3179"/>
      <c r="CC15" s="3255"/>
      <c r="CD15" s="3179"/>
      <c r="CE15" s="3255"/>
      <c r="CF15" s="3179"/>
      <c r="CG15" s="3255"/>
      <c r="CH15" s="3179"/>
      <c r="CI15" s="3255"/>
      <c r="CJ15" s="3179"/>
      <c r="CK15" s="3255"/>
      <c r="CL15" s="3290"/>
      <c r="CM15" s="3283"/>
      <c r="CN15" s="3283"/>
      <c r="CO15" s="3283"/>
      <c r="CP15" s="3283"/>
      <c r="CQ15" s="3283"/>
      <c r="CR15" s="3283"/>
      <c r="CS15" s="3283"/>
      <c r="CT15" s="3283"/>
      <c r="CU15" s="3283"/>
      <c r="CV15" s="3283"/>
      <c r="CW15" s="3283"/>
      <c r="CX15" s="3284"/>
      <c r="CY15" s="3179"/>
      <c r="CZ15" s="3255"/>
      <c r="DA15" s="3179"/>
      <c r="DB15" s="3255"/>
      <c r="DC15" s="3179"/>
      <c r="DD15" s="3255"/>
      <c r="DE15" s="3179"/>
      <c r="DF15" s="3255"/>
      <c r="DG15" s="3179"/>
      <c r="DH15" s="3255"/>
      <c r="DI15" s="3179"/>
      <c r="DJ15" s="3255"/>
      <c r="DK15" s="3290"/>
      <c r="DL15" s="3283"/>
      <c r="DM15" s="3283"/>
      <c r="DN15" s="3283"/>
      <c r="DO15" s="3283"/>
      <c r="DP15" s="3283"/>
      <c r="DQ15" s="3283"/>
      <c r="DR15" s="3283"/>
      <c r="DS15" s="3283"/>
      <c r="DT15" s="3283"/>
      <c r="DU15" s="3283"/>
      <c r="DV15" s="3283"/>
      <c r="DW15" s="3283"/>
      <c r="DX15" s="3283"/>
      <c r="DY15" s="3283"/>
      <c r="DZ15" s="3283"/>
      <c r="EA15" s="3283"/>
      <c r="EB15" s="3283"/>
      <c r="EC15" s="3283"/>
      <c r="ED15" s="3283"/>
      <c r="EE15" s="3283"/>
      <c r="EF15" s="3283"/>
      <c r="EG15" s="3283"/>
      <c r="EH15" s="3283"/>
      <c r="EI15" s="3283"/>
      <c r="EJ15" s="3283"/>
      <c r="EK15" s="3283"/>
      <c r="EL15" s="3283"/>
      <c r="EM15" s="3283"/>
      <c r="EN15" s="3283"/>
      <c r="EO15" s="3283"/>
      <c r="EP15" s="3283"/>
      <c r="EQ15" s="3283"/>
      <c r="ER15" s="3283"/>
      <c r="ES15" s="3283"/>
      <c r="ET15" s="3283"/>
      <c r="EU15" s="3283"/>
      <c r="EV15" s="3283"/>
      <c r="EW15" s="3283"/>
      <c r="EX15" s="3283"/>
      <c r="EY15" s="3283"/>
      <c r="EZ15" s="3283"/>
      <c r="FA15" s="3283"/>
      <c r="FB15" s="3283"/>
      <c r="FC15" s="3283"/>
      <c r="FD15" s="3283"/>
      <c r="FE15" s="3283"/>
      <c r="FF15" s="3283"/>
      <c r="FG15" s="3283"/>
      <c r="FH15" s="3283"/>
      <c r="FI15" s="3283"/>
      <c r="FJ15" s="3283"/>
      <c r="FK15" s="3283"/>
      <c r="FL15" s="3283"/>
      <c r="FM15" s="3283"/>
      <c r="FN15" s="3283"/>
      <c r="FO15" s="3283"/>
      <c r="FP15" s="3283"/>
      <c r="FQ15" s="3283"/>
      <c r="FR15" s="3283"/>
      <c r="FS15" s="3283"/>
      <c r="FT15" s="3283"/>
      <c r="FU15" s="3283"/>
      <c r="FV15" s="3283"/>
      <c r="FW15" s="3288"/>
      <c r="FX15" s="867"/>
      <c r="GC15" s="1026">
        <v>36</v>
      </c>
    </row>
    <row customHeight="1" ht="12.75">
      <c r="D16" s="1038"/>
      <c r="E16" s="1037"/>
      <c r="F16" s="3073"/>
      <c r="G16" s="3073"/>
      <c r="H16" s="3073"/>
      <c r="I16" s="3073"/>
      <c r="J16" s="3300"/>
      <c r="K16" s="3300"/>
      <c r="L16" s="3300"/>
      <c r="M16" s="3300"/>
      <c r="N16" s="3300"/>
      <c r="O16" s="3221" t="s">
        <v>990</v>
      </c>
      <c r="P16" s="3282"/>
      <c r="Q16" s="3221" t="s">
        <v>992</v>
      </c>
      <c r="R16" s="3282"/>
      <c r="S16" s="3221" t="s">
        <v>996</v>
      </c>
      <c r="T16" s="3282"/>
      <c r="U16" s="3221" t="s">
        <v>1001</v>
      </c>
      <c r="V16" s="3282"/>
      <c r="W16" s="3221" t="s">
        <v>1004</v>
      </c>
      <c r="X16" s="3282"/>
      <c r="Y16" s="3221" t="s">
        <v>1008</v>
      </c>
      <c r="Z16" s="3282"/>
      <c r="AA16" s="3221" t="s">
        <v>1011</v>
      </c>
      <c r="AB16" s="3282"/>
      <c r="AC16" s="3283"/>
      <c r="AD16" s="3283"/>
      <c r="AE16" s="3283"/>
      <c r="AF16" s="3283"/>
      <c r="AG16" s="3283"/>
      <c r="AH16" s="3283"/>
      <c r="AI16" s="3283"/>
      <c r="AJ16" s="3283"/>
      <c r="AK16" s="3283"/>
      <c r="AL16" s="3283"/>
      <c r="AM16" s="3283"/>
      <c r="AN16" s="3283"/>
      <c r="AO16" s="3283"/>
      <c r="AP16" s="3283"/>
      <c r="AQ16" s="3283"/>
      <c r="AR16" s="3283"/>
      <c r="AS16" s="3283"/>
      <c r="AT16" s="3283"/>
      <c r="AU16" s="3283"/>
      <c r="AV16" s="3283"/>
      <c r="AW16" s="3283"/>
      <c r="AX16" s="3283"/>
      <c r="AY16" s="3283"/>
      <c r="AZ16" s="3283"/>
      <c r="BA16" s="3283"/>
      <c r="BB16" s="3283"/>
      <c r="BC16" s="3283"/>
      <c r="BD16" s="3283"/>
      <c r="BE16" s="3283"/>
      <c r="BF16" s="3283"/>
      <c r="BG16" s="3283"/>
      <c r="BH16" s="3283"/>
      <c r="BI16" s="3283"/>
      <c r="BJ16" s="3283"/>
      <c r="BK16" s="3283"/>
      <c r="BL16" s="3283"/>
      <c r="BM16" s="3283"/>
      <c r="BN16" s="3283"/>
      <c r="BO16" s="3283"/>
      <c r="BP16" s="3283"/>
      <c r="BQ16" s="3283"/>
      <c r="BR16" s="3283"/>
      <c r="BS16" s="3284"/>
      <c r="BT16" s="3221" t="s">
        <v>643</v>
      </c>
      <c r="BU16" s="3282"/>
      <c r="BV16" s="3221" t="s">
        <v>643</v>
      </c>
      <c r="BW16" s="3282"/>
      <c r="BX16" s="3221" t="s">
        <v>643</v>
      </c>
      <c r="BY16" s="3282"/>
      <c r="BZ16" s="3221" t="s">
        <v>643</v>
      </c>
      <c r="CA16" s="3282"/>
      <c r="CB16" s="3221" t="s">
        <v>1398</v>
      </c>
      <c r="CC16" s="3282"/>
      <c r="CD16" s="3221" t="s">
        <v>643</v>
      </c>
      <c r="CE16" s="3282"/>
      <c r="CF16" s="3221" t="s">
        <v>1399</v>
      </c>
      <c r="CG16" s="3282"/>
      <c r="CH16" s="3221" t="s">
        <v>1400</v>
      </c>
      <c r="CI16" s="3282"/>
      <c r="CJ16" s="3221" t="s">
        <v>1400</v>
      </c>
      <c r="CK16" s="3282"/>
      <c r="CL16" s="3290"/>
      <c r="CM16" s="3283"/>
      <c r="CN16" s="3283"/>
      <c r="CO16" s="3283"/>
      <c r="CP16" s="3283"/>
      <c r="CQ16" s="3283"/>
      <c r="CR16" s="3283"/>
      <c r="CS16" s="3283"/>
      <c r="CT16" s="3283"/>
      <c r="CU16" s="3283"/>
      <c r="CV16" s="3283"/>
      <c r="CW16" s="3283"/>
      <c r="CX16" s="3284"/>
      <c r="CY16" s="3177" t="s">
        <v>643</v>
      </c>
      <c r="CZ16" s="3223"/>
      <c r="DA16" s="3177" t="s">
        <v>643</v>
      </c>
      <c r="DB16" s="3223"/>
      <c r="DC16" s="3177" t="s">
        <v>643</v>
      </c>
      <c r="DD16" s="3223"/>
      <c r="DE16" s="3221" t="s">
        <v>1398</v>
      </c>
      <c r="DF16" s="3282"/>
      <c r="DG16" s="3221" t="s">
        <v>1401</v>
      </c>
      <c r="DH16" s="3282"/>
      <c r="DI16" s="3221" t="s">
        <v>1401</v>
      </c>
      <c r="DJ16" s="3282"/>
      <c r="DK16" s="3290"/>
      <c r="DL16" s="3283"/>
      <c r="DM16" s="3283"/>
      <c r="DN16" s="3283"/>
      <c r="DO16" s="3283"/>
      <c r="DP16" s="3283"/>
      <c r="DQ16" s="3283"/>
      <c r="DR16" s="3283"/>
      <c r="DS16" s="3283"/>
      <c r="DT16" s="3283"/>
      <c r="DU16" s="3283"/>
      <c r="DV16" s="3283"/>
      <c r="DW16" s="3283"/>
      <c r="DX16" s="3283"/>
      <c r="DY16" s="3283"/>
      <c r="DZ16" s="3283"/>
      <c r="EA16" s="3283"/>
      <c r="EB16" s="3283"/>
      <c r="EC16" s="3283"/>
      <c r="ED16" s="3283"/>
      <c r="EE16" s="3283"/>
      <c r="EF16" s="3283"/>
      <c r="EG16" s="3283"/>
      <c r="EH16" s="3283"/>
      <c r="EI16" s="3283"/>
      <c r="EJ16" s="3283"/>
      <c r="EK16" s="3283"/>
      <c r="EL16" s="3283"/>
      <c r="EM16" s="3283"/>
      <c r="EN16" s="3283"/>
      <c r="EO16" s="3283"/>
      <c r="EP16" s="3283"/>
      <c r="EQ16" s="3283"/>
      <c r="ER16" s="3283"/>
      <c r="ES16" s="3283"/>
      <c r="ET16" s="3283"/>
      <c r="EU16" s="3283"/>
      <c r="EV16" s="3283"/>
      <c r="EW16" s="3283"/>
      <c r="EX16" s="3283"/>
      <c r="EY16" s="3283"/>
      <c r="EZ16" s="3283"/>
      <c r="FA16" s="3283"/>
      <c r="FB16" s="3283"/>
      <c r="FC16" s="3283"/>
      <c r="FD16" s="3283"/>
      <c r="FE16" s="3283"/>
      <c r="FF16" s="3283"/>
      <c r="FG16" s="3283"/>
      <c r="FH16" s="3283"/>
      <c r="FI16" s="3283"/>
      <c r="FJ16" s="3283"/>
      <c r="FK16" s="3283"/>
      <c r="FL16" s="3283"/>
      <c r="FM16" s="3283"/>
      <c r="FN16" s="3283"/>
      <c r="FO16" s="3283"/>
      <c r="FP16" s="3283"/>
      <c r="FQ16" s="3283"/>
      <c r="FR16" s="3283"/>
      <c r="FS16" s="3283"/>
      <c r="FT16" s="3283"/>
      <c r="FU16" s="3283"/>
      <c r="FV16" s="3283"/>
      <c r="FW16" s="3288"/>
      <c r="FX16" s="867"/>
      <c r="GC16" s="1026">
        <v>12</v>
      </c>
    </row>
    <row customHeight="1" ht="15.75">
      <c r="E17" s="1037"/>
      <c r="F17" s="3073"/>
      <c r="G17" s="3073"/>
      <c r="H17" s="3073"/>
      <c r="I17" s="3073"/>
      <c r="J17" s="3300"/>
      <c r="K17" s="3300"/>
      <c r="L17" s="3300"/>
      <c r="M17" s="3300"/>
      <c r="N17" s="3300"/>
      <c r="O17" s="1287" t="s">
        <v>1402</v>
      </c>
      <c r="P17" s="1287" t="s">
        <v>1403</v>
      </c>
      <c r="Q17" s="1287" t="s">
        <v>1402</v>
      </c>
      <c r="R17" s="1287" t="s">
        <v>1403</v>
      </c>
      <c r="S17" s="1287" t="s">
        <v>1402</v>
      </c>
      <c r="T17" s="1287" t="s">
        <v>1403</v>
      </c>
      <c r="U17" s="1287" t="s">
        <v>1402</v>
      </c>
      <c r="V17" s="1287" t="s">
        <v>1403</v>
      </c>
      <c r="W17" s="1287" t="s">
        <v>1402</v>
      </c>
      <c r="X17" s="1287" t="s">
        <v>1403</v>
      </c>
      <c r="Y17" s="1287" t="s">
        <v>1402</v>
      </c>
      <c r="Z17" s="1287" t="s">
        <v>1403</v>
      </c>
      <c r="AA17" s="1287" t="s">
        <v>1402</v>
      </c>
      <c r="AB17" s="1287" t="s">
        <v>1403</v>
      </c>
      <c r="AC17" s="3283"/>
      <c r="AD17" s="3283"/>
      <c r="AE17" s="3283"/>
      <c r="AF17" s="3283"/>
      <c r="AG17" s="3283"/>
      <c r="AH17" s="3283"/>
      <c r="AI17" s="3283"/>
      <c r="AJ17" s="3283"/>
      <c r="AK17" s="3283"/>
      <c r="AL17" s="3283"/>
      <c r="AM17" s="3283"/>
      <c r="AN17" s="3283"/>
      <c r="AO17" s="3283"/>
      <c r="AP17" s="3283"/>
      <c r="AQ17" s="3283"/>
      <c r="AR17" s="3283"/>
      <c r="AS17" s="3283"/>
      <c r="AT17" s="3283"/>
      <c r="AU17" s="3283"/>
      <c r="AV17" s="3283"/>
      <c r="AW17" s="3283"/>
      <c r="AX17" s="3283"/>
      <c r="AY17" s="3283"/>
      <c r="AZ17" s="3283"/>
      <c r="BA17" s="3283"/>
      <c r="BB17" s="3283"/>
      <c r="BC17" s="3283"/>
      <c r="BD17" s="3283"/>
      <c r="BE17" s="3283"/>
      <c r="BF17" s="3283"/>
      <c r="BG17" s="3283"/>
      <c r="BH17" s="3283"/>
      <c r="BI17" s="3283"/>
      <c r="BJ17" s="3283"/>
      <c r="BK17" s="3283"/>
      <c r="BL17" s="3283"/>
      <c r="BM17" s="3283"/>
      <c r="BN17" s="3283"/>
      <c r="BO17" s="3283"/>
      <c r="BP17" s="3283"/>
      <c r="BQ17" s="3283"/>
      <c r="BR17" s="3283"/>
      <c r="BS17" s="3284"/>
      <c r="BT17" s="1287" t="s">
        <v>1402</v>
      </c>
      <c r="BU17" s="1287" t="s">
        <v>1403</v>
      </c>
      <c r="BV17" s="1287" t="s">
        <v>1402</v>
      </c>
      <c r="BW17" s="1287" t="s">
        <v>1403</v>
      </c>
      <c r="BX17" s="1287" t="s">
        <v>1402</v>
      </c>
      <c r="BY17" s="1287" t="s">
        <v>1403</v>
      </c>
      <c r="BZ17" s="1287" t="s">
        <v>1402</v>
      </c>
      <c r="CA17" s="1287" t="s">
        <v>1403</v>
      </c>
      <c r="CB17" s="1287" t="s">
        <v>1402</v>
      </c>
      <c r="CC17" s="1287" t="s">
        <v>1403</v>
      </c>
      <c r="CD17" s="1287" t="s">
        <v>1402</v>
      </c>
      <c r="CE17" s="1287" t="s">
        <v>1403</v>
      </c>
      <c r="CF17" s="1287" t="s">
        <v>1402</v>
      </c>
      <c r="CG17" s="1287" t="s">
        <v>1403</v>
      </c>
      <c r="CH17" s="1287" t="s">
        <v>1402</v>
      </c>
      <c r="CI17" s="1287" t="s">
        <v>1403</v>
      </c>
      <c r="CJ17" s="1287" t="s">
        <v>1402</v>
      </c>
      <c r="CK17" s="1287" t="s">
        <v>1403</v>
      </c>
      <c r="CL17" s="3290"/>
      <c r="CM17" s="3283"/>
      <c r="CN17" s="3283"/>
      <c r="CO17" s="3283"/>
      <c r="CP17" s="3283"/>
      <c r="CQ17" s="3283"/>
      <c r="CR17" s="3283"/>
      <c r="CS17" s="3283"/>
      <c r="CT17" s="3283"/>
      <c r="CU17" s="3283"/>
      <c r="CV17" s="3283"/>
      <c r="CW17" s="3283"/>
      <c r="CX17" s="3284"/>
      <c r="CY17" s="1287" t="s">
        <v>1402</v>
      </c>
      <c r="CZ17" s="1287" t="s">
        <v>1403</v>
      </c>
      <c r="DA17" s="1287" t="s">
        <v>1402</v>
      </c>
      <c r="DB17" s="1287" t="s">
        <v>1403</v>
      </c>
      <c r="DC17" s="1287" t="s">
        <v>1402</v>
      </c>
      <c r="DD17" s="1287" t="s">
        <v>1403</v>
      </c>
      <c r="DE17" s="1287" t="s">
        <v>1402</v>
      </c>
      <c r="DF17" s="1287" t="s">
        <v>1403</v>
      </c>
      <c r="DG17" s="1287" t="s">
        <v>1402</v>
      </c>
      <c r="DH17" s="1287" t="s">
        <v>1403</v>
      </c>
      <c r="DI17" s="1287" t="s">
        <v>1402</v>
      </c>
      <c r="DJ17" s="1287" t="s">
        <v>1403</v>
      </c>
      <c r="DK17" s="3290"/>
      <c r="DL17" s="3283"/>
      <c r="DM17" s="3283"/>
      <c r="DN17" s="3283"/>
      <c r="DO17" s="3283"/>
      <c r="DP17" s="3283"/>
      <c r="DQ17" s="3283"/>
      <c r="DR17" s="3283"/>
      <c r="DS17" s="3283"/>
      <c r="DT17" s="3283"/>
      <c r="DU17" s="3283"/>
      <c r="DV17" s="3283"/>
      <c r="DW17" s="3283"/>
      <c r="DX17" s="3283"/>
      <c r="DY17" s="3283"/>
      <c r="DZ17" s="3283"/>
      <c r="EA17" s="3283"/>
      <c r="EB17" s="3283"/>
      <c r="EC17" s="3283"/>
      <c r="ED17" s="3283"/>
      <c r="EE17" s="3283"/>
      <c r="EF17" s="3283"/>
      <c r="EG17" s="3283"/>
      <c r="EH17" s="3283"/>
      <c r="EI17" s="3283"/>
      <c r="EJ17" s="3283"/>
      <c r="EK17" s="3283"/>
      <c r="EL17" s="3283"/>
      <c r="EM17" s="3283"/>
      <c r="EN17" s="3283"/>
      <c r="EO17" s="3283"/>
      <c r="EP17" s="3283"/>
      <c r="EQ17" s="3283"/>
      <c r="ER17" s="3283"/>
      <c r="ES17" s="3283"/>
      <c r="ET17" s="3283"/>
      <c r="EU17" s="3283"/>
      <c r="EV17" s="3283"/>
      <c r="EW17" s="3283"/>
      <c r="EX17" s="3283"/>
      <c r="EY17" s="3283"/>
      <c r="EZ17" s="3283"/>
      <c r="FA17" s="3283"/>
      <c r="FB17" s="3283"/>
      <c r="FC17" s="3283"/>
      <c r="FD17" s="3283"/>
      <c r="FE17" s="3283"/>
      <c r="FF17" s="3283"/>
      <c r="FG17" s="3283"/>
      <c r="FH17" s="3283"/>
      <c r="FI17" s="3283"/>
      <c r="FJ17" s="3283"/>
      <c r="FK17" s="3283"/>
      <c r="FL17" s="3283"/>
      <c r="FM17" s="3283"/>
      <c r="FN17" s="3283"/>
      <c r="FO17" s="3283"/>
      <c r="FP17" s="3283"/>
      <c r="FQ17" s="3283"/>
      <c r="FR17" s="3283"/>
      <c r="FS17" s="3283"/>
      <c r="FT17" s="3283"/>
      <c r="FU17" s="3283"/>
      <c r="FV17" s="3283"/>
      <c r="FW17" s="3289"/>
      <c r="FX17" s="867"/>
      <c r="GC17" s="1026">
        <v>15</v>
      </c>
    </row>
    <row s="12581" customFormat="1" customHeight="1" ht="12" hidden="1">
      <c r="B18" s="1023"/>
      <c r="E18" s="1039"/>
      <c r="F18" s="1288"/>
      <c r="G18" s="1288"/>
      <c r="H18" s="1288"/>
      <c r="I18" s="1288"/>
      <c r="J18" s="1289"/>
      <c r="K18" s="1289"/>
      <c r="L18" s="1289"/>
      <c r="M18" s="1289"/>
      <c r="N18" s="1289"/>
      <c r="O18" s="1288"/>
      <c r="P18" s="1288"/>
      <c r="Q18" s="1288"/>
      <c r="R18" s="1288"/>
      <c r="S18" s="1288"/>
      <c r="T18" s="1288"/>
      <c r="U18" s="1290"/>
      <c r="V18" s="1290"/>
      <c r="W18" s="1290"/>
      <c r="X18" s="1290"/>
      <c r="Y18" s="1290"/>
      <c r="Z18" s="1290"/>
      <c r="AA18" s="1290"/>
      <c r="AB18" s="1288"/>
      <c r="AC18" s="1289"/>
      <c r="AD18" s="1289"/>
      <c r="AE18" s="1289"/>
      <c r="AF18" s="1289"/>
      <c r="AG18" s="1289"/>
      <c r="AH18" s="1289"/>
      <c r="AI18" s="1289"/>
      <c r="AJ18" s="1289"/>
      <c r="AK18" s="1289"/>
      <c r="AL18" s="1289"/>
      <c r="AM18" s="1289"/>
      <c r="AN18" s="1289"/>
      <c r="AO18" s="1289"/>
      <c r="AP18" s="1289"/>
      <c r="AQ18" s="1289"/>
      <c r="AR18" s="1289"/>
      <c r="AS18" s="1289"/>
      <c r="AT18" s="1289"/>
      <c r="AU18" s="1289"/>
      <c r="AV18" s="1289"/>
      <c r="AW18" s="1289"/>
      <c r="AX18" s="1289"/>
      <c r="AY18" s="1289"/>
      <c r="AZ18" s="1289"/>
      <c r="BA18" s="1289"/>
      <c r="BB18" s="1289"/>
      <c r="BC18" s="1289"/>
      <c r="BD18" s="1289"/>
      <c r="BE18" s="1289"/>
      <c r="BF18" s="1289"/>
      <c r="BG18" s="1289"/>
      <c r="BH18" s="1289"/>
      <c r="BI18" s="1289"/>
      <c r="BJ18" s="1289"/>
      <c r="BK18" s="1289"/>
      <c r="BL18" s="1289"/>
      <c r="BM18" s="1289"/>
      <c r="BN18" s="1289"/>
      <c r="BO18" s="1289"/>
      <c r="BP18" s="1289"/>
      <c r="BQ18" s="1289"/>
      <c r="BR18" s="1289"/>
      <c r="BS18" s="1289"/>
      <c r="BT18" s="1291"/>
      <c r="BU18" s="1291"/>
      <c r="BV18" s="1291"/>
      <c r="BW18" s="1291"/>
      <c r="BX18" s="1291"/>
      <c r="BY18" s="1291"/>
      <c r="BZ18" s="1291"/>
      <c r="CA18" s="1291"/>
      <c r="CB18" s="1291"/>
      <c r="CC18" s="1291"/>
      <c r="CD18" s="1291"/>
      <c r="CE18" s="1291"/>
      <c r="CF18" s="1291"/>
      <c r="CG18" s="1291"/>
      <c r="CH18" s="1291"/>
      <c r="CI18" s="1291"/>
      <c r="CJ18" s="1291"/>
      <c r="CK18" s="1291"/>
      <c r="CL18" s="1289"/>
      <c r="CM18" s="1289"/>
      <c r="CN18" s="1289"/>
      <c r="CO18" s="1289"/>
      <c r="CP18" s="1289"/>
      <c r="CQ18" s="1289"/>
      <c r="CR18" s="1289"/>
      <c r="CS18" s="1289"/>
      <c r="CT18" s="1289"/>
      <c r="CU18" s="1289"/>
      <c r="CV18" s="1289"/>
      <c r="CW18" s="1289"/>
      <c r="CX18" s="1289"/>
      <c r="CY18" s="1291"/>
      <c r="CZ18" s="1291"/>
      <c r="DA18" s="1291"/>
      <c r="DB18" s="1291"/>
      <c r="DC18" s="1291"/>
      <c r="DD18" s="1291"/>
      <c r="DE18" s="1291"/>
      <c r="DF18" s="1291"/>
      <c r="DG18" s="1291"/>
      <c r="DH18" s="1291"/>
      <c r="DI18" s="1291"/>
      <c r="DJ18" s="1291"/>
      <c r="DK18" s="1289"/>
      <c r="DL18" s="1289"/>
      <c r="DM18" s="1289"/>
      <c r="DN18" s="1289"/>
      <c r="DO18" s="1289"/>
      <c r="DP18" s="1289"/>
      <c r="DQ18" s="1289"/>
      <c r="DR18" s="1289"/>
      <c r="DS18" s="1289"/>
      <c r="DT18" s="1289"/>
      <c r="DU18" s="1289"/>
      <c r="DV18" s="1289"/>
      <c r="DW18" s="1289"/>
      <c r="DX18" s="1289"/>
      <c r="DY18" s="1289"/>
      <c r="DZ18" s="1289"/>
      <c r="EA18" s="1289"/>
      <c r="EB18" s="1289"/>
      <c r="EC18" s="1289"/>
      <c r="ED18" s="1289"/>
      <c r="EE18" s="1289"/>
      <c r="EF18" s="1289"/>
      <c r="EG18" s="1289"/>
      <c r="EH18" s="1289"/>
      <c r="EI18" s="1289"/>
      <c r="EJ18" s="1289"/>
      <c r="EK18" s="1289"/>
      <c r="EL18" s="1289"/>
      <c r="EM18" s="1289"/>
      <c r="EN18" s="1289"/>
      <c r="EO18" s="1289"/>
      <c r="EP18" s="1289"/>
      <c r="EQ18" s="1289"/>
      <c r="ER18" s="1289"/>
      <c r="ES18" s="1289"/>
      <c r="ET18" s="1289"/>
      <c r="EU18" s="1289"/>
      <c r="EV18" s="1289"/>
      <c r="EW18" s="1289"/>
      <c r="EX18" s="1289"/>
      <c r="EY18" s="1289"/>
      <c r="EZ18" s="1289"/>
      <c r="FA18" s="1289"/>
      <c r="FB18" s="1289"/>
      <c r="FC18" s="1289"/>
      <c r="FD18" s="1289"/>
      <c r="FE18" s="1289"/>
      <c r="FF18" s="1289"/>
      <c r="FG18" s="1289"/>
      <c r="FH18" s="1289"/>
      <c r="FI18" s="1289"/>
      <c r="FJ18" s="1289"/>
      <c r="FK18" s="1289"/>
      <c r="FL18" s="1289"/>
      <c r="FM18" s="1289"/>
      <c r="FN18" s="1289"/>
      <c r="FO18" s="1289"/>
      <c r="FP18" s="1289"/>
      <c r="FQ18" s="1289"/>
      <c r="FR18" s="1289"/>
      <c r="FS18" s="1289"/>
      <c r="FT18" s="1289"/>
      <c r="FU18" s="1289"/>
      <c r="FV18" s="1289"/>
      <c r="FW18" s="1288"/>
      <c r="FX18" s="1292"/>
      <c r="GC18" s="1024">
        <v>0</v>
      </c>
    </row>
    <row s="12581" customFormat="1" customHeight="1" ht="11.25" hidden="1">
      <c r="B19" s="1023"/>
      <c r="E19" s="1039"/>
      <c r="F19" s="1288"/>
      <c r="G19" s="1288"/>
      <c r="H19" s="1288"/>
      <c r="I19" s="1288"/>
      <c r="J19" s="1288"/>
      <c r="K19" s="1288"/>
      <c r="L19" s="1288"/>
      <c r="M19" s="1288"/>
      <c r="N19" s="1288"/>
      <c r="O19" s="1288"/>
      <c r="P19" s="1288"/>
      <c r="Q19" s="1288"/>
      <c r="R19" s="1288"/>
      <c r="S19" s="1288"/>
      <c r="T19" s="1288"/>
      <c r="U19" s="1290"/>
      <c r="V19" s="1290"/>
      <c r="W19" s="1290"/>
      <c r="X19" s="1290"/>
      <c r="Y19" s="1290"/>
      <c r="Z19" s="1290"/>
      <c r="AA19" s="1290"/>
      <c r="AB19" s="1288"/>
      <c r="AC19" s="1288"/>
      <c r="AD19" s="1288"/>
      <c r="AE19" s="1288"/>
      <c r="AF19" s="1288"/>
      <c r="AG19" s="1288"/>
      <c r="AH19" s="1288"/>
      <c r="AI19" s="1288"/>
      <c r="AJ19" s="1288"/>
      <c r="AK19" s="1288"/>
      <c r="AL19" s="1288"/>
      <c r="AM19" s="1288"/>
      <c r="AN19" s="1288"/>
      <c r="AO19" s="1288"/>
      <c r="AP19" s="1288"/>
      <c r="AQ19" s="1288"/>
      <c r="AR19" s="1288"/>
      <c r="AS19" s="1288"/>
      <c r="AT19" s="1288"/>
      <c r="AU19" s="1288"/>
      <c r="AV19" s="1288"/>
      <c r="AW19" s="1288"/>
      <c r="AX19" s="1288"/>
      <c r="AY19" s="1288"/>
      <c r="AZ19" s="1288"/>
      <c r="BA19" s="1288"/>
      <c r="BB19" s="1288"/>
      <c r="BC19" s="1288"/>
      <c r="BD19" s="1288"/>
      <c r="BE19" s="1288"/>
      <c r="BF19" s="1288"/>
      <c r="BG19" s="1288"/>
      <c r="BH19" s="1288"/>
      <c r="BI19" s="1288"/>
      <c r="BJ19" s="1288"/>
      <c r="BK19" s="1288"/>
      <c r="BL19" s="1288"/>
      <c r="BM19" s="1288"/>
      <c r="BN19" s="1288"/>
      <c r="BO19" s="1288"/>
      <c r="BP19" s="1288"/>
      <c r="BQ19" s="1288"/>
      <c r="BR19" s="1288"/>
      <c r="BS19" s="1288"/>
      <c r="BT19" s="1288"/>
      <c r="BU19" s="1288"/>
      <c r="BV19" s="1288"/>
      <c r="BW19" s="1288"/>
      <c r="BX19" s="1288"/>
      <c r="BY19" s="1288"/>
      <c r="BZ19" s="1288"/>
      <c r="CA19" s="1288"/>
      <c r="CB19" s="1288"/>
      <c r="CC19" s="1288"/>
      <c r="CD19" s="1288"/>
      <c r="CE19" s="1288"/>
      <c r="CF19" s="1288"/>
      <c r="CG19" s="1288"/>
      <c r="CH19" s="1288"/>
      <c r="CI19" s="1288"/>
      <c r="CJ19" s="1288"/>
      <c r="CK19" s="1288"/>
      <c r="CL19" s="1288"/>
      <c r="CM19" s="1288"/>
      <c r="CN19" s="1288"/>
      <c r="CO19" s="1288"/>
      <c r="CP19" s="1288"/>
      <c r="CQ19" s="1288"/>
      <c r="CR19" s="1288"/>
      <c r="CS19" s="1288"/>
      <c r="CT19" s="1288"/>
      <c r="CU19" s="1288"/>
      <c r="CV19" s="1288"/>
      <c r="CW19" s="1288"/>
      <c r="CX19" s="1288"/>
      <c r="CY19" s="1288"/>
      <c r="CZ19" s="1288"/>
      <c r="DA19" s="1288"/>
      <c r="DB19" s="1288"/>
      <c r="DC19" s="1288"/>
      <c r="DD19" s="1288"/>
      <c r="DE19" s="1288"/>
      <c r="DF19" s="1288"/>
      <c r="DG19" s="1288"/>
      <c r="DH19" s="1288"/>
      <c r="DI19" s="1288"/>
      <c r="DJ19" s="1288"/>
      <c r="DK19" s="1288"/>
      <c r="DL19" s="1288"/>
      <c r="DM19" s="1288"/>
      <c r="DN19" s="1288"/>
      <c r="DO19" s="1288"/>
      <c r="DP19" s="1288"/>
      <c r="DQ19" s="1288"/>
      <c r="DR19" s="1288"/>
      <c r="DS19" s="1288"/>
      <c r="DT19" s="1288"/>
      <c r="DU19" s="1288"/>
      <c r="DV19" s="1288"/>
      <c r="DW19" s="1288"/>
      <c r="DX19" s="1288"/>
      <c r="DY19" s="1288"/>
      <c r="DZ19" s="1288"/>
      <c r="EA19" s="1288"/>
      <c r="EB19" s="1288"/>
      <c r="EC19" s="1288"/>
      <c r="ED19" s="1288"/>
      <c r="EE19" s="1288"/>
      <c r="EF19" s="1288"/>
      <c r="EG19" s="1288"/>
      <c r="EH19" s="1288"/>
      <c r="EI19" s="1288"/>
      <c r="EJ19" s="1288"/>
      <c r="EK19" s="1288"/>
      <c r="EL19" s="1288"/>
      <c r="EM19" s="1288"/>
      <c r="EN19" s="1288"/>
      <c r="EO19" s="1288"/>
      <c r="EP19" s="1288"/>
      <c r="EQ19" s="1288"/>
      <c r="ER19" s="1288"/>
      <c r="ES19" s="1288"/>
      <c r="ET19" s="1288"/>
      <c r="EU19" s="1288"/>
      <c r="EV19" s="1288"/>
      <c r="EW19" s="1288"/>
      <c r="EX19" s="1288"/>
      <c r="EY19" s="1288"/>
      <c r="EZ19" s="1288"/>
      <c r="FA19" s="1288"/>
      <c r="FB19" s="1288"/>
      <c r="FC19" s="1288"/>
      <c r="FD19" s="1288"/>
      <c r="FE19" s="1288"/>
      <c r="FF19" s="1288"/>
      <c r="FG19" s="1288"/>
      <c r="FH19" s="1288"/>
      <c r="FI19" s="1288"/>
      <c r="FJ19" s="1288"/>
      <c r="FK19" s="1288"/>
      <c r="FL19" s="1288"/>
      <c r="FM19" s="1288"/>
      <c r="FN19" s="1288"/>
      <c r="FO19" s="1288"/>
      <c r="FP19" s="1288"/>
      <c r="FQ19" s="1288"/>
      <c r="FR19" s="1288"/>
      <c r="FS19" s="1288"/>
      <c r="FT19" s="1288"/>
      <c r="FU19" s="1288"/>
      <c r="FV19" s="1288"/>
      <c r="FW19" s="1288"/>
      <c r="FX19" s="1292"/>
      <c r="GC19" s="1024">
        <v>0</v>
      </c>
    </row>
    <row s="12581" customFormat="1" customHeight="1" ht="11.25" hidden="1">
      <c r="B20" s="1040"/>
      <c r="D20" s="1024"/>
      <c r="E20" s="1039"/>
      <c r="F20" s="1293" t="s">
        <v>461</v>
      </c>
      <c r="G20" s="1294"/>
      <c r="H20" s="1295"/>
      <c r="I20" s="1295"/>
      <c r="J20" s="1295"/>
      <c r="K20" s="1295"/>
      <c r="L20" s="1295"/>
      <c r="M20" s="1295"/>
      <c r="N20" s="1295"/>
      <c r="O20" s="1294"/>
      <c r="P20" s="1294"/>
      <c r="Q20" s="1294"/>
      <c r="R20" s="1294"/>
      <c r="S20" s="1294"/>
      <c r="T20" s="1294"/>
      <c r="U20" s="1296"/>
      <c r="V20" s="1296"/>
      <c r="W20" s="1296"/>
      <c r="X20" s="1296"/>
      <c r="Y20" s="1296"/>
      <c r="Z20" s="1296"/>
      <c r="AA20" s="1296"/>
      <c r="AB20" s="1294"/>
      <c r="AC20" s="1295"/>
      <c r="AD20" s="1295"/>
      <c r="AE20" s="1295"/>
      <c r="AF20" s="1295"/>
      <c r="AG20" s="1295"/>
      <c r="AH20" s="1295"/>
      <c r="AI20" s="1295"/>
      <c r="AJ20" s="1295"/>
      <c r="AK20" s="1295"/>
      <c r="AL20" s="1295"/>
      <c r="AM20" s="1295"/>
      <c r="AN20" s="1295"/>
      <c r="AO20" s="1295"/>
      <c r="AP20" s="1295"/>
      <c r="AQ20" s="1295"/>
      <c r="AR20" s="1295"/>
      <c r="AS20" s="1295"/>
      <c r="AT20" s="1295"/>
      <c r="AU20" s="1295"/>
      <c r="AV20" s="1295"/>
      <c r="AW20" s="1295"/>
      <c r="AX20" s="1295"/>
      <c r="AY20" s="1295"/>
      <c r="AZ20" s="1295"/>
      <c r="BA20" s="1295"/>
      <c r="BB20" s="1295"/>
      <c r="BC20" s="1295"/>
      <c r="BD20" s="1295"/>
      <c r="BE20" s="1295"/>
      <c r="BF20" s="1295"/>
      <c r="BG20" s="1295"/>
      <c r="BH20" s="1295"/>
      <c r="BI20" s="1295"/>
      <c r="BJ20" s="1295"/>
      <c r="BK20" s="1295"/>
      <c r="BL20" s="1295"/>
      <c r="BM20" s="1295"/>
      <c r="BN20" s="1295"/>
      <c r="BO20" s="1295"/>
      <c r="BP20" s="1295"/>
      <c r="BQ20" s="1295"/>
      <c r="BR20" s="1295"/>
      <c r="BS20" s="1295"/>
      <c r="BT20" s="1295"/>
      <c r="BU20" s="1295"/>
      <c r="BV20" s="1295"/>
      <c r="BW20" s="1295"/>
      <c r="BX20" s="1295"/>
      <c r="BY20" s="1295"/>
      <c r="BZ20" s="1295"/>
      <c r="CA20" s="1295"/>
      <c r="CB20" s="1295"/>
      <c r="CC20" s="1295"/>
      <c r="CD20" s="1295"/>
      <c r="CE20" s="1295"/>
      <c r="CF20" s="1295"/>
      <c r="CG20" s="1295"/>
      <c r="CH20" s="1295"/>
      <c r="CI20" s="1295"/>
      <c r="CJ20" s="1295"/>
      <c r="CK20" s="1295"/>
      <c r="CL20" s="1297"/>
      <c r="CM20" s="1297"/>
      <c r="CN20" s="1297"/>
      <c r="CO20" s="1297"/>
      <c r="CP20" s="1297"/>
      <c r="CQ20" s="1297"/>
      <c r="CR20" s="1297"/>
      <c r="CS20" s="1297"/>
      <c r="CT20" s="1297"/>
      <c r="CU20" s="1297"/>
      <c r="CV20" s="1297"/>
      <c r="CW20" s="1297"/>
      <c r="CX20" s="1297"/>
      <c r="CY20" s="1297"/>
      <c r="CZ20" s="1297"/>
      <c r="DA20" s="1297"/>
      <c r="DB20" s="1297"/>
      <c r="DC20" s="1297"/>
      <c r="DD20" s="1297"/>
      <c r="DE20" s="1297"/>
      <c r="DF20" s="1297"/>
      <c r="DG20" s="1297"/>
      <c r="DH20" s="1297"/>
      <c r="DI20" s="1297"/>
      <c r="DJ20" s="1297"/>
      <c r="DK20" s="1297"/>
      <c r="DL20" s="1297"/>
      <c r="DM20" s="1297"/>
      <c r="DN20" s="1297"/>
      <c r="DO20" s="1297"/>
      <c r="DP20" s="1297"/>
      <c r="DQ20" s="1297"/>
      <c r="DR20" s="1297"/>
      <c r="DS20" s="1297"/>
      <c r="DT20" s="1297"/>
      <c r="DU20" s="1297"/>
      <c r="DV20" s="1297"/>
      <c r="DW20" s="1297"/>
      <c r="DX20" s="1297"/>
      <c r="DY20" s="1297"/>
      <c r="DZ20" s="1297"/>
      <c r="EA20" s="1297"/>
      <c r="EB20" s="1297"/>
      <c r="EC20" s="1297"/>
      <c r="ED20" s="1297"/>
      <c r="EE20" s="1297"/>
      <c r="EF20" s="1297"/>
      <c r="EG20" s="1297"/>
      <c r="EH20" s="1297"/>
      <c r="EI20" s="1297"/>
      <c r="EJ20" s="1297"/>
      <c r="EK20" s="1297"/>
      <c r="EL20" s="1297"/>
      <c r="EM20" s="1297"/>
      <c r="EN20" s="1297"/>
      <c r="EO20" s="1297"/>
      <c r="EP20" s="1297"/>
      <c r="EQ20" s="1297"/>
      <c r="ER20" s="1297"/>
      <c r="ES20" s="1297"/>
      <c r="ET20" s="1297"/>
      <c r="EU20" s="1297"/>
      <c r="EV20" s="1297"/>
      <c r="EW20" s="1297"/>
      <c r="EX20" s="1297"/>
      <c r="EY20" s="1297"/>
      <c r="EZ20" s="1297"/>
      <c r="FA20" s="1297"/>
      <c r="FB20" s="1297"/>
      <c r="FC20" s="1297"/>
      <c r="FD20" s="1297"/>
      <c r="FE20" s="1297"/>
      <c r="FF20" s="1297"/>
      <c r="FG20" s="1297"/>
      <c r="FH20" s="1297"/>
      <c r="FI20" s="1297"/>
      <c r="FJ20" s="1297"/>
      <c r="FK20" s="1297"/>
      <c r="FL20" s="1297"/>
      <c r="FM20" s="1297"/>
      <c r="FN20" s="1297"/>
      <c r="FO20" s="1297"/>
      <c r="FP20" s="1297"/>
      <c r="FQ20" s="1297"/>
      <c r="FR20" s="1297"/>
      <c r="FS20" s="1297"/>
      <c r="FT20" s="1297"/>
      <c r="FU20" s="1297"/>
      <c r="FV20" s="1297"/>
      <c r="FW20" s="1297"/>
      <c r="FX20" s="1298"/>
      <c r="GC20" s="1022">
        <v>0</v>
      </c>
    </row>
    <row s="12581" customFormat="1" customHeight="1" ht="21">
      <c r="A21" s="1420" t="s">
        <v>1161</v>
      </c>
      <c r="B21" s="1040"/>
      <c r="E21" s="1039" t="s">
        <v>22</v>
      </c>
      <c r="F21" s="1218" t="str">
        <f>INDEX(IP_MAIN_LIST_NAME_IP,MATCH(A21,IP_MAIN_LIST_IP_ID,0))&amp;" ("&amp;INDEX(IP_MAIN_START_DATE,MATCH(A21,IP_MAIN_LIST_IP_ID,0))&amp;"-"&amp;INDEX(IP_MAIN_END_DATE,MATCH(A21,IP_MAIN_LIST_IP_ID,0))&amp;")"</f>
        <v>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 (01.01.2020-31.12.2027)</v>
      </c>
      <c r="G21" s="1299"/>
      <c r="H21" s="1300"/>
      <c r="I21" s="1300"/>
      <c r="J21" s="1300"/>
      <c r="K21" s="1300"/>
      <c r="L21" s="1300"/>
      <c r="M21" s="1300"/>
      <c r="N21" s="1300"/>
      <c r="O21" s="1299"/>
      <c r="P21" s="1299"/>
      <c r="Q21" s="1299"/>
      <c r="R21" s="1299"/>
      <c r="S21" s="1299"/>
      <c r="T21" s="1299"/>
      <c r="U21" s="1301"/>
      <c r="V21" s="1301"/>
      <c r="W21" s="1301"/>
      <c r="X21" s="1301"/>
      <c r="Y21" s="1301"/>
      <c r="Z21" s="1301"/>
      <c r="AA21" s="1301"/>
      <c r="AB21" s="1299"/>
      <c r="AC21" s="1300"/>
      <c r="AD21" s="1300"/>
      <c r="AE21" s="1300"/>
      <c r="AF21" s="1300"/>
      <c r="AG21" s="1300"/>
      <c r="AH21" s="1300"/>
      <c r="AI21" s="1300"/>
      <c r="AJ21" s="1300"/>
      <c r="AK21" s="1300"/>
      <c r="AL21" s="1300"/>
      <c r="AM21" s="1300"/>
      <c r="AN21" s="1300"/>
      <c r="AO21" s="1300"/>
      <c r="AP21" s="1300"/>
      <c r="AQ21" s="1300"/>
      <c r="AR21" s="1300"/>
      <c r="AS21" s="1300"/>
      <c r="AT21" s="1300"/>
      <c r="AU21" s="1300"/>
      <c r="AV21" s="1300"/>
      <c r="AW21" s="1300"/>
      <c r="AX21" s="1300"/>
      <c r="AY21" s="1300"/>
      <c r="AZ21" s="1300"/>
      <c r="BA21" s="1300"/>
      <c r="BB21" s="1300"/>
      <c r="BC21" s="1300"/>
      <c r="BD21" s="1300"/>
      <c r="BE21" s="1300"/>
      <c r="BF21" s="1300"/>
      <c r="BG21" s="1300"/>
      <c r="BH21" s="1300"/>
      <c r="BI21" s="1300"/>
      <c r="BJ21" s="1300"/>
      <c r="BK21" s="1300"/>
      <c r="BL21" s="1300"/>
      <c r="BM21" s="1300"/>
      <c r="BN21" s="1300"/>
      <c r="BO21" s="1300"/>
      <c r="BP21" s="1300"/>
      <c r="BQ21" s="1300"/>
      <c r="BR21" s="1300"/>
      <c r="BS21" s="1300"/>
      <c r="BT21" s="1300"/>
      <c r="BU21" s="1300"/>
      <c r="BV21" s="1300"/>
      <c r="BW21" s="1300"/>
      <c r="BX21" s="1300"/>
      <c r="BY21" s="1300"/>
      <c r="BZ21" s="1300"/>
      <c r="CA21" s="1300"/>
      <c r="CB21" s="1300"/>
      <c r="CC21" s="1300"/>
      <c r="CD21" s="1300"/>
      <c r="CE21" s="1300"/>
      <c r="CF21" s="1300"/>
      <c r="CG21" s="1300"/>
      <c r="CH21" s="1300"/>
      <c r="CI21" s="1300"/>
      <c r="CJ21" s="1300"/>
      <c r="CK21" s="1300"/>
      <c r="CL21" s="1302"/>
      <c r="CM21" s="1302"/>
      <c r="CN21" s="1302"/>
      <c r="CO21" s="1302"/>
      <c r="CP21" s="1302"/>
      <c r="CQ21" s="1302"/>
      <c r="CR21" s="1302"/>
      <c r="CS21" s="1302"/>
      <c r="CT21" s="1302"/>
      <c r="CU21" s="1302"/>
      <c r="CV21" s="1302"/>
      <c r="CW21" s="1302"/>
      <c r="CX21" s="1302"/>
      <c r="CY21" s="1302"/>
      <c r="CZ21" s="1302"/>
      <c r="DA21" s="1302"/>
      <c r="DB21" s="1302"/>
      <c r="DC21" s="1302"/>
      <c r="DD21" s="1302"/>
      <c r="DE21" s="1302"/>
      <c r="DF21" s="1302"/>
      <c r="DG21" s="1302"/>
      <c r="DH21" s="1302"/>
      <c r="DI21" s="1302"/>
      <c r="DJ21" s="1302"/>
      <c r="DK21" s="1302"/>
      <c r="DL21" s="1302"/>
      <c r="DM21" s="1302"/>
      <c r="DN21" s="1302"/>
      <c r="DO21" s="1302"/>
      <c r="DP21" s="1302"/>
      <c r="DQ21" s="1302"/>
      <c r="DR21" s="1302"/>
      <c r="DS21" s="1302"/>
      <c r="DT21" s="1302"/>
      <c r="DU21" s="1302"/>
      <c r="DV21" s="1302"/>
      <c r="DW21" s="1302"/>
      <c r="DX21" s="1302"/>
      <c r="DY21" s="1302"/>
      <c r="DZ21" s="1302"/>
      <c r="EA21" s="1302"/>
      <c r="EB21" s="1302"/>
      <c r="EC21" s="1302"/>
      <c r="ED21" s="1302"/>
      <c r="EE21" s="1302"/>
      <c r="EF21" s="1302"/>
      <c r="EG21" s="1302"/>
      <c r="EH21" s="1302"/>
      <c r="EI21" s="1302"/>
      <c r="EJ21" s="1302"/>
      <c r="EK21" s="1302"/>
      <c r="EL21" s="1302"/>
      <c r="EM21" s="1302"/>
      <c r="EN21" s="1302"/>
      <c r="EO21" s="1302"/>
      <c r="EP21" s="1302"/>
      <c r="EQ21" s="1302"/>
      <c r="ER21" s="1302"/>
      <c r="ES21" s="1302"/>
      <c r="ET21" s="1302"/>
      <c r="EU21" s="1302"/>
      <c r="EV21" s="1302"/>
      <c r="EW21" s="1302"/>
      <c r="EX21" s="1302"/>
      <c r="EY21" s="1302"/>
      <c r="EZ21" s="1302"/>
      <c r="FA21" s="1302"/>
      <c r="FB21" s="1302"/>
      <c r="FC21" s="1302"/>
      <c r="FD21" s="1302"/>
      <c r="FE21" s="1302"/>
      <c r="FF21" s="1302"/>
      <c r="FG21" s="1302"/>
      <c r="FH21" s="1302"/>
      <c r="FI21" s="1302"/>
      <c r="FJ21" s="1302"/>
      <c r="FK21" s="1302"/>
      <c r="FL21" s="1302"/>
      <c r="FM21" s="1302"/>
      <c r="FN21" s="1302"/>
      <c r="FO21" s="1302"/>
      <c r="FP21" s="1302"/>
      <c r="FQ21" s="1302"/>
      <c r="FR21" s="1302"/>
      <c r="FS21" s="1302"/>
      <c r="FT21" s="1302"/>
      <c r="FU21" s="1302"/>
      <c r="FV21" s="1303"/>
      <c r="FW21" s="1297"/>
      <c r="FX21" s="1298"/>
    </row>
    <row s="12581" customFormat="1" customHeight="1" ht="24.75">
      <c r="A22" s="1025" t="s">
        <v>1161</v>
      </c>
      <c r="B22" s="1040"/>
      <c r="E22" s="1944"/>
      <c r="F22" s="2183">
        <v>1</v>
      </c>
      <c r="G22" s="2197" t="s">
        <v>1404</v>
      </c>
      <c r="H22" s="1306" t="s">
        <v>1405</v>
      </c>
      <c r="I22" s="2073"/>
      <c r="J22" s="1307"/>
      <c r="K22" s="1307"/>
      <c r="L22" s="1307"/>
      <c r="M22" s="1307"/>
      <c r="N22" s="1307"/>
      <c r="O22" s="1308"/>
      <c r="P22" s="1308"/>
      <c r="Q22" s="1308"/>
      <c r="R22" s="1308"/>
      <c r="S22" s="1308"/>
      <c r="T22" s="1308"/>
      <c r="U22" s="1308"/>
      <c r="V22" s="1308"/>
      <c r="W22" s="1308"/>
      <c r="X22" s="1308"/>
      <c r="Y22" s="1308"/>
      <c r="Z22" s="1308"/>
      <c r="AA22" s="1308"/>
      <c r="AB22" s="1308"/>
      <c r="AC22" s="1307"/>
      <c r="AD22" s="1307"/>
      <c r="AE22" s="1307"/>
      <c r="AF22" s="1307"/>
      <c r="AG22" s="1307"/>
      <c r="AH22" s="1307"/>
      <c r="AI22" s="1307"/>
      <c r="AJ22" s="1307"/>
      <c r="AK22" s="1307"/>
      <c r="AL22" s="1307"/>
      <c r="AM22" s="1307"/>
      <c r="AN22" s="1307"/>
      <c r="AO22" s="1307"/>
      <c r="AP22" s="1307"/>
      <c r="AQ22" s="1307"/>
      <c r="AR22" s="1307"/>
      <c r="AS22" s="1307"/>
      <c r="AT22" s="1307"/>
      <c r="AU22" s="1307"/>
      <c r="AV22" s="1307"/>
      <c r="AW22" s="1307"/>
      <c r="AX22" s="1307"/>
      <c r="AY22" s="1307"/>
      <c r="AZ22" s="1307"/>
      <c r="BA22" s="1307"/>
      <c r="BB22" s="1307"/>
      <c r="BC22" s="1307"/>
      <c r="BD22" s="1307"/>
      <c r="BE22" s="1307"/>
      <c r="BF22" s="1307"/>
      <c r="BG22" s="1307"/>
      <c r="BH22" s="1307"/>
      <c r="BI22" s="1307"/>
      <c r="BJ22" s="1307"/>
      <c r="BK22" s="1307"/>
      <c r="BL22" s="1307"/>
      <c r="BM22" s="1307"/>
      <c r="BN22" s="1307"/>
      <c r="BO22" s="1307"/>
      <c r="BP22" s="1307"/>
      <c r="BQ22" s="1307"/>
      <c r="BR22" s="1307"/>
      <c r="BS22" s="1307"/>
      <c r="BT22" s="1308"/>
      <c r="BU22" s="1308"/>
      <c r="BV22" s="1308"/>
      <c r="BW22" s="1308"/>
      <c r="BX22" s="1308"/>
      <c r="BY22" s="1308"/>
      <c r="BZ22" s="1308"/>
      <c r="CA22" s="1308"/>
      <c r="CB22" s="1308"/>
      <c r="CC22" s="1308"/>
      <c r="CD22" s="1308"/>
      <c r="CE22" s="1308"/>
      <c r="CF22" s="1308"/>
      <c r="CG22" s="1308"/>
      <c r="CH22" s="1308"/>
      <c r="CI22" s="1308"/>
      <c r="CJ22" s="1308"/>
      <c r="CK22" s="1308"/>
      <c r="CL22" s="1307"/>
      <c r="CM22" s="1307"/>
      <c r="CN22" s="1307"/>
      <c r="CO22" s="1307"/>
      <c r="CP22" s="1307"/>
      <c r="CQ22" s="1307"/>
      <c r="CR22" s="1307"/>
      <c r="CS22" s="1307"/>
      <c r="CT22" s="1307"/>
      <c r="CU22" s="1307"/>
      <c r="CV22" s="1307"/>
      <c r="CW22" s="1307"/>
      <c r="CX22" s="1307"/>
      <c r="CY22" s="1308"/>
      <c r="CZ22" s="1308"/>
      <c r="DA22" s="1308"/>
      <c r="DB22" s="1308"/>
      <c r="DC22" s="1308"/>
      <c r="DD22" s="1308"/>
      <c r="DE22" s="1308"/>
      <c r="DF22" s="1308"/>
      <c r="DG22" s="1308"/>
      <c r="DH22" s="1308"/>
      <c r="DI22" s="1308"/>
      <c r="DJ22" s="1308"/>
      <c r="DK22" s="1307"/>
      <c r="DL22" s="1307"/>
      <c r="DM22" s="1307"/>
      <c r="DN22" s="1307"/>
      <c r="DO22" s="1307"/>
      <c r="DP22" s="1307"/>
      <c r="DQ22" s="1307"/>
      <c r="DR22" s="1307"/>
      <c r="DS22" s="1307"/>
      <c r="DT22" s="1307"/>
      <c r="DU22" s="1307"/>
      <c r="DV22" s="1307"/>
      <c r="DW22" s="1307"/>
      <c r="DX22" s="1307"/>
      <c r="DY22" s="1307"/>
      <c r="DZ22" s="1307"/>
      <c r="EA22" s="1307"/>
      <c r="EB22" s="1307"/>
      <c r="EC22" s="1307"/>
      <c r="ED22" s="1307"/>
      <c r="EE22" s="1307"/>
      <c r="EF22" s="1307"/>
      <c r="EG22" s="1307"/>
      <c r="EH22" s="1307"/>
      <c r="EI22" s="1307"/>
      <c r="EJ22" s="1307"/>
      <c r="EK22" s="1307"/>
      <c r="EL22" s="1307"/>
      <c r="EM22" s="1307"/>
      <c r="EN22" s="1307"/>
      <c r="EO22" s="1307"/>
      <c r="EP22" s="1307"/>
      <c r="EQ22" s="1307"/>
      <c r="ER22" s="1307"/>
      <c r="ES22" s="1307"/>
      <c r="ET22" s="1307"/>
      <c r="EU22" s="1307"/>
      <c r="EV22" s="1307"/>
      <c r="EW22" s="1307"/>
      <c r="EX22" s="1307"/>
      <c r="EY22" s="1307"/>
      <c r="EZ22" s="1307"/>
      <c r="FA22" s="1307"/>
      <c r="FB22" s="1307"/>
      <c r="FC22" s="1307"/>
      <c r="FD22" s="1307"/>
      <c r="FE22" s="1307"/>
      <c r="FF22" s="1307"/>
      <c r="FG22" s="1307"/>
      <c r="FH22" s="1307"/>
      <c r="FI22" s="1307"/>
      <c r="FJ22" s="1307"/>
      <c r="FK22" s="1307"/>
      <c r="FL22" s="1307"/>
      <c r="FM22" s="1307"/>
      <c r="FN22" s="1307"/>
      <c r="FO22" s="1307"/>
      <c r="FP22" s="1307"/>
      <c r="FQ22" s="1307"/>
      <c r="FR22" s="1307"/>
      <c r="FS22" s="1307"/>
      <c r="FT22" s="1307"/>
      <c r="FU22" s="1307"/>
      <c r="FV22" s="1307"/>
      <c r="FW22" s="1307"/>
      <c r="FX22" s="1298"/>
    </row>
    <row s="12581" customFormat="1" customHeight="1" ht="12">
      <c r="A23" s="1025" t="s">
        <v>1161</v>
      </c>
      <c r="B23" s="1040"/>
      <c r="F23" s="2733"/>
      <c r="G23" s="2734" t="s">
        <v>1406</v>
      </c>
      <c r="H23" s="2735"/>
      <c r="I23" s="2736"/>
      <c r="J23" s="2737"/>
      <c r="K23" s="2738"/>
      <c r="L23" s="2739"/>
      <c r="M23" s="2740"/>
      <c r="N23" s="2741"/>
      <c r="O23" s="2742"/>
      <c r="P23" s="2743"/>
      <c r="Q23" s="2744"/>
      <c r="R23" s="2745"/>
      <c r="S23" s="2746"/>
      <c r="T23" s="2747"/>
      <c r="U23" s="2748"/>
      <c r="V23" s="2749"/>
      <c r="W23" s="2750"/>
      <c r="X23" s="2751"/>
      <c r="Y23" s="2752"/>
      <c r="Z23" s="2753"/>
      <c r="AA23" s="2754"/>
      <c r="AB23" s="2755"/>
      <c r="AC23" s="2756"/>
      <c r="AD23" s="2757"/>
      <c r="AE23" s="2758"/>
      <c r="AF23" s="2759"/>
      <c r="AG23" s="2760"/>
      <c r="AH23" s="2761"/>
      <c r="AI23" s="2762"/>
      <c r="AJ23" s="2763"/>
      <c r="AK23" s="2764"/>
      <c r="AL23" s="2765"/>
      <c r="AM23" s="2766"/>
      <c r="AN23" s="2767"/>
      <c r="AO23" s="2768"/>
      <c r="AP23" s="2769"/>
      <c r="AQ23" s="2770"/>
      <c r="AR23" s="2771"/>
      <c r="AS23" s="2772"/>
      <c r="AT23" s="2773"/>
      <c r="AU23" s="2774"/>
      <c r="AV23" s="2775"/>
      <c r="AW23" s="2776"/>
      <c r="AX23" s="2777"/>
      <c r="AY23" s="2778"/>
      <c r="AZ23" s="2779"/>
      <c r="BA23" s="2780"/>
      <c r="BB23" s="2781"/>
      <c r="BC23" s="2782"/>
      <c r="BD23" s="2783"/>
      <c r="BE23" s="2784"/>
      <c r="BF23" s="2785"/>
      <c r="BG23" s="2786"/>
      <c r="BH23" s="2787"/>
      <c r="BI23" s="2788"/>
      <c r="BJ23" s="2789"/>
      <c r="BK23" s="2790"/>
      <c r="BL23" s="2791"/>
      <c r="BM23" s="2792"/>
      <c r="BN23" s="2793"/>
      <c r="BO23" s="2794"/>
      <c r="BP23" s="2795"/>
      <c r="BQ23" s="2796"/>
      <c r="BR23" s="2797"/>
      <c r="BS23" s="2798"/>
      <c r="BT23" s="2799"/>
      <c r="BU23" s="2800"/>
      <c r="BV23" s="2801"/>
      <c r="BW23" s="2802"/>
      <c r="BX23" s="2803"/>
      <c r="BY23" s="2804"/>
      <c r="BZ23" s="2805"/>
      <c r="CA23" s="2806"/>
      <c r="CB23" s="2807"/>
      <c r="CC23" s="2808"/>
      <c r="CD23" s="2809"/>
      <c r="CE23" s="2810"/>
      <c r="CF23" s="2811"/>
      <c r="CG23" s="2812"/>
      <c r="CH23" s="2813"/>
      <c r="CI23" s="2814"/>
      <c r="CJ23" s="2815"/>
      <c r="CK23" s="2816"/>
      <c r="CL23" s="2817"/>
      <c r="CM23" s="2818"/>
      <c r="CN23" s="2819"/>
      <c r="CO23" s="2820"/>
      <c r="CP23" s="2821"/>
      <c r="CQ23" s="2822"/>
      <c r="CR23" s="2823"/>
      <c r="CS23" s="2824"/>
      <c r="CT23" s="2825"/>
      <c r="CU23" s="2826"/>
      <c r="CV23" s="2827"/>
      <c r="CW23" s="2828"/>
      <c r="CX23" s="2829"/>
      <c r="CY23" s="2830"/>
      <c r="CZ23" s="2831"/>
      <c r="DA23" s="2832"/>
      <c r="DB23" s="2833"/>
      <c r="DC23" s="2834"/>
      <c r="DD23" s="2835"/>
      <c r="DE23" s="2836"/>
      <c r="DF23" s="2837"/>
      <c r="DG23" s="2838"/>
      <c r="DH23" s="2839"/>
      <c r="DI23" s="2840"/>
      <c r="DJ23" s="2841"/>
      <c r="DK23" s="2842"/>
      <c r="DL23" s="2843"/>
      <c r="DM23" s="2844"/>
      <c r="DN23" s="2845"/>
      <c r="DO23" s="2846"/>
      <c r="DP23" s="2847"/>
      <c r="DQ23" s="2848"/>
      <c r="DR23" s="2849"/>
      <c r="DS23" s="2850"/>
      <c r="DT23" s="2851"/>
      <c r="DU23" s="2852"/>
      <c r="DV23" s="2853"/>
      <c r="DW23" s="2854"/>
      <c r="DX23" s="2855"/>
      <c r="DY23" s="2856"/>
      <c r="DZ23" s="2857"/>
      <c r="EA23" s="2858"/>
      <c r="EB23" s="2859"/>
      <c r="EC23" s="2860"/>
      <c r="ED23" s="2861"/>
      <c r="EE23" s="2862"/>
      <c r="EF23" s="2863"/>
      <c r="EG23" s="2864"/>
      <c r="EH23" s="2865"/>
      <c r="EI23" s="2866"/>
      <c r="EJ23" s="2867"/>
      <c r="EK23" s="2868"/>
      <c r="EL23" s="2869"/>
      <c r="EM23" s="2870"/>
      <c r="EN23" s="2871"/>
      <c r="EO23" s="2872"/>
      <c r="EP23" s="2873"/>
      <c r="EQ23" s="2874"/>
      <c r="ER23" s="2875"/>
      <c r="ES23" s="2876"/>
      <c r="ET23" s="2877"/>
      <c r="EU23" s="2878"/>
      <c r="EV23" s="2879"/>
      <c r="EW23" s="2880"/>
      <c r="EX23" s="2881"/>
      <c r="EY23" s="2882"/>
      <c r="EZ23" s="2883"/>
      <c r="FA23" s="2884"/>
      <c r="FB23" s="2885"/>
      <c r="FC23" s="2886"/>
      <c r="FD23" s="2887"/>
      <c r="FE23" s="2888"/>
      <c r="FF23" s="2889"/>
      <c r="FG23" s="2890"/>
      <c r="FH23" s="2891"/>
      <c r="FI23" s="2892"/>
      <c r="FJ23" s="2893"/>
      <c r="FK23" s="2894"/>
      <c r="FL23" s="2895"/>
      <c r="FM23" s="2896"/>
      <c r="FN23" s="2897"/>
      <c r="FO23" s="2898"/>
      <c r="FP23" s="2899"/>
      <c r="FQ23" s="2900"/>
      <c r="FR23" s="2901"/>
      <c r="FS23" s="2902"/>
      <c r="FT23" s="2903"/>
      <c r="FU23" s="2904"/>
      <c r="FV23" s="2905"/>
      <c r="FW23" s="2906"/>
      <c r="FX23" s="1917"/>
      <c r="FY23" s="1162"/>
      <c r="FZ23" s="1162"/>
      <c r="GA23" s="1162"/>
      <c r="GB23" s="1162"/>
    </row>
    <row s="12581" customFormat="1" customHeight="1" ht="12.75">
      <c r="A24" s="1041"/>
      <c r="B24" s="1041"/>
      <c r="C24" s="1041"/>
      <c r="D24" s="1041"/>
      <c r="E24" s="1041"/>
      <c r="F24" s="1039"/>
      <c r="G24" s="1039"/>
      <c r="H24" s="1039"/>
      <c r="I24" s="1039"/>
      <c r="J24" s="1039"/>
      <c r="K24" s="1039"/>
      <c r="L24" s="1039"/>
      <c r="M24" s="1039"/>
      <c r="N24" s="1039"/>
      <c r="O24" s="1039"/>
      <c r="P24" s="1039"/>
      <c r="Q24" s="1039"/>
      <c r="R24" s="1039"/>
      <c r="S24" s="1042"/>
      <c r="T24" s="1042"/>
      <c r="U24" s="1039"/>
      <c r="V24" s="1039"/>
      <c r="W24" s="1039"/>
      <c r="X24" s="1039"/>
      <c r="Y24" s="1039"/>
      <c r="Z24" s="1039"/>
      <c r="AA24" s="1039"/>
      <c r="AB24" s="1039"/>
      <c r="AC24" s="1039"/>
      <c r="AD24" s="1039"/>
      <c r="AE24" s="1039"/>
      <c r="AF24" s="1039"/>
      <c r="AG24" s="1039"/>
      <c r="AH24" s="1039"/>
      <c r="AI24" s="1039"/>
      <c r="AJ24" s="1039"/>
      <c r="AK24" s="1039"/>
      <c r="AL24" s="1039"/>
      <c r="AM24" s="1039"/>
      <c r="AN24" s="1039"/>
      <c r="AO24" s="1039"/>
      <c r="AP24" s="1039"/>
      <c r="AQ24" s="1039"/>
      <c r="AR24" s="1039"/>
      <c r="AS24" s="1039"/>
      <c r="AT24" s="1039"/>
      <c r="AU24" s="1039"/>
      <c r="AV24" s="1039"/>
      <c r="AW24" s="1039"/>
      <c r="AX24" s="1039"/>
      <c r="AY24" s="1039"/>
      <c r="AZ24" s="1039"/>
      <c r="BA24" s="1039"/>
      <c r="BB24" s="1039"/>
      <c r="BC24" s="1039"/>
      <c r="BD24" s="1039"/>
      <c r="BE24" s="1039"/>
      <c r="BF24" s="1039"/>
      <c r="BG24" s="1039"/>
      <c r="BH24" s="1039"/>
      <c r="BI24" s="1039"/>
      <c r="BJ24" s="1039"/>
      <c r="BK24" s="1039"/>
      <c r="BL24" s="1039"/>
      <c r="BM24" s="1039"/>
      <c r="BN24" s="1039"/>
      <c r="BO24" s="1039"/>
      <c r="BP24" s="1039"/>
      <c r="BQ24" s="1039"/>
      <c r="BR24" s="1039"/>
      <c r="BS24" s="1039"/>
      <c r="BT24" s="1039"/>
      <c r="BU24" s="1039"/>
      <c r="BV24" s="1039"/>
      <c r="BW24" s="1039"/>
      <c r="BX24" s="1039"/>
      <c r="BY24" s="1039"/>
      <c r="BZ24" s="1039"/>
      <c r="CA24" s="1039"/>
      <c r="CB24" s="1039"/>
      <c r="CC24" s="1039"/>
      <c r="CD24" s="1039"/>
      <c r="CE24" s="1039"/>
      <c r="CF24" s="1039"/>
      <c r="CG24" s="1039"/>
      <c r="CH24" s="1039"/>
      <c r="CI24" s="1039"/>
      <c r="CJ24" s="1039"/>
      <c r="CK24" s="1039"/>
      <c r="CL24" s="1039"/>
      <c r="CM24" s="1039"/>
      <c r="CN24" s="1039"/>
      <c r="CO24" s="1039"/>
      <c r="CP24" s="1039"/>
      <c r="CQ24" s="1039"/>
      <c r="CR24" s="1039"/>
      <c r="CS24" s="1039"/>
      <c r="CT24" s="1039"/>
      <c r="CU24" s="1039"/>
      <c r="CV24" s="1039"/>
      <c r="CW24" s="1039"/>
      <c r="CX24" s="1039"/>
      <c r="CY24" s="1039"/>
      <c r="CZ24" s="1039"/>
      <c r="DA24" s="1039"/>
      <c r="DB24" s="1039"/>
      <c r="DC24" s="1039"/>
      <c r="DD24" s="1039"/>
      <c r="DE24" s="1039"/>
      <c r="DF24" s="1039"/>
      <c r="DG24" s="1039"/>
      <c r="DH24" s="1039"/>
      <c r="DI24" s="1039"/>
      <c r="DJ24" s="1039"/>
      <c r="DK24" s="1039"/>
      <c r="DL24" s="1039"/>
      <c r="DM24" s="1039"/>
      <c r="DN24" s="1039"/>
      <c r="DO24" s="1039"/>
      <c r="DP24" s="1039"/>
      <c r="DQ24" s="1039"/>
      <c r="DR24" s="1039"/>
      <c r="DS24" s="1039"/>
      <c r="DT24" s="1039"/>
      <c r="DU24" s="1039"/>
      <c r="DV24" s="1039"/>
      <c r="DW24" s="1039"/>
      <c r="DX24" s="1039"/>
      <c r="DY24" s="1039"/>
      <c r="DZ24" s="1039"/>
      <c r="EA24" s="1039"/>
      <c r="EB24" s="1039"/>
      <c r="EC24" s="1039"/>
      <c r="ED24" s="1039"/>
      <c r="EE24" s="1039"/>
      <c r="EF24" s="1039"/>
      <c r="EG24" s="1039"/>
      <c r="EH24" s="1039"/>
      <c r="EI24" s="1039"/>
      <c r="EJ24" s="1039"/>
      <c r="EK24" s="1039"/>
      <c r="EL24" s="1039"/>
      <c r="EM24" s="1039"/>
      <c r="EN24" s="1039"/>
      <c r="EO24" s="1039"/>
      <c r="EP24" s="1039"/>
      <c r="EQ24" s="1039"/>
      <c r="ER24" s="1039"/>
      <c r="ES24" s="1039"/>
      <c r="ET24" s="1039"/>
      <c r="EU24" s="1039"/>
      <c r="EV24" s="1039"/>
      <c r="EW24" s="1039"/>
      <c r="EX24" s="1039"/>
      <c r="EY24" s="1039"/>
      <c r="EZ24" s="1039"/>
      <c r="FA24" s="1039"/>
      <c r="FB24" s="1039"/>
      <c r="FC24" s="1039"/>
      <c r="FD24" s="1039"/>
      <c r="FE24" s="1039"/>
      <c r="FF24" s="1039"/>
      <c r="FG24" s="1039"/>
      <c r="FH24" s="1039"/>
      <c r="FI24" s="1039"/>
      <c r="FJ24" s="1039"/>
      <c r="FK24" s="1039"/>
      <c r="FL24" s="1039"/>
      <c r="FM24" s="1039"/>
      <c r="FN24" s="1039"/>
      <c r="FO24" s="1039"/>
      <c r="FP24" s="1039"/>
      <c r="FQ24" s="1039"/>
      <c r="FR24" s="1039"/>
      <c r="FS24" s="1039"/>
      <c r="FT24" s="1039"/>
      <c r="FU24" s="1039"/>
      <c r="FV24" s="1039"/>
      <c r="FW24" s="1039"/>
      <c r="FX24" s="1041"/>
      <c r="FY24" s="1041"/>
      <c r="FZ24" s="1041"/>
      <c r="GA24" s="1041"/>
      <c r="GB24" s="1041"/>
      <c r="GC24" s="1022">
        <v>12</v>
      </c>
    </row>
    <row s="12581" customFormat="1" customHeight="1" ht="12.75">
      <c r="A25" s="1041"/>
      <c r="B25" s="1041"/>
      <c r="C25" s="1041"/>
      <c r="D25" s="1041"/>
      <c r="E25" s="1041"/>
      <c r="FX25" s="1041"/>
      <c r="FY25" s="1041"/>
      <c r="FZ25" s="1041"/>
      <c r="GA25" s="1041"/>
      <c r="GB25" s="1041"/>
      <c r="GC25" s="1022">
        <v>12</v>
      </c>
    </row>
    <row s="12833" customFormat="1" customHeight="1" ht="12.75">
      <c r="A26" s="1162"/>
      <c r="B26" s="1162"/>
      <c r="C26" s="1162"/>
      <c r="D26" s="1162"/>
      <c r="E26" s="1162"/>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1164"/>
      <c r="AU26" s="1164"/>
      <c r="AV26" s="1164"/>
      <c r="AW26" s="1164"/>
      <c r="AX26" s="1164"/>
      <c r="AY26" s="1164"/>
      <c r="AZ26" s="1164"/>
      <c r="BA26" s="1164"/>
      <c r="BB26" s="1164"/>
      <c r="BC26" s="1164"/>
      <c r="BD26" s="1164"/>
      <c r="BE26" s="1164"/>
      <c r="BF26" s="1164"/>
      <c r="BG26" s="1164"/>
      <c r="BH26" s="1164"/>
      <c r="BI26" s="1164"/>
      <c r="BJ26" s="1164"/>
      <c r="BK26" s="1164"/>
      <c r="BL26" s="1164"/>
      <c r="BM26" s="1164"/>
      <c r="BN26" s="1164"/>
      <c r="BO26" s="1164"/>
      <c r="BP26" s="1164"/>
      <c r="BQ26" s="1164"/>
      <c r="BR26" s="1164"/>
      <c r="BS26" s="1164"/>
      <c r="BT26" s="1165"/>
      <c r="BU26" s="1165"/>
      <c r="BV26" s="1165"/>
      <c r="BW26" s="1165"/>
      <c r="BX26" s="1165"/>
      <c r="BY26" s="1165"/>
      <c r="BZ26" s="1165"/>
      <c r="CA26" s="1165"/>
      <c r="CB26" s="1165"/>
      <c r="CC26" s="1165"/>
      <c r="CD26" s="1165"/>
      <c r="CE26" s="1165"/>
      <c r="CF26" s="1165"/>
      <c r="CG26" s="1165"/>
      <c r="CH26" s="1165"/>
      <c r="CI26" s="1165"/>
      <c r="CJ26" s="1165"/>
      <c r="CK26" s="1165"/>
      <c r="CL26" s="1165"/>
      <c r="CM26" s="1165"/>
      <c r="CN26" s="1165"/>
      <c r="CO26" s="1165"/>
      <c r="CP26" s="1165"/>
      <c r="CQ26" s="1165"/>
      <c r="CR26" s="1165"/>
      <c r="CS26" s="1165"/>
      <c r="CT26" s="1165"/>
      <c r="CU26" s="1165"/>
      <c r="CV26" s="1165"/>
      <c r="CW26" s="1165"/>
      <c r="CX26" s="1165"/>
      <c r="CY26" s="1165"/>
      <c r="CZ26" s="1165"/>
      <c r="DA26" s="1165"/>
      <c r="DB26" s="1165"/>
      <c r="DC26" s="1165"/>
      <c r="DD26" s="1165"/>
      <c r="DE26" s="1165"/>
      <c r="DF26" s="1165"/>
      <c r="DG26" s="1165"/>
      <c r="DH26" s="1165"/>
      <c r="DI26" s="1165"/>
      <c r="DJ26" s="1165"/>
      <c r="DK26" s="1165"/>
      <c r="DL26" s="1165"/>
      <c r="DM26" s="1165"/>
      <c r="DN26" s="1165"/>
      <c r="DO26" s="1165"/>
      <c r="DP26" s="1165"/>
      <c r="DQ26" s="1165"/>
      <c r="DR26" s="1165"/>
      <c r="DS26" s="1165"/>
      <c r="DT26" s="1165"/>
      <c r="DU26" s="1165"/>
      <c r="DV26" s="1165"/>
      <c r="DW26" s="1165"/>
      <c r="DX26" s="1165"/>
      <c r="FX26" s="1162"/>
      <c r="FY26" s="1162"/>
      <c r="FZ26" s="1162"/>
      <c r="GA26" s="1162"/>
      <c r="GB26" s="1162"/>
      <c r="GC26" s="1163">
        <v>12</v>
      </c>
    </row>
    <row customHeight="1" ht="12.75">
      <c r="S27" s="1038"/>
      <c r="T27" s="1038"/>
      <c r="U27" s="1038"/>
      <c r="V27" s="1038"/>
      <c r="W27" s="1038"/>
      <c r="X27" s="1038"/>
      <c r="Y27" s="1038"/>
      <c r="Z27" s="1038"/>
      <c r="AA27" s="1038"/>
      <c r="AB27" s="1038"/>
      <c r="FX27" s="1038"/>
      <c r="FY27" s="1038"/>
      <c r="FZ27" s="1038"/>
      <c r="GA27" s="1038"/>
      <c r="GB27" s="1038"/>
      <c r="GC27" s="1026">
        <v>12</v>
      </c>
    </row>
    <row customHeight="1" ht="12" hidden="1">
      <c r="A28" s="1026" t="s">
        <v>82</v>
      </c>
      <c r="B28" s="1036">
        <v>0</v>
      </c>
      <c r="C28" s="1026">
        <v>0</v>
      </c>
      <c r="D28" s="1026">
        <v>0</v>
      </c>
      <c r="E28" s="1026">
        <v>3</v>
      </c>
      <c r="F28" s="1026">
        <v>6</v>
      </c>
      <c r="G28" s="1026">
        <v>18</v>
      </c>
      <c r="H28" s="1026">
        <v>27</v>
      </c>
      <c r="I28" s="1026">
        <v>18</v>
      </c>
      <c r="J28" s="1026">
        <v>0</v>
      </c>
      <c r="K28" s="1026">
        <v>0</v>
      </c>
      <c r="L28" s="1026">
        <v>0</v>
      </c>
      <c r="M28" s="1026">
        <v>0</v>
      </c>
      <c r="N28" s="1026">
        <v>0</v>
      </c>
      <c r="O28" s="1026">
        <v>0</v>
      </c>
      <c r="P28" s="1026">
        <v>0</v>
      </c>
      <c r="Q28" s="1026">
        <v>0</v>
      </c>
      <c r="R28" s="1026">
        <v>0</v>
      </c>
      <c r="S28" s="1026">
        <v>0</v>
      </c>
      <c r="T28" s="1026">
        <v>0</v>
      </c>
      <c r="U28" s="1026">
        <v>0</v>
      </c>
      <c r="V28" s="1026">
        <v>0</v>
      </c>
      <c r="W28" s="1026">
        <v>0</v>
      </c>
      <c r="X28" s="1026">
        <v>0</v>
      </c>
      <c r="Y28" s="1026">
        <v>0</v>
      </c>
      <c r="Z28" s="1026">
        <v>0</v>
      </c>
      <c r="AA28" s="1026">
        <v>0</v>
      </c>
      <c r="AB28" s="1026">
        <v>0</v>
      </c>
      <c r="AC28" s="1026">
        <v>0</v>
      </c>
      <c r="AD28" s="1026">
        <v>0</v>
      </c>
      <c r="AE28" s="1026">
        <v>0</v>
      </c>
      <c r="AF28" s="1026">
        <v>0</v>
      </c>
      <c r="AG28" s="1026">
        <v>0</v>
      </c>
      <c r="AH28" s="1026">
        <v>0</v>
      </c>
      <c r="AI28" s="1026">
        <v>0</v>
      </c>
      <c r="AJ28" s="1026">
        <v>0</v>
      </c>
      <c r="AK28" s="1026">
        <v>0</v>
      </c>
      <c r="AL28" s="1026">
        <v>0</v>
      </c>
      <c r="AM28" s="1026">
        <v>0</v>
      </c>
      <c r="AN28" s="1026">
        <v>0</v>
      </c>
      <c r="AO28" s="1026">
        <v>0</v>
      </c>
      <c r="AP28" s="1026">
        <v>0</v>
      </c>
      <c r="AQ28" s="1026">
        <v>0</v>
      </c>
      <c r="AR28" s="1026">
        <v>0</v>
      </c>
      <c r="AS28" s="1026">
        <v>0</v>
      </c>
      <c r="AT28" s="1026">
        <v>0</v>
      </c>
      <c r="AU28" s="1026">
        <v>0</v>
      </c>
      <c r="AV28" s="1026">
        <v>0</v>
      </c>
      <c r="AW28" s="1026">
        <v>0</v>
      </c>
      <c r="AX28" s="1026">
        <v>0</v>
      </c>
      <c r="AY28" s="1026">
        <v>0</v>
      </c>
      <c r="AZ28" s="1026">
        <v>0</v>
      </c>
      <c r="BA28" s="1026">
        <v>0</v>
      </c>
      <c r="BB28" s="1026">
        <v>0</v>
      </c>
      <c r="BC28" s="1026">
        <v>0</v>
      </c>
      <c r="BD28" s="1026">
        <v>0</v>
      </c>
      <c r="BE28" s="1026">
        <v>0</v>
      </c>
      <c r="BF28" s="1026">
        <v>0</v>
      </c>
      <c r="BG28" s="1026">
        <v>0</v>
      </c>
      <c r="BH28" s="1026">
        <v>0</v>
      </c>
      <c r="BI28" s="1026">
        <v>0</v>
      </c>
      <c r="BJ28" s="1026">
        <v>0</v>
      </c>
      <c r="BK28" s="1026">
        <v>0</v>
      </c>
      <c r="BL28" s="1026">
        <v>0</v>
      </c>
      <c r="BM28" s="1026">
        <v>0</v>
      </c>
      <c r="BN28" s="1026">
        <v>0</v>
      </c>
      <c r="BO28" s="1026">
        <v>0</v>
      </c>
      <c r="BP28" s="1026">
        <v>0</v>
      </c>
      <c r="BQ28" s="1026">
        <v>0</v>
      </c>
      <c r="BR28" s="1026">
        <v>0</v>
      </c>
      <c r="BS28" s="1026">
        <v>0</v>
      </c>
      <c r="BT28" s="1026">
        <v>0</v>
      </c>
      <c r="BU28" s="1026">
        <v>0</v>
      </c>
      <c r="BV28" s="1026">
        <v>0</v>
      </c>
      <c r="BW28" s="1026">
        <v>0</v>
      </c>
      <c r="BX28" s="1026">
        <v>0</v>
      </c>
      <c r="BY28" s="1026">
        <v>0</v>
      </c>
      <c r="BZ28" s="1026">
        <v>0</v>
      </c>
      <c r="CA28" s="1026">
        <v>0</v>
      </c>
      <c r="CB28" s="1026">
        <v>0</v>
      </c>
      <c r="CC28" s="1026">
        <v>0</v>
      </c>
      <c r="CD28" s="1026">
        <v>0</v>
      </c>
      <c r="CE28" s="1026">
        <v>0</v>
      </c>
      <c r="CF28" s="1026">
        <v>0</v>
      </c>
      <c r="CG28" s="1026">
        <v>0</v>
      </c>
      <c r="CH28" s="1026">
        <v>0</v>
      </c>
      <c r="CI28" s="1026">
        <v>0</v>
      </c>
      <c r="CJ28" s="1026">
        <v>0</v>
      </c>
      <c r="CK28" s="1026">
        <v>0</v>
      </c>
      <c r="CL28" s="1026">
        <v>0</v>
      </c>
      <c r="CM28" s="1026">
        <v>0</v>
      </c>
      <c r="CN28" s="1026">
        <v>0</v>
      </c>
      <c r="CO28" s="1026">
        <v>0</v>
      </c>
      <c r="CP28" s="1026">
        <v>0</v>
      </c>
      <c r="CQ28" s="1026">
        <v>0</v>
      </c>
      <c r="CR28" s="1026">
        <v>0</v>
      </c>
      <c r="CS28" s="1026">
        <v>0</v>
      </c>
      <c r="CT28" s="1026">
        <v>0</v>
      </c>
      <c r="CU28" s="1026">
        <v>0</v>
      </c>
      <c r="CV28" s="1026">
        <v>0</v>
      </c>
      <c r="CW28" s="1026">
        <v>0</v>
      </c>
      <c r="CX28" s="1026">
        <v>0</v>
      </c>
      <c r="CY28" s="1026">
        <v>0</v>
      </c>
      <c r="CZ28" s="1026">
        <v>0</v>
      </c>
      <c r="DA28" s="1026">
        <v>0</v>
      </c>
      <c r="DB28" s="1026">
        <v>0</v>
      </c>
      <c r="DC28" s="1026">
        <v>0</v>
      </c>
      <c r="DD28" s="1026">
        <v>0</v>
      </c>
      <c r="DE28" s="1026">
        <v>0</v>
      </c>
      <c r="DF28" s="1026">
        <v>0</v>
      </c>
      <c r="DG28" s="1026">
        <v>0</v>
      </c>
      <c r="DH28" s="1026">
        <v>0</v>
      </c>
      <c r="DI28" s="1026">
        <v>0</v>
      </c>
      <c r="DJ28" s="1026">
        <v>0</v>
      </c>
      <c r="DK28" s="1026">
        <v>0</v>
      </c>
      <c r="DL28" s="1026">
        <v>0</v>
      </c>
      <c r="DM28" s="1026">
        <v>0</v>
      </c>
      <c r="DN28" s="1026">
        <v>0</v>
      </c>
      <c r="DO28" s="1026">
        <v>0</v>
      </c>
      <c r="DP28" s="1026">
        <v>0</v>
      </c>
      <c r="DQ28" s="1026">
        <v>0</v>
      </c>
      <c r="DR28" s="1026">
        <v>0</v>
      </c>
      <c r="DS28" s="1026">
        <v>0</v>
      </c>
      <c r="DT28" s="1026">
        <v>0</v>
      </c>
      <c r="DU28" s="1026">
        <v>0</v>
      </c>
      <c r="DV28" s="1026">
        <v>0</v>
      </c>
      <c r="DW28" s="1026">
        <v>0</v>
      </c>
      <c r="DX28" s="1026">
        <v>0</v>
      </c>
      <c r="DY28" s="1026">
        <v>0</v>
      </c>
      <c r="DZ28" s="1026">
        <v>0</v>
      </c>
      <c r="EA28" s="1026">
        <v>0</v>
      </c>
      <c r="EB28" s="1026">
        <v>0</v>
      </c>
      <c r="EC28" s="1026">
        <v>0</v>
      </c>
      <c r="ED28" s="1026">
        <v>0</v>
      </c>
      <c r="EE28" s="1026">
        <v>0</v>
      </c>
      <c r="EF28" s="1026">
        <v>0</v>
      </c>
      <c r="EG28" s="1026">
        <v>0</v>
      </c>
      <c r="EH28" s="1026">
        <v>0</v>
      </c>
      <c r="EI28" s="1026">
        <v>0</v>
      </c>
      <c r="EJ28" s="1026">
        <v>0</v>
      </c>
      <c r="EK28" s="1026">
        <v>0</v>
      </c>
      <c r="EL28" s="1026">
        <v>0</v>
      </c>
      <c r="EM28" s="1026">
        <v>0</v>
      </c>
      <c r="EN28" s="1026">
        <v>0</v>
      </c>
      <c r="EO28" s="1026">
        <v>0</v>
      </c>
      <c r="EP28" s="1026">
        <v>0</v>
      </c>
      <c r="EQ28" s="1026">
        <v>0</v>
      </c>
      <c r="ER28" s="1026">
        <v>0</v>
      </c>
      <c r="ES28" s="1026">
        <v>0</v>
      </c>
      <c r="ET28" s="1026">
        <v>0</v>
      </c>
      <c r="EU28" s="1026">
        <v>0</v>
      </c>
      <c r="EV28" s="1026">
        <v>0</v>
      </c>
      <c r="EW28" s="1026">
        <v>0</v>
      </c>
      <c r="EX28" s="1026">
        <v>0</v>
      </c>
      <c r="EY28" s="1026">
        <v>0</v>
      </c>
      <c r="EZ28" s="1026">
        <v>0</v>
      </c>
      <c r="FA28" s="1026">
        <v>0</v>
      </c>
      <c r="FB28" s="1026">
        <v>0</v>
      </c>
      <c r="FC28" s="1026">
        <v>0</v>
      </c>
      <c r="FD28" s="1026">
        <v>0</v>
      </c>
      <c r="FE28" s="1026">
        <v>0</v>
      </c>
      <c r="FF28" s="1026">
        <v>0</v>
      </c>
      <c r="FG28" s="1026">
        <v>0</v>
      </c>
      <c r="FH28" s="1026">
        <v>0</v>
      </c>
      <c r="FI28" s="1026">
        <v>0</v>
      </c>
      <c r="FJ28" s="1026">
        <v>0</v>
      </c>
      <c r="FK28" s="1026">
        <v>0</v>
      </c>
      <c r="FL28" s="1026">
        <v>0</v>
      </c>
      <c r="FM28" s="1026">
        <v>0</v>
      </c>
      <c r="FN28" s="1026">
        <v>0</v>
      </c>
      <c r="FO28" s="1026">
        <v>0</v>
      </c>
      <c r="FP28" s="1026">
        <v>0</v>
      </c>
      <c r="FQ28" s="1026">
        <v>0</v>
      </c>
      <c r="FR28" s="1026">
        <v>0</v>
      </c>
      <c r="FS28" s="1026">
        <v>0</v>
      </c>
      <c r="FT28" s="1026">
        <v>0</v>
      </c>
      <c r="FU28" s="1026">
        <v>0</v>
      </c>
      <c r="FV28" s="1026">
        <v>0</v>
      </c>
      <c r="FW28" s="1026">
        <v>0</v>
      </c>
      <c r="FX28" s="1026">
        <v>8</v>
      </c>
      <c r="FY28" s="1026">
        <v>8</v>
      </c>
      <c r="FZ28" s="1026">
        <v>8</v>
      </c>
      <c r="GA28" s="1026">
        <v>8</v>
      </c>
      <c r="GB28" s="1026">
        <v>8</v>
      </c>
      <c r="GC28" s="1026">
        <v>12</v>
      </c>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
    <dataValidation type="decimal" allowBlank="1" showErrorMessage="1" errorTitle="Ошибка" error="Допускается ввод только действительных чисел!" sqref="CY22:DJ22 BT22:CK22 O22:AB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05DBF-8CD5-DC65-F5FB-569F03CB9D41}" mc:Ignorable="x14ac xr xr2 xr3">
  <sheetPr>
    <tabColor theme="2" tint="-0.1"/>
  </sheetPr>
  <dimension ref="A1:BA23"/>
  <sheetViews>
    <sheetView topLeftCell="A1" showGridLines="0" zoomScale="90" workbookViewId="0">
      <selection activeCell="AP8" sqref="AP8"/>
    </sheetView>
  </sheetViews>
  <sheetFormatPr defaultColWidth="10.57421875" customHeight="1" defaultRowHeight="15"/>
  <cols>
    <col min="1" max="1" style="10196" width="9.140625" hidden="1" customWidth="1"/>
    <col min="2" max="2" style="10232" width="9.140625" hidden="1" customWidth="1"/>
    <col min="3" max="3" style="12392" width="4.00390625" customWidth="1"/>
    <col min="4" max="4" style="10232" width="6.00390625" customWidth="1"/>
    <col min="5" max="5" style="10232" width="36.00390625" customWidth="1"/>
    <col min="6" max="6" style="10232" width="9.00390625" customWidth="1"/>
    <col min="7" max="7" style="10232" width="42.421875" hidden="1" customWidth="1"/>
    <col min="8" max="8" style="10232" width="40.7109375" customWidth="1"/>
    <col min="9" max="39" style="10232" width="42.421875" customWidth="1"/>
    <col min="40" max="42" style="11667" width="42.421875" customWidth="1"/>
    <col min="43" max="43" style="10306" width="93.00390625" customWidth="1"/>
    <col min="44" max="51" style="10232" width="10.00390625" customWidth="1"/>
    <col min="52" max="52" style="12393" width="10.00390625" customWidth="1"/>
    <col min="53" max="53" style="10232" width="10.57421875" hidden="1"/>
  </cols>
  <sheetData>
    <row s="10306" customFormat="1" customHeight="1" ht="15" hidden="1">
      <c r="C1" s="779"/>
      <c r="H1" s="524">
        <v>4</v>
      </c>
      <c r="AN1" s="4608"/>
      <c r="AO1" s="4608"/>
      <c r="AP1" s="4608"/>
      <c r="AZ1" s="527"/>
      <c r="BA1" s="524" t="s">
        <v>14</v>
      </c>
    </row>
    <row customHeight="1" ht="22.5" hidden="1">
      <c r="C2" s="2019" t="s">
        <v>103</v>
      </c>
      <c r="D2" s="646"/>
      <c r="E2" s="770"/>
      <c r="F2" s="1857" t="str">
        <f>IF(TEMPLATE_SPHERE="HEAT","Гкал/час","тыс. куб. м/сутки")</f>
        <v>Гкал/час</v>
      </c>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5216"/>
      <c r="AO2" s="5216"/>
      <c r="AP2" s="5216"/>
      <c r="AQ2" s="397"/>
      <c r="BA2" s="612">
        <v>0</v>
      </c>
    </row>
    <row s="10306" customFormat="1" customHeight="1" ht="15" hidden="1">
      <c r="C3" s="779"/>
      <c r="AN3" s="4608"/>
      <c r="AO3" s="4608"/>
      <c r="AP3" s="4608"/>
      <c r="AZ3" s="527"/>
      <c r="BA3" s="524">
        <v>0</v>
      </c>
    </row>
    <row customHeight="1" ht="15.75">
      <c r="C4" s="284"/>
      <c r="D4" s="616"/>
      <c r="E4" s="616"/>
      <c r="F4" s="616"/>
      <c r="G4" s="616"/>
      <c r="H4" s="616"/>
      <c r="AN4" s="4586"/>
      <c r="AO4" s="4586"/>
      <c r="AP4" s="4586"/>
      <c r="BA4" s="612">
        <v>15</v>
      </c>
    </row>
    <row customHeight="1" ht="39.75">
      <c r="C5" s="284"/>
      <c r="D5" s="309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096"/>
      <c r="F5" s="3096"/>
      <c r="G5" s="3096"/>
      <c r="H5" s="3096"/>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4620"/>
      <c r="AO5" s="4620"/>
      <c r="AP5" s="4620"/>
      <c r="AQ5" s="644"/>
      <c r="BA5" s="612">
        <v>38</v>
      </c>
    </row>
    <row customHeight="1" ht="15.75">
      <c r="C6" s="284"/>
      <c r="D6" s="3069" t="str">
        <f>IF(org=0,"Не определено",org)</f>
        <v>АО "ДГК"</v>
      </c>
      <c r="E6" s="3069"/>
      <c r="F6" s="3069"/>
      <c r="G6" s="3069"/>
      <c r="H6" s="3069"/>
      <c r="I6" s="2173"/>
      <c r="J6" s="2173"/>
      <c r="K6" s="2173"/>
      <c r="L6" s="2173"/>
      <c r="M6" s="2173"/>
      <c r="N6" s="2173"/>
      <c r="O6" s="2173"/>
      <c r="P6" s="2173"/>
      <c r="Q6" s="2173"/>
      <c r="R6" s="2173"/>
      <c r="S6" s="2173"/>
      <c r="T6" s="2173"/>
      <c r="U6" s="2173"/>
      <c r="V6" s="2173"/>
      <c r="W6" s="2173"/>
      <c r="X6" s="2173"/>
      <c r="Y6" s="2173"/>
      <c r="Z6" s="2173"/>
      <c r="AA6" s="2173"/>
      <c r="AB6" s="2173"/>
      <c r="AC6" s="2173"/>
      <c r="AD6" s="2173"/>
      <c r="AE6" s="2173"/>
      <c r="AF6" s="2173"/>
      <c r="AG6" s="2173"/>
      <c r="AH6" s="2173"/>
      <c r="AI6" s="2173"/>
      <c r="AJ6" s="2173"/>
      <c r="AK6" s="2173"/>
      <c r="AL6" s="2173"/>
      <c r="AM6" s="2173"/>
      <c r="AN6" s="4623"/>
      <c r="AO6" s="4623"/>
      <c r="AP6" s="4623"/>
      <c r="AQ6" s="644"/>
      <c r="BA6" s="612">
        <v>15</v>
      </c>
    </row>
    <row s="10232" customFormat="1" customHeight="1" ht="15.75">
      <c r="A7" s="864"/>
      <c r="C7" s="284"/>
      <c r="D7" s="783"/>
      <c r="E7" s="783"/>
      <c r="F7" s="783"/>
      <c r="G7" s="783"/>
      <c r="H7" s="859"/>
      <c r="I7" s="2187" t="s">
        <v>22</v>
      </c>
      <c r="J7" s="2187" t="s">
        <v>22</v>
      </c>
      <c r="K7" s="2187" t="s">
        <v>22</v>
      </c>
      <c r="L7" s="2187" t="s">
        <v>22</v>
      </c>
      <c r="M7" s="2187" t="s">
        <v>22</v>
      </c>
      <c r="N7" s="2187" t="s">
        <v>22</v>
      </c>
      <c r="O7" s="2187" t="s">
        <v>22</v>
      </c>
      <c r="P7" s="2187" t="s">
        <v>22</v>
      </c>
      <c r="Q7" s="2187" t="s">
        <v>22</v>
      </c>
      <c r="R7" s="2187" t="s">
        <v>22</v>
      </c>
      <c r="S7" s="2187" t="s">
        <v>22</v>
      </c>
      <c r="T7" s="2187" t="s">
        <v>22</v>
      </c>
      <c r="U7" s="2187" t="s">
        <v>22</v>
      </c>
      <c r="V7" s="2187" t="s">
        <v>22</v>
      </c>
      <c r="W7" s="2187" t="s">
        <v>22</v>
      </c>
      <c r="X7" s="2187" t="s">
        <v>22</v>
      </c>
      <c r="Y7" s="2187" t="s">
        <v>22</v>
      </c>
      <c r="Z7" s="2187" t="s">
        <v>22</v>
      </c>
      <c r="AA7" s="2187" t="s">
        <v>22</v>
      </c>
      <c r="AB7" s="2187" t="s">
        <v>22</v>
      </c>
      <c r="AC7" s="2187" t="s">
        <v>22</v>
      </c>
      <c r="AD7" s="2187" t="s">
        <v>22</v>
      </c>
      <c r="AE7" s="2187" t="s">
        <v>22</v>
      </c>
      <c r="AF7" s="2187" t="s">
        <v>22</v>
      </c>
      <c r="AG7" s="2187" t="s">
        <v>22</v>
      </c>
      <c r="AH7" s="2187" t="s">
        <v>22</v>
      </c>
      <c r="AI7" s="2187" t="s">
        <v>22</v>
      </c>
      <c r="AJ7" s="2187" t="s">
        <v>22</v>
      </c>
      <c r="AK7" s="2187" t="s">
        <v>22</v>
      </c>
      <c r="AL7" s="2187" t="s">
        <v>22</v>
      </c>
      <c r="AM7" s="2187" t="s">
        <v>22</v>
      </c>
      <c r="AN7" s="6023" t="s">
        <v>22</v>
      </c>
      <c r="AO7" s="6023" t="s">
        <v>22</v>
      </c>
      <c r="AP7" s="6023" t="s">
        <v>22</v>
      </c>
      <c r="AQ7" s="644"/>
      <c r="AZ7" s="782"/>
      <c r="BA7" s="863">
        <v>15</v>
      </c>
    </row>
    <row customHeight="1" ht="1.05">
      <c r="C8" s="284"/>
      <c r="D8" s="616"/>
      <c r="E8" s="616"/>
      <c r="F8" s="616"/>
      <c r="G8" s="616"/>
      <c r="H8" s="644" t="s">
        <v>150</v>
      </c>
      <c r="I8" s="1731" t="s">
        <v>154</v>
      </c>
      <c r="J8" s="1731" t="s">
        <v>157</v>
      </c>
      <c r="K8" s="1731" t="s">
        <v>159</v>
      </c>
      <c r="L8" s="1731" t="s">
        <v>161</v>
      </c>
      <c r="M8" s="1731" t="s">
        <v>163</v>
      </c>
      <c r="N8" s="1731" t="s">
        <v>165</v>
      </c>
      <c r="O8" s="1731" t="s">
        <v>168</v>
      </c>
      <c r="P8" s="1731" t="s">
        <v>171</v>
      </c>
      <c r="Q8" s="1731" t="s">
        <v>173</v>
      </c>
      <c r="R8" s="1731" t="s">
        <v>175</v>
      </c>
      <c r="S8" s="1731" t="s">
        <v>177</v>
      </c>
      <c r="T8" s="1731" t="s">
        <v>179</v>
      </c>
      <c r="U8" s="1731" t="s">
        <v>181</v>
      </c>
      <c r="V8" s="1731" t="s">
        <v>183</v>
      </c>
      <c r="W8" s="1731" t="s">
        <v>725</v>
      </c>
      <c r="X8" s="1731" t="s">
        <v>727</v>
      </c>
      <c r="Y8" s="1731" t="s">
        <v>729</v>
      </c>
      <c r="Z8" s="1731" t="s">
        <v>731</v>
      </c>
      <c r="AA8" s="1731" t="s">
        <v>733</v>
      </c>
      <c r="AB8" s="1731" t="s">
        <v>735</v>
      </c>
      <c r="AC8" s="1731" t="s">
        <v>737</v>
      </c>
      <c r="AD8" s="1731" t="s">
        <v>739</v>
      </c>
      <c r="AE8" s="1731" t="s">
        <v>741</v>
      </c>
      <c r="AF8" s="1731" t="s">
        <v>743</v>
      </c>
      <c r="AG8" s="1731" t="s">
        <v>186</v>
      </c>
      <c r="AH8" s="1731" t="s">
        <v>188</v>
      </c>
      <c r="AI8" s="1731" t="s">
        <v>190</v>
      </c>
      <c r="AJ8" s="1731" t="s">
        <v>192</v>
      </c>
      <c r="AK8" s="1731" t="s">
        <v>194</v>
      </c>
      <c r="AL8" s="1731" t="s">
        <v>197</v>
      </c>
      <c r="AM8" s="1731" t="s">
        <v>199</v>
      </c>
      <c r="AN8" s="4586" t="s">
        <v>202</v>
      </c>
      <c r="AO8" s="4586" t="s">
        <v>205</v>
      </c>
      <c r="AP8" s="4586" t="s">
        <v>206</v>
      </c>
      <c r="BA8" s="612">
        <v>1</v>
      </c>
    </row>
    <row customHeight="1" ht="15.75">
      <c r="C9" s="284"/>
      <c r="D9" s="818"/>
      <c r="E9" s="3204" t="s">
        <v>140</v>
      </c>
      <c r="F9" s="3205"/>
      <c r="G9" s="917" t="str">
        <f>IF(G8="","",INDEX(DIFFERENTIATION_UNMERGE_VD,MATCH(G8,DIFFERENTIATION_ID_DIFF,0)))</f>
        <v/>
      </c>
      <c r="H9" s="9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8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185"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v>
      </c>
      <c r="K9" s="2185"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v>
      </c>
      <c r="L9" s="2185" t="str">
        <f>IF(L8="","",INDEX(DIFFERENTIATION_UNMERGE_VD,MATCH(L8,DIFFERENTIATION_ID_DIFF,0)))</f>
        <v>Производство тепловой энергии. Комбинированная выработка с уст. мощностью производства электрической энергии 25 МВт и более</v>
      </c>
      <c r="M9" s="2185"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v>
      </c>
      <c r="N9" s="2185" t="str">
        <f>IF(N8="","",INDEX(DIFFERENTIATION_UNMERGE_VD,MATCH(N8,DIFFERENTIATION_ID_DIFF,0)))</f>
        <v>Производство тепловой энергии. Комбинированная выработка с уст. мощностью производства электрической энергии 25 МВт и более</v>
      </c>
      <c r="O9" s="2185" t="str">
        <f>IF(O8="","",INDEX(DIFFERENTIATION_UNMERGE_VD,MATCH(O8,DIFFERENTIATION_ID_DIFF,0)))</f>
        <v>Производство. Теплоноситель</v>
      </c>
      <c r="P9" s="2185" t="str">
        <f>IF(P8="","",INDEX(DIFFERENTIATION_UNMERGE_VD,MATCH(P8,DIFFERENTIATION_ID_DIFF,0)))</f>
        <v>Производство. Теплоноситель</v>
      </c>
      <c r="Q9" s="2185" t="str">
        <f>IF(Q8="","",INDEX(DIFFERENTIATION_UNMERGE_VD,MATCH(Q8,DIFFERENTIATION_ID_DIFF,0)))</f>
        <v>Производство. Теплоноситель</v>
      </c>
      <c r="R9" s="2185" t="str">
        <f>IF(R8="","",INDEX(DIFFERENTIATION_UNMERGE_VD,MATCH(R8,DIFFERENTIATION_ID_DIFF,0)))</f>
        <v>Производство. Теплоноситель</v>
      </c>
      <c r="S9" s="2185" t="str">
        <f>IF(S8="","",INDEX(DIFFERENTIATION_UNMERGE_VD,MATCH(S8,DIFFERENTIATION_ID_DIFF,0)))</f>
        <v>Производство. Теплоноситель</v>
      </c>
      <c r="T9" s="2185" t="str">
        <f>IF(T8="","",INDEX(DIFFERENTIATION_UNMERGE_VD,MATCH(T8,DIFFERENTIATION_ID_DIFF,0)))</f>
        <v>Производство. Теплоноситель</v>
      </c>
      <c r="U9" s="2185" t="str">
        <f>IF(U8="","",INDEX(DIFFERENTIATION_UNMERGE_VD,MATCH(U8,DIFFERENTIATION_ID_DIFF,0)))</f>
        <v>Производство. Теплоноситель</v>
      </c>
      <c r="V9" s="2185" t="str">
        <f>IF(V8="","",INDEX(DIFFERENTIATION_UNMERGE_VD,MATCH(V8,DIFFERENTIATION_ID_DIFF,0)))</f>
        <v>Производство тепловой энергии. Некомбинированная выработка</v>
      </c>
      <c r="W9" s="2185">
        <f>IF(W8="","",INDEX(DIFFERENTIATION_UNMERGE_VD,MATCH(W8,DIFFERENTIATION_ID_DIFF,0)))</f>
      </c>
      <c r="X9" s="2185">
        <f>IF(X8="","",INDEX(DIFFERENTIATION_UNMERGE_VD,MATCH(X8,DIFFERENTIATION_ID_DIFF,0)))</f>
      </c>
      <c r="Y9" s="2185">
        <f>IF(Y8="","",INDEX(DIFFERENTIATION_UNMERGE_VD,MATCH(Y8,DIFFERENTIATION_ID_DIFF,0)))</f>
      </c>
      <c r="Z9" s="2185">
        <f>IF(Z8="","",INDEX(DIFFERENTIATION_UNMERGE_VD,MATCH(Z8,DIFFERENTIATION_ID_DIFF,0)))</f>
      </c>
      <c r="AA9" s="2185">
        <f>IF(AA8="","",INDEX(DIFFERENTIATION_UNMERGE_VD,MATCH(AA8,DIFFERENTIATION_ID_DIFF,0)))</f>
      </c>
      <c r="AB9" s="2185">
        <f>IF(AB8="","",INDEX(DIFFERENTIATION_UNMERGE_VD,MATCH(AB8,DIFFERENTIATION_ID_DIFF,0)))</f>
      </c>
      <c r="AC9" s="2185">
        <f>IF(AC8="","",INDEX(DIFFERENTIATION_UNMERGE_VD,MATCH(AC8,DIFFERENTIATION_ID_DIFF,0)))</f>
      </c>
      <c r="AD9" s="2185">
        <f>IF(AD8="","",INDEX(DIFFERENTIATION_UNMERGE_VD,MATCH(AD8,DIFFERENTIATION_ID_DIFF,0)))</f>
      </c>
      <c r="AE9" s="2185">
        <f>IF(AE8="","",INDEX(DIFFERENTIATION_UNMERGE_VD,MATCH(AE8,DIFFERENTIATION_ID_DIFF,0)))</f>
      </c>
      <c r="AF9" s="2185">
        <f>IF(AF8="","",INDEX(DIFFERENTIATION_UNMERGE_VD,MATCH(AF8,DIFFERENTIATION_ID_DIFF,0)))</f>
      </c>
      <c r="AG9" s="2185" t="str">
        <f>IF(AG8="","",INDEX(DIFFERENTIATION_UNMERGE_VD,MATCH(AG8,DIFFERENTIATION_ID_DIFF,0)))</f>
        <v>Производство тепловой энергии. Некомбинированная выработка</v>
      </c>
      <c r="AH9" s="2185" t="str">
        <f>IF(AH8="","",INDEX(DIFFERENTIATION_UNMERGE_VD,MATCH(AH8,DIFFERENTIATION_ID_DIFF,0)))</f>
        <v>Производство тепловой энергии. Некомбинированная выработка</v>
      </c>
      <c r="AI9" s="2185" t="str">
        <f>IF(AI8="","",INDEX(DIFFERENTIATION_UNMERGE_VD,MATCH(AI8,DIFFERENTIATION_ID_DIFF,0)))</f>
        <v>Производство тепловой энергии. Некомбинированная выработка</v>
      </c>
      <c r="AJ9" s="2185" t="str">
        <f>IF(AJ8="","",INDEX(DIFFERENTIATION_UNMERGE_VD,MATCH(AJ8,DIFFERENTIATION_ID_DIFF,0)))</f>
        <v>Производство тепловой энергии. Некомбинированная выработка</v>
      </c>
      <c r="AK9" s="2185" t="str">
        <f>IF(AK8="","",INDEX(DIFFERENTIATION_UNMERGE_VD,MATCH(AK8,DIFFERENTIATION_ID_DIFF,0)))</f>
        <v>Передача. Тепловая энергия; Передача. Теплоноситель; Сбыт. Тепловая энергия; Сбыт. Теплоноситель</v>
      </c>
      <c r="AL9" s="2185" t="str">
        <f>IF(AL8="","",INDEX(DIFFERENTIATION_UNMERGE_VD,MATCH(AL8,DIFFERENTIATION_ID_DIFF,0)))</f>
        <v>Передача. Тепловая энергия; Передача. Теплоноситель; Сбыт. Тепловая энергия; Сбыт. Теплоноситель</v>
      </c>
      <c r="AM9" s="2185" t="str">
        <f>IF(AM8="","",INDEX(DIFFERENTIATION_UNMERGE_VD,MATCH(AM8,DIFFERENTIATION_ID_DIFF,0)))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Передача. Теплоноситель; Сбыт. Тепловая энергия; Сбыт. Теплоноситель</v>
      </c>
      <c r="AN9" s="5289" t="str">
        <f>IF(AN8="","",INDEX(DIFFERENTIATION_UNMERGE_VD,MATCH(AN8,DIFFERENTIATION_ID_DIFF,0)))</f>
        <v>Производство тепловой энергии. Некомбинированная выработка; Передача. Тепловая энергия; Сбыт. Тепловая энергия</v>
      </c>
      <c r="AO9" s="5289" t="str">
        <f>IF(AO8="","",INDEX(DIFFERENTIATION_UNMERGE_VD,MATCH(AO8,DIFFERENTIATION_ID_DIFF,0)))</f>
        <v>Производство тепловой энергии. Некомбинированная выработка; Передача. Тепловая энергия; Сбыт. Тепловая энергия</v>
      </c>
      <c r="AP9" s="5289" t="str">
        <f>IF(AP8="","",INDEX(DIFFERENTIATION_UNMERGE_VD,MATCH(AP8,DIFFERENTIATION_ID_DIFF,0)))</f>
        <v>Подключение (технологическое присоединение) к системе теплоснабжения</v>
      </c>
      <c r="AQ9" s="2978" t="s">
        <v>386</v>
      </c>
      <c r="BA9" s="612">
        <v>15</v>
      </c>
    </row>
    <row s="10232" customFormat="1" customHeight="1" ht="15.75">
      <c r="A10" s="864"/>
      <c r="C10" s="284"/>
      <c r="D10" s="818"/>
      <c r="E10" s="3204" t="s">
        <v>649</v>
      </c>
      <c r="F10" s="3205"/>
      <c r="G10" s="917" t="str">
        <f>IF(G8="","",INDEX(DIFFERENTIATION_UNMERGE_AREA,MATCH(G8,DIFFERENTIATION_ID_DIFF,0)))</f>
        <v/>
      </c>
      <c r="H10" s="917" t="str">
        <f>IF(H8="","",INDEX(DIFFERENTIATION_UNMERGE_AREA,MATCH(H8,DIFFERENTIATION_ID_DIFF,0)))</f>
        <v>Территория 1</v>
      </c>
      <c r="I10" s="2185" t="str">
        <f>IF(I8="","",INDEX(DIFFERENTIATION_UNMERGE_AREA,MATCH(I8,DIFFERENTIATION_ID_DIFF,0)))</f>
        <v>Территория 1</v>
      </c>
      <c r="J10" s="2185" t="str">
        <f>IF(J8="","",INDEX(DIFFERENTIATION_UNMERGE_AREA,MATCH(J8,DIFFERENTIATION_ID_DIFF,0)))</f>
        <v>Территория 2</v>
      </c>
      <c r="K10" s="2185" t="str">
        <f>IF(K8="","",INDEX(DIFFERENTIATION_UNMERGE_AREA,MATCH(K8,DIFFERENTIATION_ID_DIFF,0)))</f>
        <v>Территория 2</v>
      </c>
      <c r="L10" s="2185" t="str">
        <f>IF(L8="","",INDEX(DIFFERENTIATION_UNMERGE_AREA,MATCH(L8,DIFFERENTIATION_ID_DIFF,0)))</f>
        <v>Территория 3</v>
      </c>
      <c r="M10" s="2185" t="str">
        <f>IF(M8="","",INDEX(DIFFERENTIATION_UNMERGE_AREA,MATCH(M8,DIFFERENTIATION_ID_DIFF,0)))</f>
        <v>Территория 4</v>
      </c>
      <c r="N10" s="2185" t="str">
        <f>IF(N8="","",INDEX(DIFFERENTIATION_UNMERGE_AREA,MATCH(N8,DIFFERENTIATION_ID_DIFF,0)))</f>
        <v>Территория 5</v>
      </c>
      <c r="O10" s="2185" t="str">
        <f>IF(O8="","",INDEX(DIFFERENTIATION_UNMERGE_AREA,MATCH(O8,DIFFERENTIATION_ID_DIFF,0)))</f>
        <v>Территория 1</v>
      </c>
      <c r="P10" s="2185" t="str">
        <f>IF(P8="","",INDEX(DIFFERENTIATION_UNMERGE_AREA,MATCH(P8,DIFFERENTIATION_ID_DIFF,0)))</f>
        <v>Территория 2</v>
      </c>
      <c r="Q10" s="2185" t="str">
        <f>IF(Q8="","",INDEX(DIFFERENTIATION_UNMERGE_AREA,MATCH(Q8,DIFFERENTIATION_ID_DIFF,0)))</f>
        <v>Территория 3</v>
      </c>
      <c r="R10" s="2185" t="str">
        <f>IF(R8="","",INDEX(DIFFERENTIATION_UNMERGE_AREA,MATCH(R8,DIFFERENTIATION_ID_DIFF,0)))</f>
        <v>Территория 4</v>
      </c>
      <c r="S10" s="2185" t="str">
        <f>IF(S8="","",INDEX(DIFFERENTIATION_UNMERGE_AREA,MATCH(S8,DIFFERENTIATION_ID_DIFF,0)))</f>
        <v>Территория 5</v>
      </c>
      <c r="T10" s="2185" t="str">
        <f>IF(T8="","",INDEX(DIFFERENTIATION_UNMERGE_AREA,MATCH(T8,DIFFERENTIATION_ID_DIFF,0)))</f>
        <v>Территория 6</v>
      </c>
      <c r="U10" s="2185" t="str">
        <f>IF(U8="","",INDEX(DIFFERENTIATION_UNMERGE_AREA,MATCH(U8,DIFFERENTIATION_ID_DIFF,0)))</f>
        <v>Территория 7</v>
      </c>
      <c r="V10" s="2185" t="str">
        <f>IF(V8="","",INDEX(DIFFERENTIATION_UNMERGE_AREA,MATCH(V8,DIFFERENTIATION_ID_DIFF,0)))</f>
        <v>без дифференциации</v>
      </c>
      <c r="W10" s="2185">
        <f>IF(W8="","",INDEX(DIFFERENTIATION_UNMERGE_AREA,MATCH(W8,DIFFERENTIATION_ID_DIFF,0)))</f>
      </c>
      <c r="X10" s="2185">
        <f>IF(X8="","",INDEX(DIFFERENTIATION_UNMERGE_AREA,MATCH(X8,DIFFERENTIATION_ID_DIFF,0)))</f>
      </c>
      <c r="Y10" s="2185">
        <f>IF(Y8="","",INDEX(DIFFERENTIATION_UNMERGE_AREA,MATCH(Y8,DIFFERENTIATION_ID_DIFF,0)))</f>
      </c>
      <c r="Z10" s="2185">
        <f>IF(Z8="","",INDEX(DIFFERENTIATION_UNMERGE_AREA,MATCH(Z8,DIFFERENTIATION_ID_DIFF,0)))</f>
      </c>
      <c r="AA10" s="2185">
        <f>IF(AA8="","",INDEX(DIFFERENTIATION_UNMERGE_AREA,MATCH(AA8,DIFFERENTIATION_ID_DIFF,0)))</f>
      </c>
      <c r="AB10" s="2185">
        <f>IF(AB8="","",INDEX(DIFFERENTIATION_UNMERGE_AREA,MATCH(AB8,DIFFERENTIATION_ID_DIFF,0)))</f>
      </c>
      <c r="AC10" s="2185">
        <f>IF(AC8="","",INDEX(DIFFERENTIATION_UNMERGE_AREA,MATCH(AC8,DIFFERENTIATION_ID_DIFF,0)))</f>
      </c>
      <c r="AD10" s="2185">
        <f>IF(AD8="","",INDEX(DIFFERENTIATION_UNMERGE_AREA,MATCH(AD8,DIFFERENTIATION_ID_DIFF,0)))</f>
      </c>
      <c r="AE10" s="2185">
        <f>IF(AE8="","",INDEX(DIFFERENTIATION_UNMERGE_AREA,MATCH(AE8,DIFFERENTIATION_ID_DIFF,0)))</f>
      </c>
      <c r="AF10" s="2185">
        <f>IF(AF8="","",INDEX(DIFFERENTIATION_UNMERGE_AREA,MATCH(AF8,DIFFERENTIATION_ID_DIFF,0)))</f>
      </c>
      <c r="AG10" s="2185" t="str">
        <f>IF(AG8="","",INDEX(DIFFERENTIATION_UNMERGE_AREA,MATCH(AG8,DIFFERENTIATION_ID_DIFF,0)))</f>
        <v>без дифференциации</v>
      </c>
      <c r="AH10" s="2185" t="str">
        <f>IF(AH8="","",INDEX(DIFFERENTIATION_UNMERGE_AREA,MATCH(AH8,DIFFERENTIATION_ID_DIFF,0)))</f>
        <v>без дифференциации</v>
      </c>
      <c r="AI10" s="2185" t="str">
        <f>IF(AI8="","",INDEX(DIFFERENTIATION_UNMERGE_AREA,MATCH(AI8,DIFFERENTIATION_ID_DIFF,0)))</f>
        <v>без дифференциации</v>
      </c>
      <c r="AJ10" s="2185" t="str">
        <f>IF(AJ8="","",INDEX(DIFFERENTIATION_UNMERGE_AREA,MATCH(AJ8,DIFFERENTIATION_ID_DIFF,0)))</f>
        <v>без дифференциации</v>
      </c>
      <c r="AK10" s="2185" t="str">
        <f>IF(AK8="","",INDEX(DIFFERENTIATION_UNMERGE_AREA,MATCH(AK8,DIFFERENTIATION_ID_DIFF,0)))</f>
        <v>без дифференциации</v>
      </c>
      <c r="AL10" s="2185" t="str">
        <f>IF(AL8="","",INDEX(DIFFERENTIATION_UNMERGE_AREA,MATCH(AL8,DIFFERENTIATION_ID_DIFF,0)))</f>
        <v>без дифференциации</v>
      </c>
      <c r="AM10" s="2185" t="str">
        <f>IF(AM8="","",INDEX(DIFFERENTIATION_UNMERGE_AREA,MATCH(AM8,DIFFERENTIATION_ID_DIFF,0)))</f>
        <v>Территория 7</v>
      </c>
      <c r="AN10" s="5289" t="str">
        <f>IF(AN8="","",INDEX(DIFFERENTIATION_UNMERGE_AREA,MATCH(AN8,DIFFERENTIATION_ID_DIFF,0)))</f>
        <v>Территория 5</v>
      </c>
      <c r="AO10" s="5289" t="str">
        <f>IF(AO8="","",INDEX(DIFFERENTIATION_UNMERGE_AREA,MATCH(AO8,DIFFERENTIATION_ID_DIFF,0)))</f>
        <v>Территория 8</v>
      </c>
      <c r="AP10" s="5289" t="str">
        <f>IF(AP8="","",INDEX(DIFFERENTIATION_UNMERGE_AREA,MATCH(AP8,DIFFERENTIATION_ID_DIFF,0)))</f>
        <v>без дифференциации</v>
      </c>
      <c r="AQ10" s="2978"/>
      <c r="AZ10" s="782"/>
      <c r="BA10" s="863">
        <v>15</v>
      </c>
    </row>
    <row s="10232" customFormat="1" customHeight="1" ht="15.75">
      <c r="A11" s="864"/>
      <c r="C11" s="284"/>
      <c r="D11" s="818"/>
      <c r="E11" s="3204" t="s">
        <v>650</v>
      </c>
      <c r="F11" s="3205"/>
      <c r="G11" s="917" t="str">
        <f>IF(G8="","",INDEX(DIFFERENTIATION_UNMERGE_SYSTEM,MATCH(G8,DIFFERENTIATION_ID_DIFF,0)))</f>
        <v/>
      </c>
      <c r="H11" s="917" t="str">
        <f>IF(H8="","",INDEX(DIFFERENTIATION_UNMERGE_SYSTEM,MATCH(H8,DIFFERENTIATION_ID_DIFF,0)))</f>
        <v>Хабаровская ТЭЦ - 1</v>
      </c>
      <c r="I11" s="2185" t="str">
        <f>IF(I8="","",INDEX(DIFFERENTIATION_UNMERGE_SYSTEM,MATCH(I8,DIFFERENTIATION_ID_DIFF,0)))</f>
        <v>Хабаровская ТЭЦ - 3</v>
      </c>
      <c r="J11" s="2185" t="str">
        <f>IF(J8="","",INDEX(DIFFERENTIATION_UNMERGE_SYSTEM,MATCH(J8,DIFFERENTIATION_ID_DIFF,0)))</f>
        <v>Комсомольская ТЭЦ - 2</v>
      </c>
      <c r="K11" s="2185" t="str">
        <f>IF(K8="","",INDEX(DIFFERENTIATION_UNMERGE_SYSTEM,MATCH(K8,DIFFERENTIATION_ID_DIFF,0)))</f>
        <v>Комсомольская ТЭЦ - 3</v>
      </c>
      <c r="L11" s="2185" t="str">
        <f>IF(L8="","",INDEX(DIFFERENTIATION_UNMERGE_SYSTEM,MATCH(L8,DIFFERENTIATION_ID_DIFF,0)))</f>
        <v>Амурская ТЭЦ - 1</v>
      </c>
      <c r="M11" s="2185" t="str">
        <f>IF(M8="","",INDEX(DIFFERENTIATION_UNMERGE_SYSTEM,MATCH(M8,DIFFERENTIATION_ID_DIFF,0)))</f>
        <v>Майская ГРЭС</v>
      </c>
      <c r="N11" s="2185" t="str">
        <f>IF(N8="","",INDEX(DIFFERENTIATION_UNMERGE_SYSTEM,MATCH(N8,DIFFERENTIATION_ID_DIFF,0)))</f>
        <v>Николаевская ТЭЦ</v>
      </c>
      <c r="O11" s="2185" t="str">
        <f>IF(O8="","",INDEX(DIFFERENTIATION_UNMERGE_SYSTEM,MATCH(O8,DIFFERENTIATION_ID_DIFF,0)))</f>
        <v>г. Хабаровск, Хабаровский муниципальный район</v>
      </c>
      <c r="P11" s="2185" t="str">
        <f>IF(P8="","",INDEX(DIFFERENTIATION_UNMERGE_SYSTEM,MATCH(P8,DIFFERENTIATION_ID_DIFF,0)))</f>
        <v>г. Комсомольск-на-Амуре</v>
      </c>
      <c r="Q11" s="2185" t="str">
        <f>IF(Q8="","",INDEX(DIFFERENTIATION_UNMERGE_SYSTEM,MATCH(Q8,DIFFERENTIATION_ID_DIFF,0)))</f>
        <v>г. Амурск</v>
      </c>
      <c r="R11" s="2185" t="str">
        <f>IF(R8="","",INDEX(DIFFERENTIATION_UNMERGE_SYSTEM,MATCH(R8,DIFFERENTIATION_ID_DIFF,0)))</f>
        <v>п. Майский</v>
      </c>
      <c r="S11" s="2185" t="str">
        <f>IF(S8="","",INDEX(DIFFERENTIATION_UNMERGE_SYSTEM,MATCH(S8,DIFFERENTIATION_ID_DIFF,0)))</f>
        <v>г. Николаевск-на-Амуре</v>
      </c>
      <c r="T11" s="2185" t="str">
        <f>IF(T8="","",INDEX(DIFFERENTIATION_UNMERGE_SYSTEM,MATCH(T8,DIFFERENTIATION_ID_DIFF,0)))</f>
        <v>п. Чегдомын</v>
      </c>
      <c r="U11" s="2185" t="str">
        <f>IF(U8="","",INDEX(DIFFERENTIATION_UNMERGE_SYSTEM,MATCH(U8,DIFFERENTIATION_ID_DIFF,0)))</f>
        <v>г. Советская Гавань</v>
      </c>
      <c r="V11" s="2185" t="str">
        <f>IF(V8="","",INDEX(DIFFERENTIATION_UNMERGE_SYSTEM,MATCH(V8,DIFFERENTIATION_ID_DIFF,0)))</f>
        <v>Хабаровская ТЭЦ-2</v>
      </c>
      <c r="W11" s="2185">
        <f>IF(W8="","",INDEX(DIFFERENTIATION_UNMERGE_SYSTEM,MATCH(W8,DIFFERENTIATION_ID_DIFF,0)))</f>
      </c>
      <c r="X11" s="2185">
        <f>IF(X8="","",INDEX(DIFFERENTIATION_UNMERGE_SYSTEM,MATCH(X8,DIFFERENTIATION_ID_DIFF,0)))</f>
      </c>
      <c r="Y11" s="2185">
        <f>IF(Y8="","",INDEX(DIFFERENTIATION_UNMERGE_SYSTEM,MATCH(Y8,DIFFERENTIATION_ID_DIFF,0)))</f>
      </c>
      <c r="Z11" s="2185">
        <f>IF(Z8="","",INDEX(DIFFERENTIATION_UNMERGE_SYSTEM,MATCH(Z8,DIFFERENTIATION_ID_DIFF,0)))</f>
      </c>
      <c r="AA11" s="2185">
        <f>IF(AA8="","",INDEX(DIFFERENTIATION_UNMERGE_SYSTEM,MATCH(AA8,DIFFERENTIATION_ID_DIFF,0)))</f>
      </c>
      <c r="AB11" s="2185">
        <f>IF(AB8="","",INDEX(DIFFERENTIATION_UNMERGE_SYSTEM,MATCH(AB8,DIFFERENTIATION_ID_DIFF,0)))</f>
      </c>
      <c r="AC11" s="2185">
        <f>IF(AC8="","",INDEX(DIFFERENTIATION_UNMERGE_SYSTEM,MATCH(AC8,DIFFERENTIATION_ID_DIFF,0)))</f>
      </c>
      <c r="AD11" s="2185">
        <f>IF(AD8="","",INDEX(DIFFERENTIATION_UNMERGE_SYSTEM,MATCH(AD8,DIFFERENTIATION_ID_DIFF,0)))</f>
      </c>
      <c r="AE11" s="2185">
        <f>IF(AE8="","",INDEX(DIFFERENTIATION_UNMERGE_SYSTEM,MATCH(AE8,DIFFERENTIATION_ID_DIFF,0)))</f>
      </c>
      <c r="AF11" s="2185">
        <f>IF(AF8="","",INDEX(DIFFERENTIATION_UNMERGE_SYSTEM,MATCH(AF8,DIFFERENTIATION_ID_DIFF,0)))</f>
      </c>
      <c r="AG11" s="2185" t="str">
        <f>IF(AG8="","",INDEX(DIFFERENTIATION_UNMERGE_SYSTEM,MATCH(AG8,DIFFERENTIATION_ID_DIFF,0)))</f>
        <v>Некрасовская котельная</v>
      </c>
      <c r="AH11" s="2185" t="str">
        <f>IF(AH8="","",INDEX(DIFFERENTIATION_UNMERGE_SYSTEM,MATCH(AH8,DIFFERENTIATION_ID_DIFF,0)))</f>
        <v>котельная "Дземги"</v>
      </c>
      <c r="AI11" s="2185" t="str">
        <f>IF(AI8="","",INDEX(DIFFERENTIATION_UNMERGE_SYSTEM,MATCH(AI8,DIFFERENTIATION_ID_DIFF,0)))</f>
        <v>Майская котельная</v>
      </c>
      <c r="AJ11" s="2185" t="str">
        <f>IF(AJ8="","",INDEX(DIFFERENTIATION_UNMERGE_SYSTEM,MATCH(AJ8,DIFFERENTIATION_ID_DIFF,0)))</f>
        <v>Ургальская котельная</v>
      </c>
      <c r="AK11" s="2185" t="str">
        <f>IF(AK8="","",INDEX(DIFFERENTIATION_UNMERGE_SYSTEM,MATCH(AK8,DIFFERENTIATION_ID_DIFF,0)))</f>
        <v>Комсомольские тепловые сети</v>
      </c>
      <c r="AL11" s="2185" t="str">
        <f>IF(AL8="","",INDEX(DIFFERENTIATION_UNMERGE_SYSTEM,MATCH(AL8,DIFFERENTIATION_ID_DIFF,0)))</f>
        <v>Хабаровские тепловые сети</v>
      </c>
      <c r="AM11" s="2185" t="str">
        <f>IF(AM8="","",INDEX(DIFFERENTIATION_UNMERGE_SYSTEM,MATCH(AM8,DIFFERENTIATION_ID_DIFF,0)))</f>
        <v>ТЭЦ в г. Советская Гавань</v>
      </c>
      <c r="AN11" s="5289" t="str">
        <f>IF(AN8="","",INDEX(DIFFERENTIATION_UNMERGE_SYSTEM,MATCH(AN8,DIFFERENTIATION_ID_DIFF,0)))</f>
        <v>котельная "Аэропорт"</v>
      </c>
      <c r="AO11" s="5289" t="str">
        <f>IF(AO8="","",INDEX(DIFFERENTIATION_UNMERGE_SYSTEM,MATCH(AO8,DIFFERENTIATION_ID_DIFF,0)))</f>
        <v>котельная в Волочаевском городке</v>
      </c>
      <c r="AP11" s="5289" t="str">
        <f>IF(AP8="","",INDEX(DIFFERENTIATION_UNMERGE_SYSTEM,MATCH(AP8,DIFFERENTIATION_ID_DIFF,0)))</f>
        <v>без дифференциации</v>
      </c>
      <c r="AQ11" s="2978"/>
      <c r="AZ11" s="782"/>
      <c r="BA11" s="863">
        <v>15</v>
      </c>
    </row>
    <row s="10232" customFormat="1" customHeight="1" ht="15.75">
      <c r="A12" s="864"/>
      <c r="C12" s="284"/>
      <c r="D12" s="3206" t="s">
        <v>385</v>
      </c>
      <c r="E12" s="3207"/>
      <c r="F12" s="3207"/>
      <c r="G12" s="987"/>
      <c r="H12" s="987"/>
      <c r="I12" s="2181"/>
      <c r="J12" s="2181"/>
      <c r="K12" s="2181"/>
      <c r="L12" s="2181"/>
      <c r="M12" s="2181"/>
      <c r="N12" s="2181"/>
      <c r="O12" s="2181"/>
      <c r="P12" s="2181"/>
      <c r="Q12" s="2181"/>
      <c r="R12" s="2181"/>
      <c r="S12" s="2181"/>
      <c r="T12" s="2181"/>
      <c r="U12" s="2181"/>
      <c r="V12" s="2181"/>
      <c r="W12" s="2181"/>
      <c r="X12" s="2181"/>
      <c r="Y12" s="2181"/>
      <c r="Z12" s="2181"/>
      <c r="AA12" s="2181"/>
      <c r="AB12" s="2181"/>
      <c r="AC12" s="2181"/>
      <c r="AD12" s="2181"/>
      <c r="AE12" s="2181"/>
      <c r="AF12" s="2181"/>
      <c r="AG12" s="2181"/>
      <c r="AH12" s="2181"/>
      <c r="AI12" s="2181"/>
      <c r="AJ12" s="2181"/>
      <c r="AK12" s="2181"/>
      <c r="AL12" s="2181"/>
      <c r="AM12" s="2181"/>
      <c r="AN12" s="4639"/>
      <c r="AO12" s="4639"/>
      <c r="AP12" s="4639"/>
      <c r="AQ12" s="2978"/>
      <c r="AZ12" s="782"/>
      <c r="BA12" s="863">
        <v>15</v>
      </c>
    </row>
    <row customHeight="1" ht="35.699999999999996">
      <c r="C13" s="284"/>
      <c r="D13" s="866" t="s">
        <v>88</v>
      </c>
      <c r="E13" s="865" t="s">
        <v>387</v>
      </c>
      <c r="F13" s="865" t="s">
        <v>651</v>
      </c>
      <c r="G13" s="909" t="s">
        <v>388</v>
      </c>
      <c r="H13" s="861" t="s">
        <v>388</v>
      </c>
      <c r="I13" s="2175" t="s">
        <v>388</v>
      </c>
      <c r="J13" s="2175" t="s">
        <v>388</v>
      </c>
      <c r="K13" s="2175" t="s">
        <v>388</v>
      </c>
      <c r="L13" s="2175" t="s">
        <v>388</v>
      </c>
      <c r="M13" s="2175" t="s">
        <v>388</v>
      </c>
      <c r="N13" s="2175" t="s">
        <v>388</v>
      </c>
      <c r="O13" s="2175" t="s">
        <v>388</v>
      </c>
      <c r="P13" s="2175" t="s">
        <v>388</v>
      </c>
      <c r="Q13" s="2175" t="s">
        <v>388</v>
      </c>
      <c r="R13" s="2175" t="s">
        <v>388</v>
      </c>
      <c r="S13" s="2175" t="s">
        <v>388</v>
      </c>
      <c r="T13" s="2175" t="s">
        <v>388</v>
      </c>
      <c r="U13" s="2175" t="s">
        <v>388</v>
      </c>
      <c r="V13" s="2175" t="s">
        <v>388</v>
      </c>
      <c r="W13" s="2175" t="s">
        <v>388</v>
      </c>
      <c r="X13" s="2175" t="s">
        <v>388</v>
      </c>
      <c r="Y13" s="2175" t="s">
        <v>388</v>
      </c>
      <c r="Z13" s="2175" t="s">
        <v>388</v>
      </c>
      <c r="AA13" s="2175" t="s">
        <v>388</v>
      </c>
      <c r="AB13" s="2175" t="s">
        <v>388</v>
      </c>
      <c r="AC13" s="2175" t="s">
        <v>388</v>
      </c>
      <c r="AD13" s="2175" t="s">
        <v>388</v>
      </c>
      <c r="AE13" s="2175" t="s">
        <v>388</v>
      </c>
      <c r="AF13" s="2175" t="s">
        <v>388</v>
      </c>
      <c r="AG13" s="2175" t="s">
        <v>388</v>
      </c>
      <c r="AH13" s="2175" t="s">
        <v>388</v>
      </c>
      <c r="AI13" s="2175" t="s">
        <v>388</v>
      </c>
      <c r="AJ13" s="2175" t="s">
        <v>388</v>
      </c>
      <c r="AK13" s="2175" t="s">
        <v>388</v>
      </c>
      <c r="AL13" s="2175" t="s">
        <v>388</v>
      </c>
      <c r="AM13" s="2175" t="s">
        <v>388</v>
      </c>
      <c r="AN13" s="4994" t="s">
        <v>388</v>
      </c>
      <c r="AO13" s="4994" t="s">
        <v>388</v>
      </c>
      <c r="AP13" s="4994" t="s">
        <v>388</v>
      </c>
      <c r="AQ13" s="2978"/>
      <c r="BA13" s="612">
        <v>34</v>
      </c>
    </row>
    <row customHeight="1" ht="15" hidden="1">
      <c r="C14" s="284"/>
      <c r="D14" s="700" t="s">
        <v>144</v>
      </c>
      <c r="E14" s="700" t="s">
        <v>102</v>
      </c>
      <c r="F14" s="700" t="s">
        <v>90</v>
      </c>
      <c r="G14" s="766" t="str">
        <f>G1&amp;".1"</f>
        <v>.1</v>
      </c>
      <c r="H14" s="766" t="str">
        <f>H1&amp;".1"</f>
        <v>4.1</v>
      </c>
      <c r="I14" s="790" t="str">
        <f>I1&amp;".1"</f>
        <v>.1</v>
      </c>
      <c r="J14" s="790" t="str">
        <f>J1&amp;".1"</f>
        <v>.1</v>
      </c>
      <c r="K14" s="790" t="str">
        <f>K1&amp;".1"</f>
        <v>.1</v>
      </c>
      <c r="L14" s="790" t="str">
        <f>L1&amp;".1"</f>
        <v>.1</v>
      </c>
      <c r="M14" s="790" t="str">
        <f>M1&amp;".1"</f>
        <v>.1</v>
      </c>
      <c r="N14" s="790" t="str">
        <f>N1&amp;".1"</f>
        <v>.1</v>
      </c>
      <c r="O14" s="790" t="str">
        <f>O1&amp;".1"</f>
        <v>.1</v>
      </c>
      <c r="P14" s="790" t="str">
        <f>P1&amp;".1"</f>
        <v>.1</v>
      </c>
      <c r="Q14" s="790" t="str">
        <f>Q1&amp;".1"</f>
        <v>.1</v>
      </c>
      <c r="R14" s="790" t="str">
        <f>R1&amp;".1"</f>
        <v>.1</v>
      </c>
      <c r="S14" s="790" t="str">
        <f>S1&amp;".1"</f>
        <v>.1</v>
      </c>
      <c r="T14" s="790" t="str">
        <f>T1&amp;".1"</f>
        <v>.1</v>
      </c>
      <c r="U14" s="790" t="str">
        <f>U1&amp;".1"</f>
        <v>.1</v>
      </c>
      <c r="V14" s="790" t="str">
        <f>V1&amp;".1"</f>
        <v>.1</v>
      </c>
      <c r="W14" s="790" t="str">
        <f>W1&amp;".1"</f>
        <v>.1</v>
      </c>
      <c r="X14" s="790" t="str">
        <f>X1&amp;".1"</f>
        <v>.1</v>
      </c>
      <c r="Y14" s="790" t="str">
        <f>Y1&amp;".1"</f>
        <v>.1</v>
      </c>
      <c r="Z14" s="790" t="str">
        <f>Z1&amp;".1"</f>
        <v>.1</v>
      </c>
      <c r="AA14" s="790" t="str">
        <f>AA1&amp;".1"</f>
        <v>.1</v>
      </c>
      <c r="AB14" s="790" t="str">
        <f>AB1&amp;".1"</f>
        <v>.1</v>
      </c>
      <c r="AC14" s="790" t="str">
        <f>AC1&amp;".1"</f>
        <v>.1</v>
      </c>
      <c r="AD14" s="790" t="str">
        <f>AD1&amp;".1"</f>
        <v>.1</v>
      </c>
      <c r="AE14" s="790" t="str">
        <f>AE1&amp;".1"</f>
        <v>.1</v>
      </c>
      <c r="AF14" s="790" t="str">
        <f>AF1&amp;".1"</f>
        <v>.1</v>
      </c>
      <c r="AG14" s="790" t="str">
        <f>AG1&amp;".1"</f>
        <v>.1</v>
      </c>
      <c r="AH14" s="790" t="str">
        <f>AH1&amp;".1"</f>
        <v>.1</v>
      </c>
      <c r="AI14" s="790" t="str">
        <f>AI1&amp;".1"</f>
        <v>.1</v>
      </c>
      <c r="AJ14" s="790" t="str">
        <f>AJ1&amp;".1"</f>
        <v>.1</v>
      </c>
      <c r="AK14" s="790" t="str">
        <f>AK1&amp;".1"</f>
        <v>.1</v>
      </c>
      <c r="AL14" s="790" t="str">
        <f>AL1&amp;".1"</f>
        <v>.1</v>
      </c>
      <c r="AM14" s="790" t="str">
        <f>AM1&amp;".1"</f>
        <v>.1</v>
      </c>
      <c r="AN14" s="5297" t="str">
        <f>AN1&amp;".1"</f>
        <v>.1</v>
      </c>
      <c r="AO14" s="5297" t="str">
        <f>AO1&amp;".1"</f>
        <v>.1</v>
      </c>
      <c r="AP14" s="5297" t="str">
        <f>AP1&amp;".1"</f>
        <v>.1</v>
      </c>
      <c r="AQ14" s="397"/>
      <c r="BA14" s="612">
        <v>0</v>
      </c>
    </row>
    <row customHeight="1" ht="15.75">
      <c r="A15" s="612"/>
      <c r="C15" s="633"/>
      <c r="D15" s="628">
        <v>1</v>
      </c>
      <c r="E15" s="2021" t="str">
        <f>TP_P_A</f>
        <v>Количество поданных заявок</v>
      </c>
      <c r="F15" s="628" t="s">
        <v>1407</v>
      </c>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6029"/>
      <c r="AO15" s="6029"/>
      <c r="AP15" s="6029"/>
      <c r="AQ15" s="31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BA15" s="612">
        <v>15</v>
      </c>
    </row>
    <row customHeight="1" ht="15.75">
      <c r="A16" s="612"/>
      <c r="C16" s="633"/>
      <c r="D16" s="628">
        <v>2</v>
      </c>
      <c r="E16" s="2021" t="str">
        <f>TP_P_B</f>
        <v>Количество рассмотренных заявок</v>
      </c>
      <c r="F16" s="628" t="s">
        <v>1407</v>
      </c>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792"/>
      <c r="AL16" s="792"/>
      <c r="AM16" s="792"/>
      <c r="AN16" s="6029"/>
      <c r="AO16" s="6029"/>
      <c r="AP16" s="6029"/>
      <c r="AQ16" s="31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BA16" s="612">
        <v>15</v>
      </c>
    </row>
    <row customHeight="1" ht="77.7">
      <c r="A17" s="612"/>
      <c r="C17" s="633"/>
      <c r="D17" s="628">
        <v>3</v>
      </c>
      <c r="E17" s="202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28" t="s">
        <v>1407</v>
      </c>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c r="AI17" s="792"/>
      <c r="AJ17" s="792"/>
      <c r="AK17" s="792"/>
      <c r="AL17" s="792"/>
      <c r="AM17" s="792"/>
      <c r="AN17" s="6029"/>
      <c r="AO17" s="6029"/>
      <c r="AP17" s="6029"/>
      <c r="AQ17" s="316" t="str">
        <f>TP_P_NOTE_V</f>
        <v>Указывается количество заявок с решением об отказе в течение отчетного квартала.</v>
      </c>
      <c r="BA17" s="612">
        <v>74</v>
      </c>
    </row>
    <row customHeight="1" ht="54.75">
      <c r="A18" s="612"/>
      <c r="C18" s="633"/>
      <c r="D18" s="628">
        <v>4</v>
      </c>
      <c r="E18" s="2021" t="str">
        <f>TP_P_V_1</f>
        <v>Причины отказа в заключении договора о подключении (технологическом присоединении) к системе теплоснабжения</v>
      </c>
      <c r="F18" s="628" t="s">
        <v>391</v>
      </c>
      <c r="G18" s="793"/>
      <c r="H18" s="793"/>
      <c r="I18" s="2180"/>
      <c r="J18" s="2180"/>
      <c r="K18" s="2180"/>
      <c r="L18" s="2180"/>
      <c r="M18" s="2180"/>
      <c r="N18" s="2180"/>
      <c r="O18" s="2180"/>
      <c r="P18" s="2180"/>
      <c r="Q18" s="2180"/>
      <c r="R18" s="2180"/>
      <c r="S18" s="2180"/>
      <c r="T18" s="2180"/>
      <c r="U18" s="2180"/>
      <c r="V18" s="2180"/>
      <c r="W18" s="2180"/>
      <c r="X18" s="2180"/>
      <c r="Y18" s="2180"/>
      <c r="Z18" s="2180"/>
      <c r="AA18" s="2180"/>
      <c r="AB18" s="2180"/>
      <c r="AC18" s="2180"/>
      <c r="AD18" s="2180"/>
      <c r="AE18" s="2180"/>
      <c r="AF18" s="2180"/>
      <c r="AG18" s="2180"/>
      <c r="AH18" s="2180"/>
      <c r="AI18" s="2180"/>
      <c r="AJ18" s="2180"/>
      <c r="AK18" s="2180"/>
      <c r="AL18" s="2180"/>
      <c r="AM18" s="2180"/>
      <c r="AN18" s="5228"/>
      <c r="AO18" s="5228"/>
      <c r="AP18" s="5228"/>
      <c r="AQ18" s="9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BA18" s="612">
        <v>52</v>
      </c>
    </row>
    <row customHeight="1" ht="60">
      <c r="A19" s="612"/>
      <c r="C19" s="633"/>
      <c r="D19" s="628">
        <v>5</v>
      </c>
      <c r="E19" s="2021" t="str">
        <f>TP_P_G</f>
        <v>Резерв мощности источников тепловой энергии, входящих в систему теплоснабжения, в течение одного квартала, в том числе:</v>
      </c>
      <c r="F19" s="628" t="str">
        <f>IF(TEMPLATE_SPHERE="HEAT","Гкал/час","тыс. куб. м/сутки")</f>
        <v>Гкал/час</v>
      </c>
      <c r="G19" s="794">
        <f>SUM(G20:G22)</f>
        <v>0</v>
      </c>
      <c r="H19" s="794">
        <f>SUM(H20:H22)</f>
        <v>0</v>
      </c>
      <c r="I19" s="794">
        <f>SUM(I20:I22)</f>
        <v>0</v>
      </c>
      <c r="J19" s="794">
        <f>SUM(J20:J22)</f>
        <v>0</v>
      </c>
      <c r="K19" s="794">
        <f>SUM(K20:K22)</f>
        <v>0</v>
      </c>
      <c r="L19" s="794">
        <f>SUM(L20:L22)</f>
        <v>0</v>
      </c>
      <c r="M19" s="794">
        <f>SUM(M20:M22)</f>
        <v>0</v>
      </c>
      <c r="N19" s="794">
        <f>SUM(N20:N22)</f>
        <v>0</v>
      </c>
      <c r="O19" s="794">
        <f>SUM(O20:O22)</f>
        <v>0</v>
      </c>
      <c r="P19" s="794">
        <f>SUM(P20:P22)</f>
        <v>0</v>
      </c>
      <c r="Q19" s="794">
        <f>SUM(Q20:Q22)</f>
        <v>0</v>
      </c>
      <c r="R19" s="794">
        <f>SUM(R20:R22)</f>
        <v>0</v>
      </c>
      <c r="S19" s="794">
        <f>SUM(S20:S22)</f>
        <v>0</v>
      </c>
      <c r="T19" s="794">
        <f>SUM(T20:T22)</f>
        <v>0</v>
      </c>
      <c r="U19" s="794">
        <f>SUM(U20:U22)</f>
        <v>0</v>
      </c>
      <c r="V19" s="794">
        <f>SUM(V20:V22)</f>
        <v>0</v>
      </c>
      <c r="W19" s="794">
        <f>SUM(W20:W22)</f>
        <v>0</v>
      </c>
      <c r="X19" s="794">
        <f>SUM(X20:X22)</f>
        <v>0</v>
      </c>
      <c r="Y19" s="794">
        <f>SUM(Y20:Y22)</f>
        <v>0</v>
      </c>
      <c r="Z19" s="794">
        <f>SUM(Z20:Z22)</f>
        <v>0</v>
      </c>
      <c r="AA19" s="794">
        <f>SUM(AA20:AA22)</f>
        <v>0</v>
      </c>
      <c r="AB19" s="794">
        <f>SUM(AB20:AB22)</f>
        <v>0</v>
      </c>
      <c r="AC19" s="794">
        <f>SUM(AC20:AC22)</f>
        <v>0</v>
      </c>
      <c r="AD19" s="794">
        <f>SUM(AD20:AD22)</f>
        <v>0</v>
      </c>
      <c r="AE19" s="794">
        <f>SUM(AE20:AE22)</f>
        <v>0</v>
      </c>
      <c r="AF19" s="794">
        <f>SUM(AF20:AF22)</f>
        <v>0</v>
      </c>
      <c r="AG19" s="794">
        <f>SUM(AG20:AG22)</f>
        <v>0</v>
      </c>
      <c r="AH19" s="794">
        <f>SUM(AH20:AH22)</f>
        <v>0</v>
      </c>
      <c r="AI19" s="794">
        <f>SUM(AI20:AI22)</f>
        <v>0</v>
      </c>
      <c r="AJ19" s="794">
        <f>SUM(AJ20:AJ22)</f>
        <v>0</v>
      </c>
      <c r="AK19" s="794">
        <f>SUM(AK20:AK22)</f>
        <v>0</v>
      </c>
      <c r="AL19" s="794">
        <f>SUM(AL20:AL22)</f>
        <v>0</v>
      </c>
      <c r="AM19" s="794">
        <f>SUM(AM20:AM22)</f>
        <v>0</v>
      </c>
      <c r="AN19" s="6033">
        <f>SUM(AN20:AN22)</f>
        <v>0</v>
      </c>
      <c r="AO19" s="6033">
        <f>SUM(AO20:AO22)</f>
        <v>0</v>
      </c>
      <c r="AP19" s="6033">
        <f>SUM(AP20:AP22)</f>
        <v>0</v>
      </c>
      <c r="AQ19" s="31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BA19" s="612">
        <v>57</v>
      </c>
    </row>
    <row customHeight="1" ht="15" hidden="1">
      <c r="D20" s="616" t="s">
        <v>1408</v>
      </c>
      <c r="E20" s="795"/>
      <c r="F20" s="616"/>
      <c r="G20" s="616"/>
      <c r="H20" s="616"/>
      <c r="AN20" s="4586"/>
      <c r="AO20" s="4586"/>
      <c r="AP20" s="4586"/>
      <c r="AQ20" s="1859"/>
      <c r="BA20" s="612">
        <v>0</v>
      </c>
    </row>
    <row customHeight="1" ht="29.25">
      <c r="C21" s="558"/>
      <c r="D21" s="646" t="s">
        <v>398</v>
      </c>
      <c r="E21" s="777"/>
      <c r="F21" s="1857" t="str">
        <f>IF(TEMPLATE_SPHERE="HEAT","Гкал/час","тыс. куб. м/сутки")</f>
        <v>Гкал/час</v>
      </c>
      <c r="G21" s="787"/>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5216"/>
      <c r="AO21" s="5216"/>
      <c r="AP21" s="5216"/>
      <c r="AQ21" s="30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BA21" s="612">
        <v>28</v>
      </c>
    </row>
    <row customHeight="1" ht="15.75">
      <c r="A22" s="612"/>
      <c r="C22" s="612"/>
      <c r="D22" s="455"/>
      <c r="E22" s="687" t="s">
        <v>1409</v>
      </c>
      <c r="F22" s="679"/>
      <c r="G22" s="679"/>
      <c r="H22" s="679"/>
      <c r="I22" s="2907"/>
      <c r="J22" s="2908"/>
      <c r="K22" s="2909"/>
      <c r="L22" s="2910"/>
      <c r="M22" s="2911"/>
      <c r="N22" s="2912"/>
      <c r="O22" s="2913"/>
      <c r="P22" s="2914"/>
      <c r="Q22" s="2915"/>
      <c r="R22" s="2916"/>
      <c r="S22" s="2917"/>
      <c r="T22" s="2918"/>
      <c r="U22" s="2919"/>
      <c r="V22" s="2920"/>
      <c r="W22" s="2921"/>
      <c r="X22" s="2922"/>
      <c r="Y22" s="2923"/>
      <c r="Z22" s="2924"/>
      <c r="AA22" s="2925"/>
      <c r="AB22" s="2926"/>
      <c r="AC22" s="2927"/>
      <c r="AD22" s="2928"/>
      <c r="AE22" s="2929"/>
      <c r="AF22" s="2930"/>
      <c r="AG22" s="2931"/>
      <c r="AH22" s="2932"/>
      <c r="AI22" s="2933"/>
      <c r="AJ22" s="2934"/>
      <c r="AK22" s="2935"/>
      <c r="AL22" s="2936"/>
      <c r="AM22" s="2937"/>
      <c r="AN22" s="6067"/>
      <c r="AO22" s="6068"/>
      <c r="AP22" s="6069"/>
      <c r="AQ22" s="3034"/>
      <c r="AZ22" s="612"/>
      <c r="BA22" s="612">
        <v>15</v>
      </c>
    </row>
    <row customHeight="1" ht="22.5" hidden="1">
      <c r="A23" s="556" t="s">
        <v>82</v>
      </c>
      <c r="B23" s="612">
        <v>0</v>
      </c>
      <c r="C23" s="790">
        <v>4</v>
      </c>
      <c r="D23" s="612">
        <v>6</v>
      </c>
      <c r="E23" s="612">
        <v>36</v>
      </c>
      <c r="F23" s="612">
        <v>9</v>
      </c>
      <c r="G23" s="863">
        <v>0</v>
      </c>
      <c r="H23" s="612">
        <v>40</v>
      </c>
      <c r="I23" s="1731">
        <v>0</v>
      </c>
      <c r="J23" s="1731">
        <v>0</v>
      </c>
      <c r="K23" s="1731">
        <v>0</v>
      </c>
      <c r="L23" s="1731">
        <v>0</v>
      </c>
      <c r="M23" s="1731">
        <v>0</v>
      </c>
      <c r="N23" s="1731">
        <v>0</v>
      </c>
      <c r="O23" s="1731">
        <v>0</v>
      </c>
      <c r="P23" s="1731">
        <v>0</v>
      </c>
      <c r="Q23" s="1731">
        <v>0</v>
      </c>
      <c r="R23" s="1731">
        <v>0</v>
      </c>
      <c r="S23" s="1731">
        <v>0</v>
      </c>
      <c r="T23" s="1731">
        <v>0</v>
      </c>
      <c r="U23" s="1731">
        <v>0</v>
      </c>
      <c r="V23" s="1731">
        <v>0</v>
      </c>
      <c r="W23" s="1731">
        <v>0</v>
      </c>
      <c r="X23" s="1731">
        <v>0</v>
      </c>
      <c r="Y23" s="1731">
        <v>0</v>
      </c>
      <c r="Z23" s="1731">
        <v>0</v>
      </c>
      <c r="AA23" s="1731">
        <v>0</v>
      </c>
      <c r="AB23" s="1731">
        <v>0</v>
      </c>
      <c r="AC23" s="1731">
        <v>0</v>
      </c>
      <c r="AD23" s="1731">
        <v>0</v>
      </c>
      <c r="AE23" s="1731">
        <v>0</v>
      </c>
      <c r="AF23" s="1731">
        <v>0</v>
      </c>
      <c r="AG23" s="1731">
        <v>0</v>
      </c>
      <c r="AH23" s="1731">
        <v>0</v>
      </c>
      <c r="AI23" s="1731">
        <v>0</v>
      </c>
      <c r="AJ23" s="1731">
        <v>0</v>
      </c>
      <c r="AK23" s="1731">
        <v>0</v>
      </c>
      <c r="AL23" s="1731">
        <v>0</v>
      </c>
      <c r="AM23" s="1731">
        <v>0</v>
      </c>
      <c r="AN23" s="4586">
        <v>0</v>
      </c>
      <c r="AO23" s="4586">
        <v>0</v>
      </c>
      <c r="AP23" s="4586">
        <v>0</v>
      </c>
      <c r="AQ23" s="524">
        <v>93</v>
      </c>
      <c r="AR23" s="612">
        <v>10</v>
      </c>
      <c r="AS23" s="612">
        <v>10</v>
      </c>
      <c r="AT23" s="612">
        <v>10</v>
      </c>
      <c r="AU23" s="612">
        <v>10</v>
      </c>
      <c r="AV23" s="612">
        <v>10</v>
      </c>
      <c r="AW23" s="612">
        <v>10</v>
      </c>
      <c r="AX23" s="612">
        <v>10</v>
      </c>
      <c r="AY23" s="612">
        <v>10</v>
      </c>
      <c r="AZ23" s="782">
        <v>10</v>
      </c>
      <c r="BA23" s="612">
        <v>23</v>
      </c>
    </row>
  </sheetData>
  <sheetProtection formatColumns="0" formatRows="0" autoFilter="0" sort="0" insertRows="0" insertColumns="1" deleteRows="0" deleteColumns="0"/>
  <mergeCells count="8">
    <mergeCell ref="AQ21:AQ22"/>
    <mergeCell ref="AQ9:AQ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AP2 G21:AP21">
      <formula1>-9.99999999999999E+23</formula1>
      <formula2>9.99999999999999E+23</formula2>
    </dataValidation>
    <dataValidation type="whole" allowBlank="1" showErrorMessage="1" errorTitle="Ошибка" error="Допускается ввод только неотрицательных целых чисел!" sqref="G15:AP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P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C5F49-23FA-20A1-0155-27AD2884EAE8}"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11081" width="9.140625" hidden="1" customWidth="1"/>
    <col min="2" max="2" style="10306" width="9.140625" hidden="1" customWidth="1"/>
    <col min="3" max="3" style="11082" width="3.00390625" customWidth="1"/>
    <col min="4" max="4" style="10232" width="6.00390625" customWidth="1"/>
    <col min="5" max="6" style="10232" width="64.00390625" customWidth="1"/>
    <col min="7" max="7" style="10232" width="140.00390625" customWidth="1"/>
    <col min="8" max="8" style="10232" width="10.00390625" customWidth="1"/>
    <col min="9" max="10" style="10410" width="10.00390625" customWidth="1"/>
    <col min="11" max="16" style="10232" width="10.00390625" customWidth="1"/>
    <col min="17" max="17" style="10232" width="10.57421875" hidden="1"/>
  </cols>
  <sheetData>
    <row customHeight="1" ht="22.5" hidden="1">
      <c r="M1" s="363"/>
      <c r="N1" s="363"/>
      <c r="P1" s="363"/>
      <c r="Q1" s="194" t="s">
        <v>14</v>
      </c>
    </row>
    <row customHeight="1" ht="14.25" hidden="1">
      <c r="Q2" s="194">
        <v>0</v>
      </c>
    </row>
    <row customHeight="1" ht="14.25" hidden="1">
      <c r="Q3" s="194">
        <v>0</v>
      </c>
    </row>
    <row customHeight="1" ht="3">
      <c r="C4" s="207"/>
      <c r="D4" s="195"/>
      <c r="E4" s="195"/>
      <c r="F4" s="196"/>
      <c r="G4" s="196"/>
      <c r="Q4" s="194">
        <v>3</v>
      </c>
    </row>
    <row customHeight="1" ht="29.25">
      <c r="C5" s="207"/>
      <c r="D5" s="30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039"/>
      <c r="F5" s="3039"/>
      <c r="G5" s="3040"/>
      <c r="Q5" s="194">
        <v>28</v>
      </c>
    </row>
    <row s="10232" customFormat="1" customHeight="1" ht="18.75">
      <c r="A6" s="982"/>
      <c r="B6" s="524"/>
      <c r="C6" s="483"/>
      <c r="D6" s="3091" t="str">
        <f>IF(org=0,"Не определено",org)</f>
        <v>АО "ДГК"</v>
      </c>
      <c r="E6" s="3092"/>
      <c r="F6" s="3092"/>
      <c r="G6" s="3093"/>
      <c r="I6" s="607"/>
      <c r="J6" s="607"/>
      <c r="Q6" s="863">
        <v>18</v>
      </c>
    </row>
    <row customHeight="1" ht="14.699999999999998">
      <c r="C7" s="207"/>
      <c r="D7" s="195"/>
      <c r="E7" s="206"/>
      <c r="F7" s="859"/>
      <c r="G7" s="301"/>
      <c r="Q7" s="194">
        <v>14</v>
      </c>
    </row>
    <row s="10232" customFormat="1" customHeight="1" ht="1.05">
      <c r="A8" s="1765"/>
      <c r="B8" s="1256"/>
      <c r="C8" s="483"/>
      <c r="D8" s="470"/>
      <c r="E8" s="496"/>
      <c r="F8" s="859"/>
      <c r="G8" s="301"/>
      <c r="I8" s="1720"/>
      <c r="J8" s="1720"/>
      <c r="Q8" s="1727">
        <v>1</v>
      </c>
    </row>
    <row customHeight="1" ht="14.699999999999998">
      <c r="C9" s="207"/>
      <c r="D9" s="3077" t="s">
        <v>385</v>
      </c>
      <c r="E9" s="3077"/>
      <c r="F9" s="3077"/>
      <c r="G9" s="3224" t="s">
        <v>386</v>
      </c>
      <c r="Q9" s="194">
        <v>14</v>
      </c>
    </row>
    <row customHeight="1" ht="24">
      <c r="C10" s="207"/>
      <c r="D10" s="215" t="s">
        <v>88</v>
      </c>
      <c r="E10" s="218" t="s">
        <v>387</v>
      </c>
      <c r="F10" s="218" t="s">
        <v>475</v>
      </c>
      <c r="G10" s="3224"/>
      <c r="Q10" s="194">
        <v>23</v>
      </c>
    </row>
    <row customHeight="1" ht="12" hidden="1">
      <c r="C11" s="207"/>
      <c r="D11" s="198"/>
      <c r="E11" s="198"/>
      <c r="F11" s="198"/>
      <c r="G11" s="198"/>
      <c r="Q11" s="194">
        <v>0</v>
      </c>
    </row>
    <row customHeight="1" ht="65.25">
      <c r="A12" s="300"/>
      <c r="C12" s="207"/>
      <c r="D12" s="255">
        <v>1</v>
      </c>
      <c r="E12" s="3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06" t="s">
        <v>391</v>
      </c>
      <c r="G12" s="259"/>
      <c r="Q12" s="194">
        <v>62</v>
      </c>
    </row>
    <row customHeight="1" ht="24">
      <c r="A13" s="300"/>
      <c r="C13" s="207"/>
      <c r="D13" s="255" t="s">
        <v>1311</v>
      </c>
      <c r="E13" s="30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306" t="s">
        <v>391</v>
      </c>
      <c r="G13" s="259"/>
      <c r="Q13" s="194">
        <v>23</v>
      </c>
    </row>
    <row customHeight="1" ht="14.699999999999998">
      <c r="A14" s="300"/>
      <c r="C14" s="207"/>
      <c r="D14" s="255" t="s">
        <v>1347</v>
      </c>
      <c r="E14" s="303"/>
      <c r="F14" s="321"/>
      <c r="G14" s="30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4">
        <v>14</v>
      </c>
    </row>
    <row customHeight="1" ht="15.75">
      <c r="A15" s="300"/>
      <c r="C15" s="207"/>
      <c r="D15" s="219"/>
      <c r="E15" s="456" t="s">
        <v>1410</v>
      </c>
      <c r="F15" s="309"/>
      <c r="G15" s="3034"/>
      <c r="Q15" s="194">
        <v>15</v>
      </c>
    </row>
    <row customHeight="1" ht="14.699999999999998">
      <c r="A16" s="300"/>
      <c r="C16" s="207"/>
      <c r="D16" s="255" t="s">
        <v>1313</v>
      </c>
      <c r="E16" s="3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06" t="s">
        <v>391</v>
      </c>
      <c r="G16" s="445"/>
      <c r="Q16" s="194">
        <v>14</v>
      </c>
    </row>
    <row customHeight="1" ht="14.699999999999998">
      <c r="A17" s="300"/>
      <c r="C17" s="207"/>
      <c r="D17" s="255" t="s">
        <v>1355</v>
      </c>
      <c r="E17" s="303"/>
      <c r="F17" s="492"/>
      <c r="G17" s="30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4">
        <v>14</v>
      </c>
    </row>
    <row s="10232" customFormat="1" customHeight="1" ht="22.049999999999997">
      <c r="A18" s="451"/>
      <c r="B18" s="254"/>
      <c r="C18" s="415"/>
      <c r="D18" s="455"/>
      <c r="E18" s="456" t="s">
        <v>1411</v>
      </c>
      <c r="F18" s="446"/>
      <c r="G18" s="3034"/>
      <c r="I18" s="457"/>
      <c r="J18" s="457"/>
      <c r="Q18" s="450">
        <v>21</v>
      </c>
    </row>
    <row s="10232" customFormat="1" customHeight="1" ht="256.5" hidden="1">
      <c r="A19" s="451"/>
      <c r="B19" s="524"/>
      <c r="C19" s="483"/>
      <c r="D19" s="984" t="s">
        <v>1315</v>
      </c>
      <c r="E19" s="983" t="s">
        <v>1412</v>
      </c>
      <c r="F19" s="492"/>
      <c r="G19" s="445" t="s">
        <v>1413</v>
      </c>
      <c r="I19" s="607"/>
      <c r="J19" s="607"/>
      <c r="Q19" s="863">
        <v>0</v>
      </c>
    </row>
    <row s="10232" customFormat="1" customHeight="1" ht="15" hidden="1">
      <c r="A20" s="451"/>
      <c r="B20" s="254"/>
      <c r="C20" s="415"/>
      <c r="D20" s="985">
        <v>2</v>
      </c>
      <c r="E20" s="438" t="s">
        <v>1414</v>
      </c>
      <c r="F20" s="306" t="s">
        <v>391</v>
      </c>
      <c r="G20" s="445"/>
      <c r="I20" s="457"/>
      <c r="J20" s="457"/>
      <c r="Q20" s="450">
        <v>14</v>
      </c>
    </row>
    <row s="10232" customFormat="1" customHeight="1" ht="18.75" hidden="1">
      <c r="A21" s="451"/>
      <c r="B21" s="254"/>
      <c r="C21" s="415"/>
      <c r="D21" s="441" t="s">
        <v>776</v>
      </c>
      <c r="E21" s="440"/>
      <c r="F21" s="439"/>
      <c r="G21" s="449"/>
      <c r="H21" s="442"/>
      <c r="I21" s="457"/>
      <c r="J21" s="457"/>
      <c r="Q21" s="450">
        <v>0</v>
      </c>
    </row>
    <row customHeight="1" ht="15.75" hidden="1">
      <c r="A22" s="300"/>
      <c r="C22" s="207"/>
      <c r="D22" s="219"/>
      <c r="E22" s="311" t="s">
        <v>407</v>
      </c>
      <c r="F22" s="446"/>
      <c r="G22" s="447"/>
      <c r="Q22" s="194">
        <v>15</v>
      </c>
    </row>
    <row s="10232" customFormat="1" customHeight="1" ht="22.5">
      <c r="A23" s="451"/>
      <c r="B23" s="1256"/>
      <c r="C23" s="483"/>
      <c r="D23" s="1769" t="s">
        <v>102</v>
      </c>
      <c r="E23" s="305" t="s">
        <v>1415</v>
      </c>
      <c r="F23" s="1766" t="s">
        <v>391</v>
      </c>
      <c r="G23" s="453"/>
      <c r="I23" s="1720"/>
      <c r="J23" s="1720"/>
      <c r="Q23" s="1727">
        <v>0</v>
      </c>
    </row>
    <row s="10232" customFormat="1" customHeight="1" ht="14.25">
      <c r="A24" s="451"/>
      <c r="B24" s="1256"/>
      <c r="C24" s="483"/>
      <c r="D24" s="1769" t="s">
        <v>848</v>
      </c>
      <c r="E24" s="1768" t="s">
        <v>1416</v>
      </c>
      <c r="F24" s="1766" t="s">
        <v>391</v>
      </c>
      <c r="G24" s="445"/>
      <c r="I24" s="1720"/>
      <c r="J24" s="1720"/>
      <c r="Q24" s="1727">
        <v>0</v>
      </c>
    </row>
    <row s="10232" customFormat="1" customHeight="1" ht="14.25">
      <c r="A25" s="451"/>
      <c r="B25" s="1256"/>
      <c r="C25" s="483"/>
      <c r="D25" s="1769" t="s">
        <v>851</v>
      </c>
      <c r="E25" s="9500"/>
      <c r="F25" s="9501"/>
      <c r="G25" s="3032" t="s">
        <v>1417</v>
      </c>
      <c r="I25" s="1720"/>
      <c r="J25" s="1720"/>
      <c r="Q25" s="1727">
        <v>0</v>
      </c>
    </row>
    <row s="10232" customFormat="1" customHeight="1" ht="22.5">
      <c r="A26" s="451"/>
      <c r="B26" s="1256"/>
      <c r="C26" s="483"/>
      <c r="D26" s="455"/>
      <c r="E26" s="456" t="s">
        <v>1418</v>
      </c>
      <c r="F26" s="446"/>
      <c r="G26" s="3034"/>
      <c r="I26" s="1720"/>
      <c r="J26" s="1720"/>
      <c r="Q26" s="1727">
        <v>0</v>
      </c>
    </row>
    <row s="11927" customFormat="1" customHeight="1" ht="22.5">
      <c r="A27" s="9502"/>
      <c r="B27" s="8489"/>
      <c r="C27" s="9503"/>
      <c r="D27" s="9504" t="s">
        <v>90</v>
      </c>
      <c r="E27" s="9505" t="s">
        <v>1419</v>
      </c>
      <c r="F27" s="9506" t="s">
        <v>391</v>
      </c>
      <c r="G27" s="8496"/>
      <c r="H27" s="8500"/>
      <c r="I27" s="9507"/>
      <c r="J27" s="9507"/>
      <c r="K27" s="8500"/>
      <c r="L27" s="8500"/>
      <c r="M27" s="8500"/>
      <c r="N27" s="8500"/>
      <c r="O27" s="8500"/>
      <c r="P27" s="8500"/>
      <c r="Q27" s="8500">
        <v>0</v>
      </c>
    </row>
    <row s="11927" customFormat="1" customHeight="1" ht="14.25">
      <c r="A28" s="9502"/>
      <c r="B28" s="8489"/>
      <c r="C28" s="9503"/>
      <c r="D28" s="9504" t="s">
        <v>409</v>
      </c>
      <c r="E28" s="9508" t="s">
        <v>1420</v>
      </c>
      <c r="F28" s="9506" t="s">
        <v>391</v>
      </c>
      <c r="G28" s="9509"/>
      <c r="H28" s="8500"/>
      <c r="I28" s="9507"/>
      <c r="J28" s="9507"/>
      <c r="K28" s="8500"/>
      <c r="L28" s="8500"/>
      <c r="M28" s="8500"/>
      <c r="N28" s="8500"/>
      <c r="O28" s="8500"/>
      <c r="P28" s="8500"/>
      <c r="Q28" s="8500">
        <v>0</v>
      </c>
    </row>
    <row s="11927" customFormat="1" customHeight="1" ht="14.25">
      <c r="A29" s="9502"/>
      <c r="B29" s="8489"/>
      <c r="C29" s="9503"/>
      <c r="D29" s="9504" t="s">
        <v>411</v>
      </c>
      <c r="E29" s="9510" t="s">
        <v>22</v>
      </c>
      <c r="F29" s="9511" t="s">
        <v>22</v>
      </c>
      <c r="G29" s="9512" t="s">
        <v>1421</v>
      </c>
      <c r="H29" s="8500"/>
      <c r="I29" s="9507"/>
      <c r="J29" s="9507"/>
      <c r="K29" s="8500"/>
      <c r="L29" s="8500"/>
      <c r="M29" s="8500"/>
      <c r="N29" s="8500"/>
      <c r="O29" s="8500"/>
      <c r="P29" s="8500"/>
      <c r="Q29" s="8500">
        <v>0</v>
      </c>
    </row>
    <row s="11927" customFormat="1" customHeight="1" ht="22.5">
      <c r="A30" s="9502"/>
      <c r="B30" s="8489"/>
      <c r="C30" s="9503"/>
      <c r="D30" s="9513"/>
      <c r="E30" s="9514" t="s">
        <v>1418</v>
      </c>
      <c r="F30" s="9515"/>
      <c r="G30" s="9516"/>
      <c r="H30" s="8500"/>
      <c r="I30" s="9507"/>
      <c r="J30" s="9507"/>
      <c r="K30" s="8500"/>
      <c r="L30" s="8500"/>
      <c r="M30" s="8500"/>
      <c r="N30" s="8500"/>
      <c r="O30" s="8500"/>
      <c r="P30" s="8500"/>
      <c r="Q30" s="8500">
        <v>0</v>
      </c>
    </row>
    <row customHeight="1" ht="3">
      <c r="Q31" s="194">
        <v>3</v>
      </c>
    </row>
    <row customHeight="1" ht="14.699999999999998">
      <c r="D32" s="444"/>
      <c r="E32" s="443"/>
      <c r="F32" s="423"/>
      <c r="G32" s="423"/>
      <c r="H32" s="423"/>
      <c r="I32" s="423"/>
      <c r="J32" s="423"/>
      <c r="K32" s="423"/>
      <c r="L32" s="423"/>
      <c r="M32" s="423"/>
      <c r="N32" s="423"/>
      <c r="O32" s="423"/>
      <c r="P32" s="423"/>
      <c r="Q32" s="194">
        <v>14</v>
      </c>
    </row>
    <row customHeight="1" ht="14.699999999999998">
      <c r="D33" s="444"/>
      <c r="E33" s="689"/>
      <c r="Q33" s="194">
        <v>14</v>
      </c>
    </row>
    <row customHeight="1" ht="14.699999999999998">
      <c r="Q34" s="194">
        <v>14</v>
      </c>
    </row>
    <row customHeight="1" ht="14.699999999999998">
      <c r="E35" s="863"/>
      <c r="Q35" s="194">
        <v>14</v>
      </c>
    </row>
    <row customHeight="1" ht="22.5" hidden="1">
      <c r="A36" s="212" t="s">
        <v>82</v>
      </c>
      <c r="B36" s="254">
        <v>0</v>
      </c>
      <c r="C36" s="208">
        <v>3</v>
      </c>
      <c r="D36" s="194">
        <v>6</v>
      </c>
      <c r="E36" s="194">
        <v>64</v>
      </c>
      <c r="F36" s="194">
        <v>64</v>
      </c>
      <c r="G36" s="194">
        <v>140</v>
      </c>
      <c r="H36" s="194">
        <v>10</v>
      </c>
      <c r="I36" s="263">
        <v>10</v>
      </c>
      <c r="J36" s="263">
        <v>10</v>
      </c>
      <c r="K36" s="194">
        <v>10</v>
      </c>
      <c r="L36" s="194">
        <v>10</v>
      </c>
      <c r="M36" s="194">
        <v>10</v>
      </c>
      <c r="N36" s="194">
        <v>10</v>
      </c>
      <c r="O36" s="194">
        <v>10</v>
      </c>
      <c r="P36" s="194">
        <v>10</v>
      </c>
      <c r="Q36" s="194">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2C9FC-24EE-8046-CA73-F0118512CB4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080" width="9.140625" hidden="1" customWidth="1"/>
    <col min="2" max="2" style="10306" width="9.140625" hidden="1" customWidth="1"/>
    <col min="3" max="3" style="11082" width="3.00390625" customWidth="1"/>
    <col min="4" max="4" style="10232" width="6.00390625" customWidth="1"/>
    <col min="5" max="5" style="10232" width="63.00390625" customWidth="1"/>
    <col min="6" max="6" style="10232" width="1.7109375" hidden="1" customWidth="1"/>
    <col min="7" max="8" style="10232" width="35.00390625" customWidth="1"/>
    <col min="9" max="9" style="10232" width="91.00390625" customWidth="1"/>
    <col min="10" max="10" style="10232" width="68.00390625" customWidth="1"/>
    <col min="11" max="12" style="10410" width="10.00390625" customWidth="1"/>
    <col min="13" max="13" style="10232" width="10.57421875" hidden="1"/>
  </cols>
  <sheetData>
    <row customHeight="1" ht="22.5" hidden="1">
      <c r="M1" s="194" t="s">
        <v>14</v>
      </c>
    </row>
    <row s="10232" customFormat="1" customHeight="1" ht="18.75" hidden="1">
      <c r="A2" s="1779"/>
      <c r="B2" s="1256"/>
      <c r="C2" s="1826" t="s">
        <v>103</v>
      </c>
      <c r="D2" s="1769"/>
      <c r="E2" s="307"/>
      <c r="F2" s="1766"/>
      <c r="G2" s="1766" t="s">
        <v>391</v>
      </c>
      <c r="H2" s="1257"/>
      <c r="K2" s="1720"/>
      <c r="L2" s="1720"/>
      <c r="M2" s="1727">
        <v>0</v>
      </c>
    </row>
    <row s="10232" customFormat="1" customHeight="1" ht="14.25" hidden="1">
      <c r="A3" s="1458"/>
      <c r="B3" s="1256"/>
      <c r="C3" s="452"/>
      <c r="K3" s="1720"/>
      <c r="L3" s="1720"/>
      <c r="M3" s="1727">
        <v>0</v>
      </c>
    </row>
    <row s="10232" customFormat="1" customHeight="1" ht="18.75" hidden="1">
      <c r="A4" s="1779"/>
      <c r="B4" s="1256"/>
      <c r="C4" s="1826" t="s">
        <v>103</v>
      </c>
      <c r="D4" s="1769"/>
      <c r="E4" s="313" t="s">
        <v>1422</v>
      </c>
      <c r="F4" s="1766"/>
      <c r="G4" s="365"/>
      <c r="H4" s="1766" t="s">
        <v>391</v>
      </c>
      <c r="K4" s="1720"/>
      <c r="L4" s="1720"/>
      <c r="M4" s="1727">
        <v>0</v>
      </c>
    </row>
    <row s="10232" customFormat="1" customHeight="1" ht="14.25" hidden="1">
      <c r="A5" s="1458"/>
      <c r="B5" s="1256"/>
      <c r="C5" s="452"/>
      <c r="K5" s="1720"/>
      <c r="L5" s="1720"/>
      <c r="M5" s="1727">
        <v>0</v>
      </c>
    </row>
    <row s="10232" customFormat="1" customHeight="1" ht="18.75" hidden="1">
      <c r="A6" s="1779"/>
      <c r="B6" s="1256"/>
      <c r="C6" s="1826" t="s">
        <v>103</v>
      </c>
      <c r="D6" s="1769"/>
      <c r="E6" s="314" t="s">
        <v>1423</v>
      </c>
      <c r="F6" s="1766"/>
      <c r="G6" s="365"/>
      <c r="H6" s="1766" t="s">
        <v>391</v>
      </c>
      <c r="K6" s="1720"/>
      <c r="L6" s="1720"/>
      <c r="M6" s="1727">
        <v>0</v>
      </c>
    </row>
    <row s="10232" customFormat="1" customHeight="1" ht="14.25" hidden="1">
      <c r="A7" s="1458"/>
      <c r="B7" s="1256"/>
      <c r="C7" s="452"/>
      <c r="K7" s="1720"/>
      <c r="L7" s="1720"/>
      <c r="M7" s="1727">
        <v>0</v>
      </c>
    </row>
    <row s="10232" customFormat="1" customHeight="1" ht="18.75" hidden="1">
      <c r="A8" s="1779"/>
      <c r="B8" s="1256"/>
      <c r="C8" s="1826" t="s">
        <v>103</v>
      </c>
      <c r="D8" s="1769"/>
      <c r="E8" s="314" t="s">
        <v>1424</v>
      </c>
      <c r="F8" s="1766"/>
      <c r="G8" s="365"/>
      <c r="H8" s="1766" t="s">
        <v>391</v>
      </c>
      <c r="K8" s="1720"/>
      <c r="L8" s="1720"/>
      <c r="M8" s="1727">
        <v>0</v>
      </c>
    </row>
    <row s="10232" customFormat="1" customHeight="1" ht="14.25" hidden="1">
      <c r="A9" s="1458"/>
      <c r="B9" s="1256"/>
      <c r="C9" s="452"/>
      <c r="K9" s="1720"/>
      <c r="L9" s="1720"/>
      <c r="M9" s="1727">
        <v>0</v>
      </c>
    </row>
    <row s="10232" customFormat="1" customHeight="1" ht="18.75" hidden="1">
      <c r="A10" s="1779"/>
      <c r="B10" s="1256"/>
      <c r="C10" s="1826" t="s">
        <v>103</v>
      </c>
      <c r="D10" s="1769"/>
      <c r="E10" s="314" t="s">
        <v>1425</v>
      </c>
      <c r="F10" s="1766"/>
      <c r="G10" s="1770"/>
      <c r="H10" s="1766" t="s">
        <v>391</v>
      </c>
      <c r="K10" s="1720"/>
      <c r="L10" s="1720" t="s">
        <v>1426</v>
      </c>
      <c r="M10" s="1727">
        <v>0</v>
      </c>
    </row>
    <row customHeight="1" ht="14.25" hidden="1">
      <c r="M11" s="194">
        <v>0</v>
      </c>
    </row>
    <row customHeight="1" ht="14.25" hidden="1">
      <c r="M12" s="194">
        <v>0</v>
      </c>
    </row>
    <row customHeight="1" ht="14.699999999999998">
      <c r="C13" s="207"/>
      <c r="D13" s="195"/>
      <c r="E13" s="195"/>
      <c r="F13" s="195"/>
      <c r="G13" s="195"/>
      <c r="H13" s="196"/>
      <c r="I13" s="196"/>
      <c r="M13" s="194">
        <v>14</v>
      </c>
    </row>
    <row customHeight="1" ht="29.25">
      <c r="C14" s="207"/>
      <c r="D14" s="30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039"/>
      <c r="F14" s="3039"/>
      <c r="G14" s="3039"/>
      <c r="H14" s="3040"/>
      <c r="J14" s="1727"/>
      <c r="M14" s="194">
        <v>28</v>
      </c>
    </row>
    <row s="10232" customFormat="1" customHeight="1" ht="14.699999999999998">
      <c r="A15" s="1458"/>
      <c r="B15" s="1256"/>
      <c r="C15" s="483"/>
      <c r="D15" s="3091" t="str">
        <f>IF(org=0,"Не определено",org)</f>
        <v>АО "ДГК"</v>
      </c>
      <c r="E15" s="3092"/>
      <c r="F15" s="3092"/>
      <c r="G15" s="3092"/>
      <c r="H15" s="3093"/>
      <c r="J15" s="953"/>
      <c r="K15" s="1720"/>
      <c r="L15" s="1720"/>
      <c r="M15" s="1727">
        <v>14</v>
      </c>
    </row>
    <row customHeight="1" ht="14.699999999999998">
      <c r="C16" s="207"/>
      <c r="D16" s="195"/>
      <c r="E16" s="206"/>
      <c r="F16" s="206"/>
      <c r="G16" s="206"/>
      <c r="H16" s="859"/>
      <c r="I16" s="301"/>
      <c r="M16" s="194">
        <v>14</v>
      </c>
    </row>
    <row s="10232" customFormat="1" customHeight="1" ht="14.25" hidden="1">
      <c r="A17" s="1458"/>
      <c r="B17" s="1256"/>
      <c r="C17" s="483"/>
      <c r="D17" s="470"/>
      <c r="E17" s="496"/>
      <c r="F17" s="496"/>
      <c r="G17" s="496"/>
      <c r="H17" s="859"/>
      <c r="I17" s="301"/>
      <c r="K17" s="1720"/>
      <c r="L17" s="1720"/>
      <c r="M17" s="1727">
        <v>0</v>
      </c>
    </row>
    <row customHeight="1" ht="22.049999999999997">
      <c r="C18" s="207"/>
      <c r="D18" s="3077" t="s">
        <v>385</v>
      </c>
      <c r="E18" s="3077"/>
      <c r="F18" s="3077"/>
      <c r="G18" s="3077"/>
      <c r="H18" s="3077"/>
      <c r="I18" s="3224" t="s">
        <v>386</v>
      </c>
      <c r="M18" s="194">
        <v>21</v>
      </c>
    </row>
    <row customHeight="1" ht="22.049999999999997">
      <c r="C19" s="207"/>
      <c r="D19" s="215" t="s">
        <v>88</v>
      </c>
      <c r="E19" s="218" t="s">
        <v>387</v>
      </c>
      <c r="F19" s="218"/>
      <c r="G19" s="218" t="s">
        <v>388</v>
      </c>
      <c r="H19" s="218" t="s">
        <v>475</v>
      </c>
      <c r="I19" s="3224"/>
      <c r="M19" s="194">
        <v>21</v>
      </c>
    </row>
    <row customHeight="1" ht="12" hidden="1">
      <c r="C20" s="207"/>
      <c r="D20" s="198"/>
      <c r="E20" s="198"/>
      <c r="F20" s="198"/>
      <c r="G20" s="198"/>
      <c r="H20" s="198"/>
      <c r="I20" s="198"/>
      <c r="M20" s="194">
        <v>0</v>
      </c>
    </row>
    <row customHeight="1" ht="14.699999999999998">
      <c r="A21" s="1779"/>
      <c r="C21" s="207"/>
      <c r="D21" s="255">
        <v>1</v>
      </c>
      <c r="E21" s="3303" t="s">
        <v>1427</v>
      </c>
      <c r="F21" s="3303"/>
      <c r="G21" s="3303"/>
      <c r="H21" s="3303"/>
      <c r="I21" s="316"/>
      <c r="M21" s="194">
        <v>14</v>
      </c>
    </row>
    <row customHeight="1" ht="21">
      <c r="A22" s="1779"/>
      <c r="C22" s="207"/>
      <c r="D22" s="255" t="s">
        <v>1311</v>
      </c>
      <c r="E22" s="302" t="s">
        <v>1428</v>
      </c>
      <c r="F22" s="306"/>
      <c r="G22" s="1833"/>
      <c r="H22" s="306" t="s">
        <v>391</v>
      </c>
      <c r="I22" s="259" t="s">
        <v>1429</v>
      </c>
      <c r="M22" s="194">
        <v>20</v>
      </c>
    </row>
    <row customHeight="1" ht="60">
      <c r="A23" s="1779"/>
      <c r="C23" s="207"/>
      <c r="D23" s="255" t="s">
        <v>1313</v>
      </c>
      <c r="E23" s="302" t="s">
        <v>1430</v>
      </c>
      <c r="F23" s="306"/>
      <c r="G23" s="365"/>
      <c r="H23" s="321"/>
      <c r="I23" s="366" t="s">
        <v>1431</v>
      </c>
      <c r="M23" s="194">
        <v>57</v>
      </c>
    </row>
    <row customHeight="1" ht="14.699999999999998">
      <c r="A24" s="1779"/>
      <c r="B24" s="254">
        <v>3</v>
      </c>
      <c r="C24" s="207"/>
      <c r="D24" s="255">
        <v>2</v>
      </c>
      <c r="E24" s="33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06"/>
      <c r="G24" s="306" t="s">
        <v>391</v>
      </c>
      <c r="H24" s="321"/>
      <c r="I24" s="367" t="s">
        <v>771</v>
      </c>
      <c r="M24" s="194">
        <v>14</v>
      </c>
    </row>
    <row customHeight="1" ht="48.29999999999999">
      <c r="A25" s="1779"/>
      <c r="C25" s="207"/>
      <c r="D25" s="255">
        <v>3</v>
      </c>
      <c r="E25" s="3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303"/>
      <c r="G25" s="3303"/>
      <c r="H25" s="3303"/>
      <c r="I25" s="364"/>
      <c r="M25" s="194">
        <v>46</v>
      </c>
    </row>
    <row customHeight="1" ht="14.699999999999998">
      <c r="A26" s="1779"/>
      <c r="C26" s="207"/>
      <c r="D26" s="255" t="s">
        <v>409</v>
      </c>
      <c r="E26" s="307"/>
      <c r="F26" s="306"/>
      <c r="G26" s="306" t="s">
        <v>391</v>
      </c>
      <c r="H26" s="321"/>
      <c r="I26" s="3032" t="s">
        <v>1432</v>
      </c>
      <c r="M26" s="194">
        <v>14</v>
      </c>
    </row>
    <row customHeight="1" ht="15.75">
      <c r="A27" s="1779" t="s">
        <v>144</v>
      </c>
      <c r="C27" s="207"/>
      <c r="D27" s="219"/>
      <c r="E27" s="311" t="s">
        <v>407</v>
      </c>
      <c r="F27" s="312"/>
      <c r="G27" s="312"/>
      <c r="H27" s="309"/>
      <c r="I27" s="3034"/>
      <c r="M27" s="194">
        <v>15</v>
      </c>
    </row>
    <row customHeight="1" ht="39.75">
      <c r="A28" s="1779"/>
      <c r="B28" s="254">
        <v>3</v>
      </c>
      <c r="C28" s="207"/>
      <c r="D28" s="255">
        <v>4</v>
      </c>
      <c r="E28" s="3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303"/>
      <c r="G28" s="3303"/>
      <c r="H28" s="3303"/>
      <c r="I28" s="364"/>
      <c r="M28" s="194">
        <v>38</v>
      </c>
    </row>
    <row customHeight="1" ht="21">
      <c r="A29" s="1779"/>
      <c r="C29" s="207"/>
      <c r="D29" s="255" t="s">
        <v>899</v>
      </c>
      <c r="E29" s="313" t="s">
        <v>1422</v>
      </c>
      <c r="F29" s="306"/>
      <c r="G29" s="365"/>
      <c r="H29" s="306" t="s">
        <v>391</v>
      </c>
      <c r="I29" s="3032" t="s">
        <v>1433</v>
      </c>
      <c r="M29" s="194">
        <v>20</v>
      </c>
    </row>
    <row customHeight="1" ht="15.75">
      <c r="A30" s="1779" t="s">
        <v>102</v>
      </c>
      <c r="C30" s="207"/>
      <c r="D30" s="219"/>
      <c r="E30" s="311" t="s">
        <v>407</v>
      </c>
      <c r="F30" s="312"/>
      <c r="G30" s="312"/>
      <c r="H30" s="309"/>
      <c r="I30" s="3034"/>
      <c r="M30" s="194">
        <v>15</v>
      </c>
    </row>
    <row customHeight="1" ht="31.5">
      <c r="A31" s="1779"/>
      <c r="B31" s="254">
        <v>3</v>
      </c>
      <c r="C31" s="207"/>
      <c r="D31" s="255">
        <v>5</v>
      </c>
      <c r="E31" s="3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303"/>
      <c r="G31" s="3303"/>
      <c r="H31" s="3303"/>
      <c r="I31" s="364"/>
      <c r="M31" s="194">
        <v>30</v>
      </c>
    </row>
    <row customHeight="1" ht="27.299999999999997">
      <c r="A32" s="1779"/>
      <c r="C32" s="207"/>
      <c r="D32" s="255" t="s">
        <v>398</v>
      </c>
      <c r="E32" s="32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237"/>
      <c r="G32" s="3237"/>
      <c r="H32" s="3237"/>
      <c r="I32" s="364"/>
      <c r="M32" s="194">
        <v>26</v>
      </c>
    </row>
    <row customHeight="1" ht="14.699999999999998">
      <c r="A33" s="1779"/>
      <c r="C33" s="207"/>
      <c r="D33" s="255" t="s">
        <v>1434</v>
      </c>
      <c r="E33" s="314" t="s">
        <v>1423</v>
      </c>
      <c r="F33" s="306"/>
      <c r="G33" s="365"/>
      <c r="H33" s="306" t="s">
        <v>391</v>
      </c>
      <c r="I33" s="3032" t="s">
        <v>1435</v>
      </c>
      <c r="M33" s="194">
        <v>14</v>
      </c>
    </row>
    <row customHeight="1" ht="15.75">
      <c r="A34" s="1779" t="s">
        <v>90</v>
      </c>
      <c r="C34" s="207"/>
      <c r="D34" s="219"/>
      <c r="E34" s="312" t="s">
        <v>407</v>
      </c>
      <c r="F34" s="308"/>
      <c r="G34" s="308"/>
      <c r="H34" s="309"/>
      <c r="I34" s="3034"/>
      <c r="M34" s="194">
        <v>15</v>
      </c>
    </row>
    <row customHeight="1" ht="25.2">
      <c r="A35" s="1779"/>
      <c r="C35" s="207"/>
      <c r="D35" s="255" t="s">
        <v>1046</v>
      </c>
      <c r="E35" s="32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237"/>
      <c r="G35" s="3237"/>
      <c r="H35" s="3237"/>
      <c r="I35" s="364"/>
      <c r="M35" s="194">
        <v>24</v>
      </c>
    </row>
    <row customHeight="1" ht="14.699999999999998">
      <c r="A36" s="1779"/>
      <c r="C36" s="207"/>
      <c r="D36" s="255" t="s">
        <v>1436</v>
      </c>
      <c r="E36" s="314" t="s">
        <v>1424</v>
      </c>
      <c r="F36" s="306"/>
      <c r="G36" s="365"/>
      <c r="H36" s="306" t="s">
        <v>391</v>
      </c>
      <c r="I36" s="3011" t="s">
        <v>1437</v>
      </c>
      <c r="M36" s="194">
        <v>14</v>
      </c>
    </row>
    <row customHeight="1" ht="15.75">
      <c r="A37" s="1779" t="s">
        <v>91</v>
      </c>
      <c r="C37" s="207"/>
      <c r="D37" s="219"/>
      <c r="E37" s="312" t="s">
        <v>407</v>
      </c>
      <c r="F37" s="308"/>
      <c r="G37" s="308"/>
      <c r="H37" s="309"/>
      <c r="I37" s="3011"/>
      <c r="M37" s="194">
        <v>15</v>
      </c>
    </row>
    <row customHeight="1" ht="27.299999999999997">
      <c r="A38" s="1779"/>
      <c r="C38" s="207"/>
      <c r="D38" s="255" t="s">
        <v>1047</v>
      </c>
      <c r="E38" s="32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237"/>
      <c r="G38" s="3237"/>
      <c r="H38" s="3237"/>
      <c r="I38" s="364"/>
      <c r="M38" s="194">
        <v>26</v>
      </c>
    </row>
    <row customHeight="1" ht="14.699999999999998">
      <c r="A39" s="1779"/>
      <c r="C39" s="207"/>
      <c r="D39" s="255" t="s">
        <v>1048</v>
      </c>
      <c r="E39" s="314" t="s">
        <v>1425</v>
      </c>
      <c r="F39" s="306"/>
      <c r="G39" s="315"/>
      <c r="H39" s="306" t="s">
        <v>391</v>
      </c>
      <c r="I39" s="3032" t="s">
        <v>1438</v>
      </c>
      <c r="L39" s="263" t="s">
        <v>1426</v>
      </c>
      <c r="M39" s="194">
        <v>14</v>
      </c>
    </row>
    <row customHeight="1" ht="15.75">
      <c r="A40" s="1779" t="s">
        <v>121</v>
      </c>
      <c r="C40" s="207"/>
      <c r="D40" s="219"/>
      <c r="E40" s="312" t="s">
        <v>407</v>
      </c>
      <c r="F40" s="308"/>
      <c r="G40" s="308"/>
      <c r="H40" s="309"/>
      <c r="I40" s="3034"/>
      <c r="M40" s="194">
        <v>15</v>
      </c>
    </row>
    <row s="12963" customFormat="1" customHeight="1" ht="3">
      <c r="A41" s="1779"/>
      <c r="K41" s="304"/>
      <c r="L41" s="304"/>
      <c r="M41" s="249">
        <v>3</v>
      </c>
    </row>
    <row customHeight="1" ht="26.25">
      <c r="D42" s="1777" t="s">
        <v>962</v>
      </c>
      <c r="E42" s="311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114"/>
      <c r="G42" s="3114"/>
      <c r="H42" s="3114"/>
      <c r="I42" s="3114"/>
      <c r="M42" s="194">
        <v>25</v>
      </c>
    </row>
    <row customHeight="1" ht="22.5" hidden="1">
      <c r="A43" s="1458" t="s">
        <v>82</v>
      </c>
      <c r="B43" s="254">
        <v>0</v>
      </c>
      <c r="C43" s="208">
        <v>3</v>
      </c>
      <c r="D43" s="194">
        <v>6</v>
      </c>
      <c r="E43" s="194">
        <v>63</v>
      </c>
      <c r="F43" s="194">
        <v>0</v>
      </c>
      <c r="G43" s="194">
        <v>35</v>
      </c>
      <c r="H43" s="194">
        <v>35</v>
      </c>
      <c r="I43" s="194">
        <v>91</v>
      </c>
      <c r="J43" s="194">
        <v>68</v>
      </c>
      <c r="K43" s="263">
        <v>10</v>
      </c>
      <c r="L43" s="263">
        <v>10</v>
      </c>
      <c r="M43" s="194">
        <v>23</v>
      </c>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03984-1043-8304-E16B-53D90E186A6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3001" width="25.140625" hidden="1" customWidth="1"/>
    <col min="3" max="3" style="13002" width="9.140625" hidden="1" customWidth="1"/>
    <col min="4" max="4" style="11082" width="3.00390625" customWidth="1"/>
    <col min="5" max="5" style="10232" width="6.00390625" customWidth="1"/>
    <col min="6" max="6" style="10232" width="46.7109375" customWidth="1"/>
    <col min="7" max="7" style="10232" width="35.00390625" customWidth="1"/>
    <col min="8" max="8" style="10232" width="3.00390625" customWidth="1"/>
    <col min="9" max="10" style="10232" width="11.00390625" customWidth="1"/>
    <col min="11" max="12" style="10232" width="35.00390625" customWidth="1"/>
    <col min="13" max="13" style="10232" width="84.00390625" customWidth="1"/>
    <col min="14" max="14" style="10232" width="10.00390625" customWidth="1"/>
    <col min="15" max="16" style="10410" width="10.00390625" customWidth="1"/>
    <col min="17" max="33" style="10232" width="10.00390625" customWidth="1"/>
    <col min="34" max="34" style="10232" width="10.57421875" hidden="1"/>
  </cols>
  <sheetData>
    <row s="10232" customFormat="1" customHeight="1" ht="22.5" hidden="1">
      <c r="A1" s="1874"/>
      <c r="B1" s="1874"/>
      <c r="C1" s="476"/>
      <c r="D1" s="452"/>
      <c r="N1" s="1732">
        <f>_xlfn.IFERROR(MATCH("метод экономически обоснованных расходов (затрат)",OFFER_METHOD,0),0)</f>
        <v>0</v>
      </c>
      <c r="O1" s="1720"/>
      <c r="P1" s="1720"/>
      <c r="T1" s="932"/>
      <c r="AG1" s="363"/>
      <c r="AH1" s="1727" t="s">
        <v>14</v>
      </c>
    </row>
    <row s="10232" customFormat="1" customHeight="1" ht="18.75" hidden="1">
      <c r="A2" s="1875" t="s">
        <v>242</v>
      </c>
      <c r="B2" s="1875" t="s">
        <v>243</v>
      </c>
      <c r="C2" s="476"/>
      <c r="D2" s="452"/>
      <c r="E2" s="1131"/>
      <c r="F2" s="1131"/>
      <c r="G2" s="3280" t="str">
        <f>INDEX(PT_DIFFERENTIATION_NTAR,MATCH(B2,PT_DIFFERENTIATION_NTAR_ID,0))</f>
        <v/>
      </c>
      <c r="H2" s="1958"/>
      <c r="I2" s="1835"/>
      <c r="J2" s="1869"/>
      <c r="K2" s="1959"/>
      <c r="L2" s="1958" t="s">
        <v>391</v>
      </c>
      <c r="M2" s="1969"/>
      <c r="N2" s="442"/>
      <c r="O2" s="1720"/>
      <c r="P2" s="1720"/>
      <c r="AH2" s="1727">
        <v>0</v>
      </c>
    </row>
    <row s="10232" customFormat="1" customHeight="1" ht="18.75" hidden="1">
      <c r="A3" s="1875"/>
      <c r="B3" s="1875"/>
      <c r="C3" s="476" t="s">
        <v>1439</v>
      </c>
      <c r="D3" s="452"/>
      <c r="E3" s="1131"/>
      <c r="F3" s="1131"/>
      <c r="G3" s="3280"/>
      <c r="H3" s="1596"/>
      <c r="I3" s="758" t="s">
        <v>1440</v>
      </c>
      <c r="J3" s="678"/>
      <c r="K3" s="1596"/>
      <c r="L3" s="322"/>
      <c r="M3" s="1969"/>
      <c r="N3" s="442"/>
      <c r="O3" s="1720"/>
      <c r="P3" s="1720"/>
      <c r="AH3" s="1727">
        <v>0</v>
      </c>
    </row>
    <row s="10232" customFormat="1" customHeight="1" ht="14.25" hidden="1">
      <c r="A4" s="1874"/>
      <c r="B4" s="1874"/>
      <c r="C4" s="476"/>
      <c r="D4" s="452"/>
      <c r="N4" s="1732">
        <f>_xlfn.IFERROR(MATCH("метод экономически обоснованных расходов (затрат)",OFFER_METHOD,0),0)</f>
        <v>0</v>
      </c>
      <c r="O4" s="1720"/>
      <c r="P4" s="1720"/>
      <c r="T4" s="932"/>
      <c r="AG4" s="363"/>
      <c r="AH4" s="1727">
        <v>0</v>
      </c>
    </row>
    <row s="10232" customFormat="1" customHeight="1" ht="18.75" hidden="1">
      <c r="A5" s="1875" t="s">
        <v>242</v>
      </c>
      <c r="B5" s="1875" t="s">
        <v>243</v>
      </c>
      <c r="C5" s="476"/>
      <c r="D5" s="452"/>
      <c r="E5" s="1131"/>
      <c r="F5" s="1131"/>
      <c r="G5" s="3280" t="str">
        <f>INDEX(PT_DIFFERENTIATION_NTAR,MATCH(B5,PT_DIFFERENTIATION_NTAR_ID,0))</f>
        <v/>
      </c>
      <c r="H5" s="1958"/>
      <c r="I5" s="1835"/>
      <c r="J5" s="1869"/>
      <c r="K5" s="1873"/>
      <c r="L5" s="1958" t="s">
        <v>391</v>
      </c>
      <c r="M5" s="1969"/>
      <c r="N5" s="442"/>
      <c r="O5" s="1720"/>
      <c r="P5" s="1720"/>
      <c r="AH5" s="1727">
        <v>0</v>
      </c>
    </row>
    <row s="10232" customFormat="1" customHeight="1" ht="18.75" hidden="1">
      <c r="A6" s="1875"/>
      <c r="B6" s="1875"/>
      <c r="C6" s="476" t="s">
        <v>1441</v>
      </c>
      <c r="D6" s="452"/>
      <c r="E6" s="1131"/>
      <c r="F6" s="1131"/>
      <c r="G6" s="3280"/>
      <c r="H6" s="1596"/>
      <c r="I6" s="758" t="s">
        <v>1440</v>
      </c>
      <c r="J6" s="678"/>
      <c r="K6" s="1596"/>
      <c r="L6" s="322"/>
      <c r="M6" s="1969"/>
      <c r="N6" s="442"/>
      <c r="O6" s="1720"/>
      <c r="P6" s="1720"/>
      <c r="AH6" s="1727">
        <v>0</v>
      </c>
    </row>
    <row s="10232" customFormat="1" customHeight="1" ht="14.25" hidden="1">
      <c r="A7" s="1874"/>
      <c r="B7" s="1874"/>
      <c r="C7" s="476"/>
      <c r="D7" s="452"/>
      <c r="N7" s="1732">
        <f>_xlfn.IFERROR(MATCH("метод экономически обоснованных расходов (затрат)",OFFER_METHOD,0),0)</f>
        <v>0</v>
      </c>
      <c r="O7" s="1720"/>
      <c r="P7" s="1720"/>
      <c r="T7" s="932"/>
      <c r="AG7" s="363"/>
      <c r="AH7" s="1727">
        <v>0</v>
      </c>
    </row>
    <row s="10232" customFormat="1" customHeight="1" ht="56.25" hidden="1">
      <c r="A8" s="1875"/>
      <c r="B8" s="1875"/>
      <c r="C8" s="476"/>
      <c r="D8" s="452"/>
      <c r="E8" s="1131"/>
      <c r="F8" s="1131"/>
      <c r="G8" s="1131"/>
      <c r="H8" s="1867"/>
      <c r="I8" s="1835"/>
      <c r="J8" s="1869"/>
      <c r="K8" s="1959"/>
      <c r="L8" s="1867" t="s">
        <v>391</v>
      </c>
      <c r="M8" s="1969"/>
      <c r="N8" s="442"/>
      <c r="O8" s="1720"/>
      <c r="P8" s="1720"/>
      <c r="AH8" s="1727">
        <v>0</v>
      </c>
    </row>
    <row customHeight="1" ht="14.25" hidden="1">
      <c r="T9" s="504"/>
      <c r="AG9" s="363"/>
      <c r="AH9" s="481">
        <v>0</v>
      </c>
    </row>
    <row s="10232" customFormat="1" customHeight="1" ht="56.25" hidden="1">
      <c r="A10" s="1875"/>
      <c r="B10" s="1875"/>
      <c r="C10" s="476"/>
      <c r="D10" s="452"/>
      <c r="E10" s="1131"/>
      <c r="F10" s="1131"/>
      <c r="G10" s="1131"/>
      <c r="H10" s="1866"/>
      <c r="I10" s="1835"/>
      <c r="J10" s="1869"/>
      <c r="K10" s="1873"/>
      <c r="L10" s="1867" t="s">
        <v>391</v>
      </c>
      <c r="M10" s="1969"/>
      <c r="N10" s="442"/>
      <c r="O10" s="1720"/>
      <c r="P10" s="1720"/>
      <c r="AH10" s="1727">
        <v>0</v>
      </c>
    </row>
    <row customHeight="1" ht="14.25" hidden="1">
      <c r="AH11" s="481">
        <v>0</v>
      </c>
    </row>
    <row customHeight="1" ht="14.25" hidden="1">
      <c r="AH12" s="481">
        <v>0</v>
      </c>
    </row>
    <row customHeight="1" ht="6.3">
      <c r="D13" s="483"/>
      <c r="E13" s="470"/>
      <c r="F13" s="470"/>
      <c r="G13" s="470"/>
      <c r="H13" s="470"/>
      <c r="I13" s="470"/>
      <c r="J13" s="470"/>
      <c r="K13" s="470"/>
      <c r="L13" s="196"/>
      <c r="M13" s="196"/>
      <c r="AH13" s="481">
        <v>6</v>
      </c>
    </row>
    <row customHeight="1" ht="14.699999999999998">
      <c r="D14" s="483"/>
      <c r="E14" s="3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305"/>
      <c r="G14" s="3305"/>
      <c r="H14" s="3305"/>
      <c r="I14" s="3305"/>
      <c r="J14" s="3305"/>
      <c r="K14" s="3305"/>
      <c r="L14" s="3305"/>
      <c r="M14" s="328"/>
      <c r="AH14" s="481">
        <v>14</v>
      </c>
    </row>
    <row customHeight="1" ht="6.3">
      <c r="D15" s="483"/>
      <c r="E15" s="470"/>
      <c r="F15" s="496"/>
      <c r="G15" s="496"/>
      <c r="H15" s="496"/>
      <c r="I15" s="496"/>
      <c r="J15" s="496"/>
      <c r="K15" s="496"/>
      <c r="L15" s="430"/>
      <c r="M15" s="301"/>
      <c r="AH15" s="481">
        <v>6</v>
      </c>
    </row>
    <row customHeight="1" ht="24">
      <c r="D16" s="483"/>
      <c r="E16" s="470"/>
      <c r="F16" s="413" t="str">
        <f>"Дата подачи заявления об "&amp;IF(TITLE_DATE_PR_CHANGE="","утверждении","изменении")&amp;" тарифов"</f>
        <v>Дата подачи заявления об утверждении тарифов</v>
      </c>
      <c r="G16" s="3107" t="str">
        <f>IF(TITLE_DATE_PR_CHANGE="",IF(TITLE_DATE_PR="","",TITLE_DATE_PR),TITLE_DATE_PR_CHANGE)</f>
        <v/>
      </c>
      <c r="H16" s="3107"/>
      <c r="I16" s="3107"/>
      <c r="J16" s="3107"/>
      <c r="K16" s="3107"/>
      <c r="L16" s="3107"/>
      <c r="M16" s="505"/>
      <c r="N16" s="434"/>
      <c r="AH16" s="481">
        <v>23</v>
      </c>
    </row>
    <row customHeight="1" ht="24">
      <c r="D17" s="483"/>
      <c r="E17" s="470"/>
      <c r="F17" s="413" t="str">
        <f>"Номер подачи заявления об "&amp;IF(TITLE_DATE_PR_CHANGE="","утверждении","изменении")&amp;" тарифов"</f>
        <v>Номер подачи заявления об утверждении тарифов</v>
      </c>
      <c r="G17" s="3108" t="str">
        <f>IF(TITLE_NUMBER_PR_CHANGE="",IF(TITLE_NUMBER_PR="","",TITLE_NUMBER_PR),TITLE_NUMBER_PR_CHANGE)</f>
        <v/>
      </c>
      <c r="H17" s="3108"/>
      <c r="I17" s="3108"/>
      <c r="J17" s="3108"/>
      <c r="K17" s="3108"/>
      <c r="L17" s="3108"/>
      <c r="M17" s="505"/>
      <c r="N17" s="434"/>
      <c r="AH17" s="481">
        <v>23</v>
      </c>
    </row>
    <row customHeight="1" ht="14.699999999999998">
      <c r="D18" s="483"/>
      <c r="E18" s="470"/>
      <c r="F18" s="496"/>
      <c r="G18" s="496"/>
      <c r="H18" s="496"/>
      <c r="I18" s="496"/>
      <c r="J18" s="496"/>
      <c r="K18" s="496"/>
      <c r="L18" s="859"/>
      <c r="M18" s="301"/>
      <c r="AH18" s="481">
        <v>14</v>
      </c>
    </row>
    <row customHeight="1" ht="22.049999999999997">
      <c r="D19" s="483"/>
      <c r="E19" s="3077" t="s">
        <v>385</v>
      </c>
      <c r="F19" s="3077"/>
      <c r="G19" s="3077"/>
      <c r="H19" s="3077"/>
      <c r="I19" s="3077"/>
      <c r="J19" s="3077"/>
      <c r="K19" s="3077"/>
      <c r="L19" s="3077"/>
      <c r="M19" s="3224" t="s">
        <v>386</v>
      </c>
      <c r="AH19" s="481">
        <v>21</v>
      </c>
    </row>
    <row customHeight="1" ht="22.049999999999997">
      <c r="D20" s="483"/>
      <c r="E20" s="3132" t="s">
        <v>88</v>
      </c>
      <c r="F20" s="3083" t="s">
        <v>209</v>
      </c>
      <c r="G20" s="3083" t="s">
        <v>210</v>
      </c>
      <c r="H20" s="3221" t="s">
        <v>1442</v>
      </c>
      <c r="I20" s="3222"/>
      <c r="J20" s="3282"/>
      <c r="K20" s="3083" t="s">
        <v>388</v>
      </c>
      <c r="L20" s="3083" t="s">
        <v>475</v>
      </c>
      <c r="M20" s="3224"/>
      <c r="AH20" s="481">
        <v>21</v>
      </c>
    </row>
    <row customHeight="1" ht="22.049999999999997">
      <c r="D21" s="483"/>
      <c r="E21" s="3134"/>
      <c r="F21" s="3084"/>
      <c r="G21" s="3084"/>
      <c r="H21" s="3082" t="s">
        <v>1443</v>
      </c>
      <c r="I21" s="3095"/>
      <c r="J21" s="218" t="s">
        <v>1444</v>
      </c>
      <c r="K21" s="3084"/>
      <c r="L21" s="3084"/>
      <c r="M21" s="3224"/>
      <c r="AH21" s="481">
        <v>21</v>
      </c>
    </row>
    <row customHeight="1" ht="12.75">
      <c r="D22" s="483"/>
      <c r="E22" s="389"/>
      <c r="F22" s="389"/>
      <c r="G22" s="389"/>
      <c r="H22" s="3307"/>
      <c r="I22" s="3307"/>
      <c r="J22" s="389"/>
      <c r="K22" s="389"/>
      <c r="L22" s="389"/>
      <c r="M22" s="389"/>
      <c r="AH22" s="481">
        <v>12</v>
      </c>
    </row>
    <row customHeight="1" ht="19.95">
      <c r="A23" s="1875"/>
      <c r="B23" s="1875"/>
      <c r="D23" s="483"/>
      <c r="E23" s="1960" t="s">
        <v>144</v>
      </c>
      <c r="F23" s="3308" t="str">
        <f>"Предлагаемый метод регулирования"&amp;IF(TEMPLATE_SPHERE="HEAT"," в сфере "&amp;TEMPLATE_SPHERE_RUS,"")</f>
        <v>Предлагаемый метод регулирования в сфере теплоснабжения</v>
      </c>
      <c r="G23" s="3308"/>
      <c r="H23" s="3303"/>
      <c r="I23" s="3303"/>
      <c r="J23" s="3303"/>
      <c r="K23" s="3308" t="s">
        <v>391</v>
      </c>
      <c r="L23" s="3303"/>
      <c r="M23" s="1865"/>
      <c r="N23" s="442"/>
      <c r="AH23" s="481">
        <v>19</v>
      </c>
    </row>
    <row customHeight="1" ht="60.75" hidden="1">
      <c r="A24" s="1875" t="s">
        <v>242</v>
      </c>
      <c r="B24" s="1875" t="s">
        <v>243</v>
      </c>
      <c r="D24" s="3306"/>
      <c r="E24" s="3072"/>
      <c r="F24" s="3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280" t="str">
        <f>INDEX(PT_DIFFERENTIATION_NTAR,MATCH(B24,PT_DIFFERENTIATION_NTAR_ID,0))</f>
        <v/>
      </c>
      <c r="H24" s="1956"/>
      <c r="I24" s="1835"/>
      <c r="J24" s="1869"/>
      <c r="K24" s="1959"/>
      <c r="L24" s="1864" t="s">
        <v>391</v>
      </c>
      <c r="M24" s="3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2"/>
      <c r="AH24" s="481">
        <v>0</v>
      </c>
    </row>
    <row s="10232" customFormat="1" customHeight="1" ht="18.75" hidden="1">
      <c r="A25" s="1875"/>
      <c r="B25" s="1875"/>
      <c r="C25" s="476" t="s">
        <v>1439</v>
      </c>
      <c r="D25" s="3306"/>
      <c r="E25" s="3072"/>
      <c r="F25" s="3309"/>
      <c r="G25" s="3280"/>
      <c r="H25" s="1596"/>
      <c r="I25" s="758" t="s">
        <v>1440</v>
      </c>
      <c r="J25" s="678"/>
      <c r="K25" s="1596"/>
      <c r="L25" s="322"/>
      <c r="M25" s="3033"/>
      <c r="N25" s="442"/>
      <c r="O25" s="1720"/>
      <c r="P25" s="1720"/>
      <c r="AH25" s="1727">
        <v>0</v>
      </c>
    </row>
    <row customHeight="1" ht="0.75" hidden="1">
      <c r="A26" s="1875"/>
      <c r="B26" s="1875"/>
      <c r="C26" s="476" t="s">
        <v>1445</v>
      </c>
      <c r="D26" s="3306"/>
      <c r="E26" s="3072"/>
      <c r="F26" s="3211"/>
      <c r="G26" s="507"/>
      <c r="H26" s="1596"/>
      <c r="I26" s="502"/>
      <c r="J26" s="456"/>
      <c r="K26" s="1596"/>
      <c r="L26" s="309"/>
      <c r="M26" s="3033"/>
      <c r="N26" s="442"/>
      <c r="AH26" s="481">
        <v>0</v>
      </c>
    </row>
    <row s="10232" customFormat="1" customHeight="1" ht="45" hidden="1">
      <c r="A27" s="1875" t="s">
        <v>247</v>
      </c>
      <c r="B27" s="1875" t="s">
        <v>248</v>
      </c>
      <c r="C27" s="476"/>
      <c r="D27" s="3304"/>
      <c r="E27" s="3310"/>
      <c r="F27" s="3311" t="str">
        <f>INDEX(PT_DIFFERENTIATION_VTAR,MATCH(A27,PT_DIFFERENTIATION_VTAR_ID,0))</f>
        <v/>
      </c>
      <c r="G27" s="3280" t="str">
        <f>INDEX(PT_DIFFERENTIATION_NTAR,MATCH(B27,PT_DIFFERENTIATION_NTAR_ID,0))</f>
        <v/>
      </c>
      <c r="H27" s="1956"/>
      <c r="I27" s="1835"/>
      <c r="J27" s="1869"/>
      <c r="K27" s="1959"/>
      <c r="L27" s="1956" t="s">
        <v>391</v>
      </c>
      <c r="M27" s="3033"/>
      <c r="N27" s="442"/>
      <c r="O27" s="1720"/>
      <c r="P27" s="1720"/>
      <c r="AH27" s="1727">
        <v>0</v>
      </c>
    </row>
    <row s="10232" customFormat="1" customHeight="1" ht="18.75" hidden="1">
      <c r="A28" s="1875"/>
      <c r="B28" s="1875"/>
      <c r="C28" s="476" t="s">
        <v>1439</v>
      </c>
      <c r="D28" s="3304"/>
      <c r="E28" s="3310"/>
      <c r="F28" s="3311"/>
      <c r="G28" s="3280"/>
      <c r="H28" s="1596"/>
      <c r="I28" s="758" t="s">
        <v>1440</v>
      </c>
      <c r="J28" s="678"/>
      <c r="K28" s="1596"/>
      <c r="L28" s="322"/>
      <c r="M28" s="3033"/>
      <c r="N28" s="442"/>
      <c r="O28" s="1720"/>
      <c r="P28" s="1720"/>
      <c r="AH28" s="1727">
        <v>0</v>
      </c>
    </row>
    <row s="10232" customFormat="1" customHeight="1" ht="0.75" hidden="1">
      <c r="A29" s="1875"/>
      <c r="B29" s="1875"/>
      <c r="C29" s="476" t="s">
        <v>1445</v>
      </c>
      <c r="D29" s="3304"/>
      <c r="E29" s="3072"/>
      <c r="F29" s="3211"/>
      <c r="G29" s="507"/>
      <c r="H29" s="1596"/>
      <c r="I29" s="758"/>
      <c r="J29" s="678"/>
      <c r="K29" s="1596"/>
      <c r="L29" s="322"/>
      <c r="M29" s="3033"/>
      <c r="N29" s="442"/>
      <c r="O29" s="1720"/>
      <c r="P29" s="1720"/>
      <c r="AH29" s="1727">
        <v>0</v>
      </c>
    </row>
    <row s="10232" customFormat="1" customHeight="1" ht="45" hidden="1">
      <c r="A30" s="1875" t="s">
        <v>254</v>
      </c>
      <c r="B30" s="1875" t="s">
        <v>255</v>
      </c>
      <c r="C30" s="476"/>
      <c r="D30" s="3304"/>
      <c r="E30" s="3072"/>
      <c r="F30" s="321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280" t="str">
        <f>INDEX(PT_DIFFERENTIATION_NTAR,MATCH(B30,PT_DIFFERENTIATION_NTAR_ID,0))</f>
        <v/>
      </c>
      <c r="H30" s="1956"/>
      <c r="I30" s="1835"/>
      <c r="J30" s="1869"/>
      <c r="K30" s="1959"/>
      <c r="L30" s="1956" t="s">
        <v>391</v>
      </c>
      <c r="M30" s="3033"/>
      <c r="N30" s="442"/>
      <c r="O30" s="1720"/>
      <c r="P30" s="1720"/>
      <c r="AH30" s="1727">
        <v>0</v>
      </c>
    </row>
    <row s="10232" customFormat="1" customHeight="1" ht="18.75" hidden="1">
      <c r="A31" s="1875"/>
      <c r="B31" s="1875"/>
      <c r="C31" s="476" t="s">
        <v>1439</v>
      </c>
      <c r="D31" s="3304"/>
      <c r="E31" s="3072"/>
      <c r="F31" s="3211"/>
      <c r="G31" s="3280"/>
      <c r="H31" s="1596"/>
      <c r="I31" s="758" t="s">
        <v>1440</v>
      </c>
      <c r="J31" s="678"/>
      <c r="K31" s="1596"/>
      <c r="L31" s="322"/>
      <c r="M31" s="3033"/>
      <c r="N31" s="442"/>
      <c r="O31" s="1720"/>
      <c r="P31" s="1720"/>
      <c r="AH31" s="1727">
        <v>0</v>
      </c>
    </row>
    <row s="10232" customFormat="1" customHeight="1" ht="0.75" hidden="1">
      <c r="A32" s="1875"/>
      <c r="B32" s="1875"/>
      <c r="C32" s="476" t="s">
        <v>1445</v>
      </c>
      <c r="D32" s="3304"/>
      <c r="E32" s="3072"/>
      <c r="F32" s="3211"/>
      <c r="G32" s="507"/>
      <c r="H32" s="1596"/>
      <c r="I32" s="758"/>
      <c r="J32" s="678"/>
      <c r="K32" s="1596"/>
      <c r="L32" s="322"/>
      <c r="M32" s="3033"/>
      <c r="N32" s="442"/>
      <c r="O32" s="1720"/>
      <c r="P32" s="1720"/>
      <c r="AH32" s="1727">
        <v>0</v>
      </c>
    </row>
    <row s="10232" customFormat="1" customHeight="1" ht="45" hidden="1">
      <c r="A33" s="1875" t="s">
        <v>260</v>
      </c>
      <c r="B33" s="1875" t="s">
        <v>261</v>
      </c>
      <c r="C33" s="476"/>
      <c r="D33" s="3304"/>
      <c r="E33" s="3072"/>
      <c r="F33" s="321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280" t="str">
        <f>INDEX(PT_DIFFERENTIATION_NTAR,MATCH(B33,PT_DIFFERENTIATION_NTAR_ID,0))</f>
        <v/>
      </c>
      <c r="H33" s="1956"/>
      <c r="I33" s="1835"/>
      <c r="J33" s="1869"/>
      <c r="K33" s="1959"/>
      <c r="L33" s="1956" t="s">
        <v>391</v>
      </c>
      <c r="M33" s="3033"/>
      <c r="N33" s="442"/>
      <c r="O33" s="1720"/>
      <c r="P33" s="1720"/>
      <c r="AH33" s="1727">
        <v>0</v>
      </c>
    </row>
    <row s="10232" customFormat="1" customHeight="1" ht="18.75" hidden="1">
      <c r="A34" s="1875"/>
      <c r="B34" s="1875"/>
      <c r="C34" s="476" t="s">
        <v>1439</v>
      </c>
      <c r="D34" s="3304"/>
      <c r="E34" s="3072"/>
      <c r="F34" s="3211"/>
      <c r="G34" s="3280"/>
      <c r="H34" s="1596"/>
      <c r="I34" s="758" t="s">
        <v>1440</v>
      </c>
      <c r="J34" s="678"/>
      <c r="K34" s="1596"/>
      <c r="L34" s="322"/>
      <c r="M34" s="3033"/>
      <c r="N34" s="442"/>
      <c r="O34" s="1720"/>
      <c r="P34" s="1720"/>
      <c r="AH34" s="1727">
        <v>0</v>
      </c>
    </row>
    <row s="10232" customFormat="1" customHeight="1" ht="0.75" hidden="1">
      <c r="A35" s="1875"/>
      <c r="B35" s="1875"/>
      <c r="C35" s="476" t="s">
        <v>1445</v>
      </c>
      <c r="D35" s="3304"/>
      <c r="E35" s="3072"/>
      <c r="F35" s="3211"/>
      <c r="G35" s="507"/>
      <c r="H35" s="1596"/>
      <c r="I35" s="758"/>
      <c r="J35" s="678"/>
      <c r="K35" s="1596"/>
      <c r="L35" s="322"/>
      <c r="M35" s="3033"/>
      <c r="N35" s="442"/>
      <c r="O35" s="1720"/>
      <c r="P35" s="1720"/>
      <c r="AH35" s="1727">
        <v>0</v>
      </c>
    </row>
    <row s="10232" customFormat="1" customHeight="1" ht="18.75" hidden="1">
      <c r="A36" s="1875" t="s">
        <v>266</v>
      </c>
      <c r="B36" s="1875" t="s">
        <v>267</v>
      </c>
      <c r="C36" s="476"/>
      <c r="D36" s="3304"/>
      <c r="E36" s="3072"/>
      <c r="F36" s="3211" t="str">
        <f>INDEX(PT_DIFFERENTIATION_VTAR,MATCH(A36,PT_DIFFERENTIATION_VTAR_ID,0))</f>
        <v>Тарифы на услуги по передаче тепловой энергии</v>
      </c>
      <c r="G36" s="3280" t="str">
        <f>INDEX(PT_DIFFERENTIATION_NTAR,MATCH(B36,PT_DIFFERENTIATION_NTAR_ID,0))</f>
        <v/>
      </c>
      <c r="H36" s="1956"/>
      <c r="I36" s="1835"/>
      <c r="J36" s="1869"/>
      <c r="K36" s="1959"/>
      <c r="L36" s="1956" t="s">
        <v>391</v>
      </c>
      <c r="M36" s="3033"/>
      <c r="N36" s="442"/>
      <c r="O36" s="1720"/>
      <c r="P36" s="1720"/>
      <c r="AH36" s="1727">
        <v>0</v>
      </c>
    </row>
    <row s="10232" customFormat="1" customHeight="1" ht="18.75" hidden="1">
      <c r="A37" s="1875"/>
      <c r="B37" s="1875"/>
      <c r="C37" s="476" t="s">
        <v>1439</v>
      </c>
      <c r="D37" s="3304"/>
      <c r="E37" s="3072"/>
      <c r="F37" s="3211"/>
      <c r="G37" s="3280"/>
      <c r="H37" s="1596"/>
      <c r="I37" s="758" t="s">
        <v>1440</v>
      </c>
      <c r="J37" s="678"/>
      <c r="K37" s="1596"/>
      <c r="L37" s="322"/>
      <c r="M37" s="3033"/>
      <c r="N37" s="442"/>
      <c r="O37" s="1720"/>
      <c r="P37" s="1720"/>
      <c r="AH37" s="1727">
        <v>0</v>
      </c>
    </row>
    <row s="10232" customFormat="1" customHeight="1" ht="0.75" hidden="1">
      <c r="A38" s="1875"/>
      <c r="B38" s="1875"/>
      <c r="C38" s="476" t="s">
        <v>1445</v>
      </c>
      <c r="D38" s="3304"/>
      <c r="E38" s="3072"/>
      <c r="F38" s="3211"/>
      <c r="G38" s="507"/>
      <c r="H38" s="1596"/>
      <c r="I38" s="758"/>
      <c r="J38" s="678"/>
      <c r="K38" s="1596"/>
      <c r="L38" s="322"/>
      <c r="M38" s="3033"/>
      <c r="N38" s="442"/>
      <c r="O38" s="1720"/>
      <c r="P38" s="1720"/>
      <c r="AH38" s="1727">
        <v>0</v>
      </c>
    </row>
    <row s="10232" customFormat="1" customHeight="1" ht="18.75" hidden="1">
      <c r="A39" s="1875" t="s">
        <v>272</v>
      </c>
      <c r="B39" s="1875" t="s">
        <v>273</v>
      </c>
      <c r="C39" s="476"/>
      <c r="D39" s="3304"/>
      <c r="E39" s="3072"/>
      <c r="F39" s="3211" t="str">
        <f>INDEX(PT_DIFFERENTIATION_VTAR,MATCH(A39,PT_DIFFERENTIATION_VTAR_ID,0))</f>
        <v>Тарифы на услуги по передаче теплоносителя</v>
      </c>
      <c r="G39" s="3280" t="str">
        <f>INDEX(PT_DIFFERENTIATION_NTAR,MATCH(B39,PT_DIFFERENTIATION_NTAR_ID,0))</f>
        <v/>
      </c>
      <c r="H39" s="1956"/>
      <c r="I39" s="1835"/>
      <c r="J39" s="1869"/>
      <c r="K39" s="1959"/>
      <c r="L39" s="1956" t="s">
        <v>391</v>
      </c>
      <c r="M39" s="3033"/>
      <c r="N39" s="442"/>
      <c r="O39" s="1720"/>
      <c r="P39" s="1720"/>
      <c r="AH39" s="1727">
        <v>0</v>
      </c>
    </row>
    <row s="10232" customFormat="1" customHeight="1" ht="18.75" hidden="1">
      <c r="A40" s="1875"/>
      <c r="B40" s="1875"/>
      <c r="C40" s="476" t="s">
        <v>1439</v>
      </c>
      <c r="D40" s="3304"/>
      <c r="E40" s="3072"/>
      <c r="F40" s="3211"/>
      <c r="G40" s="3280"/>
      <c r="H40" s="1596"/>
      <c r="I40" s="758" t="s">
        <v>1440</v>
      </c>
      <c r="J40" s="678"/>
      <c r="K40" s="1596"/>
      <c r="L40" s="322"/>
      <c r="M40" s="3033"/>
      <c r="N40" s="442"/>
      <c r="O40" s="1720"/>
      <c r="P40" s="1720"/>
      <c r="AH40" s="1727">
        <v>0</v>
      </c>
    </row>
    <row s="10232" customFormat="1" customHeight="1" ht="0.75" hidden="1">
      <c r="A41" s="1875"/>
      <c r="B41" s="1875"/>
      <c r="C41" s="476" t="s">
        <v>1445</v>
      </c>
      <c r="D41" s="3304"/>
      <c r="E41" s="3072"/>
      <c r="F41" s="3211"/>
      <c r="G41" s="507"/>
      <c r="H41" s="1596"/>
      <c r="I41" s="758"/>
      <c r="J41" s="678"/>
      <c r="K41" s="1596"/>
      <c r="L41" s="322"/>
      <c r="M41" s="3033"/>
      <c r="N41" s="442"/>
      <c r="O41" s="1720"/>
      <c r="P41" s="1720"/>
      <c r="AH41" s="1727">
        <v>0</v>
      </c>
    </row>
    <row s="10232" customFormat="1" customHeight="1" ht="18.75" hidden="1">
      <c r="A42" s="1875" t="s">
        <v>278</v>
      </c>
      <c r="B42" s="1875" t="s">
        <v>279</v>
      </c>
      <c r="C42" s="476"/>
      <c r="D42" s="3304"/>
      <c r="E42" s="3072"/>
      <c r="F42" s="3211" t="str">
        <f>INDEX(PT_DIFFERENTIATION_VTAR,MATCH(A42,PT_DIFFERENTIATION_VTAR_ID,0))</f>
        <v>Плата за услуги по поддержанию резервной тепловой мощности при отсутствии потребления тепловой энергии</v>
      </c>
      <c r="G42" s="3280" t="str">
        <f>INDEX(PT_DIFFERENTIATION_NTAR,MATCH(B42,PT_DIFFERENTIATION_NTAR_ID,0))</f>
        <v/>
      </c>
      <c r="H42" s="1956"/>
      <c r="I42" s="1835"/>
      <c r="J42" s="1869"/>
      <c r="K42" s="1959"/>
      <c r="L42" s="1956" t="s">
        <v>391</v>
      </c>
      <c r="M42" s="3033"/>
      <c r="N42" s="442"/>
      <c r="O42" s="1720"/>
      <c r="P42" s="1720"/>
      <c r="AH42" s="1727">
        <v>0</v>
      </c>
    </row>
    <row s="10232" customFormat="1" customHeight="1" ht="18.75" hidden="1">
      <c r="A43" s="1875"/>
      <c r="B43" s="1875"/>
      <c r="C43" s="476" t="s">
        <v>1439</v>
      </c>
      <c r="D43" s="3304"/>
      <c r="E43" s="3072"/>
      <c r="F43" s="3211"/>
      <c r="G43" s="3280"/>
      <c r="H43" s="1596"/>
      <c r="I43" s="758" t="s">
        <v>1440</v>
      </c>
      <c r="J43" s="678"/>
      <c r="K43" s="1596"/>
      <c r="L43" s="322"/>
      <c r="M43" s="3033"/>
      <c r="N43" s="442"/>
      <c r="O43" s="1720"/>
      <c r="P43" s="1720"/>
      <c r="AH43" s="1727">
        <v>0</v>
      </c>
    </row>
    <row s="10232" customFormat="1" customHeight="1" ht="0.75" hidden="1">
      <c r="A44" s="1875"/>
      <c r="B44" s="1875"/>
      <c r="C44" s="476" t="s">
        <v>1445</v>
      </c>
      <c r="D44" s="3304"/>
      <c r="E44" s="3072"/>
      <c r="F44" s="3211"/>
      <c r="G44" s="507"/>
      <c r="H44" s="1596"/>
      <c r="I44" s="758"/>
      <c r="J44" s="678"/>
      <c r="K44" s="1596"/>
      <c r="L44" s="322"/>
      <c r="M44" s="3033"/>
      <c r="N44" s="442"/>
      <c r="O44" s="1720"/>
      <c r="P44" s="1720"/>
      <c r="AH44" s="1727">
        <v>0</v>
      </c>
    </row>
    <row s="10232" customFormat="1" customHeight="1" ht="18.75" hidden="1">
      <c r="A45" s="1875" t="s">
        <v>284</v>
      </c>
      <c r="B45" s="1875" t="s">
        <v>285</v>
      </c>
      <c r="C45" s="476"/>
      <c r="D45" s="3304"/>
      <c r="E45" s="3072"/>
      <c r="F45" s="3211" t="str">
        <f>INDEX(PT_DIFFERENTIATION_VTAR,MATCH(A45,PT_DIFFERENTIATION_VTAR_ID,0))</f>
        <v>Плата за подключение (технологическое присоединение) к системе теплоснабжения</v>
      </c>
      <c r="G45" s="3280" t="str">
        <f>INDEX(PT_DIFFERENTIATION_NTAR,MATCH(B45,PT_DIFFERENTIATION_NTAR_ID,0))</f>
        <v/>
      </c>
      <c r="H45" s="1956"/>
      <c r="I45" s="1835"/>
      <c r="J45" s="1869"/>
      <c r="K45" s="1959"/>
      <c r="L45" s="1956" t="s">
        <v>391</v>
      </c>
      <c r="M45" s="3033"/>
      <c r="N45" s="442"/>
      <c r="O45" s="1720"/>
      <c r="P45" s="1720"/>
      <c r="AH45" s="1727">
        <v>0</v>
      </c>
    </row>
    <row s="10232" customFormat="1" customHeight="1" ht="18.75" hidden="1">
      <c r="A46" s="1875"/>
      <c r="B46" s="1875"/>
      <c r="C46" s="476" t="s">
        <v>1439</v>
      </c>
      <c r="D46" s="3304"/>
      <c r="E46" s="3072"/>
      <c r="F46" s="3211"/>
      <c r="G46" s="3280"/>
      <c r="H46" s="1596"/>
      <c r="I46" s="758" t="s">
        <v>1440</v>
      </c>
      <c r="J46" s="678"/>
      <c r="K46" s="1596"/>
      <c r="L46" s="322"/>
      <c r="M46" s="3033"/>
      <c r="N46" s="442"/>
      <c r="O46" s="1720"/>
      <c r="P46" s="1720"/>
      <c r="AH46" s="1727">
        <v>0</v>
      </c>
    </row>
    <row s="10232" customFormat="1" customHeight="1" ht="0.75" hidden="1">
      <c r="A47" s="1875"/>
      <c r="B47" s="1875"/>
      <c r="C47" s="476" t="s">
        <v>1445</v>
      </c>
      <c r="D47" s="3304"/>
      <c r="E47" s="3072"/>
      <c r="F47" s="3211"/>
      <c r="G47" s="507"/>
      <c r="H47" s="1596"/>
      <c r="I47" s="758"/>
      <c r="J47" s="678"/>
      <c r="K47" s="1596"/>
      <c r="L47" s="322"/>
      <c r="M47" s="3033"/>
      <c r="N47" s="442"/>
      <c r="O47" s="1720"/>
      <c r="P47" s="1720"/>
      <c r="AH47" s="1727">
        <v>0</v>
      </c>
    </row>
    <row s="10232" customFormat="1" customHeight="1" ht="18.75" hidden="1">
      <c r="A48" s="1875" t="s">
        <v>290</v>
      </c>
      <c r="B48" s="1875" t="s">
        <v>291</v>
      </c>
      <c r="C48" s="476"/>
      <c r="D48" s="3304"/>
      <c r="E48" s="3072"/>
      <c r="F48" s="3211" t="str">
        <f>INDEX(PT_DIFFERENTIATION_VTAR,MATCH(A48,PT_DIFFERENTIATION_VTAR_ID,0))</f>
        <v>Плата за подключение (технологическое присоединение) к системе теплоснабжения (индивидуальная)</v>
      </c>
      <c r="G48" s="3280" t="str">
        <f>INDEX(PT_DIFFERENTIATION_NTAR,MATCH(B48,PT_DIFFERENTIATION_NTAR_ID,0))</f>
        <v/>
      </c>
      <c r="H48" s="2080"/>
      <c r="I48" s="1835"/>
      <c r="J48" s="1869"/>
      <c r="K48" s="1959"/>
      <c r="L48" s="2080" t="s">
        <v>391</v>
      </c>
      <c r="M48" s="3033"/>
      <c r="N48" s="442"/>
      <c r="O48" s="1720"/>
      <c r="P48" s="1720"/>
      <c r="AH48" s="1727">
        <v>0</v>
      </c>
    </row>
    <row s="10232" customFormat="1" customHeight="1" ht="18.75" hidden="1">
      <c r="A49" s="1875"/>
      <c r="B49" s="1875"/>
      <c r="C49" s="476" t="s">
        <v>1439</v>
      </c>
      <c r="D49" s="3304"/>
      <c r="E49" s="3072"/>
      <c r="F49" s="3211"/>
      <c r="G49" s="3280"/>
      <c r="H49" s="1596"/>
      <c r="I49" s="758" t="s">
        <v>1440</v>
      </c>
      <c r="J49" s="678"/>
      <c r="K49" s="1596"/>
      <c r="L49" s="322"/>
      <c r="M49" s="3033"/>
      <c r="N49" s="442"/>
      <c r="O49" s="1720"/>
      <c r="P49" s="1720"/>
      <c r="AH49" s="1727">
        <v>0</v>
      </c>
    </row>
    <row s="10232" customFormat="1" customHeight="1" ht="0.75" hidden="1">
      <c r="A50" s="1875"/>
      <c r="B50" s="1875"/>
      <c r="C50" s="476" t="s">
        <v>1445</v>
      </c>
      <c r="D50" s="3304"/>
      <c r="E50" s="3072"/>
      <c r="F50" s="3211"/>
      <c r="G50" s="507"/>
      <c r="H50" s="1596"/>
      <c r="I50" s="758"/>
      <c r="J50" s="678"/>
      <c r="K50" s="1596"/>
      <c r="L50" s="322"/>
      <c r="M50" s="3033"/>
      <c r="N50" s="442"/>
      <c r="O50" s="1720"/>
      <c r="P50" s="1720"/>
      <c r="AH50" s="1727">
        <v>0</v>
      </c>
    </row>
    <row s="10232" customFormat="1" customHeight="1" ht="18.75" hidden="1">
      <c r="A51" s="1875" t="s">
        <v>310</v>
      </c>
      <c r="B51" s="1875" t="s">
        <v>311</v>
      </c>
      <c r="C51" s="476"/>
      <c r="D51" s="3304"/>
      <c r="E51" s="3072"/>
      <c r="F51" s="3211" t="str">
        <f>INDEX(PT_DIFFERENTIATION_VTAR,MATCH(A51,PT_DIFFERENTIATION_VTAR_ID,0))</f>
        <v>Тариф на питьевую воду (питьевое водоснабжение)</v>
      </c>
      <c r="G51" s="3280" t="str">
        <f>INDEX(PT_DIFFERENTIATION_NTAR,MATCH(B51,PT_DIFFERENTIATION_NTAR_ID,0))</f>
        <v/>
      </c>
      <c r="H51" s="1956"/>
      <c r="I51" s="1835"/>
      <c r="J51" s="1869"/>
      <c r="K51" s="1959"/>
      <c r="L51" s="1956" t="s">
        <v>391</v>
      </c>
      <c r="M51" s="3033"/>
      <c r="N51" s="442"/>
      <c r="O51" s="1720"/>
      <c r="P51" s="1720"/>
      <c r="AH51" s="1727">
        <v>0</v>
      </c>
    </row>
    <row s="10232" customFormat="1" customHeight="1" ht="18.75" hidden="1">
      <c r="A52" s="1875"/>
      <c r="B52" s="1875"/>
      <c r="C52" s="476" t="s">
        <v>1439</v>
      </c>
      <c r="D52" s="3304"/>
      <c r="E52" s="3072"/>
      <c r="F52" s="3211"/>
      <c r="G52" s="3280"/>
      <c r="H52" s="1596"/>
      <c r="I52" s="758" t="s">
        <v>1440</v>
      </c>
      <c r="J52" s="678"/>
      <c r="K52" s="1596"/>
      <c r="L52" s="322"/>
      <c r="M52" s="3033"/>
      <c r="N52" s="442"/>
      <c r="O52" s="1720"/>
      <c r="P52" s="1720"/>
      <c r="AH52" s="1727">
        <v>0</v>
      </c>
    </row>
    <row s="10232" customFormat="1" customHeight="1" ht="0.75" hidden="1">
      <c r="A53" s="1875"/>
      <c r="B53" s="1875"/>
      <c r="C53" s="476" t="s">
        <v>1445</v>
      </c>
      <c r="D53" s="3304"/>
      <c r="E53" s="3072"/>
      <c r="F53" s="3211"/>
      <c r="G53" s="507"/>
      <c r="H53" s="1596"/>
      <c r="I53" s="758"/>
      <c r="J53" s="678"/>
      <c r="K53" s="1596"/>
      <c r="L53" s="322"/>
      <c r="M53" s="3033"/>
      <c r="N53" s="442"/>
      <c r="O53" s="1720"/>
      <c r="P53" s="1720"/>
      <c r="AH53" s="1727">
        <v>0</v>
      </c>
    </row>
    <row s="10232" customFormat="1" customHeight="1" ht="18.75" hidden="1">
      <c r="A54" s="1875" t="s">
        <v>315</v>
      </c>
      <c r="B54" s="1875" t="s">
        <v>316</v>
      </c>
      <c r="C54" s="476"/>
      <c r="D54" s="3304"/>
      <c r="E54" s="3072"/>
      <c r="F54" s="3211" t="str">
        <f>INDEX(PT_DIFFERENTIATION_VTAR,MATCH(A54,PT_DIFFERENTIATION_VTAR_ID,0))</f>
        <v>Тариф на техническую воду</v>
      </c>
      <c r="G54" s="3280" t="str">
        <f>INDEX(PT_DIFFERENTIATION_NTAR,MATCH(B54,PT_DIFFERENTIATION_NTAR_ID,0))</f>
        <v/>
      </c>
      <c r="H54" s="1956"/>
      <c r="I54" s="1835"/>
      <c r="J54" s="1869"/>
      <c r="K54" s="1959"/>
      <c r="L54" s="1956" t="s">
        <v>391</v>
      </c>
      <c r="M54" s="3033"/>
      <c r="N54" s="442"/>
      <c r="O54" s="1720"/>
      <c r="P54" s="1720"/>
      <c r="AH54" s="1727">
        <v>0</v>
      </c>
    </row>
    <row s="10232" customFormat="1" customHeight="1" ht="18.75" hidden="1">
      <c r="A55" s="1875"/>
      <c r="B55" s="1875"/>
      <c r="C55" s="476" t="s">
        <v>1439</v>
      </c>
      <c r="D55" s="3304"/>
      <c r="E55" s="3072"/>
      <c r="F55" s="3211"/>
      <c r="G55" s="3280"/>
      <c r="H55" s="1596"/>
      <c r="I55" s="758" t="s">
        <v>1440</v>
      </c>
      <c r="J55" s="678"/>
      <c r="K55" s="1596"/>
      <c r="L55" s="322"/>
      <c r="M55" s="3033"/>
      <c r="N55" s="442"/>
      <c r="O55" s="1720"/>
      <c r="P55" s="1720"/>
      <c r="AH55" s="1727">
        <v>0</v>
      </c>
    </row>
    <row s="10232" customFormat="1" customHeight="1" ht="0.75" hidden="1">
      <c r="A56" s="1875"/>
      <c r="B56" s="1875"/>
      <c r="C56" s="476" t="s">
        <v>1445</v>
      </c>
      <c r="D56" s="3304"/>
      <c r="E56" s="3072"/>
      <c r="F56" s="3211"/>
      <c r="G56" s="507"/>
      <c r="H56" s="1596"/>
      <c r="I56" s="758"/>
      <c r="J56" s="678"/>
      <c r="K56" s="1596"/>
      <c r="L56" s="322"/>
      <c r="M56" s="3033"/>
      <c r="N56" s="442"/>
      <c r="O56" s="1720"/>
      <c r="P56" s="1720"/>
      <c r="AH56" s="1727">
        <v>0</v>
      </c>
    </row>
    <row s="10232" customFormat="1" customHeight="1" ht="18.75" hidden="1">
      <c r="A57" s="1875" t="s">
        <v>320</v>
      </c>
      <c r="B57" s="1875" t="s">
        <v>321</v>
      </c>
      <c r="C57" s="476"/>
      <c r="D57" s="3304"/>
      <c r="E57" s="3072"/>
      <c r="F57" s="3211" t="str">
        <f>INDEX(PT_DIFFERENTIATION_VTAR,MATCH(A57,PT_DIFFERENTIATION_VTAR_ID,0))</f>
        <v>Тариф на транспортировку воды</v>
      </c>
      <c r="G57" s="3280" t="str">
        <f>INDEX(PT_DIFFERENTIATION_NTAR,MATCH(B57,PT_DIFFERENTIATION_NTAR_ID,0))</f>
        <v/>
      </c>
      <c r="H57" s="1956"/>
      <c r="I57" s="1835"/>
      <c r="J57" s="1869"/>
      <c r="K57" s="1959"/>
      <c r="L57" s="1956" t="s">
        <v>391</v>
      </c>
      <c r="M57" s="3033"/>
      <c r="N57" s="442"/>
      <c r="O57" s="1720"/>
      <c r="P57" s="1720"/>
      <c r="AH57" s="1727">
        <v>0</v>
      </c>
    </row>
    <row s="10232" customFormat="1" customHeight="1" ht="18.75" hidden="1">
      <c r="A58" s="1875"/>
      <c r="B58" s="1875"/>
      <c r="C58" s="476" t="s">
        <v>1439</v>
      </c>
      <c r="D58" s="3304"/>
      <c r="E58" s="3072"/>
      <c r="F58" s="3211"/>
      <c r="G58" s="3280"/>
      <c r="H58" s="1596"/>
      <c r="I58" s="758" t="s">
        <v>1440</v>
      </c>
      <c r="J58" s="678"/>
      <c r="K58" s="1596"/>
      <c r="L58" s="322"/>
      <c r="M58" s="3033"/>
      <c r="N58" s="442"/>
      <c r="O58" s="1720"/>
      <c r="P58" s="1720"/>
      <c r="AH58" s="1727">
        <v>0</v>
      </c>
    </row>
    <row s="10232" customFormat="1" customHeight="1" ht="0.75" hidden="1">
      <c r="A59" s="1875"/>
      <c r="B59" s="1875"/>
      <c r="C59" s="476" t="s">
        <v>1445</v>
      </c>
      <c r="D59" s="3304"/>
      <c r="E59" s="3072"/>
      <c r="F59" s="3211"/>
      <c r="G59" s="507"/>
      <c r="H59" s="1596"/>
      <c r="I59" s="758"/>
      <c r="J59" s="678"/>
      <c r="K59" s="1596"/>
      <c r="L59" s="322"/>
      <c r="M59" s="3033"/>
      <c r="N59" s="442"/>
      <c r="O59" s="1720"/>
      <c r="P59" s="1720"/>
      <c r="AH59" s="1727">
        <v>0</v>
      </c>
    </row>
    <row s="10232" customFormat="1" customHeight="1" ht="18.75" hidden="1">
      <c r="A60" s="1875" t="s">
        <v>325</v>
      </c>
      <c r="B60" s="1875" t="s">
        <v>326</v>
      </c>
      <c r="C60" s="476"/>
      <c r="D60" s="3304"/>
      <c r="E60" s="3072"/>
      <c r="F60" s="3211" t="str">
        <f>INDEX(PT_DIFFERENTIATION_VTAR,MATCH(A60,PT_DIFFERENTIATION_VTAR_ID,0))</f>
        <v>Тариф на подвоз воды</v>
      </c>
      <c r="G60" s="3280" t="str">
        <f>INDEX(PT_DIFFERENTIATION_NTAR,MATCH(B60,PT_DIFFERENTIATION_NTAR_ID,0))</f>
        <v/>
      </c>
      <c r="H60" s="1956"/>
      <c r="I60" s="1835"/>
      <c r="J60" s="1869"/>
      <c r="K60" s="1959"/>
      <c r="L60" s="1956" t="s">
        <v>391</v>
      </c>
      <c r="M60" s="3033"/>
      <c r="N60" s="442"/>
      <c r="O60" s="1720"/>
      <c r="P60" s="1720"/>
      <c r="AH60" s="1727">
        <v>0</v>
      </c>
    </row>
    <row s="10232" customFormat="1" customHeight="1" ht="18.75" hidden="1">
      <c r="A61" s="1875"/>
      <c r="B61" s="1875"/>
      <c r="C61" s="476" t="s">
        <v>1439</v>
      </c>
      <c r="D61" s="3304"/>
      <c r="E61" s="3072"/>
      <c r="F61" s="3211"/>
      <c r="G61" s="3280"/>
      <c r="H61" s="1596"/>
      <c r="I61" s="758" t="s">
        <v>1440</v>
      </c>
      <c r="J61" s="678"/>
      <c r="K61" s="1596"/>
      <c r="L61" s="322"/>
      <c r="M61" s="3033"/>
      <c r="N61" s="442"/>
      <c r="O61" s="1720"/>
      <c r="P61" s="1720"/>
      <c r="AH61" s="1727">
        <v>0</v>
      </c>
    </row>
    <row s="10232" customFormat="1" customHeight="1" ht="0.75" hidden="1">
      <c r="A62" s="1875"/>
      <c r="B62" s="1875"/>
      <c r="C62" s="476" t="s">
        <v>1445</v>
      </c>
      <c r="D62" s="3304"/>
      <c r="E62" s="3072"/>
      <c r="F62" s="3211"/>
      <c r="G62" s="507"/>
      <c r="H62" s="1596"/>
      <c r="I62" s="758"/>
      <c r="J62" s="678"/>
      <c r="K62" s="1596"/>
      <c r="L62" s="322"/>
      <c r="M62" s="3033"/>
      <c r="N62" s="442"/>
      <c r="O62" s="1720"/>
      <c r="P62" s="1720"/>
      <c r="AH62" s="1727">
        <v>0</v>
      </c>
    </row>
    <row s="10232" customFormat="1" customHeight="1" ht="18.75" hidden="1">
      <c r="A63" s="1875" t="s">
        <v>330</v>
      </c>
      <c r="B63" s="1875" t="s">
        <v>331</v>
      </c>
      <c r="C63" s="476"/>
      <c r="D63" s="3304"/>
      <c r="E63" s="3072"/>
      <c r="F63" s="3211" t="str">
        <f>INDEX(PT_DIFFERENTIATION_VTAR,MATCH(A63,PT_DIFFERENTIATION_VTAR_ID,0))</f>
        <v>Тариф на подключение (технологическое присоединение) к централизованной системе холодного водоснабжения</v>
      </c>
      <c r="G63" s="3280" t="str">
        <f>INDEX(PT_DIFFERENTIATION_NTAR,MATCH(B63,PT_DIFFERENTIATION_NTAR_ID,0))</f>
        <v/>
      </c>
      <c r="H63" s="1956"/>
      <c r="I63" s="1835"/>
      <c r="J63" s="1869"/>
      <c r="K63" s="1959"/>
      <c r="L63" s="1956" t="s">
        <v>391</v>
      </c>
      <c r="M63" s="3033"/>
      <c r="N63" s="442"/>
      <c r="O63" s="1720"/>
      <c r="P63" s="1720"/>
      <c r="AH63" s="1727">
        <v>0</v>
      </c>
    </row>
    <row s="10232" customFormat="1" customHeight="1" ht="18.75" hidden="1">
      <c r="A64" s="1875"/>
      <c r="B64" s="1875"/>
      <c r="C64" s="476" t="s">
        <v>1439</v>
      </c>
      <c r="D64" s="3304"/>
      <c r="E64" s="3072"/>
      <c r="F64" s="3211"/>
      <c r="G64" s="3280"/>
      <c r="H64" s="1596"/>
      <c r="I64" s="758" t="s">
        <v>1440</v>
      </c>
      <c r="J64" s="678"/>
      <c r="K64" s="1596"/>
      <c r="L64" s="322"/>
      <c r="M64" s="3033"/>
      <c r="N64" s="442"/>
      <c r="O64" s="1720"/>
      <c r="P64" s="1720"/>
      <c r="AH64" s="1727">
        <v>0</v>
      </c>
    </row>
    <row s="10232" customFormat="1" customHeight="1" ht="0.75" hidden="1">
      <c r="A65" s="1875"/>
      <c r="B65" s="1875"/>
      <c r="C65" s="476" t="s">
        <v>1445</v>
      </c>
      <c r="D65" s="3304"/>
      <c r="E65" s="3072"/>
      <c r="F65" s="3211"/>
      <c r="G65" s="507"/>
      <c r="H65" s="1596"/>
      <c r="I65" s="758"/>
      <c r="J65" s="678"/>
      <c r="K65" s="1596"/>
      <c r="L65" s="322"/>
      <c r="M65" s="3033"/>
      <c r="N65" s="442"/>
      <c r="O65" s="1720"/>
      <c r="P65" s="1720"/>
      <c r="AH65" s="1727">
        <v>0</v>
      </c>
    </row>
    <row s="10232" customFormat="1" customHeight="1" ht="18.75" hidden="1">
      <c r="A66" s="1875" t="s">
        <v>335</v>
      </c>
      <c r="B66" s="1875" t="s">
        <v>336</v>
      </c>
      <c r="C66" s="476"/>
      <c r="D66" s="3304"/>
      <c r="E66" s="3072"/>
      <c r="F66" s="3211" t="str">
        <f>INDEX(PT_DIFFERENTIATION_VTAR,MATCH(A66,PT_DIFFERENTIATION_VTAR_ID,0))</f>
        <v>Тариф на горячую воду (горячее водоснабжение)</v>
      </c>
      <c r="G66" s="3280" t="str">
        <f>INDEX(PT_DIFFERENTIATION_NTAR,MATCH(B66,PT_DIFFERENTIATION_NTAR_ID,0))</f>
        <v/>
      </c>
      <c r="H66" s="1956"/>
      <c r="I66" s="1835"/>
      <c r="J66" s="1869"/>
      <c r="K66" s="1959"/>
      <c r="L66" s="1956" t="s">
        <v>391</v>
      </c>
      <c r="M66" s="3033"/>
      <c r="N66" s="442"/>
      <c r="O66" s="1720"/>
      <c r="P66" s="1720"/>
      <c r="AH66" s="1727">
        <v>0</v>
      </c>
    </row>
    <row s="10232" customFormat="1" customHeight="1" ht="18.75" hidden="1">
      <c r="A67" s="1875"/>
      <c r="B67" s="1875"/>
      <c r="C67" s="476" t="s">
        <v>1439</v>
      </c>
      <c r="D67" s="3304"/>
      <c r="E67" s="3072"/>
      <c r="F67" s="3211"/>
      <c r="G67" s="3280"/>
      <c r="H67" s="1596"/>
      <c r="I67" s="758" t="s">
        <v>1440</v>
      </c>
      <c r="J67" s="678"/>
      <c r="K67" s="1596"/>
      <c r="L67" s="322"/>
      <c r="M67" s="3033"/>
      <c r="N67" s="442"/>
      <c r="O67" s="1720"/>
      <c r="P67" s="1720"/>
      <c r="AH67" s="1727">
        <v>0</v>
      </c>
    </row>
    <row s="10232" customFormat="1" customHeight="1" ht="0.75" hidden="1">
      <c r="A68" s="1875"/>
      <c r="B68" s="1875"/>
      <c r="C68" s="476" t="s">
        <v>1445</v>
      </c>
      <c r="D68" s="3304"/>
      <c r="E68" s="3072"/>
      <c r="F68" s="3211"/>
      <c r="G68" s="507"/>
      <c r="H68" s="1596"/>
      <c r="I68" s="758"/>
      <c r="J68" s="678"/>
      <c r="K68" s="1596"/>
      <c r="L68" s="322"/>
      <c r="M68" s="3033"/>
      <c r="N68" s="442"/>
      <c r="O68" s="1720"/>
      <c r="P68" s="1720"/>
      <c r="AH68" s="1727">
        <v>0</v>
      </c>
    </row>
    <row s="10232" customFormat="1" customHeight="1" ht="18.75" hidden="1">
      <c r="A69" s="1875" t="s">
        <v>340</v>
      </c>
      <c r="B69" s="1875" t="s">
        <v>341</v>
      </c>
      <c r="C69" s="476"/>
      <c r="D69" s="3304"/>
      <c r="E69" s="3072"/>
      <c r="F69" s="3211" t="str">
        <f>INDEX(PT_DIFFERENTIATION_VTAR,MATCH(A69,PT_DIFFERENTIATION_VTAR_ID,0))</f>
        <v>Тариф на транспортировку горячей воды</v>
      </c>
      <c r="G69" s="3280" t="str">
        <f>INDEX(PT_DIFFERENTIATION_NTAR,MATCH(B69,PT_DIFFERENTIATION_NTAR_ID,0))</f>
        <v/>
      </c>
      <c r="H69" s="1956"/>
      <c r="I69" s="1835"/>
      <c r="J69" s="1869"/>
      <c r="K69" s="1959"/>
      <c r="L69" s="1956" t="s">
        <v>391</v>
      </c>
      <c r="M69" s="3033"/>
      <c r="N69" s="442"/>
      <c r="O69" s="1720"/>
      <c r="P69" s="1720"/>
      <c r="AH69" s="1727">
        <v>0</v>
      </c>
    </row>
    <row s="10232" customFormat="1" customHeight="1" ht="18.75" hidden="1">
      <c r="A70" s="1875"/>
      <c r="B70" s="1875"/>
      <c r="C70" s="476" t="s">
        <v>1439</v>
      </c>
      <c r="D70" s="3304"/>
      <c r="E70" s="3072"/>
      <c r="F70" s="3211"/>
      <c r="G70" s="3280"/>
      <c r="H70" s="1596"/>
      <c r="I70" s="758" t="s">
        <v>1440</v>
      </c>
      <c r="J70" s="678"/>
      <c r="K70" s="1596"/>
      <c r="L70" s="322"/>
      <c r="M70" s="3033"/>
      <c r="N70" s="442"/>
      <c r="O70" s="1720"/>
      <c r="P70" s="1720"/>
      <c r="AH70" s="1727">
        <v>0</v>
      </c>
    </row>
    <row s="10232" customFormat="1" customHeight="1" ht="0.75" hidden="1">
      <c r="A71" s="1875"/>
      <c r="B71" s="1875"/>
      <c r="C71" s="476" t="s">
        <v>1445</v>
      </c>
      <c r="D71" s="3304"/>
      <c r="E71" s="3072"/>
      <c r="F71" s="3211"/>
      <c r="G71" s="507"/>
      <c r="H71" s="1596"/>
      <c r="I71" s="758"/>
      <c r="J71" s="678"/>
      <c r="K71" s="1596"/>
      <c r="L71" s="322"/>
      <c r="M71" s="3033"/>
      <c r="N71" s="442"/>
      <c r="O71" s="1720"/>
      <c r="P71" s="1720"/>
      <c r="AH71" s="1727">
        <v>0</v>
      </c>
    </row>
    <row s="10232" customFormat="1" customHeight="1" ht="18.75" hidden="1">
      <c r="A72" s="1875" t="s">
        <v>345</v>
      </c>
      <c r="B72" s="1875" t="s">
        <v>346</v>
      </c>
      <c r="C72" s="476"/>
      <c r="D72" s="3304"/>
      <c r="E72" s="3072"/>
      <c r="F72" s="3211" t="str">
        <f>INDEX(PT_DIFFERENTIATION_VTAR,MATCH(A72,PT_DIFFERENTIATION_VTAR_ID,0))</f>
        <v>Тариф на подключение (технологическое присоединение) к централизованной системе горячего водоснабжения</v>
      </c>
      <c r="G72" s="3280" t="str">
        <f>INDEX(PT_DIFFERENTIATION_NTAR,MATCH(B72,PT_DIFFERENTIATION_NTAR_ID,0))</f>
        <v/>
      </c>
      <c r="H72" s="1956"/>
      <c r="I72" s="1835"/>
      <c r="J72" s="1869"/>
      <c r="K72" s="1959"/>
      <c r="L72" s="1956" t="s">
        <v>391</v>
      </c>
      <c r="M72" s="3033"/>
      <c r="N72" s="442"/>
      <c r="O72" s="1720"/>
      <c r="P72" s="1720"/>
      <c r="AH72" s="1727">
        <v>0</v>
      </c>
    </row>
    <row s="10232" customFormat="1" customHeight="1" ht="18.75" hidden="1">
      <c r="A73" s="1875"/>
      <c r="B73" s="1875"/>
      <c r="C73" s="476" t="s">
        <v>1439</v>
      </c>
      <c r="D73" s="3304"/>
      <c r="E73" s="3072"/>
      <c r="F73" s="3211"/>
      <c r="G73" s="3280"/>
      <c r="H73" s="1596"/>
      <c r="I73" s="758" t="s">
        <v>1440</v>
      </c>
      <c r="J73" s="678"/>
      <c r="K73" s="1596"/>
      <c r="L73" s="322"/>
      <c r="M73" s="3033"/>
      <c r="N73" s="442"/>
      <c r="O73" s="1720"/>
      <c r="P73" s="1720"/>
      <c r="AH73" s="1727">
        <v>0</v>
      </c>
    </row>
    <row s="10232" customFormat="1" customHeight="1" ht="0.75" hidden="1">
      <c r="A74" s="1875"/>
      <c r="B74" s="1875"/>
      <c r="C74" s="476" t="s">
        <v>1445</v>
      </c>
      <c r="D74" s="3304"/>
      <c r="E74" s="3072"/>
      <c r="F74" s="3211"/>
      <c r="G74" s="507"/>
      <c r="H74" s="1596"/>
      <c r="I74" s="758"/>
      <c r="J74" s="678"/>
      <c r="K74" s="1596"/>
      <c r="L74" s="322"/>
      <c r="M74" s="3033"/>
      <c r="N74" s="442"/>
      <c r="O74" s="1720"/>
      <c r="P74" s="1720"/>
      <c r="AH74" s="1727">
        <v>0</v>
      </c>
    </row>
    <row s="10232" customFormat="1" customHeight="1" ht="18.75" hidden="1">
      <c r="A75" s="1875" t="s">
        <v>350</v>
      </c>
      <c r="B75" s="1875" t="s">
        <v>351</v>
      </c>
      <c r="C75" s="476"/>
      <c r="D75" s="3304"/>
      <c r="E75" s="3072"/>
      <c r="F75" s="3211" t="str">
        <f>INDEX(PT_DIFFERENTIATION_VTAR,MATCH(A75,PT_DIFFERENTIATION_VTAR_ID,0))</f>
        <v>Тариф на водоотведение</v>
      </c>
      <c r="G75" s="3280" t="str">
        <f>INDEX(PT_DIFFERENTIATION_NTAR,MATCH(B75,PT_DIFFERENTIATION_NTAR_ID,0))</f>
        <v/>
      </c>
      <c r="H75" s="1956"/>
      <c r="I75" s="1835"/>
      <c r="J75" s="1869"/>
      <c r="K75" s="1959"/>
      <c r="L75" s="1956" t="s">
        <v>391</v>
      </c>
      <c r="M75" s="3033"/>
      <c r="N75" s="442"/>
      <c r="O75" s="1720"/>
      <c r="P75" s="1720"/>
      <c r="AH75" s="1727">
        <v>0</v>
      </c>
    </row>
    <row s="10232" customFormat="1" customHeight="1" ht="18.75" hidden="1">
      <c r="A76" s="1875"/>
      <c r="B76" s="1875"/>
      <c r="C76" s="476" t="s">
        <v>1439</v>
      </c>
      <c r="D76" s="3304"/>
      <c r="E76" s="3072"/>
      <c r="F76" s="3211"/>
      <c r="G76" s="3280"/>
      <c r="H76" s="1596"/>
      <c r="I76" s="758" t="s">
        <v>1440</v>
      </c>
      <c r="J76" s="678"/>
      <c r="K76" s="1596"/>
      <c r="L76" s="322"/>
      <c r="M76" s="3033"/>
      <c r="N76" s="442"/>
      <c r="O76" s="1720"/>
      <c r="P76" s="1720"/>
      <c r="AH76" s="1727">
        <v>0</v>
      </c>
    </row>
    <row s="10232" customFormat="1" customHeight="1" ht="0.75" hidden="1">
      <c r="A77" s="1875"/>
      <c r="B77" s="1875"/>
      <c r="C77" s="476" t="s">
        <v>1445</v>
      </c>
      <c r="D77" s="3304"/>
      <c r="E77" s="3072"/>
      <c r="F77" s="3211"/>
      <c r="G77" s="507"/>
      <c r="H77" s="1596"/>
      <c r="I77" s="758"/>
      <c r="J77" s="678"/>
      <c r="K77" s="1596"/>
      <c r="L77" s="322"/>
      <c r="M77" s="3033"/>
      <c r="N77" s="442"/>
      <c r="O77" s="1720"/>
      <c r="P77" s="1720"/>
      <c r="AH77" s="1727">
        <v>0</v>
      </c>
    </row>
    <row s="10232" customFormat="1" customHeight="1" ht="18.75" hidden="1">
      <c r="A78" s="1875" t="s">
        <v>355</v>
      </c>
      <c r="B78" s="1875" t="s">
        <v>356</v>
      </c>
      <c r="C78" s="476"/>
      <c r="D78" s="3304"/>
      <c r="E78" s="3072"/>
      <c r="F78" s="3211" t="str">
        <f>INDEX(PT_DIFFERENTIATION_VTAR,MATCH(A78,PT_DIFFERENTIATION_VTAR_ID,0))</f>
        <v>Тариф на транспортировку сточных вод</v>
      </c>
      <c r="G78" s="3280" t="str">
        <f>INDEX(PT_DIFFERENTIATION_NTAR,MATCH(B78,PT_DIFFERENTIATION_NTAR_ID,0))</f>
        <v/>
      </c>
      <c r="H78" s="1956"/>
      <c r="I78" s="1835"/>
      <c r="J78" s="1869"/>
      <c r="K78" s="1959"/>
      <c r="L78" s="1956" t="s">
        <v>391</v>
      </c>
      <c r="M78" s="3033"/>
      <c r="N78" s="442"/>
      <c r="O78" s="1720"/>
      <c r="P78" s="1720"/>
      <c r="AH78" s="1727">
        <v>0</v>
      </c>
    </row>
    <row s="10232" customFormat="1" customHeight="1" ht="18.75" hidden="1">
      <c r="A79" s="1875"/>
      <c r="B79" s="1875"/>
      <c r="C79" s="476" t="s">
        <v>1439</v>
      </c>
      <c r="D79" s="3304"/>
      <c r="E79" s="3072"/>
      <c r="F79" s="3211"/>
      <c r="G79" s="3280"/>
      <c r="H79" s="1596"/>
      <c r="I79" s="758" t="s">
        <v>1440</v>
      </c>
      <c r="J79" s="678"/>
      <c r="K79" s="1596"/>
      <c r="L79" s="322"/>
      <c r="M79" s="3033"/>
      <c r="N79" s="442"/>
      <c r="O79" s="1720"/>
      <c r="P79" s="1720"/>
      <c r="AH79" s="1727">
        <v>0</v>
      </c>
    </row>
    <row s="10232" customFormat="1" customHeight="1" ht="0.75" hidden="1">
      <c r="A80" s="1875"/>
      <c r="B80" s="1875"/>
      <c r="C80" s="476" t="s">
        <v>1445</v>
      </c>
      <c r="D80" s="3304"/>
      <c r="E80" s="3072"/>
      <c r="F80" s="3211"/>
      <c r="G80" s="507"/>
      <c r="H80" s="1596"/>
      <c r="I80" s="758"/>
      <c r="J80" s="678"/>
      <c r="K80" s="1596"/>
      <c r="L80" s="322"/>
      <c r="M80" s="3033"/>
      <c r="N80" s="442"/>
      <c r="O80" s="1720"/>
      <c r="P80" s="1720"/>
      <c r="AH80" s="1727">
        <v>0</v>
      </c>
    </row>
    <row s="10232" customFormat="1" customHeight="1" ht="18.75" hidden="1">
      <c r="A81" s="1875" t="s">
        <v>360</v>
      </c>
      <c r="B81" s="1875" t="s">
        <v>361</v>
      </c>
      <c r="C81" s="476"/>
      <c r="D81" s="3304"/>
      <c r="E81" s="3072"/>
      <c r="F81" s="3211" t="str">
        <f>INDEX(PT_DIFFERENTIATION_VTAR,MATCH(A81,PT_DIFFERENTIATION_VTAR_ID,0))</f>
        <v>Тариф на подключение (технологическое присоединение) к централизованной системе водоотведения</v>
      </c>
      <c r="G81" s="3280" t="str">
        <f>INDEX(PT_DIFFERENTIATION_NTAR,MATCH(B81,PT_DIFFERENTIATION_NTAR_ID,0))</f>
        <v/>
      </c>
      <c r="H81" s="1956"/>
      <c r="I81" s="1835"/>
      <c r="J81" s="1869"/>
      <c r="K81" s="1959"/>
      <c r="L81" s="1956" t="s">
        <v>391</v>
      </c>
      <c r="M81" s="3033"/>
      <c r="N81" s="442"/>
      <c r="O81" s="1720"/>
      <c r="P81" s="1720"/>
      <c r="AH81" s="1727">
        <v>0</v>
      </c>
    </row>
    <row s="10232" customFormat="1" customHeight="1" ht="18.75" hidden="1">
      <c r="A82" s="1875"/>
      <c r="B82" s="1875"/>
      <c r="C82" s="476" t="s">
        <v>1439</v>
      </c>
      <c r="D82" s="3304"/>
      <c r="E82" s="3072"/>
      <c r="F82" s="3211"/>
      <c r="G82" s="3280"/>
      <c r="H82" s="1596"/>
      <c r="I82" s="758" t="s">
        <v>1440</v>
      </c>
      <c r="J82" s="678"/>
      <c r="K82" s="1596"/>
      <c r="L82" s="322"/>
      <c r="M82" s="3033"/>
      <c r="N82" s="442"/>
      <c r="O82" s="1720"/>
      <c r="P82" s="1720"/>
      <c r="AH82" s="1727">
        <v>0</v>
      </c>
    </row>
    <row s="10232" customFormat="1" customHeight="1" ht="1.05">
      <c r="A83" s="1875"/>
      <c r="B83" s="1875"/>
      <c r="C83" s="476" t="s">
        <v>1445</v>
      </c>
      <c r="D83" s="3304"/>
      <c r="E83" s="3072"/>
      <c r="F83" s="3211"/>
      <c r="G83" s="507"/>
      <c r="H83" s="1596"/>
      <c r="I83" s="758"/>
      <c r="J83" s="678"/>
      <c r="K83" s="1596"/>
      <c r="L83" s="322"/>
      <c r="M83" s="3033"/>
      <c r="N83" s="442"/>
      <c r="O83" s="1720"/>
      <c r="P83" s="1720"/>
      <c r="AH83" s="1727">
        <v>1</v>
      </c>
    </row>
    <row customHeight="1" ht="19.95">
      <c r="A84" s="1875"/>
      <c r="B84" s="1875"/>
      <c r="D84" s="483"/>
      <c r="E84" s="255" t="s">
        <v>102</v>
      </c>
      <c r="F84" s="3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303"/>
      <c r="H84" s="3303"/>
      <c r="I84" s="3303"/>
      <c r="J84" s="3303"/>
      <c r="K84" s="3303"/>
      <c r="L84" s="3303"/>
      <c r="M84" s="405"/>
      <c r="N84" s="442"/>
      <c r="AH84" s="481">
        <v>19</v>
      </c>
    </row>
    <row customHeight="1" ht="35.699999999999996">
      <c r="A85" s="1875"/>
      <c r="B85" s="1875"/>
      <c r="D85" s="483"/>
      <c r="E85" s="506"/>
      <c r="F85" s="306" t="s">
        <v>391</v>
      </c>
      <c r="G85" s="306" t="s">
        <v>391</v>
      </c>
      <c r="H85" s="3082" t="s">
        <v>391</v>
      </c>
      <c r="I85" s="3095"/>
      <c r="J85" s="306" t="s">
        <v>391</v>
      </c>
      <c r="K85" s="306" t="s">
        <v>391</v>
      </c>
      <c r="L85" s="508"/>
      <c r="M85" s="453" t="s">
        <v>1446</v>
      </c>
      <c r="N85" s="442"/>
      <c r="AH85" s="481">
        <v>34</v>
      </c>
    </row>
    <row customHeight="1" ht="19.95">
      <c r="A86" s="1875"/>
      <c r="B86" s="1875"/>
      <c r="D86" s="483"/>
      <c r="E86" s="255" t="s">
        <v>90</v>
      </c>
      <c r="F86" s="3303" t="s">
        <v>1447</v>
      </c>
      <c r="G86" s="3303"/>
      <c r="H86" s="3303"/>
      <c r="I86" s="3303"/>
      <c r="J86" s="3303"/>
      <c r="K86" s="3303"/>
      <c r="L86" s="3303"/>
      <c r="M86" s="405"/>
      <c r="N86" s="442"/>
      <c r="AH86" s="481">
        <v>19</v>
      </c>
    </row>
    <row s="10232" customFormat="1" customHeight="1" ht="60.75" hidden="1">
      <c r="A87" s="1875" t="s">
        <v>242</v>
      </c>
      <c r="B87" s="1875" t="s">
        <v>243</v>
      </c>
      <c r="C87" s="476"/>
      <c r="D87" s="3304"/>
      <c r="E87" s="3072"/>
      <c r="F87" s="321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280" t="str">
        <f>INDEX(PT_DIFFERENTIATION_NTAR,MATCH(B87,PT_DIFFERENTIATION_NTAR_ID,0))</f>
        <v/>
      </c>
      <c r="H87" s="1956"/>
      <c r="I87" s="1835"/>
      <c r="J87" s="1869"/>
      <c r="K87" s="1873"/>
      <c r="L87" s="1956" t="s">
        <v>391</v>
      </c>
      <c r="M87" s="3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2"/>
      <c r="O87" s="1720"/>
      <c r="P87" s="1720"/>
      <c r="AH87" s="1727">
        <v>0</v>
      </c>
    </row>
    <row s="10232" customFormat="1" customHeight="1" ht="18.75" hidden="1">
      <c r="A88" s="1875"/>
      <c r="B88" s="1875"/>
      <c r="C88" s="476" t="s">
        <v>1441</v>
      </c>
      <c r="D88" s="3304"/>
      <c r="E88" s="3072"/>
      <c r="F88" s="3211"/>
      <c r="G88" s="3280"/>
      <c r="H88" s="1596"/>
      <c r="I88" s="758" t="s">
        <v>1440</v>
      </c>
      <c r="J88" s="678"/>
      <c r="K88" s="1596"/>
      <c r="L88" s="322"/>
      <c r="M88" s="3033"/>
      <c r="N88" s="442"/>
      <c r="O88" s="1720"/>
      <c r="P88" s="1720"/>
      <c r="AH88" s="1727">
        <v>0</v>
      </c>
    </row>
    <row s="10232" customFormat="1" customHeight="1" ht="0.75" hidden="1">
      <c r="A89" s="1875"/>
      <c r="B89" s="1875"/>
      <c r="C89" s="476" t="s">
        <v>1448</v>
      </c>
      <c r="D89" s="3304"/>
      <c r="E89" s="3072"/>
      <c r="F89" s="3211"/>
      <c r="G89" s="507"/>
      <c r="H89" s="1596"/>
      <c r="I89" s="758"/>
      <c r="J89" s="678"/>
      <c r="K89" s="1596"/>
      <c r="L89" s="322"/>
      <c r="M89" s="3033"/>
      <c r="N89" s="442"/>
      <c r="O89" s="1720"/>
      <c r="P89" s="1720"/>
      <c r="AH89" s="1727">
        <v>0</v>
      </c>
    </row>
    <row s="10232" customFormat="1" customHeight="1" ht="45" hidden="1">
      <c r="A90" s="1875" t="s">
        <v>247</v>
      </c>
      <c r="B90" s="1875" t="s">
        <v>248</v>
      </c>
      <c r="C90" s="476"/>
      <c r="D90" s="3304"/>
      <c r="E90" s="3072"/>
      <c r="F90" s="3211" t="str">
        <f>INDEX(PT_DIFFERENTIATION_VTAR,MATCH(A90,PT_DIFFERENTIATION_VTAR_ID,0))</f>
        <v/>
      </c>
      <c r="G90" s="3280" t="str">
        <f>INDEX(PT_DIFFERENTIATION_NTAR,MATCH(B90,PT_DIFFERENTIATION_NTAR_ID,0))</f>
        <v/>
      </c>
      <c r="H90" s="1956"/>
      <c r="I90" s="1835"/>
      <c r="J90" s="1869"/>
      <c r="K90" s="1873"/>
      <c r="L90" s="1956" t="s">
        <v>391</v>
      </c>
      <c r="M90" s="3034"/>
      <c r="N90" s="442"/>
      <c r="O90" s="1720"/>
      <c r="P90" s="1720"/>
      <c r="AH90" s="1727">
        <v>0</v>
      </c>
    </row>
    <row s="10232" customFormat="1" customHeight="1" ht="18.75" hidden="1">
      <c r="A91" s="1875"/>
      <c r="B91" s="1875"/>
      <c r="C91" s="476" t="s">
        <v>1441</v>
      </c>
      <c r="D91" s="3304"/>
      <c r="E91" s="3072"/>
      <c r="F91" s="3211"/>
      <c r="G91" s="3280"/>
      <c r="H91" s="1596"/>
      <c r="I91" s="758" t="s">
        <v>1440</v>
      </c>
      <c r="J91" s="678"/>
      <c r="K91" s="1596"/>
      <c r="L91" s="322"/>
      <c r="M91" s="1955"/>
      <c r="N91" s="442"/>
      <c r="O91" s="1720"/>
      <c r="P91" s="1720"/>
      <c r="AH91" s="1727">
        <v>0</v>
      </c>
    </row>
    <row s="10232" customFormat="1" customHeight="1" ht="0.75" hidden="1">
      <c r="A92" s="1875"/>
      <c r="B92" s="1875"/>
      <c r="C92" s="476" t="s">
        <v>1448</v>
      </c>
      <c r="D92" s="3304"/>
      <c r="E92" s="3072"/>
      <c r="F92" s="3211"/>
      <c r="G92" s="507"/>
      <c r="H92" s="1596"/>
      <c r="I92" s="758"/>
      <c r="J92" s="678"/>
      <c r="K92" s="1596"/>
      <c r="L92" s="322"/>
      <c r="M92" s="449"/>
      <c r="N92" s="442"/>
      <c r="O92" s="1720"/>
      <c r="P92" s="1720"/>
      <c r="AH92" s="1727">
        <v>0</v>
      </c>
    </row>
    <row s="10232" customFormat="1" customHeight="1" ht="45" hidden="1">
      <c r="A93" s="1875" t="s">
        <v>254</v>
      </c>
      <c r="B93" s="1875" t="s">
        <v>255</v>
      </c>
      <c r="C93" s="476"/>
      <c r="D93" s="3304"/>
      <c r="E93" s="3072"/>
      <c r="F93" s="321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280" t="str">
        <f>INDEX(PT_DIFFERENTIATION_NTAR,MATCH(B93,PT_DIFFERENTIATION_NTAR_ID,0))</f>
        <v/>
      </c>
      <c r="H93" s="1956"/>
      <c r="I93" s="1835"/>
      <c r="J93" s="1869"/>
      <c r="K93" s="1873"/>
      <c r="L93" s="1956" t="s">
        <v>391</v>
      </c>
      <c r="M93" s="449"/>
      <c r="N93" s="442"/>
      <c r="O93" s="1720"/>
      <c r="P93" s="1720"/>
      <c r="AH93" s="1727">
        <v>0</v>
      </c>
    </row>
    <row s="10232" customFormat="1" customHeight="1" ht="18.75" hidden="1">
      <c r="A94" s="1875"/>
      <c r="B94" s="1875"/>
      <c r="C94" s="476" t="s">
        <v>1441</v>
      </c>
      <c r="D94" s="3304"/>
      <c r="E94" s="3072"/>
      <c r="F94" s="3211"/>
      <c r="G94" s="3280"/>
      <c r="H94" s="1596"/>
      <c r="I94" s="758" t="s">
        <v>1440</v>
      </c>
      <c r="J94" s="678"/>
      <c r="K94" s="1596"/>
      <c r="L94" s="322"/>
      <c r="M94" s="449"/>
      <c r="N94" s="442"/>
      <c r="O94" s="1720"/>
      <c r="P94" s="1720"/>
      <c r="AH94" s="1727">
        <v>0</v>
      </c>
    </row>
    <row s="10232" customFormat="1" customHeight="1" ht="0.75" hidden="1">
      <c r="A95" s="1875"/>
      <c r="B95" s="1875"/>
      <c r="C95" s="476" t="s">
        <v>1448</v>
      </c>
      <c r="D95" s="3304"/>
      <c r="E95" s="3072"/>
      <c r="F95" s="3211"/>
      <c r="G95" s="507"/>
      <c r="H95" s="1596"/>
      <c r="I95" s="758"/>
      <c r="J95" s="678"/>
      <c r="K95" s="1596"/>
      <c r="L95" s="322"/>
      <c r="M95" s="449"/>
      <c r="N95" s="442"/>
      <c r="O95" s="1720"/>
      <c r="P95" s="1720"/>
      <c r="AH95" s="1727">
        <v>0</v>
      </c>
    </row>
    <row s="10232" customFormat="1" customHeight="1" ht="45" hidden="1">
      <c r="A96" s="1875" t="s">
        <v>260</v>
      </c>
      <c r="B96" s="1875" t="s">
        <v>261</v>
      </c>
      <c r="C96" s="476"/>
      <c r="D96" s="3304"/>
      <c r="E96" s="3072"/>
      <c r="F96" s="321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280" t="str">
        <f>INDEX(PT_DIFFERENTIATION_NTAR,MATCH(B96,PT_DIFFERENTIATION_NTAR_ID,0))</f>
        <v/>
      </c>
      <c r="H96" s="1956"/>
      <c r="I96" s="1835"/>
      <c r="J96" s="1869"/>
      <c r="K96" s="1873"/>
      <c r="L96" s="1956" t="s">
        <v>391</v>
      </c>
      <c r="M96" s="449"/>
      <c r="N96" s="442"/>
      <c r="O96" s="1720"/>
      <c r="P96" s="1720"/>
      <c r="AH96" s="1727">
        <v>0</v>
      </c>
    </row>
    <row s="10232" customFormat="1" customHeight="1" ht="18.75" hidden="1">
      <c r="A97" s="1875"/>
      <c r="B97" s="1875"/>
      <c r="C97" s="476" t="s">
        <v>1441</v>
      </c>
      <c r="D97" s="3304"/>
      <c r="E97" s="3072"/>
      <c r="F97" s="3211"/>
      <c r="G97" s="3280"/>
      <c r="H97" s="1596"/>
      <c r="I97" s="758" t="s">
        <v>1440</v>
      </c>
      <c r="J97" s="678"/>
      <c r="K97" s="1596"/>
      <c r="L97" s="322"/>
      <c r="M97" s="449"/>
      <c r="N97" s="442"/>
      <c r="O97" s="1720"/>
      <c r="P97" s="1720"/>
      <c r="AH97" s="1727">
        <v>0</v>
      </c>
    </row>
    <row s="10232" customFormat="1" customHeight="1" ht="0.75" hidden="1">
      <c r="A98" s="1875"/>
      <c r="B98" s="1875"/>
      <c r="C98" s="476" t="s">
        <v>1448</v>
      </c>
      <c r="D98" s="3304"/>
      <c r="E98" s="3072"/>
      <c r="F98" s="3211"/>
      <c r="G98" s="507"/>
      <c r="H98" s="1596"/>
      <c r="I98" s="758"/>
      <c r="J98" s="678"/>
      <c r="K98" s="1596"/>
      <c r="L98" s="322"/>
      <c r="M98" s="449"/>
      <c r="N98" s="442"/>
      <c r="O98" s="1720"/>
      <c r="P98" s="1720"/>
      <c r="AH98" s="1727">
        <v>0</v>
      </c>
    </row>
    <row s="10232" customFormat="1" customHeight="1" ht="18.75" hidden="1">
      <c r="A99" s="1875" t="s">
        <v>266</v>
      </c>
      <c r="B99" s="1875" t="s">
        <v>267</v>
      </c>
      <c r="C99" s="476"/>
      <c r="D99" s="3304"/>
      <c r="E99" s="3072"/>
      <c r="F99" s="3211" t="str">
        <f>INDEX(PT_DIFFERENTIATION_VTAR,MATCH(A99,PT_DIFFERENTIATION_VTAR_ID,0))</f>
        <v>Тарифы на услуги по передаче тепловой энергии</v>
      </c>
      <c r="G99" s="3280" t="str">
        <f>INDEX(PT_DIFFERENTIATION_NTAR,MATCH(B99,PT_DIFFERENTIATION_NTAR_ID,0))</f>
        <v/>
      </c>
      <c r="H99" s="1956"/>
      <c r="I99" s="1835"/>
      <c r="J99" s="1869"/>
      <c r="K99" s="1873"/>
      <c r="L99" s="1956" t="s">
        <v>391</v>
      </c>
      <c r="M99" s="449"/>
      <c r="N99" s="442"/>
      <c r="O99" s="1720"/>
      <c r="P99" s="1720"/>
      <c r="AH99" s="1727">
        <v>0</v>
      </c>
    </row>
    <row s="10232" customFormat="1" customHeight="1" ht="18.75" hidden="1">
      <c r="A100" s="1875"/>
      <c r="B100" s="1875"/>
      <c r="C100" s="476" t="s">
        <v>1441</v>
      </c>
      <c r="D100" s="3304"/>
      <c r="E100" s="3072"/>
      <c r="F100" s="3211"/>
      <c r="G100" s="3280"/>
      <c r="H100" s="1596"/>
      <c r="I100" s="758" t="s">
        <v>1440</v>
      </c>
      <c r="J100" s="678"/>
      <c r="K100" s="1596"/>
      <c r="L100" s="322"/>
      <c r="M100" s="449"/>
      <c r="N100" s="442"/>
      <c r="O100" s="1720"/>
      <c r="P100" s="1720"/>
      <c r="AH100" s="1727">
        <v>0</v>
      </c>
    </row>
    <row s="10232" customFormat="1" customHeight="1" ht="0.75" hidden="1">
      <c r="A101" s="1875"/>
      <c r="B101" s="1875"/>
      <c r="C101" s="476" t="s">
        <v>1448</v>
      </c>
      <c r="D101" s="3304"/>
      <c r="E101" s="3072"/>
      <c r="F101" s="3211"/>
      <c r="G101" s="507"/>
      <c r="H101" s="1596"/>
      <c r="I101" s="758"/>
      <c r="J101" s="678"/>
      <c r="K101" s="1596"/>
      <c r="L101" s="322"/>
      <c r="M101" s="449"/>
      <c r="N101" s="442"/>
      <c r="O101" s="1720"/>
      <c r="P101" s="1720"/>
      <c r="AH101" s="1727">
        <v>0</v>
      </c>
    </row>
    <row s="10232" customFormat="1" customHeight="1" ht="18.75" hidden="1">
      <c r="A102" s="1875" t="s">
        <v>272</v>
      </c>
      <c r="B102" s="1875" t="s">
        <v>273</v>
      </c>
      <c r="C102" s="476"/>
      <c r="D102" s="3304"/>
      <c r="E102" s="3072"/>
      <c r="F102" s="3211" t="str">
        <f>INDEX(PT_DIFFERENTIATION_VTAR,MATCH(A102,PT_DIFFERENTIATION_VTAR_ID,0))</f>
        <v>Тарифы на услуги по передаче теплоносителя</v>
      </c>
      <c r="G102" s="3280" t="str">
        <f>INDEX(PT_DIFFERENTIATION_NTAR,MATCH(B102,PT_DIFFERENTIATION_NTAR_ID,0))</f>
        <v/>
      </c>
      <c r="H102" s="1956"/>
      <c r="I102" s="1835"/>
      <c r="J102" s="1869"/>
      <c r="K102" s="1873"/>
      <c r="L102" s="1956" t="s">
        <v>391</v>
      </c>
      <c r="M102" s="449"/>
      <c r="N102" s="442"/>
      <c r="O102" s="1720"/>
      <c r="P102" s="1720"/>
      <c r="AH102" s="1727">
        <v>0</v>
      </c>
    </row>
    <row s="10232" customFormat="1" customHeight="1" ht="18.75" hidden="1">
      <c r="A103" s="1875"/>
      <c r="B103" s="1875"/>
      <c r="C103" s="476" t="s">
        <v>1441</v>
      </c>
      <c r="D103" s="3304"/>
      <c r="E103" s="3072"/>
      <c r="F103" s="3211"/>
      <c r="G103" s="3280"/>
      <c r="H103" s="1596"/>
      <c r="I103" s="758" t="s">
        <v>1440</v>
      </c>
      <c r="J103" s="678"/>
      <c r="K103" s="1596"/>
      <c r="L103" s="322"/>
      <c r="M103" s="449"/>
      <c r="N103" s="442"/>
      <c r="O103" s="1720"/>
      <c r="P103" s="1720"/>
      <c r="AH103" s="1727">
        <v>0</v>
      </c>
    </row>
    <row s="10232" customFormat="1" customHeight="1" ht="0.75" hidden="1">
      <c r="A104" s="1875"/>
      <c r="B104" s="1875"/>
      <c r="C104" s="476" t="s">
        <v>1448</v>
      </c>
      <c r="D104" s="3304"/>
      <c r="E104" s="3072"/>
      <c r="F104" s="3211"/>
      <c r="G104" s="507"/>
      <c r="H104" s="1596"/>
      <c r="I104" s="758"/>
      <c r="J104" s="678"/>
      <c r="K104" s="1596"/>
      <c r="L104" s="322"/>
      <c r="M104" s="449"/>
      <c r="N104" s="442"/>
      <c r="O104" s="1720"/>
      <c r="P104" s="1720"/>
      <c r="AH104" s="1727">
        <v>0</v>
      </c>
    </row>
    <row s="10232" customFormat="1" customHeight="1" ht="18.75" hidden="1">
      <c r="A105" s="1875" t="s">
        <v>278</v>
      </c>
      <c r="B105" s="1875" t="s">
        <v>279</v>
      </c>
      <c r="C105" s="476"/>
      <c r="D105" s="3304"/>
      <c r="E105" s="3072"/>
      <c r="F105" s="321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280" t="str">
        <f>INDEX(PT_DIFFERENTIATION_NTAR,MATCH(B105,PT_DIFFERENTIATION_NTAR_ID,0))</f>
        <v/>
      </c>
      <c r="H105" s="1956"/>
      <c r="I105" s="1835"/>
      <c r="J105" s="1869"/>
      <c r="K105" s="1873"/>
      <c r="L105" s="1956" t="s">
        <v>391</v>
      </c>
      <c r="M105" s="449"/>
      <c r="N105" s="442"/>
      <c r="O105" s="1720"/>
      <c r="P105" s="1720"/>
      <c r="AH105" s="1727">
        <v>0</v>
      </c>
    </row>
    <row s="10232" customFormat="1" customHeight="1" ht="18.75" hidden="1">
      <c r="A106" s="1875"/>
      <c r="B106" s="1875"/>
      <c r="C106" s="476" t="s">
        <v>1441</v>
      </c>
      <c r="D106" s="3304"/>
      <c r="E106" s="3072"/>
      <c r="F106" s="3211"/>
      <c r="G106" s="3280"/>
      <c r="H106" s="1596"/>
      <c r="I106" s="758" t="s">
        <v>1440</v>
      </c>
      <c r="J106" s="678"/>
      <c r="K106" s="1596"/>
      <c r="L106" s="322"/>
      <c r="M106" s="449"/>
      <c r="N106" s="442"/>
      <c r="O106" s="1720"/>
      <c r="P106" s="1720"/>
      <c r="AH106" s="1727">
        <v>0</v>
      </c>
    </row>
    <row s="10232" customFormat="1" customHeight="1" ht="0.75" hidden="1">
      <c r="A107" s="1875"/>
      <c r="B107" s="1875"/>
      <c r="C107" s="476" t="s">
        <v>1448</v>
      </c>
      <c r="D107" s="3304"/>
      <c r="E107" s="3072"/>
      <c r="F107" s="3211"/>
      <c r="G107" s="507"/>
      <c r="H107" s="1596"/>
      <c r="I107" s="758"/>
      <c r="J107" s="678"/>
      <c r="K107" s="1596"/>
      <c r="L107" s="322"/>
      <c r="M107" s="449"/>
      <c r="N107" s="442"/>
      <c r="O107" s="1720"/>
      <c r="P107" s="1720"/>
      <c r="AH107" s="1727">
        <v>0</v>
      </c>
    </row>
    <row s="10232" customFormat="1" customHeight="1" ht="18.75" hidden="1">
      <c r="A108" s="1875" t="s">
        <v>284</v>
      </c>
      <c r="B108" s="1875" t="s">
        <v>285</v>
      </c>
      <c r="C108" s="476"/>
      <c r="D108" s="3304"/>
      <c r="E108" s="3072"/>
      <c r="F108" s="3211" t="str">
        <f>INDEX(PT_DIFFERENTIATION_VTAR,MATCH(A108,PT_DIFFERENTIATION_VTAR_ID,0))</f>
        <v>Плата за подключение (технологическое присоединение) к системе теплоснабжения</v>
      </c>
      <c r="G108" s="3280" t="str">
        <f>INDEX(PT_DIFFERENTIATION_NTAR,MATCH(B108,PT_DIFFERENTIATION_NTAR_ID,0))</f>
        <v/>
      </c>
      <c r="H108" s="1956"/>
      <c r="I108" s="1835"/>
      <c r="J108" s="1869"/>
      <c r="K108" s="1873"/>
      <c r="L108" s="1956" t="s">
        <v>391</v>
      </c>
      <c r="M108" s="449"/>
      <c r="N108" s="442"/>
      <c r="O108" s="1720"/>
      <c r="P108" s="1720"/>
      <c r="AH108" s="1727">
        <v>0</v>
      </c>
    </row>
    <row s="10232" customFormat="1" customHeight="1" ht="18.75" hidden="1">
      <c r="A109" s="1875"/>
      <c r="B109" s="1875"/>
      <c r="C109" s="476" t="s">
        <v>1441</v>
      </c>
      <c r="D109" s="3304"/>
      <c r="E109" s="3072"/>
      <c r="F109" s="3211"/>
      <c r="G109" s="3280"/>
      <c r="H109" s="1596"/>
      <c r="I109" s="758" t="s">
        <v>1440</v>
      </c>
      <c r="J109" s="678"/>
      <c r="K109" s="1596"/>
      <c r="L109" s="322"/>
      <c r="M109" s="449"/>
      <c r="N109" s="442"/>
      <c r="O109" s="1720"/>
      <c r="P109" s="1720"/>
      <c r="AH109" s="1727">
        <v>0</v>
      </c>
    </row>
    <row s="10232" customFormat="1" customHeight="1" ht="0.75" hidden="1">
      <c r="A110" s="1875"/>
      <c r="B110" s="1875"/>
      <c r="C110" s="476" t="s">
        <v>1448</v>
      </c>
      <c r="D110" s="3304"/>
      <c r="E110" s="3072"/>
      <c r="F110" s="3211"/>
      <c r="G110" s="507"/>
      <c r="H110" s="1596"/>
      <c r="I110" s="758"/>
      <c r="J110" s="678"/>
      <c r="K110" s="1596"/>
      <c r="L110" s="322"/>
      <c r="M110" s="449"/>
      <c r="N110" s="442"/>
      <c r="O110" s="1720"/>
      <c r="P110" s="1720"/>
      <c r="AH110" s="1727">
        <v>0</v>
      </c>
    </row>
    <row s="10232" customFormat="1" customHeight="1" ht="18.75" hidden="1">
      <c r="A111" s="1875" t="s">
        <v>290</v>
      </c>
      <c r="B111" s="1875" t="s">
        <v>291</v>
      </c>
      <c r="C111" s="476"/>
      <c r="D111" s="3304"/>
      <c r="E111" s="3072"/>
      <c r="F111" s="3211" t="str">
        <f>INDEX(PT_DIFFERENTIATION_VTAR,MATCH(A111,PT_DIFFERENTIATION_VTAR_ID,0))</f>
        <v>Плата за подключение (технологическое присоединение) к системе теплоснабжения (индивидуальная)</v>
      </c>
      <c r="G111" s="3280" t="str">
        <f>INDEX(PT_DIFFERENTIATION_NTAR,MATCH(B111,PT_DIFFERENTIATION_NTAR_ID,0))</f>
        <v/>
      </c>
      <c r="H111" s="2080"/>
      <c r="I111" s="1835"/>
      <c r="J111" s="1869"/>
      <c r="K111" s="1873"/>
      <c r="L111" s="2080" t="s">
        <v>391</v>
      </c>
      <c r="M111" s="449"/>
      <c r="N111" s="442"/>
      <c r="O111" s="1720"/>
      <c r="P111" s="1720"/>
      <c r="AH111" s="1727">
        <v>0</v>
      </c>
    </row>
    <row s="10232" customFormat="1" customHeight="1" ht="18.75" hidden="1">
      <c r="A112" s="1875"/>
      <c r="B112" s="1875"/>
      <c r="C112" s="476" t="s">
        <v>1441</v>
      </c>
      <c r="D112" s="3304"/>
      <c r="E112" s="3072"/>
      <c r="F112" s="3211"/>
      <c r="G112" s="3280"/>
      <c r="H112" s="1596"/>
      <c r="I112" s="758" t="s">
        <v>1440</v>
      </c>
      <c r="J112" s="678"/>
      <c r="K112" s="1596"/>
      <c r="L112" s="322"/>
      <c r="M112" s="449"/>
      <c r="N112" s="442"/>
      <c r="O112" s="1720"/>
      <c r="P112" s="1720"/>
      <c r="AH112" s="1727">
        <v>0</v>
      </c>
    </row>
    <row s="10232" customFormat="1" customHeight="1" ht="0.75" hidden="1">
      <c r="A113" s="1875"/>
      <c r="B113" s="1875"/>
      <c r="C113" s="476" t="s">
        <v>1448</v>
      </c>
      <c r="D113" s="3304"/>
      <c r="E113" s="3072"/>
      <c r="F113" s="3211"/>
      <c r="G113" s="507"/>
      <c r="H113" s="1596"/>
      <c r="I113" s="758"/>
      <c r="J113" s="678"/>
      <c r="K113" s="1596"/>
      <c r="L113" s="322"/>
      <c r="M113" s="449"/>
      <c r="N113" s="442"/>
      <c r="O113" s="1720"/>
      <c r="P113" s="1720"/>
      <c r="AH113" s="1727">
        <v>0</v>
      </c>
    </row>
    <row s="10232" customFormat="1" customHeight="1" ht="18.75" hidden="1">
      <c r="A114" s="1875" t="s">
        <v>310</v>
      </c>
      <c r="B114" s="1875" t="s">
        <v>311</v>
      </c>
      <c r="C114" s="476"/>
      <c r="D114" s="3304"/>
      <c r="E114" s="3072"/>
      <c r="F114" s="3211" t="str">
        <f>INDEX(PT_DIFFERENTIATION_VTAR,MATCH(A114,PT_DIFFERENTIATION_VTAR_ID,0))</f>
        <v>Тариф на питьевую воду (питьевое водоснабжение)</v>
      </c>
      <c r="G114" s="3280" t="str">
        <f>INDEX(PT_DIFFERENTIATION_NTAR,MATCH(B114,PT_DIFFERENTIATION_NTAR_ID,0))</f>
        <v/>
      </c>
      <c r="H114" s="1956"/>
      <c r="I114" s="1835"/>
      <c r="J114" s="1869"/>
      <c r="K114" s="1873"/>
      <c r="L114" s="1956" t="s">
        <v>391</v>
      </c>
      <c r="M114" s="449"/>
      <c r="N114" s="442"/>
      <c r="O114" s="1720"/>
      <c r="P114" s="1720"/>
      <c r="AH114" s="1727">
        <v>0</v>
      </c>
    </row>
    <row s="10232" customFormat="1" customHeight="1" ht="18.75" hidden="1">
      <c r="A115" s="1875"/>
      <c r="B115" s="1875"/>
      <c r="C115" s="476" t="s">
        <v>1441</v>
      </c>
      <c r="D115" s="3304"/>
      <c r="E115" s="3072"/>
      <c r="F115" s="3211"/>
      <c r="G115" s="3280"/>
      <c r="H115" s="1596"/>
      <c r="I115" s="758" t="s">
        <v>1440</v>
      </c>
      <c r="J115" s="678"/>
      <c r="K115" s="1596"/>
      <c r="L115" s="322"/>
      <c r="M115" s="449"/>
      <c r="N115" s="442"/>
      <c r="O115" s="1720"/>
      <c r="P115" s="1720"/>
      <c r="AH115" s="1727">
        <v>0</v>
      </c>
    </row>
    <row s="10232" customFormat="1" customHeight="1" ht="0.75" hidden="1">
      <c r="A116" s="1875"/>
      <c r="B116" s="1875"/>
      <c r="C116" s="476" t="s">
        <v>1448</v>
      </c>
      <c r="D116" s="3304"/>
      <c r="E116" s="3072"/>
      <c r="F116" s="3211"/>
      <c r="G116" s="507"/>
      <c r="H116" s="1596"/>
      <c r="I116" s="758"/>
      <c r="J116" s="678"/>
      <c r="K116" s="1596"/>
      <c r="L116" s="322"/>
      <c r="M116" s="449"/>
      <c r="N116" s="442"/>
      <c r="O116" s="1720"/>
      <c r="P116" s="1720"/>
      <c r="AH116" s="1727">
        <v>0</v>
      </c>
    </row>
    <row s="10232" customFormat="1" customHeight="1" ht="18.75" hidden="1">
      <c r="A117" s="1875" t="s">
        <v>315</v>
      </c>
      <c r="B117" s="1875" t="s">
        <v>316</v>
      </c>
      <c r="C117" s="476"/>
      <c r="D117" s="3304"/>
      <c r="E117" s="3072"/>
      <c r="F117" s="3211" t="str">
        <f>INDEX(PT_DIFFERENTIATION_VTAR,MATCH(A117,PT_DIFFERENTIATION_VTAR_ID,0))</f>
        <v>Тариф на техническую воду</v>
      </c>
      <c r="G117" s="3280" t="str">
        <f>INDEX(PT_DIFFERENTIATION_NTAR,MATCH(B117,PT_DIFFERENTIATION_NTAR_ID,0))</f>
        <v/>
      </c>
      <c r="H117" s="1956"/>
      <c r="I117" s="1835"/>
      <c r="J117" s="1869"/>
      <c r="K117" s="1873"/>
      <c r="L117" s="1956" t="s">
        <v>391</v>
      </c>
      <c r="M117" s="449"/>
      <c r="N117" s="442"/>
      <c r="O117" s="1720"/>
      <c r="P117" s="1720"/>
      <c r="AH117" s="1727">
        <v>0</v>
      </c>
    </row>
    <row s="10232" customFormat="1" customHeight="1" ht="18.75" hidden="1">
      <c r="A118" s="1875"/>
      <c r="B118" s="1875"/>
      <c r="C118" s="476" t="s">
        <v>1441</v>
      </c>
      <c r="D118" s="3304"/>
      <c r="E118" s="3072"/>
      <c r="F118" s="3211"/>
      <c r="G118" s="3280"/>
      <c r="H118" s="1596"/>
      <c r="I118" s="758" t="s">
        <v>1440</v>
      </c>
      <c r="J118" s="678"/>
      <c r="K118" s="1596"/>
      <c r="L118" s="322"/>
      <c r="M118" s="449"/>
      <c r="N118" s="442"/>
      <c r="O118" s="1720"/>
      <c r="P118" s="1720"/>
      <c r="AH118" s="1727">
        <v>0</v>
      </c>
    </row>
    <row s="10232" customFormat="1" customHeight="1" ht="0.75" hidden="1">
      <c r="A119" s="1875"/>
      <c r="B119" s="1875"/>
      <c r="C119" s="476" t="s">
        <v>1448</v>
      </c>
      <c r="D119" s="3304"/>
      <c r="E119" s="3072"/>
      <c r="F119" s="3211"/>
      <c r="G119" s="507"/>
      <c r="H119" s="1596"/>
      <c r="I119" s="758"/>
      <c r="J119" s="678"/>
      <c r="K119" s="1596"/>
      <c r="L119" s="322"/>
      <c r="M119" s="449"/>
      <c r="N119" s="442"/>
      <c r="O119" s="1720"/>
      <c r="P119" s="1720"/>
      <c r="AH119" s="1727">
        <v>0</v>
      </c>
    </row>
    <row s="10232" customFormat="1" customHeight="1" ht="18.75" hidden="1">
      <c r="A120" s="1875" t="s">
        <v>320</v>
      </c>
      <c r="B120" s="1875" t="s">
        <v>321</v>
      </c>
      <c r="C120" s="476"/>
      <c r="D120" s="3304"/>
      <c r="E120" s="3072"/>
      <c r="F120" s="3211" t="str">
        <f>INDEX(PT_DIFFERENTIATION_VTAR,MATCH(A120,PT_DIFFERENTIATION_VTAR_ID,0))</f>
        <v>Тариф на транспортировку воды</v>
      </c>
      <c r="G120" s="3280" t="str">
        <f>INDEX(PT_DIFFERENTIATION_NTAR,MATCH(B120,PT_DIFFERENTIATION_NTAR_ID,0))</f>
        <v/>
      </c>
      <c r="H120" s="1956"/>
      <c r="I120" s="1835"/>
      <c r="J120" s="1869"/>
      <c r="K120" s="1873"/>
      <c r="L120" s="1956" t="s">
        <v>391</v>
      </c>
      <c r="M120" s="449"/>
      <c r="N120" s="442"/>
      <c r="O120" s="1720"/>
      <c r="P120" s="1720"/>
      <c r="AH120" s="1727">
        <v>0</v>
      </c>
    </row>
    <row s="10232" customFormat="1" customHeight="1" ht="18.75" hidden="1">
      <c r="A121" s="1875"/>
      <c r="B121" s="1875"/>
      <c r="C121" s="476" t="s">
        <v>1441</v>
      </c>
      <c r="D121" s="3304"/>
      <c r="E121" s="3072"/>
      <c r="F121" s="3211"/>
      <c r="G121" s="3280"/>
      <c r="H121" s="1596"/>
      <c r="I121" s="758" t="s">
        <v>1440</v>
      </c>
      <c r="J121" s="678"/>
      <c r="K121" s="1596"/>
      <c r="L121" s="322"/>
      <c r="M121" s="449"/>
      <c r="N121" s="442"/>
      <c r="O121" s="1720"/>
      <c r="P121" s="1720"/>
      <c r="AH121" s="1727">
        <v>0</v>
      </c>
    </row>
    <row s="10232" customFormat="1" customHeight="1" ht="0.75" hidden="1">
      <c r="A122" s="1875"/>
      <c r="B122" s="1875"/>
      <c r="C122" s="476" t="s">
        <v>1448</v>
      </c>
      <c r="D122" s="3304"/>
      <c r="E122" s="3072"/>
      <c r="F122" s="3211"/>
      <c r="G122" s="507"/>
      <c r="H122" s="1596"/>
      <c r="I122" s="758"/>
      <c r="J122" s="678"/>
      <c r="K122" s="1596"/>
      <c r="L122" s="322"/>
      <c r="M122" s="449"/>
      <c r="N122" s="442"/>
      <c r="O122" s="1720"/>
      <c r="P122" s="1720"/>
      <c r="AH122" s="1727">
        <v>0</v>
      </c>
    </row>
    <row s="10232" customFormat="1" customHeight="1" ht="18.75" hidden="1">
      <c r="A123" s="1875" t="s">
        <v>325</v>
      </c>
      <c r="B123" s="1875" t="s">
        <v>326</v>
      </c>
      <c r="C123" s="476"/>
      <c r="D123" s="3304"/>
      <c r="E123" s="3072"/>
      <c r="F123" s="3211" t="str">
        <f>INDEX(PT_DIFFERENTIATION_VTAR,MATCH(A123,PT_DIFFERENTIATION_VTAR_ID,0))</f>
        <v>Тариф на подвоз воды</v>
      </c>
      <c r="G123" s="3280" t="str">
        <f>INDEX(PT_DIFFERENTIATION_NTAR,MATCH(B123,PT_DIFFERENTIATION_NTAR_ID,0))</f>
        <v/>
      </c>
      <c r="H123" s="1956"/>
      <c r="I123" s="1835"/>
      <c r="J123" s="1869"/>
      <c r="K123" s="1873"/>
      <c r="L123" s="1956" t="s">
        <v>391</v>
      </c>
      <c r="M123" s="449"/>
      <c r="N123" s="442"/>
      <c r="O123" s="1720"/>
      <c r="P123" s="1720"/>
      <c r="AH123" s="1727">
        <v>0</v>
      </c>
    </row>
    <row s="10232" customFormat="1" customHeight="1" ht="18.75" hidden="1">
      <c r="A124" s="1875"/>
      <c r="B124" s="1875"/>
      <c r="C124" s="476" t="s">
        <v>1441</v>
      </c>
      <c r="D124" s="3304"/>
      <c r="E124" s="3072"/>
      <c r="F124" s="3211"/>
      <c r="G124" s="3280"/>
      <c r="H124" s="1596"/>
      <c r="I124" s="758" t="s">
        <v>1440</v>
      </c>
      <c r="J124" s="678"/>
      <c r="K124" s="1596"/>
      <c r="L124" s="322"/>
      <c r="M124" s="449"/>
      <c r="N124" s="442"/>
      <c r="O124" s="1720"/>
      <c r="P124" s="1720"/>
      <c r="AH124" s="1727">
        <v>0</v>
      </c>
    </row>
    <row s="10232" customFormat="1" customHeight="1" ht="0.75" hidden="1">
      <c r="A125" s="1875"/>
      <c r="B125" s="1875"/>
      <c r="C125" s="476" t="s">
        <v>1448</v>
      </c>
      <c r="D125" s="3304"/>
      <c r="E125" s="3072"/>
      <c r="F125" s="3211"/>
      <c r="G125" s="507"/>
      <c r="H125" s="1596"/>
      <c r="I125" s="758"/>
      <c r="J125" s="678"/>
      <c r="K125" s="1596"/>
      <c r="L125" s="322"/>
      <c r="M125" s="449"/>
      <c r="N125" s="442"/>
      <c r="O125" s="1720"/>
      <c r="P125" s="1720"/>
      <c r="AH125" s="1727">
        <v>0</v>
      </c>
    </row>
    <row s="10232" customFormat="1" customHeight="1" ht="18.75" hidden="1">
      <c r="A126" s="1875" t="s">
        <v>330</v>
      </c>
      <c r="B126" s="1875" t="s">
        <v>331</v>
      </c>
      <c r="C126" s="476"/>
      <c r="D126" s="3304"/>
      <c r="E126" s="3072"/>
      <c r="F126" s="321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280" t="str">
        <f>INDEX(PT_DIFFERENTIATION_NTAR,MATCH(B126,PT_DIFFERENTIATION_NTAR_ID,0))</f>
        <v/>
      </c>
      <c r="H126" s="1956"/>
      <c r="I126" s="1835"/>
      <c r="J126" s="1869"/>
      <c r="K126" s="1873"/>
      <c r="L126" s="1956" t="s">
        <v>391</v>
      </c>
      <c r="M126" s="449"/>
      <c r="N126" s="442"/>
      <c r="O126" s="1720"/>
      <c r="P126" s="1720"/>
      <c r="AH126" s="1727">
        <v>0</v>
      </c>
    </row>
    <row s="10232" customFormat="1" customHeight="1" ht="18.75" hidden="1">
      <c r="A127" s="1875"/>
      <c r="B127" s="1875"/>
      <c r="C127" s="476" t="s">
        <v>1441</v>
      </c>
      <c r="D127" s="3304"/>
      <c r="E127" s="3072"/>
      <c r="F127" s="3211"/>
      <c r="G127" s="3280"/>
      <c r="H127" s="1596"/>
      <c r="I127" s="758" t="s">
        <v>1440</v>
      </c>
      <c r="J127" s="678"/>
      <c r="K127" s="1596"/>
      <c r="L127" s="322"/>
      <c r="M127" s="449"/>
      <c r="N127" s="442"/>
      <c r="O127" s="1720"/>
      <c r="P127" s="1720"/>
      <c r="AH127" s="1727">
        <v>0</v>
      </c>
    </row>
    <row s="10232" customFormat="1" customHeight="1" ht="0.75" hidden="1">
      <c r="A128" s="1875"/>
      <c r="B128" s="1875"/>
      <c r="C128" s="476" t="s">
        <v>1448</v>
      </c>
      <c r="D128" s="3304"/>
      <c r="E128" s="3072"/>
      <c r="F128" s="3211"/>
      <c r="G128" s="507"/>
      <c r="H128" s="1596"/>
      <c r="I128" s="758"/>
      <c r="J128" s="678"/>
      <c r="K128" s="1596"/>
      <c r="L128" s="322"/>
      <c r="M128" s="449"/>
      <c r="N128" s="442"/>
      <c r="O128" s="1720"/>
      <c r="P128" s="1720"/>
      <c r="AH128" s="1727">
        <v>0</v>
      </c>
    </row>
    <row s="10232" customFormat="1" customHeight="1" ht="18.75" hidden="1">
      <c r="A129" s="1875" t="s">
        <v>335</v>
      </c>
      <c r="B129" s="1875" t="s">
        <v>336</v>
      </c>
      <c r="C129" s="476"/>
      <c r="D129" s="3304"/>
      <c r="E129" s="3072"/>
      <c r="F129" s="3211" t="str">
        <f>INDEX(PT_DIFFERENTIATION_VTAR,MATCH(A129,PT_DIFFERENTIATION_VTAR_ID,0))</f>
        <v>Тариф на горячую воду (горячее водоснабжение)</v>
      </c>
      <c r="G129" s="3280" t="str">
        <f>INDEX(PT_DIFFERENTIATION_NTAR,MATCH(B129,PT_DIFFERENTIATION_NTAR_ID,0))</f>
        <v/>
      </c>
      <c r="H129" s="1956"/>
      <c r="I129" s="1835"/>
      <c r="J129" s="1869"/>
      <c r="K129" s="1873"/>
      <c r="L129" s="1956" t="s">
        <v>391</v>
      </c>
      <c r="M129" s="449"/>
      <c r="N129" s="442"/>
      <c r="O129" s="1720"/>
      <c r="P129" s="1720"/>
      <c r="AH129" s="1727">
        <v>0</v>
      </c>
    </row>
    <row s="10232" customFormat="1" customHeight="1" ht="18.75" hidden="1">
      <c r="A130" s="1875"/>
      <c r="B130" s="1875"/>
      <c r="C130" s="476" t="s">
        <v>1441</v>
      </c>
      <c r="D130" s="3304"/>
      <c r="E130" s="3072"/>
      <c r="F130" s="3211"/>
      <c r="G130" s="3280"/>
      <c r="H130" s="1596"/>
      <c r="I130" s="758" t="s">
        <v>1440</v>
      </c>
      <c r="J130" s="678"/>
      <c r="K130" s="1596"/>
      <c r="L130" s="322"/>
      <c r="M130" s="449"/>
      <c r="N130" s="442"/>
      <c r="O130" s="1720"/>
      <c r="P130" s="1720"/>
      <c r="AH130" s="1727">
        <v>0</v>
      </c>
    </row>
    <row s="10232" customFormat="1" customHeight="1" ht="0.75" hidden="1">
      <c r="A131" s="1875"/>
      <c r="B131" s="1875"/>
      <c r="C131" s="476" t="s">
        <v>1448</v>
      </c>
      <c r="D131" s="3304"/>
      <c r="E131" s="3072"/>
      <c r="F131" s="3211"/>
      <c r="G131" s="507"/>
      <c r="H131" s="1596"/>
      <c r="I131" s="758"/>
      <c r="J131" s="678"/>
      <c r="K131" s="1596"/>
      <c r="L131" s="322"/>
      <c r="M131" s="449"/>
      <c r="N131" s="442"/>
      <c r="O131" s="1720"/>
      <c r="P131" s="1720"/>
      <c r="AH131" s="1727">
        <v>0</v>
      </c>
    </row>
    <row s="10232" customFormat="1" customHeight="1" ht="18.75" hidden="1">
      <c r="A132" s="1875" t="s">
        <v>340</v>
      </c>
      <c r="B132" s="1875" t="s">
        <v>341</v>
      </c>
      <c r="C132" s="476"/>
      <c r="D132" s="3304"/>
      <c r="E132" s="3072"/>
      <c r="F132" s="3211" t="str">
        <f>INDEX(PT_DIFFERENTIATION_VTAR,MATCH(A132,PT_DIFFERENTIATION_VTAR_ID,0))</f>
        <v>Тариф на транспортировку горячей воды</v>
      </c>
      <c r="G132" s="3280" t="str">
        <f>INDEX(PT_DIFFERENTIATION_NTAR,MATCH(B132,PT_DIFFERENTIATION_NTAR_ID,0))</f>
        <v/>
      </c>
      <c r="H132" s="1956"/>
      <c r="I132" s="1835"/>
      <c r="J132" s="1869"/>
      <c r="K132" s="1873"/>
      <c r="L132" s="1956" t="s">
        <v>391</v>
      </c>
      <c r="M132" s="449"/>
      <c r="N132" s="442"/>
      <c r="O132" s="1720"/>
      <c r="P132" s="1720"/>
      <c r="AH132" s="1727">
        <v>0</v>
      </c>
    </row>
    <row s="10232" customFormat="1" customHeight="1" ht="18.75" hidden="1">
      <c r="A133" s="1875"/>
      <c r="B133" s="1875"/>
      <c r="C133" s="476" t="s">
        <v>1441</v>
      </c>
      <c r="D133" s="3304"/>
      <c r="E133" s="3072"/>
      <c r="F133" s="3211"/>
      <c r="G133" s="3280"/>
      <c r="H133" s="1596"/>
      <c r="I133" s="758" t="s">
        <v>1440</v>
      </c>
      <c r="J133" s="678"/>
      <c r="K133" s="1596"/>
      <c r="L133" s="322"/>
      <c r="M133" s="449"/>
      <c r="N133" s="442"/>
      <c r="O133" s="1720"/>
      <c r="P133" s="1720"/>
      <c r="AH133" s="1727">
        <v>0</v>
      </c>
    </row>
    <row s="10232" customFormat="1" customHeight="1" ht="0.75" hidden="1">
      <c r="A134" s="1875"/>
      <c r="B134" s="1875"/>
      <c r="C134" s="476" t="s">
        <v>1448</v>
      </c>
      <c r="D134" s="3304"/>
      <c r="E134" s="3072"/>
      <c r="F134" s="3211"/>
      <c r="G134" s="507"/>
      <c r="H134" s="1596"/>
      <c r="I134" s="758"/>
      <c r="J134" s="678"/>
      <c r="K134" s="1596"/>
      <c r="L134" s="322"/>
      <c r="M134" s="449"/>
      <c r="N134" s="442"/>
      <c r="O134" s="1720"/>
      <c r="P134" s="1720"/>
      <c r="AH134" s="1727">
        <v>0</v>
      </c>
    </row>
    <row s="10232" customFormat="1" customHeight="1" ht="18.75" hidden="1">
      <c r="A135" s="1875" t="s">
        <v>345</v>
      </c>
      <c r="B135" s="1875" t="s">
        <v>346</v>
      </c>
      <c r="C135" s="476"/>
      <c r="D135" s="3304"/>
      <c r="E135" s="3072"/>
      <c r="F135" s="3211" t="str">
        <f>INDEX(PT_DIFFERENTIATION_VTAR,MATCH(A135,PT_DIFFERENTIATION_VTAR_ID,0))</f>
        <v>Тариф на подключение (технологическое присоединение) к централизованной системе горячего водоснабжения</v>
      </c>
      <c r="G135" s="3280" t="str">
        <f>INDEX(PT_DIFFERENTIATION_NTAR,MATCH(B135,PT_DIFFERENTIATION_NTAR_ID,0))</f>
        <v/>
      </c>
      <c r="H135" s="1956"/>
      <c r="I135" s="1835"/>
      <c r="J135" s="1869"/>
      <c r="K135" s="1873"/>
      <c r="L135" s="1956" t="s">
        <v>391</v>
      </c>
      <c r="M135" s="449"/>
      <c r="N135" s="442"/>
      <c r="O135" s="1720"/>
      <c r="P135" s="1720"/>
      <c r="AH135" s="1727">
        <v>0</v>
      </c>
    </row>
    <row s="10232" customFormat="1" customHeight="1" ht="18.75" hidden="1">
      <c r="A136" s="1875"/>
      <c r="B136" s="1875"/>
      <c r="C136" s="476" t="s">
        <v>1441</v>
      </c>
      <c r="D136" s="3304"/>
      <c r="E136" s="3072"/>
      <c r="F136" s="3211"/>
      <c r="G136" s="3280"/>
      <c r="H136" s="1596"/>
      <c r="I136" s="758" t="s">
        <v>1440</v>
      </c>
      <c r="J136" s="678"/>
      <c r="K136" s="1596"/>
      <c r="L136" s="322"/>
      <c r="M136" s="449"/>
      <c r="N136" s="442"/>
      <c r="O136" s="1720"/>
      <c r="P136" s="1720"/>
      <c r="AH136" s="1727">
        <v>0</v>
      </c>
    </row>
    <row s="10232" customFormat="1" customHeight="1" ht="0.75" hidden="1">
      <c r="A137" s="1875"/>
      <c r="B137" s="1875"/>
      <c r="C137" s="476" t="s">
        <v>1448</v>
      </c>
      <c r="D137" s="3304"/>
      <c r="E137" s="3072"/>
      <c r="F137" s="3211"/>
      <c r="G137" s="507"/>
      <c r="H137" s="1596"/>
      <c r="I137" s="758"/>
      <c r="J137" s="678"/>
      <c r="K137" s="1596"/>
      <c r="L137" s="322"/>
      <c r="M137" s="449"/>
      <c r="N137" s="442"/>
      <c r="O137" s="1720"/>
      <c r="P137" s="1720"/>
      <c r="AH137" s="1727">
        <v>0</v>
      </c>
    </row>
    <row s="10232" customFormat="1" customHeight="1" ht="18.75" hidden="1">
      <c r="A138" s="1875" t="s">
        <v>350</v>
      </c>
      <c r="B138" s="1875" t="s">
        <v>351</v>
      </c>
      <c r="C138" s="476"/>
      <c r="D138" s="3304"/>
      <c r="E138" s="3072"/>
      <c r="F138" s="3211" t="str">
        <f>INDEX(PT_DIFFERENTIATION_VTAR,MATCH(A138,PT_DIFFERENTIATION_VTAR_ID,0))</f>
        <v>Тариф на водоотведение</v>
      </c>
      <c r="G138" s="3280" t="str">
        <f>INDEX(PT_DIFFERENTIATION_NTAR,MATCH(B138,PT_DIFFERENTIATION_NTAR_ID,0))</f>
        <v/>
      </c>
      <c r="H138" s="1956"/>
      <c r="I138" s="1835"/>
      <c r="J138" s="1869"/>
      <c r="K138" s="1873"/>
      <c r="L138" s="1956" t="s">
        <v>391</v>
      </c>
      <c r="M138" s="449"/>
      <c r="N138" s="442"/>
      <c r="O138" s="1720"/>
      <c r="P138" s="1720"/>
      <c r="AH138" s="1727">
        <v>0</v>
      </c>
    </row>
    <row s="10232" customFormat="1" customHeight="1" ht="18.75" hidden="1">
      <c r="A139" s="1875"/>
      <c r="B139" s="1875"/>
      <c r="C139" s="476" t="s">
        <v>1441</v>
      </c>
      <c r="D139" s="3304"/>
      <c r="E139" s="3072"/>
      <c r="F139" s="3211"/>
      <c r="G139" s="3280"/>
      <c r="H139" s="1596"/>
      <c r="I139" s="758" t="s">
        <v>1440</v>
      </c>
      <c r="J139" s="678"/>
      <c r="K139" s="1596"/>
      <c r="L139" s="322"/>
      <c r="M139" s="449"/>
      <c r="N139" s="442"/>
      <c r="O139" s="1720"/>
      <c r="P139" s="1720"/>
      <c r="AH139" s="1727">
        <v>0</v>
      </c>
    </row>
    <row s="10232" customFormat="1" customHeight="1" ht="0.75" hidden="1">
      <c r="A140" s="1875"/>
      <c r="B140" s="1875"/>
      <c r="C140" s="476" t="s">
        <v>1448</v>
      </c>
      <c r="D140" s="3304"/>
      <c r="E140" s="3072"/>
      <c r="F140" s="3211"/>
      <c r="G140" s="507"/>
      <c r="H140" s="1596"/>
      <c r="I140" s="758"/>
      <c r="J140" s="678"/>
      <c r="K140" s="1596"/>
      <c r="L140" s="322"/>
      <c r="M140" s="449"/>
      <c r="N140" s="442"/>
      <c r="O140" s="1720"/>
      <c r="P140" s="1720"/>
      <c r="AH140" s="1727">
        <v>0</v>
      </c>
    </row>
    <row s="10232" customFormat="1" customHeight="1" ht="18.75" hidden="1">
      <c r="A141" s="1875" t="s">
        <v>355</v>
      </c>
      <c r="B141" s="1875" t="s">
        <v>356</v>
      </c>
      <c r="C141" s="476"/>
      <c r="D141" s="3304"/>
      <c r="E141" s="3072"/>
      <c r="F141" s="3211" t="str">
        <f>INDEX(PT_DIFFERENTIATION_VTAR,MATCH(A141,PT_DIFFERENTIATION_VTAR_ID,0))</f>
        <v>Тариф на транспортировку сточных вод</v>
      </c>
      <c r="G141" s="3280" t="str">
        <f>INDEX(PT_DIFFERENTIATION_NTAR,MATCH(B141,PT_DIFFERENTIATION_NTAR_ID,0))</f>
        <v/>
      </c>
      <c r="H141" s="1956"/>
      <c r="I141" s="1835"/>
      <c r="J141" s="1869"/>
      <c r="K141" s="1873"/>
      <c r="L141" s="1956" t="s">
        <v>391</v>
      </c>
      <c r="M141" s="449"/>
      <c r="N141" s="442"/>
      <c r="O141" s="1720"/>
      <c r="P141" s="1720"/>
      <c r="AH141" s="1727">
        <v>0</v>
      </c>
    </row>
    <row s="10232" customFormat="1" customHeight="1" ht="18.75" hidden="1">
      <c r="A142" s="1875"/>
      <c r="B142" s="1875"/>
      <c r="C142" s="476" t="s">
        <v>1441</v>
      </c>
      <c r="D142" s="3304"/>
      <c r="E142" s="3072"/>
      <c r="F142" s="3211"/>
      <c r="G142" s="3280"/>
      <c r="H142" s="1596"/>
      <c r="I142" s="758" t="s">
        <v>1440</v>
      </c>
      <c r="J142" s="678"/>
      <c r="K142" s="1596"/>
      <c r="L142" s="322"/>
      <c r="M142" s="449"/>
      <c r="N142" s="442"/>
      <c r="O142" s="1720"/>
      <c r="P142" s="1720"/>
      <c r="AH142" s="1727">
        <v>0</v>
      </c>
    </row>
    <row s="10232" customFormat="1" customHeight="1" ht="0.75" hidden="1">
      <c r="A143" s="1875"/>
      <c r="B143" s="1875"/>
      <c r="C143" s="476" t="s">
        <v>1448</v>
      </c>
      <c r="D143" s="3304"/>
      <c r="E143" s="3072"/>
      <c r="F143" s="3211"/>
      <c r="G143" s="507"/>
      <c r="H143" s="1596"/>
      <c r="I143" s="758"/>
      <c r="J143" s="678"/>
      <c r="K143" s="1596"/>
      <c r="L143" s="322"/>
      <c r="M143" s="449"/>
      <c r="N143" s="442"/>
      <c r="O143" s="1720"/>
      <c r="P143" s="1720"/>
      <c r="AH143" s="1727">
        <v>0</v>
      </c>
    </row>
    <row s="10232" customFormat="1" customHeight="1" ht="18.75" hidden="1">
      <c r="A144" s="1875" t="s">
        <v>360</v>
      </c>
      <c r="B144" s="1875" t="s">
        <v>361</v>
      </c>
      <c r="C144" s="476"/>
      <c r="D144" s="3304"/>
      <c r="E144" s="3072"/>
      <c r="F144" s="3211" t="str">
        <f>INDEX(PT_DIFFERENTIATION_VTAR,MATCH(A144,PT_DIFFERENTIATION_VTAR_ID,0))</f>
        <v>Тариф на подключение (технологическое присоединение) к централизованной системе водоотведения</v>
      </c>
      <c r="G144" s="3280" t="str">
        <f>INDEX(PT_DIFFERENTIATION_NTAR,MATCH(B144,PT_DIFFERENTIATION_NTAR_ID,0))</f>
        <v/>
      </c>
      <c r="H144" s="1956"/>
      <c r="I144" s="1835"/>
      <c r="J144" s="1869"/>
      <c r="K144" s="1873"/>
      <c r="L144" s="1956" t="s">
        <v>391</v>
      </c>
      <c r="M144" s="449"/>
      <c r="N144" s="442"/>
      <c r="O144" s="1720"/>
      <c r="P144" s="1720"/>
      <c r="AH144" s="1727">
        <v>0</v>
      </c>
    </row>
    <row s="10232" customFormat="1" customHeight="1" ht="18.75" hidden="1">
      <c r="A145" s="1875"/>
      <c r="B145" s="1875"/>
      <c r="C145" s="476" t="s">
        <v>1441</v>
      </c>
      <c r="D145" s="3304"/>
      <c r="E145" s="3072"/>
      <c r="F145" s="3211"/>
      <c r="G145" s="3280"/>
      <c r="H145" s="1596"/>
      <c r="I145" s="758" t="s">
        <v>1440</v>
      </c>
      <c r="J145" s="678"/>
      <c r="K145" s="1596"/>
      <c r="L145" s="322"/>
      <c r="M145" s="449"/>
      <c r="N145" s="442"/>
      <c r="O145" s="1720"/>
      <c r="P145" s="1720"/>
      <c r="AH145" s="1727">
        <v>0</v>
      </c>
    </row>
    <row s="10232" customFormat="1" customHeight="1" ht="1.05">
      <c r="A146" s="1875"/>
      <c r="B146" s="1875"/>
      <c r="C146" s="476" t="s">
        <v>1448</v>
      </c>
      <c r="D146" s="3304"/>
      <c r="E146" s="3072"/>
      <c r="F146" s="3211"/>
      <c r="G146" s="507"/>
      <c r="H146" s="1596"/>
      <c r="I146" s="758"/>
      <c r="J146" s="678"/>
      <c r="K146" s="1596"/>
      <c r="L146" s="322"/>
      <c r="M146" s="449"/>
      <c r="N146" s="442"/>
      <c r="O146" s="1720"/>
      <c r="P146" s="1720"/>
      <c r="AH146" s="1727">
        <v>1</v>
      </c>
    </row>
    <row customHeight="1" ht="19.95">
      <c r="A147" s="1875"/>
      <c r="B147" s="1875"/>
      <c r="D147" s="483"/>
      <c r="E147" s="255" t="s">
        <v>91</v>
      </c>
      <c r="F147" s="3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303"/>
      <c r="H147" s="3303"/>
      <c r="I147" s="3303"/>
      <c r="J147" s="3303"/>
      <c r="K147" s="3303"/>
      <c r="L147" s="3303"/>
      <c r="M147" s="405"/>
      <c r="N147" s="442"/>
      <c r="AH147" s="481">
        <v>19</v>
      </c>
    </row>
    <row s="10232" customFormat="1" customHeight="1" ht="60.75" hidden="1">
      <c r="A148" s="1875" t="s">
        <v>242</v>
      </c>
      <c r="B148" s="1875" t="s">
        <v>243</v>
      </c>
      <c r="C148" s="476"/>
      <c r="D148" s="3304"/>
      <c r="E148" s="3072"/>
      <c r="F148" s="321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280" t="str">
        <f>INDEX(PT_DIFFERENTIATION_NTAR,MATCH(B148,PT_DIFFERENTIATION_NTAR_ID,0))</f>
        <v/>
      </c>
      <c r="H148" s="1956"/>
      <c r="I148" s="1835"/>
      <c r="J148" s="1869"/>
      <c r="K148" s="1873"/>
      <c r="L148" s="1956" t="s">
        <v>391</v>
      </c>
      <c r="M148" s="3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2"/>
      <c r="O148" s="1720"/>
      <c r="P148" s="1720"/>
      <c r="AH148" s="1727">
        <v>0</v>
      </c>
    </row>
    <row s="10232" customFormat="1" customHeight="1" ht="18.75" hidden="1">
      <c r="A149" s="1875"/>
      <c r="B149" s="1875"/>
      <c r="C149" s="476" t="s">
        <v>1441</v>
      </c>
      <c r="D149" s="3304"/>
      <c r="E149" s="3072"/>
      <c r="F149" s="3211"/>
      <c r="G149" s="3280"/>
      <c r="H149" s="1596"/>
      <c r="I149" s="758" t="s">
        <v>1440</v>
      </c>
      <c r="J149" s="678"/>
      <c r="K149" s="1596"/>
      <c r="L149" s="322"/>
      <c r="M149" s="3033"/>
      <c r="N149" s="442"/>
      <c r="O149" s="1720"/>
      <c r="P149" s="1720"/>
      <c r="AH149" s="1727">
        <v>0</v>
      </c>
    </row>
    <row s="10232" customFormat="1" customHeight="1" ht="0.75" hidden="1">
      <c r="A150" s="1875"/>
      <c r="B150" s="1875"/>
      <c r="C150" s="476" t="s">
        <v>1448</v>
      </c>
      <c r="D150" s="3304"/>
      <c r="E150" s="3072"/>
      <c r="F150" s="3211"/>
      <c r="G150" s="507"/>
      <c r="H150" s="1596"/>
      <c r="I150" s="758"/>
      <c r="J150" s="678"/>
      <c r="K150" s="1596"/>
      <c r="L150" s="322"/>
      <c r="M150" s="3033"/>
      <c r="N150" s="442"/>
      <c r="O150" s="1720"/>
      <c r="P150" s="1720"/>
      <c r="AH150" s="1727">
        <v>0</v>
      </c>
    </row>
    <row s="10232" customFormat="1" customHeight="1" ht="45" hidden="1">
      <c r="A151" s="1875" t="s">
        <v>247</v>
      </c>
      <c r="B151" s="1875" t="s">
        <v>248</v>
      </c>
      <c r="C151" s="476"/>
      <c r="D151" s="3304"/>
      <c r="E151" s="3072"/>
      <c r="F151" s="3211" t="str">
        <f>INDEX(PT_DIFFERENTIATION_VTAR,MATCH(A151,PT_DIFFERENTIATION_VTAR_ID,0))</f>
        <v/>
      </c>
      <c r="G151" s="3280" t="str">
        <f>INDEX(PT_DIFFERENTIATION_NTAR,MATCH(B151,PT_DIFFERENTIATION_NTAR_ID,0))</f>
        <v/>
      </c>
      <c r="H151" s="1956"/>
      <c r="I151" s="1835"/>
      <c r="J151" s="1869"/>
      <c r="K151" s="1873"/>
      <c r="L151" s="1956" t="s">
        <v>391</v>
      </c>
      <c r="M151" s="3034"/>
      <c r="N151" s="442"/>
      <c r="O151" s="1720"/>
      <c r="P151" s="1720"/>
      <c r="AH151" s="1727">
        <v>0</v>
      </c>
    </row>
    <row s="10232" customFormat="1" customHeight="1" ht="18.75" hidden="1">
      <c r="A152" s="1875"/>
      <c r="B152" s="1875"/>
      <c r="C152" s="476" t="s">
        <v>1441</v>
      </c>
      <c r="D152" s="3304"/>
      <c r="E152" s="3072"/>
      <c r="F152" s="3211"/>
      <c r="G152" s="3280"/>
      <c r="H152" s="1596"/>
      <c r="I152" s="758" t="s">
        <v>1440</v>
      </c>
      <c r="J152" s="678"/>
      <c r="K152" s="1596"/>
      <c r="L152" s="322"/>
      <c r="M152" s="1955"/>
      <c r="N152" s="442"/>
      <c r="O152" s="1720"/>
      <c r="P152" s="1720"/>
      <c r="AH152" s="1727">
        <v>0</v>
      </c>
    </row>
    <row s="10232" customFormat="1" customHeight="1" ht="0.75" hidden="1">
      <c r="A153" s="1875"/>
      <c r="B153" s="1875"/>
      <c r="C153" s="476" t="s">
        <v>1448</v>
      </c>
      <c r="D153" s="3304"/>
      <c r="E153" s="3072"/>
      <c r="F153" s="3211"/>
      <c r="G153" s="507"/>
      <c r="H153" s="1596"/>
      <c r="I153" s="758"/>
      <c r="J153" s="678"/>
      <c r="K153" s="1596"/>
      <c r="L153" s="322"/>
      <c r="M153" s="449"/>
      <c r="N153" s="442"/>
      <c r="O153" s="1720"/>
      <c r="P153" s="1720"/>
      <c r="AH153" s="1727">
        <v>0</v>
      </c>
    </row>
    <row s="10232" customFormat="1" customHeight="1" ht="45" hidden="1">
      <c r="A154" s="1875" t="s">
        <v>254</v>
      </c>
      <c r="B154" s="1875" t="s">
        <v>255</v>
      </c>
      <c r="C154" s="476"/>
      <c r="D154" s="3304"/>
      <c r="E154" s="3072"/>
      <c r="F154" s="321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280" t="str">
        <f>INDEX(PT_DIFFERENTIATION_NTAR,MATCH(B154,PT_DIFFERENTIATION_NTAR_ID,0))</f>
        <v/>
      </c>
      <c r="H154" s="1956"/>
      <c r="I154" s="1835"/>
      <c r="J154" s="1869"/>
      <c r="K154" s="1873"/>
      <c r="L154" s="1956" t="s">
        <v>391</v>
      </c>
      <c r="M154" s="449"/>
      <c r="N154" s="442"/>
      <c r="O154" s="1720"/>
      <c r="P154" s="1720"/>
      <c r="AH154" s="1727">
        <v>0</v>
      </c>
    </row>
    <row s="10232" customFormat="1" customHeight="1" ht="18.75" hidden="1">
      <c r="A155" s="1875"/>
      <c r="B155" s="1875"/>
      <c r="C155" s="476" t="s">
        <v>1441</v>
      </c>
      <c r="D155" s="3304"/>
      <c r="E155" s="3072"/>
      <c r="F155" s="3211"/>
      <c r="G155" s="3280"/>
      <c r="H155" s="1596"/>
      <c r="I155" s="758" t="s">
        <v>1440</v>
      </c>
      <c r="J155" s="678"/>
      <c r="K155" s="1596"/>
      <c r="L155" s="322"/>
      <c r="M155" s="449"/>
      <c r="N155" s="442"/>
      <c r="O155" s="1720"/>
      <c r="P155" s="1720"/>
      <c r="AH155" s="1727">
        <v>0</v>
      </c>
    </row>
    <row s="10232" customFormat="1" customHeight="1" ht="0.75" hidden="1">
      <c r="A156" s="1875"/>
      <c r="B156" s="1875"/>
      <c r="C156" s="476" t="s">
        <v>1448</v>
      </c>
      <c r="D156" s="3304"/>
      <c r="E156" s="3072"/>
      <c r="F156" s="3211"/>
      <c r="G156" s="507"/>
      <c r="H156" s="1596"/>
      <c r="I156" s="758"/>
      <c r="J156" s="678"/>
      <c r="K156" s="1596"/>
      <c r="L156" s="322"/>
      <c r="M156" s="449"/>
      <c r="N156" s="442"/>
      <c r="O156" s="1720"/>
      <c r="P156" s="1720"/>
      <c r="AH156" s="1727">
        <v>0</v>
      </c>
    </row>
    <row s="10232" customFormat="1" customHeight="1" ht="45" hidden="1">
      <c r="A157" s="1875" t="s">
        <v>260</v>
      </c>
      <c r="B157" s="1875" t="s">
        <v>261</v>
      </c>
      <c r="C157" s="476"/>
      <c r="D157" s="3304"/>
      <c r="E157" s="3072"/>
      <c r="F157" s="321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280" t="str">
        <f>INDEX(PT_DIFFERENTIATION_NTAR,MATCH(B157,PT_DIFFERENTIATION_NTAR_ID,0))</f>
        <v/>
      </c>
      <c r="H157" s="1956"/>
      <c r="I157" s="1835"/>
      <c r="J157" s="1869"/>
      <c r="K157" s="1873"/>
      <c r="L157" s="1956" t="s">
        <v>391</v>
      </c>
      <c r="M157" s="449"/>
      <c r="N157" s="442"/>
      <c r="O157" s="1720"/>
      <c r="P157" s="1720"/>
      <c r="AH157" s="1727">
        <v>0</v>
      </c>
    </row>
    <row s="10232" customFormat="1" customHeight="1" ht="18.75" hidden="1">
      <c r="A158" s="1875"/>
      <c r="B158" s="1875"/>
      <c r="C158" s="476" t="s">
        <v>1441</v>
      </c>
      <c r="D158" s="3304"/>
      <c r="E158" s="3072"/>
      <c r="F158" s="3211"/>
      <c r="G158" s="3280"/>
      <c r="H158" s="1596"/>
      <c r="I158" s="758" t="s">
        <v>1440</v>
      </c>
      <c r="J158" s="678"/>
      <c r="K158" s="1596"/>
      <c r="L158" s="322"/>
      <c r="M158" s="449"/>
      <c r="N158" s="442"/>
      <c r="O158" s="1720"/>
      <c r="P158" s="1720"/>
      <c r="AH158" s="1727">
        <v>0</v>
      </c>
    </row>
    <row s="10232" customFormat="1" customHeight="1" ht="0.75" hidden="1">
      <c r="A159" s="1875"/>
      <c r="B159" s="1875"/>
      <c r="C159" s="476" t="s">
        <v>1448</v>
      </c>
      <c r="D159" s="3304"/>
      <c r="E159" s="3072"/>
      <c r="F159" s="3211"/>
      <c r="G159" s="507"/>
      <c r="H159" s="1596"/>
      <c r="I159" s="758"/>
      <c r="J159" s="678"/>
      <c r="K159" s="1596"/>
      <c r="L159" s="322"/>
      <c r="M159" s="449"/>
      <c r="N159" s="442"/>
      <c r="O159" s="1720"/>
      <c r="P159" s="1720"/>
      <c r="AH159" s="1727">
        <v>0</v>
      </c>
    </row>
    <row s="10232" customFormat="1" customHeight="1" ht="18.75" hidden="1">
      <c r="A160" s="1875" t="s">
        <v>266</v>
      </c>
      <c r="B160" s="1875" t="s">
        <v>267</v>
      </c>
      <c r="C160" s="476"/>
      <c r="D160" s="3304"/>
      <c r="E160" s="3072"/>
      <c r="F160" s="3211" t="str">
        <f>INDEX(PT_DIFFERENTIATION_VTAR,MATCH(A160,PT_DIFFERENTIATION_VTAR_ID,0))</f>
        <v>Тарифы на услуги по передаче тепловой энергии</v>
      </c>
      <c r="G160" s="3280" t="str">
        <f>INDEX(PT_DIFFERENTIATION_NTAR,MATCH(B160,PT_DIFFERENTIATION_NTAR_ID,0))</f>
        <v/>
      </c>
      <c r="H160" s="1956"/>
      <c r="I160" s="1835"/>
      <c r="J160" s="1869"/>
      <c r="K160" s="1873"/>
      <c r="L160" s="1956" t="s">
        <v>391</v>
      </c>
      <c r="M160" s="449"/>
      <c r="N160" s="442"/>
      <c r="O160" s="1720"/>
      <c r="P160" s="1720"/>
      <c r="AH160" s="1727">
        <v>0</v>
      </c>
    </row>
    <row s="10232" customFormat="1" customHeight="1" ht="18.75" hidden="1">
      <c r="A161" s="1875"/>
      <c r="B161" s="1875"/>
      <c r="C161" s="476" t="s">
        <v>1441</v>
      </c>
      <c r="D161" s="3304"/>
      <c r="E161" s="3072"/>
      <c r="F161" s="3211"/>
      <c r="G161" s="3280"/>
      <c r="H161" s="1596"/>
      <c r="I161" s="758" t="s">
        <v>1440</v>
      </c>
      <c r="J161" s="678"/>
      <c r="K161" s="1596"/>
      <c r="L161" s="322"/>
      <c r="M161" s="449"/>
      <c r="N161" s="442"/>
      <c r="O161" s="1720"/>
      <c r="P161" s="1720"/>
      <c r="AH161" s="1727">
        <v>0</v>
      </c>
    </row>
    <row s="10232" customFormat="1" customHeight="1" ht="0.75" hidden="1">
      <c r="A162" s="1875"/>
      <c r="B162" s="1875"/>
      <c r="C162" s="476" t="s">
        <v>1448</v>
      </c>
      <c r="D162" s="3304"/>
      <c r="E162" s="3072"/>
      <c r="F162" s="3211"/>
      <c r="G162" s="507"/>
      <c r="H162" s="1596"/>
      <c r="I162" s="758"/>
      <c r="J162" s="678"/>
      <c r="K162" s="1596"/>
      <c r="L162" s="322"/>
      <c r="M162" s="449"/>
      <c r="N162" s="442"/>
      <c r="O162" s="1720"/>
      <c r="P162" s="1720"/>
      <c r="AH162" s="1727">
        <v>0</v>
      </c>
    </row>
    <row s="10232" customFormat="1" customHeight="1" ht="18.75" hidden="1">
      <c r="A163" s="1875" t="s">
        <v>272</v>
      </c>
      <c r="B163" s="1875" t="s">
        <v>273</v>
      </c>
      <c r="C163" s="476"/>
      <c r="D163" s="3304"/>
      <c r="E163" s="3072"/>
      <c r="F163" s="3211" t="str">
        <f>INDEX(PT_DIFFERENTIATION_VTAR,MATCH(A163,PT_DIFFERENTIATION_VTAR_ID,0))</f>
        <v>Тарифы на услуги по передаче теплоносителя</v>
      </c>
      <c r="G163" s="3280" t="str">
        <f>INDEX(PT_DIFFERENTIATION_NTAR,MATCH(B163,PT_DIFFERENTIATION_NTAR_ID,0))</f>
        <v/>
      </c>
      <c r="H163" s="1956"/>
      <c r="I163" s="1835"/>
      <c r="J163" s="1869"/>
      <c r="K163" s="1873"/>
      <c r="L163" s="1956" t="s">
        <v>391</v>
      </c>
      <c r="M163" s="449"/>
      <c r="N163" s="442"/>
      <c r="O163" s="1720"/>
      <c r="P163" s="1720"/>
      <c r="AH163" s="1727">
        <v>0</v>
      </c>
    </row>
    <row s="10232" customFormat="1" customHeight="1" ht="18.75" hidden="1">
      <c r="A164" s="1875"/>
      <c r="B164" s="1875"/>
      <c r="C164" s="476" t="s">
        <v>1441</v>
      </c>
      <c r="D164" s="3304"/>
      <c r="E164" s="3072"/>
      <c r="F164" s="3211"/>
      <c r="G164" s="3280"/>
      <c r="H164" s="1596"/>
      <c r="I164" s="758" t="s">
        <v>1440</v>
      </c>
      <c r="J164" s="678"/>
      <c r="K164" s="1596"/>
      <c r="L164" s="322"/>
      <c r="M164" s="449"/>
      <c r="N164" s="442"/>
      <c r="O164" s="1720"/>
      <c r="P164" s="1720"/>
      <c r="AH164" s="1727">
        <v>0</v>
      </c>
    </row>
    <row s="10232" customFormat="1" customHeight="1" ht="0.75" hidden="1">
      <c r="A165" s="1875"/>
      <c r="B165" s="1875"/>
      <c r="C165" s="476" t="s">
        <v>1448</v>
      </c>
      <c r="D165" s="3304"/>
      <c r="E165" s="3072"/>
      <c r="F165" s="3211"/>
      <c r="G165" s="507"/>
      <c r="H165" s="1596"/>
      <c r="I165" s="758"/>
      <c r="J165" s="678"/>
      <c r="K165" s="1596"/>
      <c r="L165" s="322"/>
      <c r="M165" s="449"/>
      <c r="N165" s="442"/>
      <c r="O165" s="1720"/>
      <c r="P165" s="1720"/>
      <c r="AH165" s="1727">
        <v>0</v>
      </c>
    </row>
    <row s="10232" customFormat="1" customHeight="1" ht="18.75" hidden="1">
      <c r="A166" s="1875" t="s">
        <v>278</v>
      </c>
      <c r="B166" s="1875" t="s">
        <v>279</v>
      </c>
      <c r="C166" s="476"/>
      <c r="D166" s="3304"/>
      <c r="E166" s="3072"/>
      <c r="F166" s="321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280" t="str">
        <f>INDEX(PT_DIFFERENTIATION_NTAR,MATCH(B166,PT_DIFFERENTIATION_NTAR_ID,0))</f>
        <v/>
      </c>
      <c r="H166" s="1956"/>
      <c r="I166" s="1835"/>
      <c r="J166" s="1869"/>
      <c r="K166" s="1873"/>
      <c r="L166" s="1956" t="s">
        <v>391</v>
      </c>
      <c r="M166" s="449"/>
      <c r="N166" s="442"/>
      <c r="O166" s="1720"/>
      <c r="P166" s="1720"/>
      <c r="AH166" s="1727">
        <v>0</v>
      </c>
    </row>
    <row s="10232" customFormat="1" customHeight="1" ht="18.75" hidden="1">
      <c r="A167" s="1875"/>
      <c r="B167" s="1875"/>
      <c r="C167" s="476" t="s">
        <v>1441</v>
      </c>
      <c r="D167" s="3304"/>
      <c r="E167" s="3072"/>
      <c r="F167" s="3211"/>
      <c r="G167" s="3280"/>
      <c r="H167" s="1596"/>
      <c r="I167" s="758" t="s">
        <v>1440</v>
      </c>
      <c r="J167" s="678"/>
      <c r="K167" s="1596"/>
      <c r="L167" s="322"/>
      <c r="M167" s="449"/>
      <c r="N167" s="442"/>
      <c r="O167" s="1720"/>
      <c r="P167" s="1720"/>
      <c r="AH167" s="1727">
        <v>0</v>
      </c>
    </row>
    <row s="10232" customFormat="1" customHeight="1" ht="0.75" hidden="1">
      <c r="A168" s="1875"/>
      <c r="B168" s="1875"/>
      <c r="C168" s="476" t="s">
        <v>1448</v>
      </c>
      <c r="D168" s="3304"/>
      <c r="E168" s="3072"/>
      <c r="F168" s="3211"/>
      <c r="G168" s="507"/>
      <c r="H168" s="1596"/>
      <c r="I168" s="758"/>
      <c r="J168" s="678"/>
      <c r="K168" s="1596"/>
      <c r="L168" s="322"/>
      <c r="M168" s="449"/>
      <c r="N168" s="442"/>
      <c r="O168" s="1720"/>
      <c r="P168" s="1720"/>
      <c r="AH168" s="1727">
        <v>0</v>
      </c>
    </row>
    <row s="10232" customFormat="1" customHeight="1" ht="18.75" hidden="1">
      <c r="A169" s="1875" t="s">
        <v>284</v>
      </c>
      <c r="B169" s="1875" t="s">
        <v>285</v>
      </c>
      <c r="C169" s="476"/>
      <c r="D169" s="3304"/>
      <c r="E169" s="3072"/>
      <c r="F169" s="3211" t="str">
        <f>INDEX(PT_DIFFERENTIATION_VTAR,MATCH(A169,PT_DIFFERENTIATION_VTAR_ID,0))</f>
        <v>Плата за подключение (технологическое присоединение) к системе теплоснабжения</v>
      </c>
      <c r="G169" s="3280" t="str">
        <f>INDEX(PT_DIFFERENTIATION_NTAR,MATCH(B169,PT_DIFFERENTIATION_NTAR_ID,0))</f>
        <v/>
      </c>
      <c r="H169" s="1956"/>
      <c r="I169" s="1835"/>
      <c r="J169" s="1869"/>
      <c r="K169" s="1873"/>
      <c r="L169" s="1956" t="s">
        <v>391</v>
      </c>
      <c r="M169" s="449"/>
      <c r="N169" s="442"/>
      <c r="O169" s="1720"/>
      <c r="P169" s="1720"/>
      <c r="AH169" s="1727">
        <v>0</v>
      </c>
    </row>
    <row s="10232" customFormat="1" customHeight="1" ht="18.75" hidden="1">
      <c r="A170" s="1875"/>
      <c r="B170" s="1875"/>
      <c r="C170" s="476" t="s">
        <v>1441</v>
      </c>
      <c r="D170" s="3304"/>
      <c r="E170" s="3072"/>
      <c r="F170" s="3211"/>
      <c r="G170" s="3280"/>
      <c r="H170" s="1596"/>
      <c r="I170" s="758" t="s">
        <v>1440</v>
      </c>
      <c r="J170" s="678"/>
      <c r="K170" s="1596"/>
      <c r="L170" s="322"/>
      <c r="M170" s="449"/>
      <c r="N170" s="442"/>
      <c r="O170" s="1720"/>
      <c r="P170" s="1720"/>
      <c r="AH170" s="1727">
        <v>0</v>
      </c>
    </row>
    <row s="10232" customFormat="1" customHeight="1" ht="0.75" hidden="1">
      <c r="A171" s="1875"/>
      <c r="B171" s="1875"/>
      <c r="C171" s="476" t="s">
        <v>1448</v>
      </c>
      <c r="D171" s="3304"/>
      <c r="E171" s="3072"/>
      <c r="F171" s="3211"/>
      <c r="G171" s="507"/>
      <c r="H171" s="1596"/>
      <c r="I171" s="758"/>
      <c r="J171" s="678"/>
      <c r="K171" s="1596"/>
      <c r="L171" s="322"/>
      <c r="M171" s="449"/>
      <c r="N171" s="442"/>
      <c r="O171" s="1720"/>
      <c r="P171" s="1720"/>
      <c r="AH171" s="1727">
        <v>0</v>
      </c>
    </row>
    <row s="10232" customFormat="1" customHeight="1" ht="18.75" hidden="1">
      <c r="A172" s="1875" t="s">
        <v>290</v>
      </c>
      <c r="B172" s="1875" t="s">
        <v>291</v>
      </c>
      <c r="C172" s="476"/>
      <c r="D172" s="3304"/>
      <c r="E172" s="3072"/>
      <c r="F172" s="3211" t="str">
        <f>INDEX(PT_DIFFERENTIATION_VTAR,MATCH(A172,PT_DIFFERENTIATION_VTAR_ID,0))</f>
        <v>Плата за подключение (технологическое присоединение) к системе теплоснабжения (индивидуальная)</v>
      </c>
      <c r="G172" s="3280" t="str">
        <f>INDEX(PT_DIFFERENTIATION_NTAR,MATCH(B172,PT_DIFFERENTIATION_NTAR_ID,0))</f>
        <v/>
      </c>
      <c r="H172" s="2080"/>
      <c r="I172" s="1835"/>
      <c r="J172" s="1869"/>
      <c r="K172" s="1873"/>
      <c r="L172" s="2080" t="s">
        <v>391</v>
      </c>
      <c r="M172" s="449"/>
      <c r="N172" s="442"/>
      <c r="O172" s="1720"/>
      <c r="P172" s="1720"/>
      <c r="AH172" s="1727">
        <v>0</v>
      </c>
    </row>
    <row s="10232" customFormat="1" customHeight="1" ht="18.75" hidden="1">
      <c r="A173" s="1875"/>
      <c r="B173" s="1875"/>
      <c r="C173" s="476" t="s">
        <v>1441</v>
      </c>
      <c r="D173" s="3304"/>
      <c r="E173" s="3072"/>
      <c r="F173" s="3211"/>
      <c r="G173" s="3280"/>
      <c r="H173" s="1596"/>
      <c r="I173" s="758" t="s">
        <v>1440</v>
      </c>
      <c r="J173" s="678"/>
      <c r="K173" s="1596"/>
      <c r="L173" s="322"/>
      <c r="M173" s="449"/>
      <c r="N173" s="442"/>
      <c r="O173" s="1720"/>
      <c r="P173" s="1720"/>
      <c r="AH173" s="1727">
        <v>0</v>
      </c>
    </row>
    <row s="10232" customFormat="1" customHeight="1" ht="0.75" hidden="1">
      <c r="A174" s="1875"/>
      <c r="B174" s="1875"/>
      <c r="C174" s="476" t="s">
        <v>1448</v>
      </c>
      <c r="D174" s="3304"/>
      <c r="E174" s="3072"/>
      <c r="F174" s="3211"/>
      <c r="G174" s="507"/>
      <c r="H174" s="1596"/>
      <c r="I174" s="758"/>
      <c r="J174" s="678"/>
      <c r="K174" s="1596"/>
      <c r="L174" s="322"/>
      <c r="M174" s="449"/>
      <c r="N174" s="442"/>
      <c r="O174" s="1720"/>
      <c r="P174" s="1720"/>
      <c r="AH174" s="1727">
        <v>0</v>
      </c>
    </row>
    <row s="10232" customFormat="1" customHeight="1" ht="18.75" hidden="1">
      <c r="A175" s="1875" t="s">
        <v>310</v>
      </c>
      <c r="B175" s="1875" t="s">
        <v>311</v>
      </c>
      <c r="C175" s="476"/>
      <c r="D175" s="3304"/>
      <c r="E175" s="3072"/>
      <c r="F175" s="3211" t="str">
        <f>INDEX(PT_DIFFERENTIATION_VTAR,MATCH(A175,PT_DIFFERENTIATION_VTAR_ID,0))</f>
        <v>Тариф на питьевую воду (питьевое водоснабжение)</v>
      </c>
      <c r="G175" s="3280" t="str">
        <f>INDEX(PT_DIFFERENTIATION_NTAR,MATCH(B175,PT_DIFFERENTIATION_NTAR_ID,0))</f>
        <v/>
      </c>
      <c r="H175" s="1956"/>
      <c r="I175" s="1835"/>
      <c r="J175" s="1869"/>
      <c r="K175" s="1873"/>
      <c r="L175" s="1956" t="s">
        <v>391</v>
      </c>
      <c r="M175" s="449"/>
      <c r="N175" s="442"/>
      <c r="O175" s="1720"/>
      <c r="P175" s="1720"/>
      <c r="AH175" s="1727">
        <v>0</v>
      </c>
    </row>
    <row s="10232" customFormat="1" customHeight="1" ht="18.75" hidden="1">
      <c r="A176" s="1875"/>
      <c r="B176" s="1875"/>
      <c r="C176" s="476" t="s">
        <v>1441</v>
      </c>
      <c r="D176" s="3304"/>
      <c r="E176" s="3072"/>
      <c r="F176" s="3211"/>
      <c r="G176" s="3280"/>
      <c r="H176" s="1596"/>
      <c r="I176" s="758" t="s">
        <v>1440</v>
      </c>
      <c r="J176" s="678"/>
      <c r="K176" s="1596"/>
      <c r="L176" s="322"/>
      <c r="M176" s="449"/>
      <c r="N176" s="442"/>
      <c r="O176" s="1720"/>
      <c r="P176" s="1720"/>
      <c r="AH176" s="1727">
        <v>0</v>
      </c>
    </row>
    <row s="10232" customFormat="1" customHeight="1" ht="0.75" hidden="1">
      <c r="A177" s="1875"/>
      <c r="B177" s="1875"/>
      <c r="C177" s="476" t="s">
        <v>1448</v>
      </c>
      <c r="D177" s="3304"/>
      <c r="E177" s="3072"/>
      <c r="F177" s="3211"/>
      <c r="G177" s="507"/>
      <c r="H177" s="1596"/>
      <c r="I177" s="758"/>
      <c r="J177" s="678"/>
      <c r="K177" s="1596"/>
      <c r="L177" s="322"/>
      <c r="M177" s="449"/>
      <c r="N177" s="442"/>
      <c r="O177" s="1720"/>
      <c r="P177" s="1720"/>
      <c r="AH177" s="1727">
        <v>0</v>
      </c>
    </row>
    <row s="10232" customFormat="1" customHeight="1" ht="18.75" hidden="1">
      <c r="A178" s="1875" t="s">
        <v>315</v>
      </c>
      <c r="B178" s="1875" t="s">
        <v>316</v>
      </c>
      <c r="C178" s="476"/>
      <c r="D178" s="3304"/>
      <c r="E178" s="3072"/>
      <c r="F178" s="3211" t="str">
        <f>INDEX(PT_DIFFERENTIATION_VTAR,MATCH(A178,PT_DIFFERENTIATION_VTAR_ID,0))</f>
        <v>Тариф на техническую воду</v>
      </c>
      <c r="G178" s="3280" t="str">
        <f>INDEX(PT_DIFFERENTIATION_NTAR,MATCH(B178,PT_DIFFERENTIATION_NTAR_ID,0))</f>
        <v/>
      </c>
      <c r="H178" s="1956"/>
      <c r="I178" s="1835"/>
      <c r="J178" s="1869"/>
      <c r="K178" s="1873"/>
      <c r="L178" s="1956" t="s">
        <v>391</v>
      </c>
      <c r="M178" s="449"/>
      <c r="N178" s="442"/>
      <c r="O178" s="1720"/>
      <c r="P178" s="1720"/>
      <c r="AH178" s="1727">
        <v>0</v>
      </c>
    </row>
    <row s="10232" customFormat="1" customHeight="1" ht="18.75" hidden="1">
      <c r="A179" s="1875"/>
      <c r="B179" s="1875"/>
      <c r="C179" s="476" t="s">
        <v>1441</v>
      </c>
      <c r="D179" s="3304"/>
      <c r="E179" s="3072"/>
      <c r="F179" s="3211"/>
      <c r="G179" s="3280"/>
      <c r="H179" s="1596"/>
      <c r="I179" s="758" t="s">
        <v>1440</v>
      </c>
      <c r="J179" s="678"/>
      <c r="K179" s="1596"/>
      <c r="L179" s="322"/>
      <c r="M179" s="449"/>
      <c r="N179" s="442"/>
      <c r="O179" s="1720"/>
      <c r="P179" s="1720"/>
      <c r="AH179" s="1727">
        <v>0</v>
      </c>
    </row>
    <row s="10232" customFormat="1" customHeight="1" ht="0.75" hidden="1">
      <c r="A180" s="1875"/>
      <c r="B180" s="1875"/>
      <c r="C180" s="476" t="s">
        <v>1448</v>
      </c>
      <c r="D180" s="3304"/>
      <c r="E180" s="3072"/>
      <c r="F180" s="3211"/>
      <c r="G180" s="507"/>
      <c r="H180" s="1596"/>
      <c r="I180" s="758"/>
      <c r="J180" s="678"/>
      <c r="K180" s="1596"/>
      <c r="L180" s="322"/>
      <c r="M180" s="449"/>
      <c r="N180" s="442"/>
      <c r="O180" s="1720"/>
      <c r="P180" s="1720"/>
      <c r="AH180" s="1727">
        <v>0</v>
      </c>
    </row>
    <row s="10232" customFormat="1" customHeight="1" ht="18.75" hidden="1">
      <c r="A181" s="1875" t="s">
        <v>320</v>
      </c>
      <c r="B181" s="1875" t="s">
        <v>321</v>
      </c>
      <c r="C181" s="476"/>
      <c r="D181" s="3304"/>
      <c r="E181" s="3072"/>
      <c r="F181" s="3211" t="str">
        <f>INDEX(PT_DIFFERENTIATION_VTAR,MATCH(A181,PT_DIFFERENTIATION_VTAR_ID,0))</f>
        <v>Тариф на транспортировку воды</v>
      </c>
      <c r="G181" s="3280" t="str">
        <f>INDEX(PT_DIFFERENTIATION_NTAR,MATCH(B181,PT_DIFFERENTIATION_NTAR_ID,0))</f>
        <v/>
      </c>
      <c r="H181" s="1956"/>
      <c r="I181" s="1835"/>
      <c r="J181" s="1869"/>
      <c r="K181" s="1873"/>
      <c r="L181" s="1956" t="s">
        <v>391</v>
      </c>
      <c r="M181" s="449"/>
      <c r="N181" s="442"/>
      <c r="O181" s="1720"/>
      <c r="P181" s="1720"/>
      <c r="AH181" s="1727">
        <v>0</v>
      </c>
    </row>
    <row s="10232" customFormat="1" customHeight="1" ht="18.75" hidden="1">
      <c r="A182" s="1875"/>
      <c r="B182" s="1875"/>
      <c r="C182" s="476" t="s">
        <v>1441</v>
      </c>
      <c r="D182" s="3304"/>
      <c r="E182" s="3072"/>
      <c r="F182" s="3211"/>
      <c r="G182" s="3280"/>
      <c r="H182" s="1596"/>
      <c r="I182" s="758" t="s">
        <v>1440</v>
      </c>
      <c r="J182" s="678"/>
      <c r="K182" s="1596"/>
      <c r="L182" s="322"/>
      <c r="M182" s="449"/>
      <c r="N182" s="442"/>
      <c r="O182" s="1720"/>
      <c r="P182" s="1720"/>
      <c r="AH182" s="1727">
        <v>0</v>
      </c>
    </row>
    <row s="10232" customFormat="1" customHeight="1" ht="0.75" hidden="1">
      <c r="A183" s="1875"/>
      <c r="B183" s="1875"/>
      <c r="C183" s="476" t="s">
        <v>1448</v>
      </c>
      <c r="D183" s="3304"/>
      <c r="E183" s="3072"/>
      <c r="F183" s="3211"/>
      <c r="G183" s="507"/>
      <c r="H183" s="1596"/>
      <c r="I183" s="758"/>
      <c r="J183" s="678"/>
      <c r="K183" s="1596"/>
      <c r="L183" s="322"/>
      <c r="M183" s="449"/>
      <c r="N183" s="442"/>
      <c r="O183" s="1720"/>
      <c r="P183" s="1720"/>
      <c r="AH183" s="1727">
        <v>0</v>
      </c>
    </row>
    <row s="10232" customFormat="1" customHeight="1" ht="18.75" hidden="1">
      <c r="A184" s="1875" t="s">
        <v>325</v>
      </c>
      <c r="B184" s="1875" t="s">
        <v>326</v>
      </c>
      <c r="C184" s="476"/>
      <c r="D184" s="3304"/>
      <c r="E184" s="3072"/>
      <c r="F184" s="3211" t="str">
        <f>INDEX(PT_DIFFERENTIATION_VTAR,MATCH(A184,PT_DIFFERENTIATION_VTAR_ID,0))</f>
        <v>Тариф на подвоз воды</v>
      </c>
      <c r="G184" s="3280" t="str">
        <f>INDEX(PT_DIFFERENTIATION_NTAR,MATCH(B184,PT_DIFFERENTIATION_NTAR_ID,0))</f>
        <v/>
      </c>
      <c r="H184" s="1956"/>
      <c r="I184" s="1835"/>
      <c r="J184" s="1869"/>
      <c r="K184" s="1873"/>
      <c r="L184" s="1956" t="s">
        <v>391</v>
      </c>
      <c r="M184" s="449"/>
      <c r="N184" s="442"/>
      <c r="O184" s="1720"/>
      <c r="P184" s="1720"/>
      <c r="AH184" s="1727">
        <v>0</v>
      </c>
    </row>
    <row s="10232" customFormat="1" customHeight="1" ht="18.75" hidden="1">
      <c r="A185" s="1875"/>
      <c r="B185" s="1875"/>
      <c r="C185" s="476" t="s">
        <v>1441</v>
      </c>
      <c r="D185" s="3304"/>
      <c r="E185" s="3072"/>
      <c r="F185" s="3211"/>
      <c r="G185" s="3280"/>
      <c r="H185" s="1596"/>
      <c r="I185" s="758" t="s">
        <v>1440</v>
      </c>
      <c r="J185" s="678"/>
      <c r="K185" s="1596"/>
      <c r="L185" s="322"/>
      <c r="M185" s="449"/>
      <c r="N185" s="442"/>
      <c r="O185" s="1720"/>
      <c r="P185" s="1720"/>
      <c r="AH185" s="1727">
        <v>0</v>
      </c>
    </row>
    <row s="10232" customFormat="1" customHeight="1" ht="0.75" hidden="1">
      <c r="A186" s="1875"/>
      <c r="B186" s="1875"/>
      <c r="C186" s="476" t="s">
        <v>1448</v>
      </c>
      <c r="D186" s="3304"/>
      <c r="E186" s="3072"/>
      <c r="F186" s="3211"/>
      <c r="G186" s="507"/>
      <c r="H186" s="1596"/>
      <c r="I186" s="758"/>
      <c r="J186" s="678"/>
      <c r="K186" s="1596"/>
      <c r="L186" s="322"/>
      <c r="M186" s="449"/>
      <c r="N186" s="442"/>
      <c r="O186" s="1720"/>
      <c r="P186" s="1720"/>
      <c r="AH186" s="1727">
        <v>0</v>
      </c>
    </row>
    <row s="10232" customFormat="1" customHeight="1" ht="18.75" hidden="1">
      <c r="A187" s="1875" t="s">
        <v>330</v>
      </c>
      <c r="B187" s="1875" t="s">
        <v>331</v>
      </c>
      <c r="C187" s="476"/>
      <c r="D187" s="3304"/>
      <c r="E187" s="3072"/>
      <c r="F187" s="321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280" t="str">
        <f>INDEX(PT_DIFFERENTIATION_NTAR,MATCH(B187,PT_DIFFERENTIATION_NTAR_ID,0))</f>
        <v/>
      </c>
      <c r="H187" s="1956"/>
      <c r="I187" s="1835"/>
      <c r="J187" s="1869"/>
      <c r="K187" s="1873"/>
      <c r="L187" s="1956" t="s">
        <v>391</v>
      </c>
      <c r="M187" s="449"/>
      <c r="N187" s="442"/>
      <c r="O187" s="1720"/>
      <c r="P187" s="1720"/>
      <c r="AH187" s="1727">
        <v>0</v>
      </c>
    </row>
    <row s="10232" customFormat="1" customHeight="1" ht="18.75" hidden="1">
      <c r="A188" s="1875"/>
      <c r="B188" s="1875"/>
      <c r="C188" s="476" t="s">
        <v>1441</v>
      </c>
      <c r="D188" s="3304"/>
      <c r="E188" s="3072"/>
      <c r="F188" s="3211"/>
      <c r="G188" s="3280"/>
      <c r="H188" s="1596"/>
      <c r="I188" s="758" t="s">
        <v>1440</v>
      </c>
      <c r="J188" s="678"/>
      <c r="K188" s="1596"/>
      <c r="L188" s="322"/>
      <c r="M188" s="449"/>
      <c r="N188" s="442"/>
      <c r="O188" s="1720"/>
      <c r="P188" s="1720"/>
      <c r="AH188" s="1727">
        <v>0</v>
      </c>
    </row>
    <row s="10232" customFormat="1" customHeight="1" ht="0.75" hidden="1">
      <c r="A189" s="1875"/>
      <c r="B189" s="1875"/>
      <c r="C189" s="476" t="s">
        <v>1448</v>
      </c>
      <c r="D189" s="3304"/>
      <c r="E189" s="3072"/>
      <c r="F189" s="3211"/>
      <c r="G189" s="507"/>
      <c r="H189" s="1596"/>
      <c r="I189" s="758"/>
      <c r="J189" s="678"/>
      <c r="K189" s="1596"/>
      <c r="L189" s="322"/>
      <c r="M189" s="449"/>
      <c r="N189" s="442"/>
      <c r="O189" s="1720"/>
      <c r="P189" s="1720"/>
      <c r="AH189" s="1727">
        <v>0</v>
      </c>
    </row>
    <row s="10232" customFormat="1" customHeight="1" ht="18.75" hidden="1">
      <c r="A190" s="1875" t="s">
        <v>335</v>
      </c>
      <c r="B190" s="1875" t="s">
        <v>336</v>
      </c>
      <c r="C190" s="476"/>
      <c r="D190" s="3304"/>
      <c r="E190" s="3072"/>
      <c r="F190" s="3211" t="str">
        <f>INDEX(PT_DIFFERENTIATION_VTAR,MATCH(A190,PT_DIFFERENTIATION_VTAR_ID,0))</f>
        <v>Тариф на горячую воду (горячее водоснабжение)</v>
      </c>
      <c r="G190" s="3280" t="str">
        <f>INDEX(PT_DIFFERENTIATION_NTAR,MATCH(B190,PT_DIFFERENTIATION_NTAR_ID,0))</f>
        <v/>
      </c>
      <c r="H190" s="1956"/>
      <c r="I190" s="1835"/>
      <c r="J190" s="1869"/>
      <c r="K190" s="1873"/>
      <c r="L190" s="1956" t="s">
        <v>391</v>
      </c>
      <c r="M190" s="449"/>
      <c r="N190" s="442"/>
      <c r="O190" s="1720"/>
      <c r="P190" s="1720"/>
      <c r="AH190" s="1727">
        <v>0</v>
      </c>
    </row>
    <row s="10232" customFormat="1" customHeight="1" ht="18.75" hidden="1">
      <c r="A191" s="1875"/>
      <c r="B191" s="1875"/>
      <c r="C191" s="476" t="s">
        <v>1441</v>
      </c>
      <c r="D191" s="3304"/>
      <c r="E191" s="3072"/>
      <c r="F191" s="3211"/>
      <c r="G191" s="3280"/>
      <c r="H191" s="1596"/>
      <c r="I191" s="758" t="s">
        <v>1440</v>
      </c>
      <c r="J191" s="678"/>
      <c r="K191" s="1596"/>
      <c r="L191" s="322"/>
      <c r="M191" s="449"/>
      <c r="N191" s="442"/>
      <c r="O191" s="1720"/>
      <c r="P191" s="1720"/>
      <c r="AH191" s="1727">
        <v>0</v>
      </c>
    </row>
    <row s="10232" customFormat="1" customHeight="1" ht="0.75" hidden="1">
      <c r="A192" s="1875"/>
      <c r="B192" s="1875"/>
      <c r="C192" s="476" t="s">
        <v>1448</v>
      </c>
      <c r="D192" s="3304"/>
      <c r="E192" s="3072"/>
      <c r="F192" s="3211"/>
      <c r="G192" s="507"/>
      <c r="H192" s="1596"/>
      <c r="I192" s="758"/>
      <c r="J192" s="678"/>
      <c r="K192" s="1596"/>
      <c r="L192" s="322"/>
      <c r="M192" s="449"/>
      <c r="N192" s="442"/>
      <c r="O192" s="1720"/>
      <c r="P192" s="1720"/>
      <c r="AH192" s="1727">
        <v>0</v>
      </c>
    </row>
    <row s="10232" customFormat="1" customHeight="1" ht="18.75" hidden="1">
      <c r="A193" s="1875" t="s">
        <v>340</v>
      </c>
      <c r="B193" s="1875" t="s">
        <v>341</v>
      </c>
      <c r="C193" s="476"/>
      <c r="D193" s="3304"/>
      <c r="E193" s="3072"/>
      <c r="F193" s="3211" t="str">
        <f>INDEX(PT_DIFFERENTIATION_VTAR,MATCH(A193,PT_DIFFERENTIATION_VTAR_ID,0))</f>
        <v>Тариф на транспортировку горячей воды</v>
      </c>
      <c r="G193" s="3280" t="str">
        <f>INDEX(PT_DIFFERENTIATION_NTAR,MATCH(B193,PT_DIFFERENTIATION_NTAR_ID,0))</f>
        <v/>
      </c>
      <c r="H193" s="1956"/>
      <c r="I193" s="1835"/>
      <c r="J193" s="1869"/>
      <c r="K193" s="1873"/>
      <c r="L193" s="1956" t="s">
        <v>391</v>
      </c>
      <c r="M193" s="449"/>
      <c r="N193" s="442"/>
      <c r="O193" s="1720"/>
      <c r="P193" s="1720"/>
      <c r="AH193" s="1727">
        <v>0</v>
      </c>
    </row>
    <row s="10232" customFormat="1" customHeight="1" ht="18.75" hidden="1">
      <c r="A194" s="1875"/>
      <c r="B194" s="1875"/>
      <c r="C194" s="476" t="s">
        <v>1441</v>
      </c>
      <c r="D194" s="3304"/>
      <c r="E194" s="3072"/>
      <c r="F194" s="3211"/>
      <c r="G194" s="3280"/>
      <c r="H194" s="1596"/>
      <c r="I194" s="758" t="s">
        <v>1440</v>
      </c>
      <c r="J194" s="678"/>
      <c r="K194" s="1596"/>
      <c r="L194" s="322"/>
      <c r="M194" s="449"/>
      <c r="N194" s="442"/>
      <c r="O194" s="1720"/>
      <c r="P194" s="1720"/>
      <c r="AH194" s="1727">
        <v>0</v>
      </c>
    </row>
    <row s="10232" customFormat="1" customHeight="1" ht="0.75" hidden="1">
      <c r="A195" s="1875"/>
      <c r="B195" s="1875"/>
      <c r="C195" s="476" t="s">
        <v>1448</v>
      </c>
      <c r="D195" s="3304"/>
      <c r="E195" s="3072"/>
      <c r="F195" s="3211"/>
      <c r="G195" s="507"/>
      <c r="H195" s="1596"/>
      <c r="I195" s="758"/>
      <c r="J195" s="678"/>
      <c r="K195" s="1596"/>
      <c r="L195" s="322"/>
      <c r="M195" s="449"/>
      <c r="N195" s="442"/>
      <c r="O195" s="1720"/>
      <c r="P195" s="1720"/>
      <c r="AH195" s="1727">
        <v>0</v>
      </c>
    </row>
    <row s="10232" customFormat="1" customHeight="1" ht="18.75" hidden="1">
      <c r="A196" s="1875" t="s">
        <v>345</v>
      </c>
      <c r="B196" s="1875" t="s">
        <v>346</v>
      </c>
      <c r="C196" s="476"/>
      <c r="D196" s="3304"/>
      <c r="E196" s="3072"/>
      <c r="F196" s="3211" t="str">
        <f>INDEX(PT_DIFFERENTIATION_VTAR,MATCH(A196,PT_DIFFERENTIATION_VTAR_ID,0))</f>
        <v>Тариф на подключение (технологическое присоединение) к централизованной системе горячего водоснабжения</v>
      </c>
      <c r="G196" s="3280" t="str">
        <f>INDEX(PT_DIFFERENTIATION_NTAR,MATCH(B196,PT_DIFFERENTIATION_NTAR_ID,0))</f>
        <v/>
      </c>
      <c r="H196" s="1956"/>
      <c r="I196" s="1835"/>
      <c r="J196" s="1869"/>
      <c r="K196" s="1873"/>
      <c r="L196" s="1956" t="s">
        <v>391</v>
      </c>
      <c r="M196" s="449"/>
      <c r="N196" s="442"/>
      <c r="O196" s="1720"/>
      <c r="P196" s="1720"/>
      <c r="AH196" s="1727">
        <v>0</v>
      </c>
    </row>
    <row s="10232" customFormat="1" customHeight="1" ht="18.75" hidden="1">
      <c r="A197" s="1875"/>
      <c r="B197" s="1875"/>
      <c r="C197" s="476" t="s">
        <v>1441</v>
      </c>
      <c r="D197" s="3304"/>
      <c r="E197" s="3072"/>
      <c r="F197" s="3211"/>
      <c r="G197" s="3280"/>
      <c r="H197" s="1596"/>
      <c r="I197" s="758" t="s">
        <v>1440</v>
      </c>
      <c r="J197" s="678"/>
      <c r="K197" s="1596"/>
      <c r="L197" s="322"/>
      <c r="M197" s="449"/>
      <c r="N197" s="442"/>
      <c r="O197" s="1720"/>
      <c r="P197" s="1720"/>
      <c r="AH197" s="1727">
        <v>0</v>
      </c>
    </row>
    <row s="10232" customFormat="1" customHeight="1" ht="0.75" hidden="1">
      <c r="A198" s="1875"/>
      <c r="B198" s="1875"/>
      <c r="C198" s="476" t="s">
        <v>1448</v>
      </c>
      <c r="D198" s="3304"/>
      <c r="E198" s="3072"/>
      <c r="F198" s="3211"/>
      <c r="G198" s="507"/>
      <c r="H198" s="1596"/>
      <c r="I198" s="758"/>
      <c r="J198" s="678"/>
      <c r="K198" s="1596"/>
      <c r="L198" s="322"/>
      <c r="M198" s="449"/>
      <c r="N198" s="442"/>
      <c r="O198" s="1720"/>
      <c r="P198" s="1720"/>
      <c r="AH198" s="1727">
        <v>0</v>
      </c>
    </row>
    <row s="10232" customFormat="1" customHeight="1" ht="18.75" hidden="1">
      <c r="A199" s="1875" t="s">
        <v>350</v>
      </c>
      <c r="B199" s="1875" t="s">
        <v>351</v>
      </c>
      <c r="C199" s="476"/>
      <c r="D199" s="3304"/>
      <c r="E199" s="3072"/>
      <c r="F199" s="3211" t="str">
        <f>INDEX(PT_DIFFERENTIATION_VTAR,MATCH(A199,PT_DIFFERENTIATION_VTAR_ID,0))</f>
        <v>Тариф на водоотведение</v>
      </c>
      <c r="G199" s="3280" t="str">
        <f>INDEX(PT_DIFFERENTIATION_NTAR,MATCH(B199,PT_DIFFERENTIATION_NTAR_ID,0))</f>
        <v/>
      </c>
      <c r="H199" s="1956"/>
      <c r="I199" s="1835"/>
      <c r="J199" s="1869"/>
      <c r="K199" s="1873"/>
      <c r="L199" s="1956" t="s">
        <v>391</v>
      </c>
      <c r="M199" s="449"/>
      <c r="N199" s="442"/>
      <c r="O199" s="1720"/>
      <c r="P199" s="1720"/>
      <c r="AH199" s="1727">
        <v>0</v>
      </c>
    </row>
    <row s="10232" customFormat="1" customHeight="1" ht="18.75" hidden="1">
      <c r="A200" s="1875"/>
      <c r="B200" s="1875"/>
      <c r="C200" s="476" t="s">
        <v>1441</v>
      </c>
      <c r="D200" s="3304"/>
      <c r="E200" s="3072"/>
      <c r="F200" s="3211"/>
      <c r="G200" s="3280"/>
      <c r="H200" s="1596"/>
      <c r="I200" s="758" t="s">
        <v>1440</v>
      </c>
      <c r="J200" s="678"/>
      <c r="K200" s="1596"/>
      <c r="L200" s="322"/>
      <c r="M200" s="449"/>
      <c r="N200" s="442"/>
      <c r="O200" s="1720"/>
      <c r="P200" s="1720"/>
      <c r="AH200" s="1727">
        <v>0</v>
      </c>
    </row>
    <row s="10232" customFormat="1" customHeight="1" ht="0.75" hidden="1">
      <c r="A201" s="1875"/>
      <c r="B201" s="1875"/>
      <c r="C201" s="476" t="s">
        <v>1448</v>
      </c>
      <c r="D201" s="3304"/>
      <c r="E201" s="3072"/>
      <c r="F201" s="3211"/>
      <c r="G201" s="507"/>
      <c r="H201" s="1596"/>
      <c r="I201" s="758"/>
      <c r="J201" s="678"/>
      <c r="K201" s="1596"/>
      <c r="L201" s="322"/>
      <c r="M201" s="449"/>
      <c r="N201" s="442"/>
      <c r="O201" s="1720"/>
      <c r="P201" s="1720"/>
      <c r="AH201" s="1727">
        <v>0</v>
      </c>
    </row>
    <row s="10232" customFormat="1" customHeight="1" ht="18.75" hidden="1">
      <c r="A202" s="1875" t="s">
        <v>355</v>
      </c>
      <c r="B202" s="1875" t="s">
        <v>356</v>
      </c>
      <c r="C202" s="476"/>
      <c r="D202" s="3304"/>
      <c r="E202" s="3072"/>
      <c r="F202" s="3211" t="str">
        <f>INDEX(PT_DIFFERENTIATION_VTAR,MATCH(A202,PT_DIFFERENTIATION_VTAR_ID,0))</f>
        <v>Тариф на транспортировку сточных вод</v>
      </c>
      <c r="G202" s="3280" t="str">
        <f>INDEX(PT_DIFFERENTIATION_NTAR,MATCH(B202,PT_DIFFERENTIATION_NTAR_ID,0))</f>
        <v/>
      </c>
      <c r="H202" s="1956"/>
      <c r="I202" s="1835"/>
      <c r="J202" s="1869"/>
      <c r="K202" s="1873"/>
      <c r="L202" s="1956" t="s">
        <v>391</v>
      </c>
      <c r="M202" s="449"/>
      <c r="N202" s="442"/>
      <c r="O202" s="1720"/>
      <c r="P202" s="1720"/>
      <c r="AH202" s="1727">
        <v>0</v>
      </c>
    </row>
    <row s="10232" customFormat="1" customHeight="1" ht="18.75" hidden="1">
      <c r="A203" s="1875"/>
      <c r="B203" s="1875"/>
      <c r="C203" s="476" t="s">
        <v>1441</v>
      </c>
      <c r="D203" s="3304"/>
      <c r="E203" s="3072"/>
      <c r="F203" s="3211"/>
      <c r="G203" s="3280"/>
      <c r="H203" s="1596"/>
      <c r="I203" s="758" t="s">
        <v>1440</v>
      </c>
      <c r="J203" s="678"/>
      <c r="K203" s="1596"/>
      <c r="L203" s="322"/>
      <c r="M203" s="449"/>
      <c r="N203" s="442"/>
      <c r="O203" s="1720"/>
      <c r="P203" s="1720"/>
      <c r="AH203" s="1727">
        <v>0</v>
      </c>
    </row>
    <row s="10232" customFormat="1" customHeight="1" ht="0.75" hidden="1">
      <c r="A204" s="1875"/>
      <c r="B204" s="1875"/>
      <c r="C204" s="476" t="s">
        <v>1448</v>
      </c>
      <c r="D204" s="3304"/>
      <c r="E204" s="3072"/>
      <c r="F204" s="3211"/>
      <c r="G204" s="507"/>
      <c r="H204" s="1596"/>
      <c r="I204" s="758"/>
      <c r="J204" s="678"/>
      <c r="K204" s="1596"/>
      <c r="L204" s="322"/>
      <c r="M204" s="449"/>
      <c r="N204" s="442"/>
      <c r="O204" s="1720"/>
      <c r="P204" s="1720"/>
      <c r="AH204" s="1727">
        <v>0</v>
      </c>
    </row>
    <row s="10232" customFormat="1" customHeight="1" ht="18.75" hidden="1">
      <c r="A205" s="1875" t="s">
        <v>360</v>
      </c>
      <c r="B205" s="1875" t="s">
        <v>361</v>
      </c>
      <c r="C205" s="476"/>
      <c r="D205" s="3304"/>
      <c r="E205" s="3072"/>
      <c r="F205" s="3211" t="str">
        <f>INDEX(PT_DIFFERENTIATION_VTAR,MATCH(A205,PT_DIFFERENTIATION_VTAR_ID,0))</f>
        <v>Тариф на подключение (технологическое присоединение) к централизованной системе водоотведения</v>
      </c>
      <c r="G205" s="3280" t="str">
        <f>INDEX(PT_DIFFERENTIATION_NTAR,MATCH(B205,PT_DIFFERENTIATION_NTAR_ID,0))</f>
        <v/>
      </c>
      <c r="H205" s="1956"/>
      <c r="I205" s="1835"/>
      <c r="J205" s="1869"/>
      <c r="K205" s="1873"/>
      <c r="L205" s="1956" t="s">
        <v>391</v>
      </c>
      <c r="M205" s="449"/>
      <c r="N205" s="442"/>
      <c r="O205" s="1720"/>
      <c r="P205" s="1720"/>
      <c r="AH205" s="1727">
        <v>0</v>
      </c>
    </row>
    <row s="10232" customFormat="1" customHeight="1" ht="18.75" hidden="1">
      <c r="A206" s="1875"/>
      <c r="B206" s="1875"/>
      <c r="C206" s="476" t="s">
        <v>1441</v>
      </c>
      <c r="D206" s="3304"/>
      <c r="E206" s="3072"/>
      <c r="F206" s="3211"/>
      <c r="G206" s="3280"/>
      <c r="H206" s="1596"/>
      <c r="I206" s="758" t="s">
        <v>1440</v>
      </c>
      <c r="J206" s="678"/>
      <c r="K206" s="1596"/>
      <c r="L206" s="322"/>
      <c r="M206" s="449"/>
      <c r="N206" s="442"/>
      <c r="O206" s="1720"/>
      <c r="P206" s="1720"/>
      <c r="AH206" s="1727">
        <v>0</v>
      </c>
    </row>
    <row s="10232" customFormat="1" customHeight="1" ht="1.05">
      <c r="A207" s="1875"/>
      <c r="B207" s="1875"/>
      <c r="C207" s="476" t="s">
        <v>1448</v>
      </c>
      <c r="D207" s="3304"/>
      <c r="E207" s="3072"/>
      <c r="F207" s="3211"/>
      <c r="G207" s="507"/>
      <c r="H207" s="1596"/>
      <c r="I207" s="758"/>
      <c r="J207" s="678"/>
      <c r="K207" s="1596"/>
      <c r="L207" s="322"/>
      <c r="M207" s="449"/>
      <c r="N207" s="442"/>
      <c r="O207" s="1720"/>
      <c r="P207" s="1720"/>
      <c r="AH207" s="1727">
        <v>1</v>
      </c>
    </row>
    <row customHeight="1" ht="27.299999999999997">
      <c r="A208" s="1875"/>
      <c r="B208" s="1875"/>
      <c r="D208" s="483"/>
      <c r="E208" s="255" t="s">
        <v>121</v>
      </c>
      <c r="F208" s="3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303"/>
      <c r="H208" s="3303"/>
      <c r="I208" s="3303"/>
      <c r="J208" s="3303"/>
      <c r="K208" s="3303"/>
      <c r="L208" s="3303"/>
      <c r="M208" s="405"/>
      <c r="N208" s="442"/>
      <c r="AH208" s="481">
        <v>26</v>
      </c>
    </row>
    <row s="10232" customFormat="1" customHeight="1" ht="60.75" hidden="1">
      <c r="A209" s="1875" t="s">
        <v>242</v>
      </c>
      <c r="B209" s="1875" t="s">
        <v>243</v>
      </c>
      <c r="C209" s="476"/>
      <c r="D209" s="3304"/>
      <c r="E209" s="3072"/>
      <c r="F209" s="321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280" t="str">
        <f>INDEX(PT_DIFFERENTIATION_NTAR,MATCH(B209,PT_DIFFERENTIATION_NTAR_ID,0))</f>
        <v/>
      </c>
      <c r="H209" s="1956"/>
      <c r="I209" s="1835"/>
      <c r="J209" s="1869"/>
      <c r="K209" s="1873"/>
      <c r="L209" s="1956" t="s">
        <v>391</v>
      </c>
      <c r="M209" s="3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2"/>
      <c r="O209" s="1720"/>
      <c r="P209" s="1720"/>
      <c r="AH209" s="1727">
        <v>0</v>
      </c>
    </row>
    <row s="10232" customFormat="1" customHeight="1" ht="18.75" hidden="1">
      <c r="A210" s="1875"/>
      <c r="B210" s="1875"/>
      <c r="C210" s="476" t="s">
        <v>1441</v>
      </c>
      <c r="D210" s="3304"/>
      <c r="E210" s="3072"/>
      <c r="F210" s="3211"/>
      <c r="G210" s="3280"/>
      <c r="H210" s="1596"/>
      <c r="I210" s="758" t="s">
        <v>1440</v>
      </c>
      <c r="J210" s="678"/>
      <c r="K210" s="1596"/>
      <c r="L210" s="322"/>
      <c r="M210" s="3033"/>
      <c r="N210" s="442"/>
      <c r="O210" s="1720"/>
      <c r="P210" s="1720"/>
      <c r="AH210" s="1727">
        <v>0</v>
      </c>
    </row>
    <row s="10232" customFormat="1" customHeight="1" ht="0.75" hidden="1">
      <c r="A211" s="1875"/>
      <c r="B211" s="1875"/>
      <c r="C211" s="476" t="s">
        <v>1448</v>
      </c>
      <c r="D211" s="3304"/>
      <c r="E211" s="3072"/>
      <c r="F211" s="3211"/>
      <c r="G211" s="507"/>
      <c r="H211" s="1596"/>
      <c r="I211" s="758"/>
      <c r="J211" s="678"/>
      <c r="K211" s="1596"/>
      <c r="L211" s="322"/>
      <c r="M211" s="3033"/>
      <c r="N211" s="442"/>
      <c r="O211" s="1720"/>
      <c r="P211" s="1720"/>
      <c r="AH211" s="1727">
        <v>0</v>
      </c>
    </row>
    <row s="10232" customFormat="1" customHeight="1" ht="45" hidden="1">
      <c r="A212" s="1875" t="s">
        <v>247</v>
      </c>
      <c r="B212" s="1875" t="s">
        <v>248</v>
      </c>
      <c r="C212" s="476"/>
      <c r="D212" s="3304"/>
      <c r="E212" s="3072"/>
      <c r="F212" s="3211" t="str">
        <f>INDEX(PT_DIFFERENTIATION_VTAR,MATCH(A212,PT_DIFFERENTIATION_VTAR_ID,0))</f>
        <v/>
      </c>
      <c r="G212" s="3280" t="str">
        <f>INDEX(PT_DIFFERENTIATION_NTAR,MATCH(B212,PT_DIFFERENTIATION_NTAR_ID,0))</f>
        <v/>
      </c>
      <c r="H212" s="1956"/>
      <c r="I212" s="1835"/>
      <c r="J212" s="1869"/>
      <c r="K212" s="1873"/>
      <c r="L212" s="1956" t="s">
        <v>391</v>
      </c>
      <c r="M212" s="3034"/>
      <c r="N212" s="442"/>
      <c r="O212" s="1720"/>
      <c r="P212" s="1720"/>
      <c r="AH212" s="1727">
        <v>0</v>
      </c>
    </row>
    <row s="10232" customFormat="1" customHeight="1" ht="18.75" hidden="1">
      <c r="A213" s="1875"/>
      <c r="B213" s="1875"/>
      <c r="C213" s="476" t="s">
        <v>1441</v>
      </c>
      <c r="D213" s="3304"/>
      <c r="E213" s="3072"/>
      <c r="F213" s="3211"/>
      <c r="G213" s="3280"/>
      <c r="H213" s="1596"/>
      <c r="I213" s="758" t="s">
        <v>1440</v>
      </c>
      <c r="J213" s="678"/>
      <c r="K213" s="1596"/>
      <c r="L213" s="322"/>
      <c r="M213" s="1955"/>
      <c r="N213" s="442"/>
      <c r="O213" s="1720"/>
      <c r="P213" s="1720"/>
      <c r="AH213" s="1727">
        <v>0</v>
      </c>
    </row>
    <row s="10232" customFormat="1" customHeight="1" ht="0.75" hidden="1">
      <c r="A214" s="1875"/>
      <c r="B214" s="1875"/>
      <c r="C214" s="476" t="s">
        <v>1448</v>
      </c>
      <c r="D214" s="3304"/>
      <c r="E214" s="3072"/>
      <c r="F214" s="3211"/>
      <c r="G214" s="507"/>
      <c r="H214" s="1596"/>
      <c r="I214" s="758"/>
      <c r="J214" s="678"/>
      <c r="K214" s="1596"/>
      <c r="L214" s="322"/>
      <c r="M214" s="449"/>
      <c r="N214" s="442"/>
      <c r="O214" s="1720"/>
      <c r="P214" s="1720"/>
      <c r="AH214" s="1727">
        <v>0</v>
      </c>
    </row>
    <row s="10232" customFormat="1" customHeight="1" ht="45" hidden="1">
      <c r="A215" s="1875" t="s">
        <v>254</v>
      </c>
      <c r="B215" s="1875" t="s">
        <v>255</v>
      </c>
      <c r="C215" s="476"/>
      <c r="D215" s="3304"/>
      <c r="E215" s="3072"/>
      <c r="F215" s="321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280" t="str">
        <f>INDEX(PT_DIFFERENTIATION_NTAR,MATCH(B215,PT_DIFFERENTIATION_NTAR_ID,0))</f>
        <v/>
      </c>
      <c r="H215" s="1956"/>
      <c r="I215" s="1835"/>
      <c r="J215" s="1869"/>
      <c r="K215" s="1873"/>
      <c r="L215" s="1956" t="s">
        <v>391</v>
      </c>
      <c r="M215" s="449"/>
      <c r="N215" s="442"/>
      <c r="O215" s="1720"/>
      <c r="P215" s="1720"/>
      <c r="AH215" s="1727">
        <v>0</v>
      </c>
    </row>
    <row s="10232" customFormat="1" customHeight="1" ht="18.75" hidden="1">
      <c r="A216" s="1875"/>
      <c r="B216" s="1875"/>
      <c r="C216" s="476" t="s">
        <v>1441</v>
      </c>
      <c r="D216" s="3304"/>
      <c r="E216" s="3072"/>
      <c r="F216" s="3211"/>
      <c r="G216" s="3280"/>
      <c r="H216" s="1596"/>
      <c r="I216" s="758" t="s">
        <v>1440</v>
      </c>
      <c r="J216" s="678"/>
      <c r="K216" s="1596"/>
      <c r="L216" s="322"/>
      <c r="M216" s="449"/>
      <c r="N216" s="442"/>
      <c r="O216" s="1720"/>
      <c r="P216" s="1720"/>
      <c r="AH216" s="1727">
        <v>0</v>
      </c>
    </row>
    <row s="10232" customFormat="1" customHeight="1" ht="0.75" hidden="1">
      <c r="A217" s="1875"/>
      <c r="B217" s="1875"/>
      <c r="C217" s="476" t="s">
        <v>1448</v>
      </c>
      <c r="D217" s="3304"/>
      <c r="E217" s="3072"/>
      <c r="F217" s="3211"/>
      <c r="G217" s="507"/>
      <c r="H217" s="1596"/>
      <c r="I217" s="758"/>
      <c r="J217" s="678"/>
      <c r="K217" s="1596"/>
      <c r="L217" s="322"/>
      <c r="M217" s="449"/>
      <c r="N217" s="442"/>
      <c r="O217" s="1720"/>
      <c r="P217" s="1720"/>
      <c r="AH217" s="1727">
        <v>0</v>
      </c>
    </row>
    <row s="10232" customFormat="1" customHeight="1" ht="45" hidden="1">
      <c r="A218" s="1875" t="s">
        <v>260</v>
      </c>
      <c r="B218" s="1875" t="s">
        <v>261</v>
      </c>
      <c r="C218" s="476"/>
      <c r="D218" s="3304"/>
      <c r="E218" s="3072"/>
      <c r="F218" s="321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280" t="str">
        <f>INDEX(PT_DIFFERENTIATION_NTAR,MATCH(B218,PT_DIFFERENTIATION_NTAR_ID,0))</f>
        <v/>
      </c>
      <c r="H218" s="1956"/>
      <c r="I218" s="1835"/>
      <c r="J218" s="1869"/>
      <c r="K218" s="1873"/>
      <c r="L218" s="1956" t="s">
        <v>391</v>
      </c>
      <c r="M218" s="449"/>
      <c r="N218" s="442"/>
      <c r="O218" s="1720"/>
      <c r="P218" s="1720"/>
      <c r="AH218" s="1727">
        <v>0</v>
      </c>
    </row>
    <row s="10232" customFormat="1" customHeight="1" ht="18.75" hidden="1">
      <c r="A219" s="1875"/>
      <c r="B219" s="1875"/>
      <c r="C219" s="476" t="s">
        <v>1441</v>
      </c>
      <c r="D219" s="3304"/>
      <c r="E219" s="3072"/>
      <c r="F219" s="3211"/>
      <c r="G219" s="3280"/>
      <c r="H219" s="1596"/>
      <c r="I219" s="758" t="s">
        <v>1440</v>
      </c>
      <c r="J219" s="678"/>
      <c r="K219" s="1596"/>
      <c r="L219" s="322"/>
      <c r="M219" s="449"/>
      <c r="N219" s="442"/>
      <c r="O219" s="1720"/>
      <c r="P219" s="1720"/>
      <c r="AH219" s="1727">
        <v>0</v>
      </c>
    </row>
    <row s="10232" customFormat="1" customHeight="1" ht="0.75" hidden="1">
      <c r="A220" s="1875"/>
      <c r="B220" s="1875"/>
      <c r="C220" s="476" t="s">
        <v>1448</v>
      </c>
      <c r="D220" s="3304"/>
      <c r="E220" s="3072"/>
      <c r="F220" s="3211"/>
      <c r="G220" s="507"/>
      <c r="H220" s="1596"/>
      <c r="I220" s="758"/>
      <c r="J220" s="678"/>
      <c r="K220" s="1596"/>
      <c r="L220" s="322"/>
      <c r="M220" s="449"/>
      <c r="N220" s="442"/>
      <c r="O220" s="1720"/>
      <c r="P220" s="1720"/>
      <c r="AH220" s="1727">
        <v>0</v>
      </c>
    </row>
    <row s="10232" customFormat="1" customHeight="1" ht="18.75" hidden="1">
      <c r="A221" s="1875" t="s">
        <v>266</v>
      </c>
      <c r="B221" s="1875" t="s">
        <v>267</v>
      </c>
      <c r="C221" s="476"/>
      <c r="D221" s="3304"/>
      <c r="E221" s="3072"/>
      <c r="F221" s="3211" t="str">
        <f>INDEX(PT_DIFFERENTIATION_VTAR,MATCH(A221,PT_DIFFERENTIATION_VTAR_ID,0))</f>
        <v>Тарифы на услуги по передаче тепловой энергии</v>
      </c>
      <c r="G221" s="3280" t="str">
        <f>INDEX(PT_DIFFERENTIATION_NTAR,MATCH(B221,PT_DIFFERENTIATION_NTAR_ID,0))</f>
        <v/>
      </c>
      <c r="H221" s="1956"/>
      <c r="I221" s="1835"/>
      <c r="J221" s="1869"/>
      <c r="K221" s="1873"/>
      <c r="L221" s="1956" t="s">
        <v>391</v>
      </c>
      <c r="M221" s="449"/>
      <c r="N221" s="442"/>
      <c r="O221" s="1720"/>
      <c r="P221" s="1720"/>
      <c r="AH221" s="1727">
        <v>0</v>
      </c>
    </row>
    <row s="10232" customFormat="1" customHeight="1" ht="18.75" hidden="1">
      <c r="A222" s="1875"/>
      <c r="B222" s="1875"/>
      <c r="C222" s="476" t="s">
        <v>1441</v>
      </c>
      <c r="D222" s="3304"/>
      <c r="E222" s="3072"/>
      <c r="F222" s="3211"/>
      <c r="G222" s="3280"/>
      <c r="H222" s="1596"/>
      <c r="I222" s="758" t="s">
        <v>1440</v>
      </c>
      <c r="J222" s="678"/>
      <c r="K222" s="1596"/>
      <c r="L222" s="322"/>
      <c r="M222" s="449"/>
      <c r="N222" s="442"/>
      <c r="O222" s="1720"/>
      <c r="P222" s="1720"/>
      <c r="AH222" s="1727">
        <v>0</v>
      </c>
    </row>
    <row s="10232" customFormat="1" customHeight="1" ht="0.75" hidden="1">
      <c r="A223" s="1875"/>
      <c r="B223" s="1875"/>
      <c r="C223" s="476" t="s">
        <v>1448</v>
      </c>
      <c r="D223" s="3304"/>
      <c r="E223" s="3072"/>
      <c r="F223" s="3211"/>
      <c r="G223" s="507"/>
      <c r="H223" s="1596"/>
      <c r="I223" s="758"/>
      <c r="J223" s="678"/>
      <c r="K223" s="1596"/>
      <c r="L223" s="322"/>
      <c r="M223" s="449"/>
      <c r="N223" s="442"/>
      <c r="O223" s="1720"/>
      <c r="P223" s="1720"/>
      <c r="AH223" s="1727">
        <v>0</v>
      </c>
    </row>
    <row s="10232" customFormat="1" customHeight="1" ht="18.75" hidden="1">
      <c r="A224" s="1875" t="s">
        <v>272</v>
      </c>
      <c r="B224" s="1875" t="s">
        <v>273</v>
      </c>
      <c r="C224" s="476"/>
      <c r="D224" s="3304"/>
      <c r="E224" s="3072"/>
      <c r="F224" s="3211" t="str">
        <f>INDEX(PT_DIFFERENTIATION_VTAR,MATCH(A224,PT_DIFFERENTIATION_VTAR_ID,0))</f>
        <v>Тарифы на услуги по передаче теплоносителя</v>
      </c>
      <c r="G224" s="3280" t="str">
        <f>INDEX(PT_DIFFERENTIATION_NTAR,MATCH(B224,PT_DIFFERENTIATION_NTAR_ID,0))</f>
        <v/>
      </c>
      <c r="H224" s="1956"/>
      <c r="I224" s="1835"/>
      <c r="J224" s="1869"/>
      <c r="K224" s="1873"/>
      <c r="L224" s="1956" t="s">
        <v>391</v>
      </c>
      <c r="M224" s="449"/>
      <c r="N224" s="442"/>
      <c r="O224" s="1720"/>
      <c r="P224" s="1720"/>
      <c r="AH224" s="1727">
        <v>0</v>
      </c>
    </row>
    <row s="10232" customFormat="1" customHeight="1" ht="18.75" hidden="1">
      <c r="A225" s="1875"/>
      <c r="B225" s="1875"/>
      <c r="C225" s="476" t="s">
        <v>1441</v>
      </c>
      <c r="D225" s="3304"/>
      <c r="E225" s="3072"/>
      <c r="F225" s="3211"/>
      <c r="G225" s="3280"/>
      <c r="H225" s="1596"/>
      <c r="I225" s="758" t="s">
        <v>1440</v>
      </c>
      <c r="J225" s="678"/>
      <c r="K225" s="1596"/>
      <c r="L225" s="322"/>
      <c r="M225" s="449"/>
      <c r="N225" s="442"/>
      <c r="O225" s="1720"/>
      <c r="P225" s="1720"/>
      <c r="AH225" s="1727">
        <v>0</v>
      </c>
    </row>
    <row s="10232" customFormat="1" customHeight="1" ht="0.75" hidden="1">
      <c r="A226" s="1875"/>
      <c r="B226" s="1875"/>
      <c r="C226" s="476" t="s">
        <v>1448</v>
      </c>
      <c r="D226" s="3304"/>
      <c r="E226" s="3072"/>
      <c r="F226" s="3211"/>
      <c r="G226" s="507"/>
      <c r="H226" s="1596"/>
      <c r="I226" s="758"/>
      <c r="J226" s="678"/>
      <c r="K226" s="1596"/>
      <c r="L226" s="322"/>
      <c r="M226" s="449"/>
      <c r="N226" s="442"/>
      <c r="O226" s="1720"/>
      <c r="P226" s="1720"/>
      <c r="AH226" s="1727">
        <v>0</v>
      </c>
    </row>
    <row s="10232" customFormat="1" customHeight="1" ht="18.75" hidden="1">
      <c r="A227" s="1875" t="s">
        <v>278</v>
      </c>
      <c r="B227" s="1875" t="s">
        <v>279</v>
      </c>
      <c r="C227" s="476"/>
      <c r="D227" s="3304"/>
      <c r="E227" s="3072"/>
      <c r="F227" s="321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280" t="str">
        <f>INDEX(PT_DIFFERENTIATION_NTAR,MATCH(B227,PT_DIFFERENTIATION_NTAR_ID,0))</f>
        <v/>
      </c>
      <c r="H227" s="1956"/>
      <c r="I227" s="1835"/>
      <c r="J227" s="1869"/>
      <c r="K227" s="1873"/>
      <c r="L227" s="1956" t="s">
        <v>391</v>
      </c>
      <c r="M227" s="449"/>
      <c r="N227" s="442"/>
      <c r="O227" s="1720"/>
      <c r="P227" s="1720"/>
      <c r="AH227" s="1727">
        <v>0</v>
      </c>
    </row>
    <row s="10232" customFormat="1" customHeight="1" ht="18.75" hidden="1">
      <c r="A228" s="1875"/>
      <c r="B228" s="1875"/>
      <c r="C228" s="476" t="s">
        <v>1441</v>
      </c>
      <c r="D228" s="3304"/>
      <c r="E228" s="3072"/>
      <c r="F228" s="3211"/>
      <c r="G228" s="3280"/>
      <c r="H228" s="1596"/>
      <c r="I228" s="758" t="s">
        <v>1440</v>
      </c>
      <c r="J228" s="678"/>
      <c r="K228" s="1596"/>
      <c r="L228" s="322"/>
      <c r="M228" s="449"/>
      <c r="N228" s="442"/>
      <c r="O228" s="1720"/>
      <c r="P228" s="1720"/>
      <c r="AH228" s="1727">
        <v>0</v>
      </c>
    </row>
    <row s="10232" customFormat="1" customHeight="1" ht="0.75" hidden="1">
      <c r="A229" s="1875"/>
      <c r="B229" s="1875"/>
      <c r="C229" s="476" t="s">
        <v>1448</v>
      </c>
      <c r="D229" s="3304"/>
      <c r="E229" s="3072"/>
      <c r="F229" s="3211"/>
      <c r="G229" s="507"/>
      <c r="H229" s="1596"/>
      <c r="I229" s="758"/>
      <c r="J229" s="678"/>
      <c r="K229" s="1596"/>
      <c r="L229" s="322"/>
      <c r="M229" s="449"/>
      <c r="N229" s="442"/>
      <c r="O229" s="1720"/>
      <c r="P229" s="1720"/>
      <c r="AH229" s="1727">
        <v>0</v>
      </c>
    </row>
    <row s="10232" customFormat="1" customHeight="1" ht="18.75" hidden="1">
      <c r="A230" s="1875" t="s">
        <v>284</v>
      </c>
      <c r="B230" s="1875" t="s">
        <v>285</v>
      </c>
      <c r="C230" s="476"/>
      <c r="D230" s="3304"/>
      <c r="E230" s="3072"/>
      <c r="F230" s="3211" t="str">
        <f>INDEX(PT_DIFFERENTIATION_VTAR,MATCH(A230,PT_DIFFERENTIATION_VTAR_ID,0))</f>
        <v>Плата за подключение (технологическое присоединение) к системе теплоснабжения</v>
      </c>
      <c r="G230" s="3280" t="str">
        <f>INDEX(PT_DIFFERENTIATION_NTAR,MATCH(B230,PT_DIFFERENTIATION_NTAR_ID,0))</f>
        <v/>
      </c>
      <c r="H230" s="1956"/>
      <c r="I230" s="1835"/>
      <c r="J230" s="1869"/>
      <c r="K230" s="1873"/>
      <c r="L230" s="1956" t="s">
        <v>391</v>
      </c>
      <c r="M230" s="449"/>
      <c r="N230" s="442"/>
      <c r="O230" s="1720"/>
      <c r="P230" s="1720"/>
      <c r="AH230" s="1727">
        <v>0</v>
      </c>
    </row>
    <row s="10232" customFormat="1" customHeight="1" ht="18.75" hidden="1">
      <c r="A231" s="1875"/>
      <c r="B231" s="1875"/>
      <c r="C231" s="476" t="s">
        <v>1441</v>
      </c>
      <c r="D231" s="3304"/>
      <c r="E231" s="3072"/>
      <c r="F231" s="3211"/>
      <c r="G231" s="3280"/>
      <c r="H231" s="1596"/>
      <c r="I231" s="758" t="s">
        <v>1440</v>
      </c>
      <c r="J231" s="678"/>
      <c r="K231" s="1596"/>
      <c r="L231" s="322"/>
      <c r="M231" s="449"/>
      <c r="N231" s="442"/>
      <c r="O231" s="1720"/>
      <c r="P231" s="1720"/>
      <c r="AH231" s="1727">
        <v>0</v>
      </c>
    </row>
    <row s="10232" customFormat="1" customHeight="1" ht="0.75" hidden="1">
      <c r="A232" s="1875"/>
      <c r="B232" s="1875"/>
      <c r="C232" s="476" t="s">
        <v>1448</v>
      </c>
      <c r="D232" s="3304"/>
      <c r="E232" s="3072"/>
      <c r="F232" s="3211"/>
      <c r="G232" s="507"/>
      <c r="H232" s="1596"/>
      <c r="I232" s="758"/>
      <c r="J232" s="678"/>
      <c r="K232" s="1596"/>
      <c r="L232" s="322"/>
      <c r="M232" s="449"/>
      <c r="N232" s="442"/>
      <c r="O232" s="1720"/>
      <c r="P232" s="1720"/>
      <c r="AH232" s="1727">
        <v>0</v>
      </c>
    </row>
    <row s="10232" customFormat="1" customHeight="1" ht="18.75" hidden="1">
      <c r="A233" s="1875" t="s">
        <v>290</v>
      </c>
      <c r="B233" s="1875" t="s">
        <v>291</v>
      </c>
      <c r="C233" s="476"/>
      <c r="D233" s="3304"/>
      <c r="E233" s="3072"/>
      <c r="F233" s="3211" t="str">
        <f>INDEX(PT_DIFFERENTIATION_VTAR,MATCH(A233,PT_DIFFERENTIATION_VTAR_ID,0))</f>
        <v>Плата за подключение (технологическое присоединение) к системе теплоснабжения (индивидуальная)</v>
      </c>
      <c r="G233" s="3280" t="str">
        <f>INDEX(PT_DIFFERENTIATION_NTAR,MATCH(B233,PT_DIFFERENTIATION_NTAR_ID,0))</f>
        <v/>
      </c>
      <c r="H233" s="2080"/>
      <c r="I233" s="1835"/>
      <c r="J233" s="1869"/>
      <c r="K233" s="1873"/>
      <c r="L233" s="2080" t="s">
        <v>391</v>
      </c>
      <c r="M233" s="449"/>
      <c r="N233" s="442"/>
      <c r="O233" s="1720"/>
      <c r="P233" s="1720"/>
      <c r="AH233" s="1727">
        <v>0</v>
      </c>
    </row>
    <row s="10232" customFormat="1" customHeight="1" ht="18.75" hidden="1">
      <c r="A234" s="1875"/>
      <c r="B234" s="1875"/>
      <c r="C234" s="476" t="s">
        <v>1441</v>
      </c>
      <c r="D234" s="3304"/>
      <c r="E234" s="3072"/>
      <c r="F234" s="3211"/>
      <c r="G234" s="3280"/>
      <c r="H234" s="1596"/>
      <c r="I234" s="758" t="s">
        <v>1440</v>
      </c>
      <c r="J234" s="678"/>
      <c r="K234" s="1596"/>
      <c r="L234" s="322"/>
      <c r="M234" s="449"/>
      <c r="N234" s="442"/>
      <c r="O234" s="1720"/>
      <c r="P234" s="1720"/>
      <c r="AH234" s="1727">
        <v>0</v>
      </c>
    </row>
    <row s="10232" customFormat="1" customHeight="1" ht="0.75" hidden="1">
      <c r="A235" s="1875"/>
      <c r="B235" s="1875"/>
      <c r="C235" s="476" t="s">
        <v>1448</v>
      </c>
      <c r="D235" s="3304"/>
      <c r="E235" s="3072"/>
      <c r="F235" s="3211"/>
      <c r="G235" s="507"/>
      <c r="H235" s="1596"/>
      <c r="I235" s="758"/>
      <c r="J235" s="678"/>
      <c r="K235" s="1596"/>
      <c r="L235" s="322"/>
      <c r="M235" s="449"/>
      <c r="N235" s="442"/>
      <c r="O235" s="1720"/>
      <c r="P235" s="1720"/>
      <c r="AH235" s="1727">
        <v>0</v>
      </c>
    </row>
    <row s="10232" customFormat="1" customHeight="1" ht="18.75" hidden="1">
      <c r="A236" s="1875" t="s">
        <v>310</v>
      </c>
      <c r="B236" s="1875" t="s">
        <v>311</v>
      </c>
      <c r="C236" s="476"/>
      <c r="D236" s="3304"/>
      <c r="E236" s="3072"/>
      <c r="F236" s="3211" t="str">
        <f>INDEX(PT_DIFFERENTIATION_VTAR,MATCH(A236,PT_DIFFERENTIATION_VTAR_ID,0))</f>
        <v>Тариф на питьевую воду (питьевое водоснабжение)</v>
      </c>
      <c r="G236" s="3280" t="str">
        <f>INDEX(PT_DIFFERENTIATION_NTAR,MATCH(B236,PT_DIFFERENTIATION_NTAR_ID,0))</f>
        <v/>
      </c>
      <c r="H236" s="1956"/>
      <c r="I236" s="1835"/>
      <c r="J236" s="1869"/>
      <c r="K236" s="1873"/>
      <c r="L236" s="1956" t="s">
        <v>391</v>
      </c>
      <c r="M236" s="449"/>
      <c r="N236" s="442"/>
      <c r="O236" s="1720"/>
      <c r="P236" s="1720"/>
      <c r="AH236" s="1727">
        <v>0</v>
      </c>
    </row>
    <row s="10232" customFormat="1" customHeight="1" ht="18.75" hidden="1">
      <c r="A237" s="1875"/>
      <c r="B237" s="1875"/>
      <c r="C237" s="476" t="s">
        <v>1441</v>
      </c>
      <c r="D237" s="3304"/>
      <c r="E237" s="3072"/>
      <c r="F237" s="3211"/>
      <c r="G237" s="3280"/>
      <c r="H237" s="1596"/>
      <c r="I237" s="758" t="s">
        <v>1440</v>
      </c>
      <c r="J237" s="678"/>
      <c r="K237" s="1596"/>
      <c r="L237" s="322"/>
      <c r="M237" s="449"/>
      <c r="N237" s="442"/>
      <c r="O237" s="1720"/>
      <c r="P237" s="1720"/>
      <c r="AH237" s="1727">
        <v>0</v>
      </c>
    </row>
    <row s="10232" customFormat="1" customHeight="1" ht="0.75" hidden="1">
      <c r="A238" s="1875"/>
      <c r="B238" s="1875"/>
      <c r="C238" s="476" t="s">
        <v>1448</v>
      </c>
      <c r="D238" s="3304"/>
      <c r="E238" s="3072"/>
      <c r="F238" s="3211"/>
      <c r="G238" s="507"/>
      <c r="H238" s="1596"/>
      <c r="I238" s="758"/>
      <c r="J238" s="678"/>
      <c r="K238" s="1596"/>
      <c r="L238" s="322"/>
      <c r="M238" s="449"/>
      <c r="N238" s="442"/>
      <c r="O238" s="1720"/>
      <c r="P238" s="1720"/>
      <c r="AH238" s="1727">
        <v>0</v>
      </c>
    </row>
    <row s="10232" customFormat="1" customHeight="1" ht="18.75" hidden="1">
      <c r="A239" s="1875" t="s">
        <v>315</v>
      </c>
      <c r="B239" s="1875" t="s">
        <v>316</v>
      </c>
      <c r="C239" s="476"/>
      <c r="D239" s="3304"/>
      <c r="E239" s="3072"/>
      <c r="F239" s="3211" t="str">
        <f>INDEX(PT_DIFFERENTIATION_VTAR,MATCH(A239,PT_DIFFERENTIATION_VTAR_ID,0))</f>
        <v>Тариф на техническую воду</v>
      </c>
      <c r="G239" s="3280" t="str">
        <f>INDEX(PT_DIFFERENTIATION_NTAR,MATCH(B239,PT_DIFFERENTIATION_NTAR_ID,0))</f>
        <v/>
      </c>
      <c r="H239" s="1956"/>
      <c r="I239" s="1835"/>
      <c r="J239" s="1869"/>
      <c r="K239" s="1873"/>
      <c r="L239" s="1956" t="s">
        <v>391</v>
      </c>
      <c r="M239" s="449"/>
      <c r="N239" s="442"/>
      <c r="O239" s="1720"/>
      <c r="P239" s="1720"/>
      <c r="AH239" s="1727">
        <v>0</v>
      </c>
    </row>
    <row s="10232" customFormat="1" customHeight="1" ht="18.75" hidden="1">
      <c r="A240" s="1875"/>
      <c r="B240" s="1875"/>
      <c r="C240" s="476" t="s">
        <v>1441</v>
      </c>
      <c r="D240" s="3304"/>
      <c r="E240" s="3072"/>
      <c r="F240" s="3211"/>
      <c r="G240" s="3280"/>
      <c r="H240" s="1596"/>
      <c r="I240" s="758" t="s">
        <v>1440</v>
      </c>
      <c r="J240" s="678"/>
      <c r="K240" s="1596"/>
      <c r="L240" s="322"/>
      <c r="M240" s="449"/>
      <c r="N240" s="442"/>
      <c r="O240" s="1720"/>
      <c r="P240" s="1720"/>
      <c r="AH240" s="1727">
        <v>0</v>
      </c>
    </row>
    <row s="10232" customFormat="1" customHeight="1" ht="0.75" hidden="1">
      <c r="A241" s="1875"/>
      <c r="B241" s="1875"/>
      <c r="C241" s="476" t="s">
        <v>1448</v>
      </c>
      <c r="D241" s="3304"/>
      <c r="E241" s="3072"/>
      <c r="F241" s="3211"/>
      <c r="G241" s="507"/>
      <c r="H241" s="1596"/>
      <c r="I241" s="758"/>
      <c r="J241" s="678"/>
      <c r="K241" s="1596"/>
      <c r="L241" s="322"/>
      <c r="M241" s="449"/>
      <c r="N241" s="442"/>
      <c r="O241" s="1720"/>
      <c r="P241" s="1720"/>
      <c r="AH241" s="1727">
        <v>0</v>
      </c>
    </row>
    <row s="10232" customFormat="1" customHeight="1" ht="18.75" hidden="1">
      <c r="A242" s="1875" t="s">
        <v>320</v>
      </c>
      <c r="B242" s="1875" t="s">
        <v>321</v>
      </c>
      <c r="C242" s="476"/>
      <c r="D242" s="3304"/>
      <c r="E242" s="3072"/>
      <c r="F242" s="3211" t="str">
        <f>INDEX(PT_DIFFERENTIATION_VTAR,MATCH(A242,PT_DIFFERENTIATION_VTAR_ID,0))</f>
        <v>Тариф на транспортировку воды</v>
      </c>
      <c r="G242" s="3280" t="str">
        <f>INDEX(PT_DIFFERENTIATION_NTAR,MATCH(B242,PT_DIFFERENTIATION_NTAR_ID,0))</f>
        <v/>
      </c>
      <c r="H242" s="1956"/>
      <c r="I242" s="1835"/>
      <c r="J242" s="1869"/>
      <c r="K242" s="1873"/>
      <c r="L242" s="1956" t="s">
        <v>391</v>
      </c>
      <c r="M242" s="449"/>
      <c r="N242" s="442"/>
      <c r="O242" s="1720"/>
      <c r="P242" s="1720"/>
      <c r="AH242" s="1727">
        <v>0</v>
      </c>
    </row>
    <row s="10232" customFormat="1" customHeight="1" ht="18.75" hidden="1">
      <c r="A243" s="1875"/>
      <c r="B243" s="1875"/>
      <c r="C243" s="476" t="s">
        <v>1441</v>
      </c>
      <c r="D243" s="3304"/>
      <c r="E243" s="3072"/>
      <c r="F243" s="3211"/>
      <c r="G243" s="3280"/>
      <c r="H243" s="1596"/>
      <c r="I243" s="758" t="s">
        <v>1440</v>
      </c>
      <c r="J243" s="678"/>
      <c r="K243" s="1596"/>
      <c r="L243" s="322"/>
      <c r="M243" s="449"/>
      <c r="N243" s="442"/>
      <c r="O243" s="1720"/>
      <c r="P243" s="1720"/>
      <c r="AH243" s="1727">
        <v>0</v>
      </c>
    </row>
    <row s="10232" customFormat="1" customHeight="1" ht="0.75" hidden="1">
      <c r="A244" s="1875"/>
      <c r="B244" s="1875"/>
      <c r="C244" s="476" t="s">
        <v>1448</v>
      </c>
      <c r="D244" s="3304"/>
      <c r="E244" s="3072"/>
      <c r="F244" s="3211"/>
      <c r="G244" s="507"/>
      <c r="H244" s="1596"/>
      <c r="I244" s="758"/>
      <c r="J244" s="678"/>
      <c r="K244" s="1596"/>
      <c r="L244" s="322"/>
      <c r="M244" s="449"/>
      <c r="N244" s="442"/>
      <c r="O244" s="1720"/>
      <c r="P244" s="1720"/>
      <c r="AH244" s="1727">
        <v>0</v>
      </c>
    </row>
    <row s="10232" customFormat="1" customHeight="1" ht="18.75" hidden="1">
      <c r="A245" s="1875" t="s">
        <v>325</v>
      </c>
      <c r="B245" s="1875" t="s">
        <v>326</v>
      </c>
      <c r="C245" s="476"/>
      <c r="D245" s="3304"/>
      <c r="E245" s="3072"/>
      <c r="F245" s="3211" t="str">
        <f>INDEX(PT_DIFFERENTIATION_VTAR,MATCH(A245,PT_DIFFERENTIATION_VTAR_ID,0))</f>
        <v>Тариф на подвоз воды</v>
      </c>
      <c r="G245" s="3280" t="str">
        <f>INDEX(PT_DIFFERENTIATION_NTAR,MATCH(B245,PT_DIFFERENTIATION_NTAR_ID,0))</f>
        <v/>
      </c>
      <c r="H245" s="1956"/>
      <c r="I245" s="1835"/>
      <c r="J245" s="1869"/>
      <c r="K245" s="1873"/>
      <c r="L245" s="1956" t="s">
        <v>391</v>
      </c>
      <c r="M245" s="449"/>
      <c r="N245" s="442"/>
      <c r="O245" s="1720"/>
      <c r="P245" s="1720"/>
      <c r="AH245" s="1727">
        <v>0</v>
      </c>
    </row>
    <row s="10232" customFormat="1" customHeight="1" ht="18.75" hidden="1">
      <c r="A246" s="1875"/>
      <c r="B246" s="1875"/>
      <c r="C246" s="476" t="s">
        <v>1441</v>
      </c>
      <c r="D246" s="3304"/>
      <c r="E246" s="3072"/>
      <c r="F246" s="3211"/>
      <c r="G246" s="3280"/>
      <c r="H246" s="1596"/>
      <c r="I246" s="758" t="s">
        <v>1440</v>
      </c>
      <c r="J246" s="678"/>
      <c r="K246" s="1596"/>
      <c r="L246" s="322"/>
      <c r="M246" s="449"/>
      <c r="N246" s="442"/>
      <c r="O246" s="1720"/>
      <c r="P246" s="1720"/>
      <c r="AH246" s="1727">
        <v>0</v>
      </c>
    </row>
    <row s="10232" customFormat="1" customHeight="1" ht="0.75" hidden="1">
      <c r="A247" s="1875"/>
      <c r="B247" s="1875"/>
      <c r="C247" s="476" t="s">
        <v>1448</v>
      </c>
      <c r="D247" s="3304"/>
      <c r="E247" s="3072"/>
      <c r="F247" s="3211"/>
      <c r="G247" s="507"/>
      <c r="H247" s="1596"/>
      <c r="I247" s="758"/>
      <c r="J247" s="678"/>
      <c r="K247" s="1596"/>
      <c r="L247" s="322"/>
      <c r="M247" s="449"/>
      <c r="N247" s="442"/>
      <c r="O247" s="1720"/>
      <c r="P247" s="1720"/>
      <c r="AH247" s="1727">
        <v>0</v>
      </c>
    </row>
    <row s="10232" customFormat="1" customHeight="1" ht="18.75" hidden="1">
      <c r="A248" s="1875" t="s">
        <v>330</v>
      </c>
      <c r="B248" s="1875" t="s">
        <v>331</v>
      </c>
      <c r="C248" s="476"/>
      <c r="D248" s="3304"/>
      <c r="E248" s="3072"/>
      <c r="F248" s="321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280" t="str">
        <f>INDEX(PT_DIFFERENTIATION_NTAR,MATCH(B248,PT_DIFFERENTIATION_NTAR_ID,0))</f>
        <v/>
      </c>
      <c r="H248" s="1956"/>
      <c r="I248" s="1835"/>
      <c r="J248" s="1869"/>
      <c r="K248" s="1873"/>
      <c r="L248" s="1956" t="s">
        <v>391</v>
      </c>
      <c r="M248" s="449"/>
      <c r="N248" s="442"/>
      <c r="O248" s="1720"/>
      <c r="P248" s="1720"/>
      <c r="AH248" s="1727">
        <v>0</v>
      </c>
    </row>
    <row s="10232" customFormat="1" customHeight="1" ht="18.75" hidden="1">
      <c r="A249" s="1875"/>
      <c r="B249" s="1875"/>
      <c r="C249" s="476" t="s">
        <v>1441</v>
      </c>
      <c r="D249" s="3304"/>
      <c r="E249" s="3072"/>
      <c r="F249" s="3211"/>
      <c r="G249" s="3280"/>
      <c r="H249" s="1596"/>
      <c r="I249" s="758" t="s">
        <v>1440</v>
      </c>
      <c r="J249" s="678"/>
      <c r="K249" s="1596"/>
      <c r="L249" s="322"/>
      <c r="M249" s="449"/>
      <c r="N249" s="442"/>
      <c r="O249" s="1720"/>
      <c r="P249" s="1720"/>
      <c r="AH249" s="1727">
        <v>0</v>
      </c>
    </row>
    <row s="10232" customFormat="1" customHeight="1" ht="0.75" hidden="1">
      <c r="A250" s="1875"/>
      <c r="B250" s="1875"/>
      <c r="C250" s="476" t="s">
        <v>1448</v>
      </c>
      <c r="D250" s="3304"/>
      <c r="E250" s="3072"/>
      <c r="F250" s="3211"/>
      <c r="G250" s="507"/>
      <c r="H250" s="1596"/>
      <c r="I250" s="758"/>
      <c r="J250" s="678"/>
      <c r="K250" s="1596"/>
      <c r="L250" s="322"/>
      <c r="M250" s="449"/>
      <c r="N250" s="442"/>
      <c r="O250" s="1720"/>
      <c r="P250" s="1720"/>
      <c r="AH250" s="1727">
        <v>0</v>
      </c>
    </row>
    <row s="10232" customFormat="1" customHeight="1" ht="18.75" hidden="1">
      <c r="A251" s="1875" t="s">
        <v>335</v>
      </c>
      <c r="B251" s="1875" t="s">
        <v>336</v>
      </c>
      <c r="C251" s="476"/>
      <c r="D251" s="3304"/>
      <c r="E251" s="3072"/>
      <c r="F251" s="3211" t="str">
        <f>INDEX(PT_DIFFERENTIATION_VTAR,MATCH(A251,PT_DIFFERENTIATION_VTAR_ID,0))</f>
        <v>Тариф на горячую воду (горячее водоснабжение)</v>
      </c>
      <c r="G251" s="3280" t="str">
        <f>INDEX(PT_DIFFERENTIATION_NTAR,MATCH(B251,PT_DIFFERENTIATION_NTAR_ID,0))</f>
        <v/>
      </c>
      <c r="H251" s="1956"/>
      <c r="I251" s="1835"/>
      <c r="J251" s="1869"/>
      <c r="K251" s="1873"/>
      <c r="L251" s="1956" t="s">
        <v>391</v>
      </c>
      <c r="M251" s="449"/>
      <c r="N251" s="442"/>
      <c r="O251" s="1720"/>
      <c r="P251" s="1720"/>
      <c r="AH251" s="1727">
        <v>0</v>
      </c>
    </row>
    <row s="10232" customFormat="1" customHeight="1" ht="18.75" hidden="1">
      <c r="A252" s="1875"/>
      <c r="B252" s="1875"/>
      <c r="C252" s="476" t="s">
        <v>1441</v>
      </c>
      <c r="D252" s="3304"/>
      <c r="E252" s="3072"/>
      <c r="F252" s="3211"/>
      <c r="G252" s="3280"/>
      <c r="H252" s="1596"/>
      <c r="I252" s="758" t="s">
        <v>1440</v>
      </c>
      <c r="J252" s="678"/>
      <c r="K252" s="1596"/>
      <c r="L252" s="322"/>
      <c r="M252" s="449"/>
      <c r="N252" s="442"/>
      <c r="O252" s="1720"/>
      <c r="P252" s="1720"/>
      <c r="AH252" s="1727">
        <v>0</v>
      </c>
    </row>
    <row s="10232" customFormat="1" customHeight="1" ht="0.75" hidden="1">
      <c r="A253" s="1875"/>
      <c r="B253" s="1875"/>
      <c r="C253" s="476" t="s">
        <v>1448</v>
      </c>
      <c r="D253" s="3304"/>
      <c r="E253" s="3072"/>
      <c r="F253" s="3211"/>
      <c r="G253" s="507"/>
      <c r="H253" s="1596"/>
      <c r="I253" s="758"/>
      <c r="J253" s="678"/>
      <c r="K253" s="1596"/>
      <c r="L253" s="322"/>
      <c r="M253" s="449"/>
      <c r="N253" s="442"/>
      <c r="O253" s="1720"/>
      <c r="P253" s="1720"/>
      <c r="AH253" s="1727">
        <v>0</v>
      </c>
    </row>
    <row s="10232" customFormat="1" customHeight="1" ht="18.75" hidden="1">
      <c r="A254" s="1875" t="s">
        <v>340</v>
      </c>
      <c r="B254" s="1875" t="s">
        <v>341</v>
      </c>
      <c r="C254" s="476"/>
      <c r="D254" s="3304"/>
      <c r="E254" s="3072"/>
      <c r="F254" s="3211" t="str">
        <f>INDEX(PT_DIFFERENTIATION_VTAR,MATCH(A254,PT_DIFFERENTIATION_VTAR_ID,0))</f>
        <v>Тариф на транспортировку горячей воды</v>
      </c>
      <c r="G254" s="3280" t="str">
        <f>INDEX(PT_DIFFERENTIATION_NTAR,MATCH(B254,PT_DIFFERENTIATION_NTAR_ID,0))</f>
        <v/>
      </c>
      <c r="H254" s="1956"/>
      <c r="I254" s="1835"/>
      <c r="J254" s="1869"/>
      <c r="K254" s="1873"/>
      <c r="L254" s="1956" t="s">
        <v>391</v>
      </c>
      <c r="M254" s="449"/>
      <c r="N254" s="442"/>
      <c r="O254" s="1720"/>
      <c r="P254" s="1720"/>
      <c r="AH254" s="1727">
        <v>0</v>
      </c>
    </row>
    <row s="10232" customFormat="1" customHeight="1" ht="18.75" hidden="1">
      <c r="A255" s="1875"/>
      <c r="B255" s="1875"/>
      <c r="C255" s="476" t="s">
        <v>1441</v>
      </c>
      <c r="D255" s="3304"/>
      <c r="E255" s="3072"/>
      <c r="F255" s="3211"/>
      <c r="G255" s="3280"/>
      <c r="H255" s="1596"/>
      <c r="I255" s="758" t="s">
        <v>1440</v>
      </c>
      <c r="J255" s="678"/>
      <c r="K255" s="1596"/>
      <c r="L255" s="322"/>
      <c r="M255" s="449"/>
      <c r="N255" s="442"/>
      <c r="O255" s="1720"/>
      <c r="P255" s="1720"/>
      <c r="AH255" s="1727">
        <v>0</v>
      </c>
    </row>
    <row s="10232" customFormat="1" customHeight="1" ht="0.75" hidden="1">
      <c r="A256" s="1875"/>
      <c r="B256" s="1875"/>
      <c r="C256" s="476" t="s">
        <v>1448</v>
      </c>
      <c r="D256" s="3304"/>
      <c r="E256" s="3072"/>
      <c r="F256" s="3211"/>
      <c r="G256" s="507"/>
      <c r="H256" s="1596"/>
      <c r="I256" s="758"/>
      <c r="J256" s="678"/>
      <c r="K256" s="1596"/>
      <c r="L256" s="322"/>
      <c r="M256" s="449"/>
      <c r="N256" s="442"/>
      <c r="O256" s="1720"/>
      <c r="P256" s="1720"/>
      <c r="AH256" s="1727">
        <v>0</v>
      </c>
    </row>
    <row s="10232" customFormat="1" customHeight="1" ht="18.75" hidden="1">
      <c r="A257" s="1875" t="s">
        <v>345</v>
      </c>
      <c r="B257" s="1875" t="s">
        <v>346</v>
      </c>
      <c r="C257" s="476"/>
      <c r="D257" s="3304"/>
      <c r="E257" s="3072"/>
      <c r="F257" s="3211" t="str">
        <f>INDEX(PT_DIFFERENTIATION_VTAR,MATCH(A257,PT_DIFFERENTIATION_VTAR_ID,0))</f>
        <v>Тариф на подключение (технологическое присоединение) к централизованной системе горячего водоснабжения</v>
      </c>
      <c r="G257" s="3280" t="str">
        <f>INDEX(PT_DIFFERENTIATION_NTAR,MATCH(B257,PT_DIFFERENTIATION_NTAR_ID,0))</f>
        <v/>
      </c>
      <c r="H257" s="1956"/>
      <c r="I257" s="1835"/>
      <c r="J257" s="1869"/>
      <c r="K257" s="1873"/>
      <c r="L257" s="1956" t="s">
        <v>391</v>
      </c>
      <c r="M257" s="449"/>
      <c r="N257" s="442"/>
      <c r="O257" s="1720"/>
      <c r="P257" s="1720"/>
      <c r="AH257" s="1727">
        <v>0</v>
      </c>
    </row>
    <row s="10232" customFormat="1" customHeight="1" ht="18.75" hidden="1">
      <c r="A258" s="1875"/>
      <c r="B258" s="1875"/>
      <c r="C258" s="476" t="s">
        <v>1441</v>
      </c>
      <c r="D258" s="3304"/>
      <c r="E258" s="3072"/>
      <c r="F258" s="3211"/>
      <c r="G258" s="3280"/>
      <c r="H258" s="1596"/>
      <c r="I258" s="758" t="s">
        <v>1440</v>
      </c>
      <c r="J258" s="678"/>
      <c r="K258" s="1596"/>
      <c r="L258" s="322"/>
      <c r="M258" s="449"/>
      <c r="N258" s="442"/>
      <c r="O258" s="1720"/>
      <c r="P258" s="1720"/>
      <c r="AH258" s="1727">
        <v>0</v>
      </c>
    </row>
    <row s="10232" customFormat="1" customHeight="1" ht="0.75" hidden="1">
      <c r="A259" s="1875"/>
      <c r="B259" s="1875"/>
      <c r="C259" s="476" t="s">
        <v>1448</v>
      </c>
      <c r="D259" s="3304"/>
      <c r="E259" s="3072"/>
      <c r="F259" s="3211"/>
      <c r="G259" s="507"/>
      <c r="H259" s="1596"/>
      <c r="I259" s="758"/>
      <c r="J259" s="678"/>
      <c r="K259" s="1596"/>
      <c r="L259" s="322"/>
      <c r="M259" s="449"/>
      <c r="N259" s="442"/>
      <c r="O259" s="1720"/>
      <c r="P259" s="1720"/>
      <c r="AH259" s="1727">
        <v>0</v>
      </c>
    </row>
    <row s="10232" customFormat="1" customHeight="1" ht="18.75" hidden="1">
      <c r="A260" s="1875" t="s">
        <v>350</v>
      </c>
      <c r="B260" s="1875" t="s">
        <v>351</v>
      </c>
      <c r="C260" s="476"/>
      <c r="D260" s="3304"/>
      <c r="E260" s="3072"/>
      <c r="F260" s="3211" t="str">
        <f>INDEX(PT_DIFFERENTIATION_VTAR,MATCH(A260,PT_DIFFERENTIATION_VTAR_ID,0))</f>
        <v>Тариф на водоотведение</v>
      </c>
      <c r="G260" s="3280" t="str">
        <f>INDEX(PT_DIFFERENTIATION_NTAR,MATCH(B260,PT_DIFFERENTIATION_NTAR_ID,0))</f>
        <v/>
      </c>
      <c r="H260" s="1956"/>
      <c r="I260" s="1835"/>
      <c r="J260" s="1869"/>
      <c r="K260" s="1873"/>
      <c r="L260" s="1956" t="s">
        <v>391</v>
      </c>
      <c r="M260" s="449"/>
      <c r="N260" s="442"/>
      <c r="O260" s="1720"/>
      <c r="P260" s="1720"/>
      <c r="AH260" s="1727">
        <v>0</v>
      </c>
    </row>
    <row s="10232" customFormat="1" customHeight="1" ht="18.75" hidden="1">
      <c r="A261" s="1875"/>
      <c r="B261" s="1875"/>
      <c r="C261" s="476" t="s">
        <v>1441</v>
      </c>
      <c r="D261" s="3304"/>
      <c r="E261" s="3072"/>
      <c r="F261" s="3211"/>
      <c r="G261" s="3280"/>
      <c r="H261" s="1596"/>
      <c r="I261" s="758" t="s">
        <v>1440</v>
      </c>
      <c r="J261" s="678"/>
      <c r="K261" s="1596"/>
      <c r="L261" s="322"/>
      <c r="M261" s="449"/>
      <c r="N261" s="442"/>
      <c r="O261" s="1720"/>
      <c r="P261" s="1720"/>
      <c r="AH261" s="1727">
        <v>0</v>
      </c>
    </row>
    <row s="10232" customFormat="1" customHeight="1" ht="0.75" hidden="1">
      <c r="A262" s="1875"/>
      <c r="B262" s="1875"/>
      <c r="C262" s="476" t="s">
        <v>1448</v>
      </c>
      <c r="D262" s="3304"/>
      <c r="E262" s="3072"/>
      <c r="F262" s="3211"/>
      <c r="G262" s="507"/>
      <c r="H262" s="1596"/>
      <c r="I262" s="758"/>
      <c r="J262" s="678"/>
      <c r="K262" s="1596"/>
      <c r="L262" s="322"/>
      <c r="M262" s="449"/>
      <c r="N262" s="442"/>
      <c r="O262" s="1720"/>
      <c r="P262" s="1720"/>
      <c r="AH262" s="1727">
        <v>0</v>
      </c>
    </row>
    <row s="10232" customFormat="1" customHeight="1" ht="18.75" hidden="1">
      <c r="A263" s="1875" t="s">
        <v>355</v>
      </c>
      <c r="B263" s="1875" t="s">
        <v>356</v>
      </c>
      <c r="C263" s="476"/>
      <c r="D263" s="3304"/>
      <c r="E263" s="3072"/>
      <c r="F263" s="3211" t="str">
        <f>INDEX(PT_DIFFERENTIATION_VTAR,MATCH(A263,PT_DIFFERENTIATION_VTAR_ID,0))</f>
        <v>Тариф на транспортировку сточных вод</v>
      </c>
      <c r="G263" s="3280" t="str">
        <f>INDEX(PT_DIFFERENTIATION_NTAR,MATCH(B263,PT_DIFFERENTIATION_NTAR_ID,0))</f>
        <v/>
      </c>
      <c r="H263" s="1956"/>
      <c r="I263" s="1835"/>
      <c r="J263" s="1869"/>
      <c r="K263" s="1873"/>
      <c r="L263" s="1956" t="s">
        <v>391</v>
      </c>
      <c r="M263" s="449"/>
      <c r="N263" s="442"/>
      <c r="O263" s="1720"/>
      <c r="P263" s="1720"/>
      <c r="AH263" s="1727">
        <v>0</v>
      </c>
    </row>
    <row s="10232" customFormat="1" customHeight="1" ht="18.75" hidden="1">
      <c r="A264" s="1875"/>
      <c r="B264" s="1875"/>
      <c r="C264" s="476" t="s">
        <v>1441</v>
      </c>
      <c r="D264" s="3304"/>
      <c r="E264" s="3072"/>
      <c r="F264" s="3211"/>
      <c r="G264" s="3280"/>
      <c r="H264" s="1596"/>
      <c r="I264" s="758" t="s">
        <v>1440</v>
      </c>
      <c r="J264" s="678"/>
      <c r="K264" s="1596"/>
      <c r="L264" s="322"/>
      <c r="M264" s="449"/>
      <c r="N264" s="442"/>
      <c r="O264" s="1720"/>
      <c r="P264" s="1720"/>
      <c r="AH264" s="1727">
        <v>0</v>
      </c>
    </row>
    <row s="10232" customFormat="1" customHeight="1" ht="0.75" hidden="1">
      <c r="A265" s="1875"/>
      <c r="B265" s="1875"/>
      <c r="C265" s="476" t="s">
        <v>1448</v>
      </c>
      <c r="D265" s="3304"/>
      <c r="E265" s="3072"/>
      <c r="F265" s="3211"/>
      <c r="G265" s="507"/>
      <c r="H265" s="1596"/>
      <c r="I265" s="758"/>
      <c r="J265" s="678"/>
      <c r="K265" s="1596"/>
      <c r="L265" s="322"/>
      <c r="M265" s="449"/>
      <c r="N265" s="442"/>
      <c r="O265" s="1720"/>
      <c r="P265" s="1720"/>
      <c r="AH265" s="1727">
        <v>0</v>
      </c>
    </row>
    <row s="10232" customFormat="1" customHeight="1" ht="18.75" hidden="1">
      <c r="A266" s="1875" t="s">
        <v>360</v>
      </c>
      <c r="B266" s="1875" t="s">
        <v>361</v>
      </c>
      <c r="C266" s="476"/>
      <c r="D266" s="3304"/>
      <c r="E266" s="3072"/>
      <c r="F266" s="3211" t="str">
        <f>INDEX(PT_DIFFERENTIATION_VTAR,MATCH(A266,PT_DIFFERENTIATION_VTAR_ID,0))</f>
        <v>Тариф на подключение (технологическое присоединение) к централизованной системе водоотведения</v>
      </c>
      <c r="G266" s="3280" t="str">
        <f>INDEX(PT_DIFFERENTIATION_NTAR,MATCH(B266,PT_DIFFERENTIATION_NTAR_ID,0))</f>
        <v/>
      </c>
      <c r="H266" s="1956"/>
      <c r="I266" s="1835"/>
      <c r="J266" s="1869"/>
      <c r="K266" s="1873"/>
      <c r="L266" s="1956" t="s">
        <v>391</v>
      </c>
      <c r="M266" s="449"/>
      <c r="N266" s="442"/>
      <c r="O266" s="1720"/>
      <c r="P266" s="1720"/>
      <c r="AH266" s="1727">
        <v>0</v>
      </c>
    </row>
    <row s="10232" customFormat="1" customHeight="1" ht="18.75" hidden="1">
      <c r="A267" s="1875"/>
      <c r="B267" s="1875"/>
      <c r="C267" s="476" t="s">
        <v>1441</v>
      </c>
      <c r="D267" s="3304"/>
      <c r="E267" s="3072"/>
      <c r="F267" s="3211"/>
      <c r="G267" s="3280"/>
      <c r="H267" s="1596"/>
      <c r="I267" s="758" t="s">
        <v>1440</v>
      </c>
      <c r="J267" s="678"/>
      <c r="K267" s="1596"/>
      <c r="L267" s="322"/>
      <c r="M267" s="449"/>
      <c r="N267" s="442"/>
      <c r="O267" s="1720"/>
      <c r="P267" s="1720"/>
      <c r="AH267" s="1727">
        <v>0</v>
      </c>
    </row>
    <row s="10232" customFormat="1" customHeight="1" ht="1.05">
      <c r="A268" s="1875"/>
      <c r="B268" s="1875"/>
      <c r="C268" s="476" t="s">
        <v>1448</v>
      </c>
      <c r="D268" s="3304"/>
      <c r="E268" s="3072"/>
      <c r="F268" s="3211"/>
      <c r="G268" s="507"/>
      <c r="H268" s="1596"/>
      <c r="I268" s="758"/>
      <c r="J268" s="678"/>
      <c r="K268" s="1596"/>
      <c r="L268" s="322"/>
      <c r="M268" s="449"/>
      <c r="N268" s="442"/>
      <c r="O268" s="1720"/>
      <c r="P268" s="1720"/>
      <c r="AH268" s="1727">
        <v>1</v>
      </c>
    </row>
    <row customHeight="1" ht="27.299999999999997">
      <c r="A269" s="1875"/>
      <c r="B269" s="1875"/>
      <c r="D269" s="483"/>
      <c r="E269" s="255" t="s">
        <v>92</v>
      </c>
      <c r="F269" s="3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303"/>
      <c r="H269" s="3303"/>
      <c r="I269" s="3303"/>
      <c r="J269" s="3303"/>
      <c r="K269" s="3303"/>
      <c r="L269" s="3303"/>
      <c r="M269" s="405"/>
      <c r="N269" s="442"/>
      <c r="AH269" s="481">
        <v>26</v>
      </c>
    </row>
    <row s="10232" customFormat="1" customHeight="1" ht="60.75" hidden="1">
      <c r="A270" s="1875" t="s">
        <v>242</v>
      </c>
      <c r="B270" s="1875" t="s">
        <v>243</v>
      </c>
      <c r="C270" s="476"/>
      <c r="D270" s="3304"/>
      <c r="E270" s="3072"/>
      <c r="F270" s="321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280" t="str">
        <f>INDEX(PT_DIFFERENTIATION_NTAR,MATCH(B270,PT_DIFFERENTIATION_NTAR_ID,0))</f>
        <v/>
      </c>
      <c r="H270" s="1956"/>
      <c r="I270" s="1835"/>
      <c r="J270" s="1869"/>
      <c r="K270" s="1873"/>
      <c r="L270" s="1956" t="s">
        <v>391</v>
      </c>
      <c r="M270" s="3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2"/>
      <c r="O270" s="1720"/>
      <c r="P270" s="1720"/>
      <c r="AH270" s="1727">
        <v>0</v>
      </c>
    </row>
    <row s="10232" customFormat="1" customHeight="1" ht="18.75" hidden="1">
      <c r="A271" s="1875"/>
      <c r="B271" s="1875"/>
      <c r="C271" s="476" t="s">
        <v>1441</v>
      </c>
      <c r="D271" s="3304"/>
      <c r="E271" s="3072"/>
      <c r="F271" s="3211"/>
      <c r="G271" s="3280"/>
      <c r="H271" s="1596"/>
      <c r="I271" s="758" t="s">
        <v>1440</v>
      </c>
      <c r="J271" s="678"/>
      <c r="K271" s="1596"/>
      <c r="L271" s="322"/>
      <c r="M271" s="3033"/>
      <c r="N271" s="442"/>
      <c r="O271" s="1720"/>
      <c r="P271" s="1720"/>
      <c r="AH271" s="1727">
        <v>0</v>
      </c>
    </row>
    <row s="10232" customFormat="1" customHeight="1" ht="0.75" hidden="1">
      <c r="A272" s="1875"/>
      <c r="B272" s="1875"/>
      <c r="C272" s="476" t="s">
        <v>1448</v>
      </c>
      <c r="D272" s="3304"/>
      <c r="E272" s="3072"/>
      <c r="F272" s="3211"/>
      <c r="G272" s="507"/>
      <c r="H272" s="1596"/>
      <c r="I272" s="758"/>
      <c r="J272" s="678"/>
      <c r="K272" s="1596"/>
      <c r="L272" s="322"/>
      <c r="M272" s="3033"/>
      <c r="N272" s="442"/>
      <c r="O272" s="1720"/>
      <c r="P272" s="1720"/>
      <c r="AH272" s="1727">
        <v>0</v>
      </c>
    </row>
    <row s="10232" customFormat="1" customHeight="1" ht="45" hidden="1">
      <c r="A273" s="1875" t="s">
        <v>247</v>
      </c>
      <c r="B273" s="1875" t="s">
        <v>248</v>
      </c>
      <c r="C273" s="476"/>
      <c r="D273" s="3304"/>
      <c r="E273" s="3072"/>
      <c r="F273" s="3211" t="str">
        <f>INDEX(PT_DIFFERENTIATION_VTAR,MATCH(A273,PT_DIFFERENTIATION_VTAR_ID,0))</f>
        <v/>
      </c>
      <c r="G273" s="3280" t="str">
        <f>INDEX(PT_DIFFERENTIATION_NTAR,MATCH(B273,PT_DIFFERENTIATION_NTAR_ID,0))</f>
        <v/>
      </c>
      <c r="H273" s="1956"/>
      <c r="I273" s="1835"/>
      <c r="J273" s="1869"/>
      <c r="K273" s="1873"/>
      <c r="L273" s="1956" t="s">
        <v>391</v>
      </c>
      <c r="M273" s="3034"/>
      <c r="N273" s="442"/>
      <c r="O273" s="1720"/>
      <c r="P273" s="1720"/>
      <c r="AH273" s="1727">
        <v>0</v>
      </c>
    </row>
    <row s="10232" customFormat="1" customHeight="1" ht="18.75" hidden="1">
      <c r="A274" s="1875"/>
      <c r="B274" s="1875"/>
      <c r="C274" s="476" t="s">
        <v>1441</v>
      </c>
      <c r="D274" s="3304"/>
      <c r="E274" s="3072"/>
      <c r="F274" s="3211"/>
      <c r="G274" s="3280"/>
      <c r="H274" s="1596"/>
      <c r="I274" s="758" t="s">
        <v>1440</v>
      </c>
      <c r="J274" s="678"/>
      <c r="K274" s="1596"/>
      <c r="L274" s="322"/>
      <c r="M274" s="1955"/>
      <c r="N274" s="442"/>
      <c r="O274" s="1720"/>
      <c r="P274" s="1720"/>
      <c r="AH274" s="1727">
        <v>0</v>
      </c>
    </row>
    <row s="10232" customFormat="1" customHeight="1" ht="0.75" hidden="1">
      <c r="A275" s="1875"/>
      <c r="B275" s="1875"/>
      <c r="C275" s="476" t="s">
        <v>1448</v>
      </c>
      <c r="D275" s="3304"/>
      <c r="E275" s="3072"/>
      <c r="F275" s="3211"/>
      <c r="G275" s="507"/>
      <c r="H275" s="1596"/>
      <c r="I275" s="758"/>
      <c r="J275" s="678"/>
      <c r="K275" s="1596"/>
      <c r="L275" s="322"/>
      <c r="M275" s="449"/>
      <c r="N275" s="442"/>
      <c r="O275" s="1720"/>
      <c r="P275" s="1720"/>
      <c r="AH275" s="1727">
        <v>0</v>
      </c>
    </row>
    <row s="10232" customFormat="1" customHeight="1" ht="45" hidden="1">
      <c r="A276" s="1875" t="s">
        <v>254</v>
      </c>
      <c r="B276" s="1875" t="s">
        <v>255</v>
      </c>
      <c r="C276" s="476"/>
      <c r="D276" s="3304"/>
      <c r="E276" s="3072"/>
      <c r="F276" s="321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280" t="str">
        <f>INDEX(PT_DIFFERENTIATION_NTAR,MATCH(B276,PT_DIFFERENTIATION_NTAR_ID,0))</f>
        <v/>
      </c>
      <c r="H276" s="1956"/>
      <c r="I276" s="1835"/>
      <c r="J276" s="1869"/>
      <c r="K276" s="1873"/>
      <c r="L276" s="1956" t="s">
        <v>391</v>
      </c>
      <c r="M276" s="449"/>
      <c r="N276" s="442"/>
      <c r="O276" s="1720"/>
      <c r="P276" s="1720"/>
      <c r="AH276" s="1727">
        <v>0</v>
      </c>
    </row>
    <row s="10232" customFormat="1" customHeight="1" ht="18.75" hidden="1">
      <c r="A277" s="1875"/>
      <c r="B277" s="1875"/>
      <c r="C277" s="476" t="s">
        <v>1441</v>
      </c>
      <c r="D277" s="3304"/>
      <c r="E277" s="3072"/>
      <c r="F277" s="3211"/>
      <c r="G277" s="3280"/>
      <c r="H277" s="1596"/>
      <c r="I277" s="758" t="s">
        <v>1440</v>
      </c>
      <c r="J277" s="678"/>
      <c r="K277" s="1596"/>
      <c r="L277" s="322"/>
      <c r="M277" s="449"/>
      <c r="N277" s="442"/>
      <c r="O277" s="1720"/>
      <c r="P277" s="1720"/>
      <c r="AH277" s="1727">
        <v>0</v>
      </c>
    </row>
    <row s="10232" customFormat="1" customHeight="1" ht="0.75" hidden="1">
      <c r="A278" s="1875"/>
      <c r="B278" s="1875"/>
      <c r="C278" s="476" t="s">
        <v>1448</v>
      </c>
      <c r="D278" s="3304"/>
      <c r="E278" s="3072"/>
      <c r="F278" s="3211"/>
      <c r="G278" s="507"/>
      <c r="H278" s="1596"/>
      <c r="I278" s="758"/>
      <c r="J278" s="678"/>
      <c r="K278" s="1596"/>
      <c r="L278" s="322"/>
      <c r="M278" s="449"/>
      <c r="N278" s="442"/>
      <c r="O278" s="1720"/>
      <c r="P278" s="1720"/>
      <c r="AH278" s="1727">
        <v>0</v>
      </c>
    </row>
    <row s="10232" customFormat="1" customHeight="1" ht="45" hidden="1">
      <c r="A279" s="1875" t="s">
        <v>260</v>
      </c>
      <c r="B279" s="1875" t="s">
        <v>261</v>
      </c>
      <c r="C279" s="476"/>
      <c r="D279" s="3304"/>
      <c r="E279" s="3072"/>
      <c r="F279" s="321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280" t="str">
        <f>INDEX(PT_DIFFERENTIATION_NTAR,MATCH(B279,PT_DIFFERENTIATION_NTAR_ID,0))</f>
        <v/>
      </c>
      <c r="H279" s="1956"/>
      <c r="I279" s="1835"/>
      <c r="J279" s="1869"/>
      <c r="K279" s="1873"/>
      <c r="L279" s="1956" t="s">
        <v>391</v>
      </c>
      <c r="M279" s="449"/>
      <c r="N279" s="442"/>
      <c r="O279" s="1720"/>
      <c r="P279" s="1720"/>
      <c r="AH279" s="1727">
        <v>0</v>
      </c>
    </row>
    <row s="10232" customFormat="1" customHeight="1" ht="18.75" hidden="1">
      <c r="A280" s="1875"/>
      <c r="B280" s="1875"/>
      <c r="C280" s="476" t="s">
        <v>1441</v>
      </c>
      <c r="D280" s="3304"/>
      <c r="E280" s="3072"/>
      <c r="F280" s="3211"/>
      <c r="G280" s="3280"/>
      <c r="H280" s="1596"/>
      <c r="I280" s="758" t="s">
        <v>1440</v>
      </c>
      <c r="J280" s="678"/>
      <c r="K280" s="1596"/>
      <c r="L280" s="322"/>
      <c r="M280" s="449"/>
      <c r="N280" s="442"/>
      <c r="O280" s="1720"/>
      <c r="P280" s="1720"/>
      <c r="AH280" s="1727">
        <v>0</v>
      </c>
    </row>
    <row s="10232" customFormat="1" customHeight="1" ht="0.75" hidden="1">
      <c r="A281" s="1875"/>
      <c r="B281" s="1875"/>
      <c r="C281" s="476" t="s">
        <v>1448</v>
      </c>
      <c r="D281" s="3304"/>
      <c r="E281" s="3072"/>
      <c r="F281" s="3211"/>
      <c r="G281" s="507"/>
      <c r="H281" s="1596"/>
      <c r="I281" s="758"/>
      <c r="J281" s="678"/>
      <c r="K281" s="1596"/>
      <c r="L281" s="322"/>
      <c r="M281" s="449"/>
      <c r="N281" s="442"/>
      <c r="O281" s="1720"/>
      <c r="P281" s="1720"/>
      <c r="AH281" s="1727">
        <v>0</v>
      </c>
    </row>
    <row s="10232" customFormat="1" customHeight="1" ht="18.75" hidden="1">
      <c r="A282" s="1875" t="s">
        <v>266</v>
      </c>
      <c r="B282" s="1875" t="s">
        <v>267</v>
      </c>
      <c r="C282" s="476"/>
      <c r="D282" s="3304"/>
      <c r="E282" s="3072"/>
      <c r="F282" s="3211" t="str">
        <f>INDEX(PT_DIFFERENTIATION_VTAR,MATCH(A282,PT_DIFFERENTIATION_VTAR_ID,0))</f>
        <v>Тарифы на услуги по передаче тепловой энергии</v>
      </c>
      <c r="G282" s="3280" t="str">
        <f>INDEX(PT_DIFFERENTIATION_NTAR,MATCH(B282,PT_DIFFERENTIATION_NTAR_ID,0))</f>
        <v/>
      </c>
      <c r="H282" s="1956"/>
      <c r="I282" s="1835"/>
      <c r="J282" s="1869"/>
      <c r="K282" s="1873"/>
      <c r="L282" s="1956" t="s">
        <v>391</v>
      </c>
      <c r="M282" s="449"/>
      <c r="N282" s="442"/>
      <c r="O282" s="1720"/>
      <c r="P282" s="1720"/>
      <c r="AH282" s="1727">
        <v>0</v>
      </c>
    </row>
    <row s="10232" customFormat="1" customHeight="1" ht="18.75" hidden="1">
      <c r="A283" s="1875"/>
      <c r="B283" s="1875"/>
      <c r="C283" s="476" t="s">
        <v>1441</v>
      </c>
      <c r="D283" s="3304"/>
      <c r="E283" s="3072"/>
      <c r="F283" s="3211"/>
      <c r="G283" s="3280"/>
      <c r="H283" s="1596"/>
      <c r="I283" s="758" t="s">
        <v>1440</v>
      </c>
      <c r="J283" s="678"/>
      <c r="K283" s="1596"/>
      <c r="L283" s="322"/>
      <c r="M283" s="449"/>
      <c r="N283" s="442"/>
      <c r="O283" s="1720"/>
      <c r="P283" s="1720"/>
      <c r="AH283" s="1727">
        <v>0</v>
      </c>
    </row>
    <row s="10232" customFormat="1" customHeight="1" ht="0.75" hidden="1">
      <c r="A284" s="1875"/>
      <c r="B284" s="1875"/>
      <c r="C284" s="476" t="s">
        <v>1448</v>
      </c>
      <c r="D284" s="3304"/>
      <c r="E284" s="3072"/>
      <c r="F284" s="3211"/>
      <c r="G284" s="507"/>
      <c r="H284" s="1596"/>
      <c r="I284" s="758"/>
      <c r="J284" s="678"/>
      <c r="K284" s="1596"/>
      <c r="L284" s="322"/>
      <c r="M284" s="449"/>
      <c r="N284" s="442"/>
      <c r="O284" s="1720"/>
      <c r="P284" s="1720"/>
      <c r="AH284" s="1727">
        <v>0</v>
      </c>
    </row>
    <row s="10232" customFormat="1" customHeight="1" ht="18.75" hidden="1">
      <c r="A285" s="1875" t="s">
        <v>272</v>
      </c>
      <c r="B285" s="1875" t="s">
        <v>273</v>
      </c>
      <c r="C285" s="476"/>
      <c r="D285" s="3304"/>
      <c r="E285" s="3072"/>
      <c r="F285" s="3211" t="str">
        <f>INDEX(PT_DIFFERENTIATION_VTAR,MATCH(A285,PT_DIFFERENTIATION_VTAR_ID,0))</f>
        <v>Тарифы на услуги по передаче теплоносителя</v>
      </c>
      <c r="G285" s="3280" t="str">
        <f>INDEX(PT_DIFFERENTIATION_NTAR,MATCH(B285,PT_DIFFERENTIATION_NTAR_ID,0))</f>
        <v/>
      </c>
      <c r="H285" s="1956"/>
      <c r="I285" s="1835"/>
      <c r="J285" s="1869"/>
      <c r="K285" s="1873"/>
      <c r="L285" s="1956" t="s">
        <v>391</v>
      </c>
      <c r="M285" s="449"/>
      <c r="N285" s="442"/>
      <c r="O285" s="1720"/>
      <c r="P285" s="1720"/>
      <c r="AH285" s="1727">
        <v>0</v>
      </c>
    </row>
    <row s="10232" customFormat="1" customHeight="1" ht="18.75" hidden="1">
      <c r="A286" s="1875"/>
      <c r="B286" s="1875"/>
      <c r="C286" s="476" t="s">
        <v>1441</v>
      </c>
      <c r="D286" s="3304"/>
      <c r="E286" s="3072"/>
      <c r="F286" s="3211"/>
      <c r="G286" s="3280"/>
      <c r="H286" s="1596"/>
      <c r="I286" s="758" t="s">
        <v>1440</v>
      </c>
      <c r="J286" s="678"/>
      <c r="K286" s="1596"/>
      <c r="L286" s="322"/>
      <c r="M286" s="449"/>
      <c r="N286" s="442"/>
      <c r="O286" s="1720"/>
      <c r="P286" s="1720"/>
      <c r="AH286" s="1727">
        <v>0</v>
      </c>
    </row>
    <row s="10232" customFormat="1" customHeight="1" ht="0.75" hidden="1">
      <c r="A287" s="1875"/>
      <c r="B287" s="1875"/>
      <c r="C287" s="476" t="s">
        <v>1448</v>
      </c>
      <c r="D287" s="3304"/>
      <c r="E287" s="3072"/>
      <c r="F287" s="3211"/>
      <c r="G287" s="507"/>
      <c r="H287" s="1596"/>
      <c r="I287" s="758"/>
      <c r="J287" s="678"/>
      <c r="K287" s="1596"/>
      <c r="L287" s="322"/>
      <c r="M287" s="449"/>
      <c r="N287" s="442"/>
      <c r="O287" s="1720"/>
      <c r="P287" s="1720"/>
      <c r="AH287" s="1727">
        <v>0</v>
      </c>
    </row>
    <row s="10232" customFormat="1" customHeight="1" ht="18.75" hidden="1">
      <c r="A288" s="1875" t="s">
        <v>278</v>
      </c>
      <c r="B288" s="1875" t="s">
        <v>279</v>
      </c>
      <c r="C288" s="476"/>
      <c r="D288" s="3304"/>
      <c r="E288" s="3072"/>
      <c r="F288" s="321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280" t="str">
        <f>INDEX(PT_DIFFERENTIATION_NTAR,MATCH(B288,PT_DIFFERENTIATION_NTAR_ID,0))</f>
        <v/>
      </c>
      <c r="H288" s="1956"/>
      <c r="I288" s="1835"/>
      <c r="J288" s="1869"/>
      <c r="K288" s="1873"/>
      <c r="L288" s="1956" t="s">
        <v>391</v>
      </c>
      <c r="M288" s="449"/>
      <c r="N288" s="442"/>
      <c r="O288" s="1720"/>
      <c r="P288" s="1720"/>
      <c r="AH288" s="1727">
        <v>0</v>
      </c>
    </row>
    <row s="10232" customFormat="1" customHeight="1" ht="18.75" hidden="1">
      <c r="A289" s="1875"/>
      <c r="B289" s="1875"/>
      <c r="C289" s="476" t="s">
        <v>1441</v>
      </c>
      <c r="D289" s="3304"/>
      <c r="E289" s="3072"/>
      <c r="F289" s="3211"/>
      <c r="G289" s="3280"/>
      <c r="H289" s="1596"/>
      <c r="I289" s="758" t="s">
        <v>1440</v>
      </c>
      <c r="J289" s="678"/>
      <c r="K289" s="1596"/>
      <c r="L289" s="322"/>
      <c r="M289" s="449"/>
      <c r="N289" s="442"/>
      <c r="O289" s="1720"/>
      <c r="P289" s="1720"/>
      <c r="AH289" s="1727">
        <v>0</v>
      </c>
    </row>
    <row s="10232" customFormat="1" customHeight="1" ht="0.75" hidden="1">
      <c r="A290" s="1875"/>
      <c r="B290" s="1875"/>
      <c r="C290" s="476" t="s">
        <v>1448</v>
      </c>
      <c r="D290" s="3304"/>
      <c r="E290" s="3072"/>
      <c r="F290" s="3211"/>
      <c r="G290" s="507"/>
      <c r="H290" s="1596"/>
      <c r="I290" s="758"/>
      <c r="J290" s="678"/>
      <c r="K290" s="1596"/>
      <c r="L290" s="322"/>
      <c r="M290" s="449"/>
      <c r="N290" s="442"/>
      <c r="O290" s="1720"/>
      <c r="P290" s="1720"/>
      <c r="AH290" s="1727">
        <v>0</v>
      </c>
    </row>
    <row s="10232" customFormat="1" customHeight="1" ht="18.75" hidden="1">
      <c r="A291" s="1875" t="s">
        <v>284</v>
      </c>
      <c r="B291" s="1875" t="s">
        <v>285</v>
      </c>
      <c r="C291" s="476"/>
      <c r="D291" s="3304"/>
      <c r="E291" s="3072"/>
      <c r="F291" s="3211" t="str">
        <f>INDEX(PT_DIFFERENTIATION_VTAR,MATCH(A291,PT_DIFFERENTIATION_VTAR_ID,0))</f>
        <v>Плата за подключение (технологическое присоединение) к системе теплоснабжения</v>
      </c>
      <c r="G291" s="3280" t="str">
        <f>INDEX(PT_DIFFERENTIATION_NTAR,MATCH(B291,PT_DIFFERENTIATION_NTAR_ID,0))</f>
        <v/>
      </c>
      <c r="H291" s="1956"/>
      <c r="I291" s="1835"/>
      <c r="J291" s="1869"/>
      <c r="K291" s="1873"/>
      <c r="L291" s="1956" t="s">
        <v>391</v>
      </c>
      <c r="M291" s="449"/>
      <c r="N291" s="442"/>
      <c r="O291" s="1720"/>
      <c r="P291" s="1720"/>
      <c r="AH291" s="1727">
        <v>0</v>
      </c>
    </row>
    <row s="10232" customFormat="1" customHeight="1" ht="18.75" hidden="1">
      <c r="A292" s="1875"/>
      <c r="B292" s="1875"/>
      <c r="C292" s="476" t="s">
        <v>1441</v>
      </c>
      <c r="D292" s="3304"/>
      <c r="E292" s="3072"/>
      <c r="F292" s="3211"/>
      <c r="G292" s="3280"/>
      <c r="H292" s="1596"/>
      <c r="I292" s="758" t="s">
        <v>1440</v>
      </c>
      <c r="J292" s="678"/>
      <c r="K292" s="1596"/>
      <c r="L292" s="322"/>
      <c r="M292" s="449"/>
      <c r="N292" s="442"/>
      <c r="O292" s="1720"/>
      <c r="P292" s="1720"/>
      <c r="AH292" s="1727">
        <v>0</v>
      </c>
    </row>
    <row s="10232" customFormat="1" customHeight="1" ht="0.75" hidden="1">
      <c r="A293" s="1875"/>
      <c r="B293" s="1875"/>
      <c r="C293" s="476" t="s">
        <v>1448</v>
      </c>
      <c r="D293" s="3304"/>
      <c r="E293" s="3072"/>
      <c r="F293" s="3211"/>
      <c r="G293" s="507"/>
      <c r="H293" s="1596"/>
      <c r="I293" s="758"/>
      <c r="J293" s="678"/>
      <c r="K293" s="1596"/>
      <c r="L293" s="322"/>
      <c r="M293" s="449"/>
      <c r="N293" s="442"/>
      <c r="O293" s="1720"/>
      <c r="P293" s="1720"/>
      <c r="AH293" s="1727">
        <v>0</v>
      </c>
    </row>
    <row s="10232" customFormat="1" customHeight="1" ht="18.75" hidden="1">
      <c r="A294" s="1875" t="s">
        <v>290</v>
      </c>
      <c r="B294" s="1875" t="s">
        <v>291</v>
      </c>
      <c r="C294" s="476"/>
      <c r="D294" s="3304"/>
      <c r="E294" s="3072"/>
      <c r="F294" s="3211" t="str">
        <f>INDEX(PT_DIFFERENTIATION_VTAR,MATCH(A294,PT_DIFFERENTIATION_VTAR_ID,0))</f>
        <v>Плата за подключение (технологическое присоединение) к системе теплоснабжения (индивидуальная)</v>
      </c>
      <c r="G294" s="3280" t="str">
        <f>INDEX(PT_DIFFERENTIATION_NTAR,MATCH(B294,PT_DIFFERENTIATION_NTAR_ID,0))</f>
        <v/>
      </c>
      <c r="H294" s="2080"/>
      <c r="I294" s="1835"/>
      <c r="J294" s="1869"/>
      <c r="K294" s="1873"/>
      <c r="L294" s="2080" t="s">
        <v>391</v>
      </c>
      <c r="M294" s="449"/>
      <c r="N294" s="442"/>
      <c r="O294" s="1720"/>
      <c r="P294" s="1720"/>
      <c r="AH294" s="1727">
        <v>0</v>
      </c>
    </row>
    <row s="10232" customFormat="1" customHeight="1" ht="18.75" hidden="1">
      <c r="A295" s="1875"/>
      <c r="B295" s="1875"/>
      <c r="C295" s="476" t="s">
        <v>1441</v>
      </c>
      <c r="D295" s="3304"/>
      <c r="E295" s="3072"/>
      <c r="F295" s="3211"/>
      <c r="G295" s="3280"/>
      <c r="H295" s="1596"/>
      <c r="I295" s="758" t="s">
        <v>1440</v>
      </c>
      <c r="J295" s="678"/>
      <c r="K295" s="1596"/>
      <c r="L295" s="322"/>
      <c r="M295" s="449"/>
      <c r="N295" s="442"/>
      <c r="O295" s="1720"/>
      <c r="P295" s="1720"/>
      <c r="AH295" s="1727">
        <v>0</v>
      </c>
    </row>
    <row s="10232" customFormat="1" customHeight="1" ht="0.75" hidden="1">
      <c r="A296" s="1875"/>
      <c r="B296" s="1875"/>
      <c r="C296" s="476" t="s">
        <v>1448</v>
      </c>
      <c r="D296" s="3304"/>
      <c r="E296" s="3072"/>
      <c r="F296" s="3211"/>
      <c r="G296" s="507"/>
      <c r="H296" s="1596"/>
      <c r="I296" s="758"/>
      <c r="J296" s="678"/>
      <c r="K296" s="1596"/>
      <c r="L296" s="322"/>
      <c r="M296" s="449"/>
      <c r="N296" s="442"/>
      <c r="O296" s="1720"/>
      <c r="P296" s="1720"/>
      <c r="AH296" s="1727">
        <v>0</v>
      </c>
    </row>
    <row s="10232" customFormat="1" customHeight="1" ht="18.75" hidden="1">
      <c r="A297" s="1875" t="s">
        <v>310</v>
      </c>
      <c r="B297" s="1875" t="s">
        <v>311</v>
      </c>
      <c r="C297" s="476"/>
      <c r="D297" s="3304"/>
      <c r="E297" s="3072"/>
      <c r="F297" s="3211" t="str">
        <f>INDEX(PT_DIFFERENTIATION_VTAR,MATCH(A297,PT_DIFFERENTIATION_VTAR_ID,0))</f>
        <v>Тариф на питьевую воду (питьевое водоснабжение)</v>
      </c>
      <c r="G297" s="3280" t="str">
        <f>INDEX(PT_DIFFERENTIATION_NTAR,MATCH(B297,PT_DIFFERENTIATION_NTAR_ID,0))</f>
        <v/>
      </c>
      <c r="H297" s="1956"/>
      <c r="I297" s="1835"/>
      <c r="J297" s="1869"/>
      <c r="K297" s="1873"/>
      <c r="L297" s="1956" t="s">
        <v>391</v>
      </c>
      <c r="M297" s="449"/>
      <c r="N297" s="442"/>
      <c r="O297" s="1720"/>
      <c r="P297" s="1720"/>
      <c r="AH297" s="1727">
        <v>0</v>
      </c>
    </row>
    <row s="10232" customFormat="1" customHeight="1" ht="18.75" hidden="1">
      <c r="A298" s="1875"/>
      <c r="B298" s="1875"/>
      <c r="C298" s="476" t="s">
        <v>1441</v>
      </c>
      <c r="D298" s="3304"/>
      <c r="E298" s="3072"/>
      <c r="F298" s="3211"/>
      <c r="G298" s="3280"/>
      <c r="H298" s="1596"/>
      <c r="I298" s="758" t="s">
        <v>1440</v>
      </c>
      <c r="J298" s="678"/>
      <c r="K298" s="1596"/>
      <c r="L298" s="322"/>
      <c r="M298" s="449"/>
      <c r="N298" s="442"/>
      <c r="O298" s="1720"/>
      <c r="P298" s="1720"/>
      <c r="AH298" s="1727">
        <v>0</v>
      </c>
    </row>
    <row s="10232" customFormat="1" customHeight="1" ht="0.75" hidden="1">
      <c r="A299" s="1875"/>
      <c r="B299" s="1875"/>
      <c r="C299" s="476" t="s">
        <v>1448</v>
      </c>
      <c r="D299" s="3304"/>
      <c r="E299" s="3072"/>
      <c r="F299" s="3211"/>
      <c r="G299" s="507"/>
      <c r="H299" s="1596"/>
      <c r="I299" s="758"/>
      <c r="J299" s="678"/>
      <c r="K299" s="1596"/>
      <c r="L299" s="322"/>
      <c r="M299" s="449"/>
      <c r="N299" s="442"/>
      <c r="O299" s="1720"/>
      <c r="P299" s="1720"/>
      <c r="AH299" s="1727">
        <v>0</v>
      </c>
    </row>
    <row s="10232" customFormat="1" customHeight="1" ht="18.75" hidden="1">
      <c r="A300" s="1875" t="s">
        <v>315</v>
      </c>
      <c r="B300" s="1875" t="s">
        <v>316</v>
      </c>
      <c r="C300" s="476"/>
      <c r="D300" s="3304"/>
      <c r="E300" s="3072"/>
      <c r="F300" s="3211" t="str">
        <f>INDEX(PT_DIFFERENTIATION_VTAR,MATCH(A300,PT_DIFFERENTIATION_VTAR_ID,0))</f>
        <v>Тариф на техническую воду</v>
      </c>
      <c r="G300" s="3280" t="str">
        <f>INDEX(PT_DIFFERENTIATION_NTAR,MATCH(B300,PT_DIFFERENTIATION_NTAR_ID,0))</f>
        <v/>
      </c>
      <c r="H300" s="1956"/>
      <c r="I300" s="1835"/>
      <c r="J300" s="1869"/>
      <c r="K300" s="1873"/>
      <c r="L300" s="1956" t="s">
        <v>391</v>
      </c>
      <c r="M300" s="449"/>
      <c r="N300" s="442"/>
      <c r="O300" s="1720"/>
      <c r="P300" s="1720"/>
      <c r="AH300" s="1727">
        <v>0</v>
      </c>
    </row>
    <row s="10232" customFormat="1" customHeight="1" ht="18.75" hidden="1">
      <c r="A301" s="1875"/>
      <c r="B301" s="1875"/>
      <c r="C301" s="476" t="s">
        <v>1441</v>
      </c>
      <c r="D301" s="3304"/>
      <c r="E301" s="3072"/>
      <c r="F301" s="3211"/>
      <c r="G301" s="3280"/>
      <c r="H301" s="1596"/>
      <c r="I301" s="758" t="s">
        <v>1440</v>
      </c>
      <c r="J301" s="678"/>
      <c r="K301" s="1596"/>
      <c r="L301" s="322"/>
      <c r="M301" s="449"/>
      <c r="N301" s="442"/>
      <c r="O301" s="1720"/>
      <c r="P301" s="1720"/>
      <c r="AH301" s="1727">
        <v>0</v>
      </c>
    </row>
    <row s="10232" customFormat="1" customHeight="1" ht="0.75" hidden="1">
      <c r="A302" s="1875"/>
      <c r="B302" s="1875"/>
      <c r="C302" s="476" t="s">
        <v>1448</v>
      </c>
      <c r="D302" s="3304"/>
      <c r="E302" s="3072"/>
      <c r="F302" s="3211"/>
      <c r="G302" s="507"/>
      <c r="H302" s="1596"/>
      <c r="I302" s="758"/>
      <c r="J302" s="678"/>
      <c r="K302" s="1596"/>
      <c r="L302" s="322"/>
      <c r="M302" s="449"/>
      <c r="N302" s="442"/>
      <c r="O302" s="1720"/>
      <c r="P302" s="1720"/>
      <c r="AH302" s="1727">
        <v>0</v>
      </c>
    </row>
    <row s="10232" customFormat="1" customHeight="1" ht="18.75" hidden="1">
      <c r="A303" s="1875" t="s">
        <v>320</v>
      </c>
      <c r="B303" s="1875" t="s">
        <v>321</v>
      </c>
      <c r="C303" s="476"/>
      <c r="D303" s="3304"/>
      <c r="E303" s="3072"/>
      <c r="F303" s="3211" t="str">
        <f>INDEX(PT_DIFFERENTIATION_VTAR,MATCH(A303,PT_DIFFERENTIATION_VTAR_ID,0))</f>
        <v>Тариф на транспортировку воды</v>
      </c>
      <c r="G303" s="3280" t="str">
        <f>INDEX(PT_DIFFERENTIATION_NTAR,MATCH(B303,PT_DIFFERENTIATION_NTAR_ID,0))</f>
        <v/>
      </c>
      <c r="H303" s="1956"/>
      <c r="I303" s="1835"/>
      <c r="J303" s="1869"/>
      <c r="K303" s="1873"/>
      <c r="L303" s="1956" t="s">
        <v>391</v>
      </c>
      <c r="M303" s="449"/>
      <c r="N303" s="442"/>
      <c r="O303" s="1720"/>
      <c r="P303" s="1720"/>
      <c r="AH303" s="1727">
        <v>0</v>
      </c>
    </row>
    <row s="10232" customFormat="1" customHeight="1" ht="18.75" hidden="1">
      <c r="A304" s="1875"/>
      <c r="B304" s="1875"/>
      <c r="C304" s="476" t="s">
        <v>1441</v>
      </c>
      <c r="D304" s="3304"/>
      <c r="E304" s="3072"/>
      <c r="F304" s="3211"/>
      <c r="G304" s="3280"/>
      <c r="H304" s="1596"/>
      <c r="I304" s="758" t="s">
        <v>1440</v>
      </c>
      <c r="J304" s="678"/>
      <c r="K304" s="1596"/>
      <c r="L304" s="322"/>
      <c r="M304" s="449"/>
      <c r="N304" s="442"/>
      <c r="O304" s="1720"/>
      <c r="P304" s="1720"/>
      <c r="AH304" s="1727">
        <v>0</v>
      </c>
    </row>
    <row s="10232" customFormat="1" customHeight="1" ht="0.75" hidden="1">
      <c r="A305" s="1875"/>
      <c r="B305" s="1875"/>
      <c r="C305" s="476" t="s">
        <v>1448</v>
      </c>
      <c r="D305" s="3304"/>
      <c r="E305" s="3072"/>
      <c r="F305" s="3211"/>
      <c r="G305" s="507"/>
      <c r="H305" s="1596"/>
      <c r="I305" s="758"/>
      <c r="J305" s="678"/>
      <c r="K305" s="1596"/>
      <c r="L305" s="322"/>
      <c r="M305" s="449"/>
      <c r="N305" s="442"/>
      <c r="O305" s="1720"/>
      <c r="P305" s="1720"/>
      <c r="AH305" s="1727">
        <v>0</v>
      </c>
    </row>
    <row s="10232" customFormat="1" customHeight="1" ht="18.75" hidden="1">
      <c r="A306" s="1875" t="s">
        <v>325</v>
      </c>
      <c r="B306" s="1875" t="s">
        <v>326</v>
      </c>
      <c r="C306" s="476"/>
      <c r="D306" s="3304"/>
      <c r="E306" s="3072"/>
      <c r="F306" s="3211" t="str">
        <f>INDEX(PT_DIFFERENTIATION_VTAR,MATCH(A306,PT_DIFFERENTIATION_VTAR_ID,0))</f>
        <v>Тариф на подвоз воды</v>
      </c>
      <c r="G306" s="3280" t="str">
        <f>INDEX(PT_DIFFERENTIATION_NTAR,MATCH(B306,PT_DIFFERENTIATION_NTAR_ID,0))</f>
        <v/>
      </c>
      <c r="H306" s="1956"/>
      <c r="I306" s="1835"/>
      <c r="J306" s="1869"/>
      <c r="K306" s="1873"/>
      <c r="L306" s="1956" t="s">
        <v>391</v>
      </c>
      <c r="M306" s="449"/>
      <c r="N306" s="442"/>
      <c r="O306" s="1720"/>
      <c r="P306" s="1720"/>
      <c r="AH306" s="1727">
        <v>0</v>
      </c>
    </row>
    <row s="10232" customFormat="1" customHeight="1" ht="18.75" hidden="1">
      <c r="A307" s="1875"/>
      <c r="B307" s="1875"/>
      <c r="C307" s="476" t="s">
        <v>1441</v>
      </c>
      <c r="D307" s="3304"/>
      <c r="E307" s="3072"/>
      <c r="F307" s="3211"/>
      <c r="G307" s="3280"/>
      <c r="H307" s="1596"/>
      <c r="I307" s="758" t="s">
        <v>1440</v>
      </c>
      <c r="J307" s="678"/>
      <c r="K307" s="1596"/>
      <c r="L307" s="322"/>
      <c r="M307" s="449"/>
      <c r="N307" s="442"/>
      <c r="O307" s="1720"/>
      <c r="P307" s="1720"/>
      <c r="AH307" s="1727">
        <v>0</v>
      </c>
    </row>
    <row s="10232" customFormat="1" customHeight="1" ht="0.75" hidden="1">
      <c r="A308" s="1875"/>
      <c r="B308" s="1875"/>
      <c r="C308" s="476" t="s">
        <v>1448</v>
      </c>
      <c r="D308" s="3304"/>
      <c r="E308" s="3072"/>
      <c r="F308" s="3211"/>
      <c r="G308" s="507"/>
      <c r="H308" s="1596"/>
      <c r="I308" s="758"/>
      <c r="J308" s="678"/>
      <c r="K308" s="1596"/>
      <c r="L308" s="322"/>
      <c r="M308" s="449"/>
      <c r="N308" s="442"/>
      <c r="O308" s="1720"/>
      <c r="P308" s="1720"/>
      <c r="AH308" s="1727">
        <v>0</v>
      </c>
    </row>
    <row s="10232" customFormat="1" customHeight="1" ht="18.75" hidden="1">
      <c r="A309" s="1875" t="s">
        <v>330</v>
      </c>
      <c r="B309" s="1875" t="s">
        <v>331</v>
      </c>
      <c r="C309" s="476"/>
      <c r="D309" s="3304"/>
      <c r="E309" s="3072"/>
      <c r="F309" s="321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280" t="str">
        <f>INDEX(PT_DIFFERENTIATION_NTAR,MATCH(B309,PT_DIFFERENTIATION_NTAR_ID,0))</f>
        <v/>
      </c>
      <c r="H309" s="1956"/>
      <c r="I309" s="1835"/>
      <c r="J309" s="1869"/>
      <c r="K309" s="1873"/>
      <c r="L309" s="1956" t="s">
        <v>391</v>
      </c>
      <c r="M309" s="449"/>
      <c r="N309" s="442"/>
      <c r="O309" s="1720"/>
      <c r="P309" s="1720"/>
      <c r="AH309" s="1727">
        <v>0</v>
      </c>
    </row>
    <row s="10232" customFormat="1" customHeight="1" ht="18.75" hidden="1">
      <c r="A310" s="1875"/>
      <c r="B310" s="1875"/>
      <c r="C310" s="476" t="s">
        <v>1441</v>
      </c>
      <c r="D310" s="3304"/>
      <c r="E310" s="3072"/>
      <c r="F310" s="3211"/>
      <c r="G310" s="3280"/>
      <c r="H310" s="1596"/>
      <c r="I310" s="758" t="s">
        <v>1440</v>
      </c>
      <c r="J310" s="678"/>
      <c r="K310" s="1596"/>
      <c r="L310" s="322"/>
      <c r="M310" s="449"/>
      <c r="N310" s="442"/>
      <c r="O310" s="1720"/>
      <c r="P310" s="1720"/>
      <c r="AH310" s="1727">
        <v>0</v>
      </c>
    </row>
    <row s="10232" customFormat="1" customHeight="1" ht="0.75" hidden="1">
      <c r="A311" s="1875"/>
      <c r="B311" s="1875"/>
      <c r="C311" s="476" t="s">
        <v>1448</v>
      </c>
      <c r="D311" s="3304"/>
      <c r="E311" s="3072"/>
      <c r="F311" s="3211"/>
      <c r="G311" s="507"/>
      <c r="H311" s="1596"/>
      <c r="I311" s="758"/>
      <c r="J311" s="678"/>
      <c r="K311" s="1596"/>
      <c r="L311" s="322"/>
      <c r="M311" s="449"/>
      <c r="N311" s="442"/>
      <c r="O311" s="1720"/>
      <c r="P311" s="1720"/>
      <c r="AH311" s="1727">
        <v>0</v>
      </c>
    </row>
    <row s="10232" customFormat="1" customHeight="1" ht="18.75" hidden="1">
      <c r="A312" s="1875" t="s">
        <v>335</v>
      </c>
      <c r="B312" s="1875" t="s">
        <v>336</v>
      </c>
      <c r="C312" s="476"/>
      <c r="D312" s="3304"/>
      <c r="E312" s="3072"/>
      <c r="F312" s="3211" t="str">
        <f>INDEX(PT_DIFFERENTIATION_VTAR,MATCH(A312,PT_DIFFERENTIATION_VTAR_ID,0))</f>
        <v>Тариф на горячую воду (горячее водоснабжение)</v>
      </c>
      <c r="G312" s="3280" t="str">
        <f>INDEX(PT_DIFFERENTIATION_NTAR,MATCH(B312,PT_DIFFERENTIATION_NTAR_ID,0))</f>
        <v/>
      </c>
      <c r="H312" s="1956"/>
      <c r="I312" s="1835"/>
      <c r="J312" s="1869"/>
      <c r="K312" s="1873"/>
      <c r="L312" s="1956" t="s">
        <v>391</v>
      </c>
      <c r="M312" s="449"/>
      <c r="N312" s="442"/>
      <c r="O312" s="1720"/>
      <c r="P312" s="1720"/>
      <c r="AH312" s="1727">
        <v>0</v>
      </c>
    </row>
    <row s="10232" customFormat="1" customHeight="1" ht="18.75" hidden="1">
      <c r="A313" s="1875"/>
      <c r="B313" s="1875"/>
      <c r="C313" s="476" t="s">
        <v>1441</v>
      </c>
      <c r="D313" s="3304"/>
      <c r="E313" s="3072"/>
      <c r="F313" s="3211"/>
      <c r="G313" s="3280"/>
      <c r="H313" s="1596"/>
      <c r="I313" s="758" t="s">
        <v>1440</v>
      </c>
      <c r="J313" s="678"/>
      <c r="K313" s="1596"/>
      <c r="L313" s="322"/>
      <c r="M313" s="449"/>
      <c r="N313" s="442"/>
      <c r="O313" s="1720"/>
      <c r="P313" s="1720"/>
      <c r="AH313" s="1727">
        <v>0</v>
      </c>
    </row>
    <row s="10232" customFormat="1" customHeight="1" ht="0.75" hidden="1">
      <c r="A314" s="1875"/>
      <c r="B314" s="1875"/>
      <c r="C314" s="476" t="s">
        <v>1448</v>
      </c>
      <c r="D314" s="3304"/>
      <c r="E314" s="3072"/>
      <c r="F314" s="3211"/>
      <c r="G314" s="507"/>
      <c r="H314" s="1596"/>
      <c r="I314" s="758"/>
      <c r="J314" s="678"/>
      <c r="K314" s="1596"/>
      <c r="L314" s="322"/>
      <c r="M314" s="449"/>
      <c r="N314" s="442"/>
      <c r="O314" s="1720"/>
      <c r="P314" s="1720"/>
      <c r="AH314" s="1727">
        <v>0</v>
      </c>
    </row>
    <row s="10232" customFormat="1" customHeight="1" ht="18.75" hidden="1">
      <c r="A315" s="1875" t="s">
        <v>340</v>
      </c>
      <c r="B315" s="1875" t="s">
        <v>341</v>
      </c>
      <c r="C315" s="476"/>
      <c r="D315" s="3304"/>
      <c r="E315" s="3072"/>
      <c r="F315" s="3211" t="str">
        <f>INDEX(PT_DIFFERENTIATION_VTAR,MATCH(A315,PT_DIFFERENTIATION_VTAR_ID,0))</f>
        <v>Тариф на транспортировку горячей воды</v>
      </c>
      <c r="G315" s="3280" t="str">
        <f>INDEX(PT_DIFFERENTIATION_NTAR,MATCH(B315,PT_DIFFERENTIATION_NTAR_ID,0))</f>
        <v/>
      </c>
      <c r="H315" s="1956"/>
      <c r="I315" s="1835"/>
      <c r="J315" s="1869"/>
      <c r="K315" s="1873"/>
      <c r="L315" s="1956" t="s">
        <v>391</v>
      </c>
      <c r="M315" s="449"/>
      <c r="N315" s="442"/>
      <c r="O315" s="1720"/>
      <c r="P315" s="1720"/>
      <c r="AH315" s="1727">
        <v>0</v>
      </c>
    </row>
    <row s="10232" customFormat="1" customHeight="1" ht="18.75" hidden="1">
      <c r="A316" s="1875"/>
      <c r="B316" s="1875"/>
      <c r="C316" s="476" t="s">
        <v>1441</v>
      </c>
      <c r="D316" s="3304"/>
      <c r="E316" s="3072"/>
      <c r="F316" s="3211"/>
      <c r="G316" s="3280"/>
      <c r="H316" s="1596"/>
      <c r="I316" s="758" t="s">
        <v>1440</v>
      </c>
      <c r="J316" s="678"/>
      <c r="K316" s="1596"/>
      <c r="L316" s="322"/>
      <c r="M316" s="449"/>
      <c r="N316" s="442"/>
      <c r="O316" s="1720"/>
      <c r="P316" s="1720"/>
      <c r="AH316" s="1727">
        <v>0</v>
      </c>
    </row>
    <row s="10232" customFormat="1" customHeight="1" ht="0.75" hidden="1">
      <c r="A317" s="1875"/>
      <c r="B317" s="1875"/>
      <c r="C317" s="476" t="s">
        <v>1448</v>
      </c>
      <c r="D317" s="3304"/>
      <c r="E317" s="3072"/>
      <c r="F317" s="3211"/>
      <c r="G317" s="507"/>
      <c r="H317" s="1596"/>
      <c r="I317" s="758"/>
      <c r="J317" s="678"/>
      <c r="K317" s="1596"/>
      <c r="L317" s="322"/>
      <c r="M317" s="449"/>
      <c r="N317" s="442"/>
      <c r="O317" s="1720"/>
      <c r="P317" s="1720"/>
      <c r="AH317" s="1727">
        <v>0</v>
      </c>
    </row>
    <row s="10232" customFormat="1" customHeight="1" ht="18.75" hidden="1">
      <c r="A318" s="1875" t="s">
        <v>345</v>
      </c>
      <c r="B318" s="1875" t="s">
        <v>346</v>
      </c>
      <c r="C318" s="476"/>
      <c r="D318" s="3304"/>
      <c r="E318" s="3072"/>
      <c r="F318" s="3211" t="str">
        <f>INDEX(PT_DIFFERENTIATION_VTAR,MATCH(A318,PT_DIFFERENTIATION_VTAR_ID,0))</f>
        <v>Тариф на подключение (технологическое присоединение) к централизованной системе горячего водоснабжения</v>
      </c>
      <c r="G318" s="3280" t="str">
        <f>INDEX(PT_DIFFERENTIATION_NTAR,MATCH(B318,PT_DIFFERENTIATION_NTAR_ID,0))</f>
        <v/>
      </c>
      <c r="H318" s="1956"/>
      <c r="I318" s="1835"/>
      <c r="J318" s="1869"/>
      <c r="K318" s="1873"/>
      <c r="L318" s="1956" t="s">
        <v>391</v>
      </c>
      <c r="M318" s="449"/>
      <c r="N318" s="442"/>
      <c r="O318" s="1720"/>
      <c r="P318" s="1720"/>
      <c r="AH318" s="1727">
        <v>0</v>
      </c>
    </row>
    <row s="10232" customFormat="1" customHeight="1" ht="18.75" hidden="1">
      <c r="A319" s="1875"/>
      <c r="B319" s="1875"/>
      <c r="C319" s="476" t="s">
        <v>1441</v>
      </c>
      <c r="D319" s="3304"/>
      <c r="E319" s="3072"/>
      <c r="F319" s="3211"/>
      <c r="G319" s="3280"/>
      <c r="H319" s="1596"/>
      <c r="I319" s="758" t="s">
        <v>1440</v>
      </c>
      <c r="J319" s="678"/>
      <c r="K319" s="1596"/>
      <c r="L319" s="322"/>
      <c r="M319" s="449"/>
      <c r="N319" s="442"/>
      <c r="O319" s="1720"/>
      <c r="P319" s="1720"/>
      <c r="AH319" s="1727">
        <v>0</v>
      </c>
    </row>
    <row s="10232" customFormat="1" customHeight="1" ht="0.75" hidden="1">
      <c r="A320" s="1875"/>
      <c r="B320" s="1875"/>
      <c r="C320" s="476" t="s">
        <v>1448</v>
      </c>
      <c r="D320" s="3304"/>
      <c r="E320" s="3072"/>
      <c r="F320" s="3211"/>
      <c r="G320" s="507"/>
      <c r="H320" s="1596"/>
      <c r="I320" s="758"/>
      <c r="J320" s="678"/>
      <c r="K320" s="1596"/>
      <c r="L320" s="322"/>
      <c r="M320" s="449"/>
      <c r="N320" s="442"/>
      <c r="O320" s="1720"/>
      <c r="P320" s="1720"/>
      <c r="AH320" s="1727">
        <v>0</v>
      </c>
    </row>
    <row s="10232" customFormat="1" customHeight="1" ht="18.75" hidden="1">
      <c r="A321" s="1875" t="s">
        <v>350</v>
      </c>
      <c r="B321" s="1875" t="s">
        <v>351</v>
      </c>
      <c r="C321" s="476"/>
      <c r="D321" s="3304"/>
      <c r="E321" s="3072"/>
      <c r="F321" s="3211" t="str">
        <f>INDEX(PT_DIFFERENTIATION_VTAR,MATCH(A321,PT_DIFFERENTIATION_VTAR_ID,0))</f>
        <v>Тариф на водоотведение</v>
      </c>
      <c r="G321" s="3280" t="str">
        <f>INDEX(PT_DIFFERENTIATION_NTAR,MATCH(B321,PT_DIFFERENTIATION_NTAR_ID,0))</f>
        <v/>
      </c>
      <c r="H321" s="1956"/>
      <c r="I321" s="1835"/>
      <c r="J321" s="1869"/>
      <c r="K321" s="1873"/>
      <c r="L321" s="1956" t="s">
        <v>391</v>
      </c>
      <c r="M321" s="449"/>
      <c r="N321" s="442"/>
      <c r="O321" s="1720"/>
      <c r="P321" s="1720"/>
      <c r="AH321" s="1727">
        <v>0</v>
      </c>
    </row>
    <row s="10232" customFormat="1" customHeight="1" ht="18.75" hidden="1">
      <c r="A322" s="1875"/>
      <c r="B322" s="1875"/>
      <c r="C322" s="476" t="s">
        <v>1441</v>
      </c>
      <c r="D322" s="3304"/>
      <c r="E322" s="3072"/>
      <c r="F322" s="3211"/>
      <c r="G322" s="3280"/>
      <c r="H322" s="1596"/>
      <c r="I322" s="758" t="s">
        <v>1440</v>
      </c>
      <c r="J322" s="678"/>
      <c r="K322" s="1596"/>
      <c r="L322" s="322"/>
      <c r="M322" s="449"/>
      <c r="N322" s="442"/>
      <c r="O322" s="1720"/>
      <c r="P322" s="1720"/>
      <c r="AH322" s="1727">
        <v>0</v>
      </c>
    </row>
    <row s="10232" customFormat="1" customHeight="1" ht="0.75" hidden="1">
      <c r="A323" s="1875"/>
      <c r="B323" s="1875"/>
      <c r="C323" s="476" t="s">
        <v>1448</v>
      </c>
      <c r="D323" s="3304"/>
      <c r="E323" s="3072"/>
      <c r="F323" s="3211"/>
      <c r="G323" s="507"/>
      <c r="H323" s="1596"/>
      <c r="I323" s="758"/>
      <c r="J323" s="678"/>
      <c r="K323" s="1596"/>
      <c r="L323" s="322"/>
      <c r="M323" s="449"/>
      <c r="N323" s="442"/>
      <c r="O323" s="1720"/>
      <c r="P323" s="1720"/>
      <c r="AH323" s="1727">
        <v>0</v>
      </c>
    </row>
    <row s="10232" customFormat="1" customHeight="1" ht="18.75" hidden="1">
      <c r="A324" s="1875" t="s">
        <v>355</v>
      </c>
      <c r="B324" s="1875" t="s">
        <v>356</v>
      </c>
      <c r="C324" s="476"/>
      <c r="D324" s="3304"/>
      <c r="E324" s="3072"/>
      <c r="F324" s="3211" t="str">
        <f>INDEX(PT_DIFFERENTIATION_VTAR,MATCH(A324,PT_DIFFERENTIATION_VTAR_ID,0))</f>
        <v>Тариф на транспортировку сточных вод</v>
      </c>
      <c r="G324" s="3280" t="str">
        <f>INDEX(PT_DIFFERENTIATION_NTAR,MATCH(B324,PT_DIFFERENTIATION_NTAR_ID,0))</f>
        <v/>
      </c>
      <c r="H324" s="1956"/>
      <c r="I324" s="1835"/>
      <c r="J324" s="1869"/>
      <c r="K324" s="1873"/>
      <c r="L324" s="1956" t="s">
        <v>391</v>
      </c>
      <c r="M324" s="449"/>
      <c r="N324" s="442"/>
      <c r="O324" s="1720"/>
      <c r="P324" s="1720"/>
      <c r="AH324" s="1727">
        <v>0</v>
      </c>
    </row>
    <row s="10232" customFormat="1" customHeight="1" ht="18.75" hidden="1">
      <c r="A325" s="1875"/>
      <c r="B325" s="1875"/>
      <c r="C325" s="476" t="s">
        <v>1441</v>
      </c>
      <c r="D325" s="3304"/>
      <c r="E325" s="3072"/>
      <c r="F325" s="3211"/>
      <c r="G325" s="3280"/>
      <c r="H325" s="1596"/>
      <c r="I325" s="758" t="s">
        <v>1440</v>
      </c>
      <c r="J325" s="678"/>
      <c r="K325" s="1596"/>
      <c r="L325" s="322"/>
      <c r="M325" s="449"/>
      <c r="N325" s="442"/>
      <c r="O325" s="1720"/>
      <c r="P325" s="1720"/>
      <c r="AH325" s="1727">
        <v>0</v>
      </c>
    </row>
    <row s="10232" customFormat="1" customHeight="1" ht="0.75" hidden="1">
      <c r="A326" s="1875"/>
      <c r="B326" s="1875"/>
      <c r="C326" s="476" t="s">
        <v>1448</v>
      </c>
      <c r="D326" s="3304"/>
      <c r="E326" s="3072"/>
      <c r="F326" s="3211"/>
      <c r="G326" s="507"/>
      <c r="H326" s="1596"/>
      <c r="I326" s="758"/>
      <c r="J326" s="678"/>
      <c r="K326" s="1596"/>
      <c r="L326" s="322"/>
      <c r="M326" s="449"/>
      <c r="N326" s="442"/>
      <c r="O326" s="1720"/>
      <c r="P326" s="1720"/>
      <c r="AH326" s="1727">
        <v>0</v>
      </c>
    </row>
    <row s="10232" customFormat="1" customHeight="1" ht="18.75" hidden="1">
      <c r="A327" s="1875" t="s">
        <v>360</v>
      </c>
      <c r="B327" s="1875" t="s">
        <v>361</v>
      </c>
      <c r="C327" s="476"/>
      <c r="D327" s="3304"/>
      <c r="E327" s="3072"/>
      <c r="F327" s="3211" t="str">
        <f>INDEX(PT_DIFFERENTIATION_VTAR,MATCH(A327,PT_DIFFERENTIATION_VTAR_ID,0))</f>
        <v>Тариф на подключение (технологическое присоединение) к централизованной системе водоотведения</v>
      </c>
      <c r="G327" s="3280" t="str">
        <f>INDEX(PT_DIFFERENTIATION_NTAR,MATCH(B327,PT_DIFFERENTIATION_NTAR_ID,0))</f>
        <v/>
      </c>
      <c r="H327" s="1956"/>
      <c r="I327" s="1835"/>
      <c r="J327" s="1869"/>
      <c r="K327" s="1873"/>
      <c r="L327" s="1956" t="s">
        <v>391</v>
      </c>
      <c r="M327" s="449"/>
      <c r="N327" s="442"/>
      <c r="O327" s="1720"/>
      <c r="P327" s="1720"/>
      <c r="AH327" s="1727">
        <v>0</v>
      </c>
    </row>
    <row s="10232" customFormat="1" customHeight="1" ht="18.75" hidden="1">
      <c r="A328" s="1875"/>
      <c r="B328" s="1875"/>
      <c r="C328" s="476" t="s">
        <v>1441</v>
      </c>
      <c r="D328" s="3304"/>
      <c r="E328" s="3072"/>
      <c r="F328" s="3211"/>
      <c r="G328" s="3280"/>
      <c r="H328" s="1596"/>
      <c r="I328" s="758" t="s">
        <v>1440</v>
      </c>
      <c r="J328" s="678"/>
      <c r="K328" s="1596"/>
      <c r="L328" s="322"/>
      <c r="M328" s="449"/>
      <c r="N328" s="442"/>
      <c r="O328" s="1720"/>
      <c r="P328" s="1720"/>
      <c r="AH328" s="1727">
        <v>0</v>
      </c>
    </row>
    <row s="10232" customFormat="1" customHeight="1" ht="1.05">
      <c r="A329" s="1875"/>
      <c r="B329" s="1875"/>
      <c r="C329" s="476" t="s">
        <v>1448</v>
      </c>
      <c r="D329" s="3304"/>
      <c r="E329" s="3072"/>
      <c r="F329" s="3211"/>
      <c r="G329" s="507"/>
      <c r="H329" s="1596"/>
      <c r="I329" s="758"/>
      <c r="J329" s="678"/>
      <c r="K329" s="1596"/>
      <c r="L329" s="322"/>
      <c r="M329" s="449"/>
      <c r="N329" s="442"/>
      <c r="O329" s="1720"/>
      <c r="P329" s="1720"/>
      <c r="AH329" s="1727">
        <v>1</v>
      </c>
    </row>
    <row s="12963" customFormat="1" customHeight="1" ht="3">
      <c r="A330" s="1875"/>
      <c r="B330" s="1875"/>
      <c r="C330" s="1876"/>
      <c r="E330" s="509"/>
      <c r="F330" s="509"/>
      <c r="G330" s="509"/>
      <c r="H330" s="509"/>
      <c r="I330" s="509"/>
      <c r="J330" s="509"/>
      <c r="K330" s="509"/>
      <c r="L330" s="509"/>
      <c r="M330" s="509"/>
      <c r="O330" s="304"/>
      <c r="P330" s="304"/>
      <c r="AH330" s="249">
        <v>3</v>
      </c>
    </row>
    <row customHeight="1" ht="26.25">
      <c r="E331" s="310"/>
      <c r="F331" s="3114"/>
      <c r="G331" s="3114"/>
      <c r="H331" s="3114"/>
      <c r="I331" s="3114"/>
      <c r="J331" s="3114"/>
      <c r="K331" s="3114"/>
      <c r="L331" s="3114"/>
      <c r="M331" s="3114"/>
      <c r="AH331" s="481">
        <v>25</v>
      </c>
    </row>
    <row customHeight="1" ht="14.25" hidden="1">
      <c r="A332" s="1874" t="s">
        <v>82</v>
      </c>
      <c r="B332" s="1874">
        <v>0</v>
      </c>
      <c r="C332" s="476">
        <v>0</v>
      </c>
      <c r="D332" s="452">
        <v>3</v>
      </c>
      <c r="E332" s="481">
        <v>6</v>
      </c>
      <c r="F332" s="481">
        <v>46</v>
      </c>
      <c r="G332" s="481">
        <v>35</v>
      </c>
      <c r="H332" s="481">
        <v>3</v>
      </c>
      <c r="I332" s="481">
        <v>11</v>
      </c>
      <c r="J332" s="481">
        <v>11</v>
      </c>
      <c r="K332" s="481">
        <v>35</v>
      </c>
      <c r="L332" s="481">
        <v>35</v>
      </c>
      <c r="M332" s="481">
        <v>84</v>
      </c>
      <c r="N332" s="481">
        <v>10</v>
      </c>
      <c r="O332" s="457">
        <v>10</v>
      </c>
      <c r="P332" s="457">
        <v>10</v>
      </c>
      <c r="Q332" s="481">
        <v>10</v>
      </c>
      <c r="R332" s="481">
        <v>10</v>
      </c>
      <c r="S332" s="481">
        <v>10</v>
      </c>
      <c r="T332" s="481">
        <v>10</v>
      </c>
      <c r="U332" s="481">
        <v>10</v>
      </c>
      <c r="V332" s="481">
        <v>10</v>
      </c>
      <c r="W332" s="481">
        <v>10</v>
      </c>
      <c r="X332" s="481">
        <v>10</v>
      </c>
      <c r="Y332" s="481">
        <v>10</v>
      </c>
      <c r="Z332" s="481">
        <v>10</v>
      </c>
      <c r="AA332" s="481">
        <v>10</v>
      </c>
      <c r="AB332" s="481">
        <v>10</v>
      </c>
      <c r="AC332" s="481">
        <v>10</v>
      </c>
      <c r="AD332" s="481">
        <v>10</v>
      </c>
      <c r="AE332" s="481">
        <v>10</v>
      </c>
      <c r="AF332" s="481">
        <v>10</v>
      </c>
      <c r="AG332" s="481">
        <v>10</v>
      </c>
      <c r="AH332" s="481">
        <v>14</v>
      </c>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B8E2F-998A-9434-B4DF-5248CF57502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1081" width="9.140625" hidden="1" customWidth="1"/>
    <col min="2" max="2" style="10306" width="9.140625" hidden="1" customWidth="1"/>
    <col min="3" max="3" style="11082" width="3.00390625" customWidth="1"/>
    <col min="4" max="4" style="10232" width="6.00390625" customWidth="1"/>
    <col min="5" max="5" style="10232" width="53.00390625" customWidth="1"/>
    <col min="6" max="7" style="10232" width="35.00390625" customWidth="1"/>
    <col min="8" max="8" style="10232" width="89.00390625" customWidth="1"/>
    <col min="9" max="9" style="10232" width="10.00390625" customWidth="1"/>
    <col min="10" max="11" style="10410" width="10.00390625" customWidth="1"/>
    <col min="12" max="17" style="10232" width="10.00390625" customWidth="1"/>
    <col min="18" max="18" style="10232" width="10.57421875" hidden="1"/>
  </cols>
  <sheetData>
    <row customHeight="1" ht="22.5" hidden="1">
      <c r="N1" s="363"/>
      <c r="O1" s="363"/>
      <c r="Q1" s="363"/>
      <c r="R1" s="481" t="s">
        <v>14</v>
      </c>
    </row>
    <row s="10232" customFormat="1" customHeight="1" ht="18.75" hidden="1">
      <c r="A2" s="58"/>
      <c r="B2" s="1256"/>
      <c r="C2" s="1826" t="s">
        <v>103</v>
      </c>
      <c r="D2" s="1769"/>
      <c r="E2" s="1778"/>
      <c r="F2" s="365"/>
      <c r="G2" s="1257"/>
      <c r="H2" s="481"/>
      <c r="I2" s="1720"/>
      <c r="J2" s="1720"/>
      <c r="R2" s="1727">
        <v>0</v>
      </c>
    </row>
    <row customHeight="1" ht="14.25" hidden="1">
      <c r="R3" s="481">
        <v>0</v>
      </c>
    </row>
    <row customHeight="1" ht="6.3">
      <c r="C4" s="483"/>
      <c r="D4" s="470"/>
      <c r="E4" s="470"/>
      <c r="F4" s="470"/>
      <c r="G4" s="196"/>
      <c r="H4" s="196"/>
      <c r="R4" s="481">
        <v>6</v>
      </c>
    </row>
    <row customHeight="1" ht="34.5">
      <c r="C5" s="483"/>
      <c r="D5" s="30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039"/>
      <c r="F5" s="3039"/>
      <c r="G5" s="3040"/>
      <c r="H5" s="374"/>
      <c r="R5" s="481">
        <v>33</v>
      </c>
    </row>
    <row s="10232" customFormat="1" customHeight="1" ht="18">
      <c r="A6" s="1765"/>
      <c r="B6" s="1256"/>
      <c r="C6" s="483"/>
      <c r="D6" s="3091" t="str">
        <f>IF(org=0,"Не определено",org)</f>
        <v>АО "ДГК"</v>
      </c>
      <c r="E6" s="3092"/>
      <c r="F6" s="3092"/>
      <c r="G6" s="3093"/>
      <c r="H6" s="374"/>
      <c r="J6" s="1720"/>
      <c r="K6" s="1720"/>
      <c r="R6" s="1727">
        <v>17</v>
      </c>
    </row>
    <row customHeight="1" ht="14.699999999999998">
      <c r="C7" s="483"/>
      <c r="D7" s="470"/>
      <c r="E7" s="496"/>
      <c r="F7" s="496"/>
      <c r="G7" s="859"/>
      <c r="H7" s="301"/>
      <c r="R7" s="481">
        <v>14</v>
      </c>
    </row>
    <row customHeight="1" ht="14.699999999999998">
      <c r="C8" s="483"/>
      <c r="D8" s="3077" t="s">
        <v>385</v>
      </c>
      <c r="E8" s="3077"/>
      <c r="F8" s="3077"/>
      <c r="G8" s="3077"/>
      <c r="H8" s="3224" t="s">
        <v>386</v>
      </c>
      <c r="R8" s="481">
        <v>14</v>
      </c>
    </row>
    <row customHeight="1" ht="24">
      <c r="C9" s="483"/>
      <c r="D9" s="493" t="s">
        <v>88</v>
      </c>
      <c r="E9" s="218" t="s">
        <v>387</v>
      </c>
      <c r="F9" s="218" t="s">
        <v>388</v>
      </c>
      <c r="G9" s="218" t="s">
        <v>475</v>
      </c>
      <c r="H9" s="3224"/>
      <c r="R9" s="481">
        <v>23</v>
      </c>
    </row>
    <row customHeight="1" ht="14.699999999999998">
      <c r="A10" s="451"/>
      <c r="C10" s="483"/>
      <c r="D10" s="255" t="s">
        <v>144</v>
      </c>
      <c r="E10" s="198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65"/>
      <c r="G10" s="321"/>
      <c r="H10" s="3032" t="s">
        <v>1449</v>
      </c>
      <c r="R10" s="481">
        <v>14</v>
      </c>
    </row>
    <row customHeight="1" ht="14.699999999999998">
      <c r="A11" s="451"/>
      <c r="C11" s="483"/>
      <c r="D11" s="255" t="s">
        <v>102</v>
      </c>
      <c r="E11" s="198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65"/>
      <c r="G11" s="321"/>
      <c r="H11" s="3033"/>
      <c r="R11" s="481">
        <v>14</v>
      </c>
    </row>
    <row customHeight="1" ht="14.699999999999998">
      <c r="A12" s="58"/>
      <c r="C12" s="494"/>
      <c r="D12" s="255" t="s">
        <v>90</v>
      </c>
      <c r="E12" s="495" t="str">
        <f>"Сведения о планировании закупочных процедур"&amp;IF(TEMPLATE_SPHERE="TKO"," &lt;1&gt;","")</f>
        <v>Сведения о планировании закупочных процедур</v>
      </c>
      <c r="F12" s="365"/>
      <c r="G12" s="321"/>
      <c r="H12" s="30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57"/>
      <c r="K12" s="481"/>
      <c r="R12" s="481">
        <v>14</v>
      </c>
    </row>
    <row customHeight="1" ht="14.699999999999998">
      <c r="A13" s="58"/>
      <c r="C13" s="494"/>
      <c r="D13" s="255" t="s">
        <v>91</v>
      </c>
      <c r="E13" s="495" t="str">
        <f>"Сведения о результатах проведения закупочных процедур"&amp;IF(TEMPLATE_SPHERE="TKO"," &lt;1&gt;","")</f>
        <v>Сведения о результатах проведения закупочных процедур</v>
      </c>
      <c r="F13" s="365"/>
      <c r="G13" s="321"/>
      <c r="H13" s="3033"/>
      <c r="I13" s="457"/>
      <c r="K13" s="481"/>
      <c r="R13" s="481">
        <v>14</v>
      </c>
    </row>
    <row customHeight="1" ht="14.699999999999998">
      <c r="A14" s="451"/>
      <c r="C14" s="483"/>
      <c r="D14" s="455"/>
      <c r="E14" s="502" t="s">
        <v>407</v>
      </c>
      <c r="F14" s="456"/>
      <c r="G14" s="309"/>
      <c r="H14" s="3034"/>
      <c r="R14" s="481">
        <v>14</v>
      </c>
    </row>
    <row s="10232" customFormat="1" customHeight="1" ht="14.699999999999998">
      <c r="A15" s="451"/>
      <c r="B15" s="1256"/>
      <c r="C15" s="483"/>
      <c r="D15" s="503"/>
      <c r="E15" s="1773"/>
      <c r="F15" s="1774"/>
      <c r="G15" s="1775"/>
      <c r="H15" s="1776"/>
      <c r="J15" s="1720"/>
      <c r="K15" s="1720"/>
      <c r="R15" s="1727">
        <v>14</v>
      </c>
    </row>
    <row customHeight="1" ht="14.699999999999998">
      <c r="D16" s="1777"/>
      <c r="E16" s="3114"/>
      <c r="F16" s="3114"/>
      <c r="G16" s="3114"/>
      <c r="H16" s="3114"/>
      <c r="R16" s="481">
        <v>14</v>
      </c>
    </row>
    <row customHeight="1" ht="22.5" hidden="1">
      <c r="A17" s="471" t="s">
        <v>82</v>
      </c>
      <c r="B17" s="254">
        <v>0</v>
      </c>
      <c r="C17" s="452">
        <v>3</v>
      </c>
      <c r="D17" s="481">
        <v>6</v>
      </c>
      <c r="E17" s="481">
        <v>53</v>
      </c>
      <c r="F17" s="481">
        <v>35</v>
      </c>
      <c r="G17" s="481">
        <v>35</v>
      </c>
      <c r="H17" s="481">
        <v>89</v>
      </c>
      <c r="I17" s="481">
        <v>10</v>
      </c>
      <c r="J17" s="457">
        <v>10</v>
      </c>
      <c r="K17" s="457">
        <v>10</v>
      </c>
      <c r="L17" s="481">
        <v>10</v>
      </c>
      <c r="M17" s="481">
        <v>10</v>
      </c>
      <c r="N17" s="481">
        <v>10</v>
      </c>
      <c r="O17" s="481">
        <v>10</v>
      </c>
      <c r="P17" s="481">
        <v>10</v>
      </c>
      <c r="Q17" s="481">
        <v>10</v>
      </c>
      <c r="R17" s="48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995FD-917F-5657-E853-822CE26CA645}" mc:Ignorable="x14ac xr xr2 xr3">
  <sheetPr>
    <tabColor theme="2" tint="-0.1"/>
  </sheetPr>
  <dimension ref="A1:CL30"/>
  <sheetViews>
    <sheetView topLeftCell="A1" showGridLines="0" zoomScale="90" workbookViewId="0">
      <selection activeCell="BY8" sqref="BY8"/>
    </sheetView>
  </sheetViews>
  <sheetFormatPr defaultColWidth="10.57421875" customHeight="1" defaultRowHeight="15"/>
  <cols>
    <col min="1" max="1" style="10196" width="9.140625" hidden="1" customWidth="1"/>
    <col min="2" max="2" style="10232" width="9.140625" hidden="1" customWidth="1"/>
    <col min="3" max="3" style="12392" width="4.00390625" customWidth="1"/>
    <col min="4" max="4" style="10232" width="6.00390625" customWidth="1"/>
    <col min="5" max="5" style="10232" width="47.00390625" customWidth="1"/>
    <col min="6" max="6" style="10232" width="9.00390625" customWidth="1"/>
    <col min="7" max="7" style="10232" width="25.7109375" hidden="1" customWidth="1"/>
    <col min="8" max="8" style="10232" width="34.00390625" hidden="1" customWidth="1"/>
    <col min="9" max="9" style="10232" width="25.7109375" customWidth="1"/>
    <col min="10" max="10" style="10232" width="33.00390625" customWidth="1"/>
    <col min="11" max="11" style="10232" width="25.7109375" customWidth="1"/>
    <col min="12" max="12" style="10232" width="34.00390625" customWidth="1"/>
    <col min="13" max="13" style="10232" width="25.7109375" customWidth="1"/>
    <col min="14" max="14" style="10232" width="34.00390625" customWidth="1"/>
    <col min="15" max="15" style="10232" width="25.7109375" customWidth="1"/>
    <col min="16" max="16" style="10232" width="34.00390625" customWidth="1"/>
    <col min="17" max="17" style="10232" width="25.7109375" customWidth="1"/>
    <col min="18" max="18" style="10232" width="34.00390625" customWidth="1"/>
    <col min="19" max="19" style="10232" width="25.7109375" customWidth="1"/>
    <col min="20" max="20" style="10232" width="34.00390625" customWidth="1"/>
    <col min="21" max="21" style="10232" width="25.7109375" customWidth="1"/>
    <col min="22" max="22" style="10232" width="34.00390625" customWidth="1"/>
    <col min="23" max="23" style="10232" width="25.7109375" customWidth="1"/>
    <col min="24" max="24" style="10232" width="34.00390625" customWidth="1"/>
    <col min="25" max="25" style="10232" width="25.7109375" customWidth="1"/>
    <col min="26" max="26" style="10232" width="34.00390625" customWidth="1"/>
    <col min="27" max="27" style="10232" width="25.7109375" customWidth="1"/>
    <col min="28" max="28" style="10232" width="34.00390625" customWidth="1"/>
    <col min="29" max="29" style="10232" width="25.7109375" customWidth="1"/>
    <col min="30" max="30" style="10232" width="34.00390625" customWidth="1"/>
    <col min="31" max="31" style="10232" width="25.7109375" customWidth="1"/>
    <col min="32" max="32" style="10232" width="34.00390625" customWidth="1"/>
    <col min="33" max="33" style="10232" width="25.7109375" customWidth="1"/>
    <col min="34" max="34" style="10232" width="34.00390625" customWidth="1"/>
    <col min="35" max="35" style="10232" width="25.7109375" customWidth="1"/>
    <col min="36" max="36" style="10232" width="34.00390625" customWidth="1"/>
    <col min="37" max="37" style="10232" width="25.7109375" customWidth="1"/>
    <col min="38" max="38" style="10232" width="34.00390625" customWidth="1"/>
    <col min="39" max="39" style="10232" width="25.7109375" customWidth="1"/>
    <col min="40" max="40" style="10232" width="34.00390625" customWidth="1"/>
    <col min="41" max="41" style="10232" width="25.7109375" customWidth="1"/>
    <col min="42" max="42" style="10232" width="34.00390625" customWidth="1"/>
    <col min="43" max="43" style="10232" width="25.7109375" customWidth="1"/>
    <col min="44" max="44" style="10232" width="34.00390625" customWidth="1"/>
    <col min="45" max="45" style="10232" width="25.7109375" customWidth="1"/>
    <col min="46" max="46" style="10232" width="34.00390625" customWidth="1"/>
    <col min="47" max="47" style="10232" width="25.7109375" customWidth="1"/>
    <col min="48" max="48" style="10232" width="34.00390625" customWidth="1"/>
    <col min="49" max="49" style="10232" width="25.7109375" customWidth="1"/>
    <col min="50" max="50" style="10232" width="34.00390625" customWidth="1"/>
    <col min="51" max="51" style="10232" width="25.7109375" customWidth="1"/>
    <col min="52" max="52" style="10232" width="34.00390625" customWidth="1"/>
    <col min="53" max="53" style="10232" width="25.7109375" customWidth="1"/>
    <col min="54" max="54" style="10232" width="34.00390625" customWidth="1"/>
    <col min="55" max="55" style="10232" width="25.7109375" customWidth="1"/>
    <col min="56" max="56" style="10232" width="34.00390625" customWidth="1"/>
    <col min="57" max="57" style="10232" width="25.7109375" customWidth="1"/>
    <col min="58" max="58" style="10232" width="34.00390625" customWidth="1"/>
    <col min="59" max="59" style="10232" width="25.7109375" customWidth="1"/>
    <col min="60" max="60" style="10232" width="34.00390625" customWidth="1"/>
    <col min="61" max="61" style="10232" width="25.7109375" customWidth="1"/>
    <col min="62" max="62" style="10232" width="34.00390625" customWidth="1"/>
    <col min="63" max="63" style="10232" width="25.7109375" customWidth="1"/>
    <col min="64" max="64" style="10232" width="34.00390625" customWidth="1"/>
    <col min="65" max="65" style="10232" width="25.7109375" customWidth="1"/>
    <col min="66" max="66" style="10232" width="34.00390625" customWidth="1"/>
    <col min="67" max="67" style="10232" width="25.7109375" customWidth="1"/>
    <col min="68" max="68" style="10232" width="34.00390625" customWidth="1"/>
    <col min="69" max="69" style="10232" width="25.7109375" customWidth="1"/>
    <col min="70" max="70" style="10232" width="34.00390625" customWidth="1"/>
    <col min="71" max="71" style="10232" width="25.7109375" customWidth="1"/>
    <col min="72" max="72" style="10232" width="34.00390625" customWidth="1"/>
    <col min="73" max="73" style="11667" width="25.7109375" customWidth="1"/>
    <col min="74" max="74" style="11667" width="34.00390625" customWidth="1"/>
    <col min="75" max="75" style="11667" width="25.7109375" customWidth="1"/>
    <col min="76" max="76" style="11667" width="34.00390625" customWidth="1"/>
    <col min="77" max="77" style="11667" width="25.7109375" customWidth="1"/>
    <col min="78" max="78" style="11667" width="34.00390625" customWidth="1"/>
    <col min="79" max="79" style="10306" width="50.00390625" customWidth="1"/>
    <col min="80" max="88" style="10232" width="10.00390625" customWidth="1"/>
    <col min="89" max="89" style="12393" width="10.00390625" customWidth="1"/>
    <col min="90" max="90" style="10232" width="10.57421875" hidden="1"/>
  </cols>
  <sheetData>
    <row s="10306" customFormat="1" customHeight="1" ht="22.5" hidden="1">
      <c r="C1" s="779"/>
      <c r="G1" s="524">
        <v>4</v>
      </c>
      <c r="I1" s="524">
        <v>4</v>
      </c>
      <c r="K1" s="1462" t="s">
        <v>144</v>
      </c>
      <c r="M1" s="1462">
        <v>4</v>
      </c>
      <c r="O1" s="1462">
        <v>4</v>
      </c>
      <c r="Q1" s="1462">
        <v>4</v>
      </c>
      <c r="S1" s="1462">
        <v>4</v>
      </c>
      <c r="U1" s="1462">
        <v>4</v>
      </c>
      <c r="W1" s="1462">
        <v>4</v>
      </c>
      <c r="Y1" s="1462">
        <v>4</v>
      </c>
      <c r="AA1" s="1462">
        <v>4</v>
      </c>
      <c r="AC1" s="1462">
        <v>4</v>
      </c>
      <c r="AE1" s="1462">
        <v>4</v>
      </c>
      <c r="AG1" s="1462">
        <v>4</v>
      </c>
      <c r="AI1" s="1462">
        <v>4</v>
      </c>
      <c r="AK1" s="1462">
        <v>4</v>
      </c>
      <c r="AM1" s="1462">
        <v>4</v>
      </c>
      <c r="AO1" s="1462">
        <v>4</v>
      </c>
      <c r="AQ1" s="1462">
        <v>4</v>
      </c>
      <c r="AS1" s="1462">
        <v>4</v>
      </c>
      <c r="AU1" s="1462">
        <v>4</v>
      </c>
      <c r="AW1" s="1462">
        <v>4</v>
      </c>
      <c r="AY1" s="1462">
        <v>4</v>
      </c>
      <c r="BA1" s="1462">
        <v>4</v>
      </c>
      <c r="BC1" s="1462">
        <v>4</v>
      </c>
      <c r="BE1" s="1462">
        <v>4</v>
      </c>
      <c r="BG1" s="1462">
        <v>4</v>
      </c>
      <c r="BI1" s="1462">
        <v>4</v>
      </c>
      <c r="BK1" s="1462">
        <v>4</v>
      </c>
      <c r="BM1" s="1462">
        <v>4</v>
      </c>
      <c r="BO1" s="1462">
        <v>4</v>
      </c>
      <c r="BQ1" s="1462">
        <v>4</v>
      </c>
      <c r="BS1" s="1462">
        <v>4</v>
      </c>
      <c r="BU1" s="4608">
        <v>4</v>
      </c>
      <c r="BV1" s="4608"/>
      <c r="BW1" s="4608">
        <v>4</v>
      </c>
      <c r="BX1" s="4608"/>
      <c r="BY1" s="4608">
        <v>4</v>
      </c>
      <c r="BZ1" s="4608"/>
      <c r="CK1" s="527"/>
      <c r="CL1" s="524" t="s">
        <v>14</v>
      </c>
    </row>
    <row s="10232" customFormat="1" customHeight="1" ht="15" hidden="1">
      <c r="A2" s="469"/>
      <c r="C2" s="284"/>
      <c r="D2" s="454"/>
      <c r="E2" s="780"/>
      <c r="F2" s="629"/>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3"/>
      <c r="BJ2" s="723"/>
      <c r="BK2" s="723"/>
      <c r="BL2" s="723"/>
      <c r="BM2" s="723"/>
      <c r="BN2" s="723"/>
      <c r="BO2" s="723"/>
      <c r="BP2" s="723"/>
      <c r="BQ2" s="723"/>
      <c r="BR2" s="723"/>
      <c r="BS2" s="723"/>
      <c r="BT2" s="723"/>
      <c r="BU2" s="6171"/>
      <c r="BV2" s="6171"/>
      <c r="BW2" s="6171"/>
      <c r="BX2" s="6171"/>
      <c r="BY2" s="6171"/>
      <c r="BZ2" s="6171"/>
      <c r="CK2" s="781"/>
      <c r="CL2" s="616">
        <v>0</v>
      </c>
    </row>
    <row s="10306" customFormat="1" customHeight="1" ht="15" hidden="1">
      <c r="C3" s="779"/>
      <c r="BU3" s="4608"/>
      <c r="BV3" s="4608"/>
      <c r="BW3" s="4608"/>
      <c r="BX3" s="4608"/>
      <c r="BY3" s="4608"/>
      <c r="BZ3" s="4608"/>
      <c r="CK3" s="527"/>
      <c r="CL3" s="524">
        <v>0</v>
      </c>
    </row>
    <row customHeight="1" ht="15.75">
      <c r="C4" s="284"/>
      <c r="D4" s="616"/>
      <c r="E4" s="616"/>
      <c r="F4" s="616"/>
      <c r="G4" s="616"/>
      <c r="H4" s="616"/>
      <c r="I4" s="616"/>
      <c r="J4" s="616"/>
      <c r="BU4" s="4586"/>
      <c r="BV4" s="4586"/>
      <c r="BW4" s="4586"/>
      <c r="BX4" s="4586"/>
      <c r="BY4" s="4586"/>
      <c r="BZ4" s="4586"/>
      <c r="CL4" s="612">
        <v>15</v>
      </c>
    </row>
    <row customHeight="1" ht="66">
      <c r="C5" s="284"/>
      <c r="D5" s="3096" t="s">
        <v>1450</v>
      </c>
      <c r="E5" s="3096"/>
      <c r="F5" s="3096"/>
      <c r="G5" s="3096"/>
      <c r="H5" s="3096"/>
      <c r="I5" s="3096"/>
      <c r="J5" s="3096"/>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BT5" s="2172"/>
      <c r="BU5" s="4620"/>
      <c r="BV5" s="4620"/>
      <c r="BW5" s="4620"/>
      <c r="BX5" s="4620"/>
      <c r="BY5" s="4620"/>
      <c r="BZ5" s="4620"/>
      <c r="CL5" s="612">
        <v>63</v>
      </c>
    </row>
    <row customHeight="1" ht="15.75">
      <c r="C6" s="284"/>
      <c r="D6" s="3069" t="str">
        <f>IF(org=0,"Не определено",org)</f>
        <v>АО "ДГК"</v>
      </c>
      <c r="E6" s="3069"/>
      <c r="F6" s="3069"/>
      <c r="G6" s="3069"/>
      <c r="H6" s="3069"/>
      <c r="I6" s="3069"/>
      <c r="J6" s="3069"/>
      <c r="K6" s="2173"/>
      <c r="L6" s="2173"/>
      <c r="M6" s="2173"/>
      <c r="N6" s="2173"/>
      <c r="O6" s="2173"/>
      <c r="P6" s="2173"/>
      <c r="Q6" s="2173"/>
      <c r="R6" s="2173"/>
      <c r="S6" s="2173"/>
      <c r="T6" s="2173"/>
      <c r="U6" s="2173"/>
      <c r="V6" s="2173"/>
      <c r="W6" s="2173"/>
      <c r="X6" s="2173"/>
      <c r="Y6" s="2173"/>
      <c r="Z6" s="2173"/>
      <c r="AA6" s="2173"/>
      <c r="AB6" s="2173"/>
      <c r="AC6" s="2173"/>
      <c r="AD6" s="2173"/>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3"/>
      <c r="BC6" s="2173"/>
      <c r="BD6" s="2173"/>
      <c r="BE6" s="2173"/>
      <c r="BF6" s="2173"/>
      <c r="BG6" s="2173"/>
      <c r="BH6" s="2173"/>
      <c r="BI6" s="2173"/>
      <c r="BJ6" s="2173"/>
      <c r="BK6" s="2173"/>
      <c r="BL6" s="2173"/>
      <c r="BM6" s="2173"/>
      <c r="BN6" s="2173"/>
      <c r="BO6" s="2173"/>
      <c r="BP6" s="2173"/>
      <c r="BQ6" s="2173"/>
      <c r="BR6" s="2173"/>
      <c r="BS6" s="2173"/>
      <c r="BT6" s="2173"/>
      <c r="BU6" s="4623"/>
      <c r="BV6" s="4623"/>
      <c r="BW6" s="4623"/>
      <c r="BX6" s="4623"/>
      <c r="BY6" s="4623"/>
      <c r="BZ6" s="4623"/>
      <c r="CA6" s="644"/>
      <c r="CL6" s="612">
        <v>15</v>
      </c>
    </row>
    <row customHeight="1" ht="15.75">
      <c r="C7" s="284"/>
      <c r="D7" s="859"/>
      <c r="E7" s="616"/>
      <c r="F7" s="616"/>
      <c r="G7" s="644">
        <v>22</v>
      </c>
      <c r="I7" s="644">
        <v>1</v>
      </c>
      <c r="J7" s="859"/>
      <c r="K7" s="1462" t="s">
        <v>22</v>
      </c>
      <c r="M7" s="1462" t="s">
        <v>22</v>
      </c>
      <c r="O7" s="1462" t="s">
        <v>22</v>
      </c>
      <c r="Q7" s="1462" t="s">
        <v>22</v>
      </c>
      <c r="S7" s="1462" t="s">
        <v>22</v>
      </c>
      <c r="U7" s="1462" t="s">
        <v>22</v>
      </c>
      <c r="W7" s="1462" t="s">
        <v>22</v>
      </c>
      <c r="Y7" s="1462" t="s">
        <v>22</v>
      </c>
      <c r="AA7" s="1462" t="s">
        <v>22</v>
      </c>
      <c r="AC7" s="1462" t="s">
        <v>22</v>
      </c>
      <c r="AE7" s="1462" t="s">
        <v>22</v>
      </c>
      <c r="AG7" s="1462" t="s">
        <v>22</v>
      </c>
      <c r="AI7" s="1462" t="s">
        <v>22</v>
      </c>
      <c r="AK7" s="1462" t="s">
        <v>22</v>
      </c>
      <c r="AM7" s="1462" t="s">
        <v>22</v>
      </c>
      <c r="AO7" s="1462" t="s">
        <v>22</v>
      </c>
      <c r="AQ7" s="1462" t="s">
        <v>22</v>
      </c>
      <c r="AS7" s="1462" t="s">
        <v>22</v>
      </c>
      <c r="AU7" s="1462" t="s">
        <v>22</v>
      </c>
      <c r="AW7" s="1462" t="s">
        <v>22</v>
      </c>
      <c r="AY7" s="1462" t="s">
        <v>22</v>
      </c>
      <c r="BA7" s="1462" t="s">
        <v>22</v>
      </c>
      <c r="BC7" s="1462" t="s">
        <v>22</v>
      </c>
      <c r="BE7" s="1462" t="s">
        <v>22</v>
      </c>
      <c r="BG7" s="1462" t="s">
        <v>22</v>
      </c>
      <c r="BI7" s="1462" t="s">
        <v>22</v>
      </c>
      <c r="BK7" s="1462" t="s">
        <v>22</v>
      </c>
      <c r="BM7" s="1462" t="s">
        <v>22</v>
      </c>
      <c r="BO7" s="1462" t="s">
        <v>22</v>
      </c>
      <c r="BQ7" s="1462" t="s">
        <v>22</v>
      </c>
      <c r="BS7" s="1462" t="s">
        <v>22</v>
      </c>
      <c r="BU7" s="4608" t="s">
        <v>22</v>
      </c>
      <c r="BV7" s="4586"/>
      <c r="BW7" s="4608" t="s">
        <v>22</v>
      </c>
      <c r="BX7" s="4586"/>
      <c r="BY7" s="4608" t="s">
        <v>22</v>
      </c>
      <c r="BZ7" s="4586"/>
      <c r="CL7" s="612">
        <v>15</v>
      </c>
    </row>
    <row s="10232" customFormat="1" customHeight="1" ht="1.05">
      <c r="A8" s="864"/>
      <c r="C8" s="284"/>
      <c r="D8" s="616"/>
      <c r="E8" s="616"/>
      <c r="F8" s="616"/>
      <c r="G8" s="644"/>
      <c r="H8" s="859"/>
      <c r="I8" s="644" t="s">
        <v>150</v>
      </c>
      <c r="J8" s="859"/>
      <c r="K8" s="1462" t="s">
        <v>154</v>
      </c>
      <c r="L8" s="859"/>
      <c r="M8" s="1462" t="s">
        <v>157</v>
      </c>
      <c r="N8" s="859"/>
      <c r="O8" s="1462" t="s">
        <v>159</v>
      </c>
      <c r="P8" s="859"/>
      <c r="Q8" s="1462" t="s">
        <v>161</v>
      </c>
      <c r="R8" s="859"/>
      <c r="S8" s="1462" t="s">
        <v>163</v>
      </c>
      <c r="T8" s="859"/>
      <c r="U8" s="1462" t="s">
        <v>165</v>
      </c>
      <c r="V8" s="859"/>
      <c r="W8" s="1462" t="s">
        <v>168</v>
      </c>
      <c r="X8" s="859"/>
      <c r="Y8" s="1462" t="s">
        <v>171</v>
      </c>
      <c r="Z8" s="859"/>
      <c r="AA8" s="1462" t="s">
        <v>173</v>
      </c>
      <c r="AB8" s="859"/>
      <c r="AC8" s="1462" t="s">
        <v>175</v>
      </c>
      <c r="AD8" s="859"/>
      <c r="AE8" s="1462" t="s">
        <v>177</v>
      </c>
      <c r="AF8" s="859"/>
      <c r="AG8" s="1462" t="s">
        <v>179</v>
      </c>
      <c r="AH8" s="859"/>
      <c r="AI8" s="1462" t="s">
        <v>181</v>
      </c>
      <c r="AJ8" s="859"/>
      <c r="AK8" s="1462" t="s">
        <v>183</v>
      </c>
      <c r="AL8" s="859"/>
      <c r="AM8" s="1462" t="s">
        <v>725</v>
      </c>
      <c r="AN8" s="859"/>
      <c r="AO8" s="1462" t="s">
        <v>727</v>
      </c>
      <c r="AP8" s="859"/>
      <c r="AQ8" s="1462" t="s">
        <v>729</v>
      </c>
      <c r="AR8" s="859"/>
      <c r="AS8" s="1462" t="s">
        <v>731</v>
      </c>
      <c r="AT8" s="859"/>
      <c r="AU8" s="1462" t="s">
        <v>733</v>
      </c>
      <c r="AV8" s="859"/>
      <c r="AW8" s="1462" t="s">
        <v>735</v>
      </c>
      <c r="AX8" s="859"/>
      <c r="AY8" s="1462" t="s">
        <v>737</v>
      </c>
      <c r="AZ8" s="859"/>
      <c r="BA8" s="1462" t="s">
        <v>739</v>
      </c>
      <c r="BB8" s="859"/>
      <c r="BC8" s="1462" t="s">
        <v>741</v>
      </c>
      <c r="BD8" s="859"/>
      <c r="BE8" s="1462" t="s">
        <v>743</v>
      </c>
      <c r="BF8" s="859"/>
      <c r="BG8" s="1462" t="s">
        <v>186</v>
      </c>
      <c r="BH8" s="859"/>
      <c r="BI8" s="1462" t="s">
        <v>188</v>
      </c>
      <c r="BJ8" s="859"/>
      <c r="BK8" s="1462" t="s">
        <v>190</v>
      </c>
      <c r="BL8" s="859"/>
      <c r="BM8" s="1462" t="s">
        <v>192</v>
      </c>
      <c r="BN8" s="859"/>
      <c r="BO8" s="1462" t="s">
        <v>194</v>
      </c>
      <c r="BP8" s="859"/>
      <c r="BQ8" s="1462" t="s">
        <v>197</v>
      </c>
      <c r="BR8" s="859"/>
      <c r="BS8" s="1462" t="s">
        <v>199</v>
      </c>
      <c r="BT8" s="859"/>
      <c r="BU8" s="4608" t="s">
        <v>202</v>
      </c>
      <c r="BV8" s="5182"/>
      <c r="BW8" s="4608" t="s">
        <v>205</v>
      </c>
      <c r="BX8" s="5182"/>
      <c r="BY8" s="4608" t="s">
        <v>206</v>
      </c>
      <c r="BZ8" s="5182"/>
      <c r="CA8" s="524"/>
      <c r="CK8" s="782"/>
      <c r="CL8" s="863">
        <v>1</v>
      </c>
    </row>
    <row customHeight="1" ht="15.75">
      <c r="C9" s="284"/>
      <c r="D9" s="818"/>
      <c r="E9" s="3204" t="s">
        <v>140</v>
      </c>
      <c r="F9" s="3205"/>
      <c r="G9" s="3231" t="str">
        <f>IF(G8="","",INDEX(DIFFERENTIATION_UNMERGE_VD,MATCH(G8,DIFFERENTIATION_ID_DIFF,0)))</f>
        <v/>
      </c>
      <c r="H9" s="3232"/>
      <c r="I9" s="323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3232"/>
      <c r="K9" s="3231"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v>
      </c>
      <c r="L9" s="3232"/>
      <c r="M9" s="3231"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v>
      </c>
      <c r="N9" s="3232"/>
      <c r="O9" s="3231" t="str">
        <f>IF(O8="","",INDEX(DIFFERENTIATION_UNMERGE_VD,MATCH(O8,DIFFERENTIATION_ID_DIFF,0)))</f>
        <v>Производство тепловой энергии. Комбинированная выработка с уст. мощностью производства электрической энергии 25 МВт и более</v>
      </c>
      <c r="P9" s="3232"/>
      <c r="Q9" s="3231" t="str">
        <f>IF(Q8="","",INDEX(DIFFERENTIATION_UNMERGE_VD,MATCH(Q8,DIFFERENTIATION_ID_DIFF,0)))</f>
        <v>Производство тепловой энергии. Комбинированная выработка с уст. мощностью производства электрической энергии 25 МВт и более</v>
      </c>
      <c r="R9" s="3232"/>
      <c r="S9" s="3231" t="str">
        <f>IF(S8="","",INDEX(DIFFERENTIATION_UNMERGE_VD,MATCH(S8,DIFFERENTIATION_ID_DIFF,0)))</f>
        <v>Производство тепловой энергии. Комбинированная выработка с уст. мощностью производства электрической энергии 25 МВт и более</v>
      </c>
      <c r="T9" s="3232"/>
      <c r="U9" s="3231" t="str">
        <f>IF(U8="","",INDEX(DIFFERENTIATION_UNMERGE_VD,MATCH(U8,DIFFERENTIATION_ID_DIFF,0)))</f>
        <v>Производство тепловой энергии. Комбинированная выработка с уст. мощностью производства электрической энергии 25 МВт и более</v>
      </c>
      <c r="V9" s="3232"/>
      <c r="W9" s="3231" t="str">
        <f>IF(W8="","",INDEX(DIFFERENTIATION_UNMERGE_VD,MATCH(W8,DIFFERENTIATION_ID_DIFF,0)))</f>
        <v>Производство. Теплоноситель</v>
      </c>
      <c r="X9" s="3232"/>
      <c r="Y9" s="3231" t="str">
        <f>IF(Y8="","",INDEX(DIFFERENTIATION_UNMERGE_VD,MATCH(Y8,DIFFERENTIATION_ID_DIFF,0)))</f>
        <v>Производство. Теплоноситель</v>
      </c>
      <c r="Z9" s="3232"/>
      <c r="AA9" s="3231" t="str">
        <f>IF(AA8="","",INDEX(DIFFERENTIATION_UNMERGE_VD,MATCH(AA8,DIFFERENTIATION_ID_DIFF,0)))</f>
        <v>Производство. Теплоноситель</v>
      </c>
      <c r="AB9" s="3232"/>
      <c r="AC9" s="3231" t="str">
        <f>IF(AC8="","",INDEX(DIFFERENTIATION_UNMERGE_VD,MATCH(AC8,DIFFERENTIATION_ID_DIFF,0)))</f>
        <v>Производство. Теплоноситель</v>
      </c>
      <c r="AD9" s="3232"/>
      <c r="AE9" s="3231" t="str">
        <f>IF(AE8="","",INDEX(DIFFERENTIATION_UNMERGE_VD,MATCH(AE8,DIFFERENTIATION_ID_DIFF,0)))</f>
        <v>Производство. Теплоноситель</v>
      </c>
      <c r="AF9" s="3232"/>
      <c r="AG9" s="3231" t="str">
        <f>IF(AG8="","",INDEX(DIFFERENTIATION_UNMERGE_VD,MATCH(AG8,DIFFERENTIATION_ID_DIFF,0)))</f>
        <v>Производство. Теплоноситель</v>
      </c>
      <c r="AH9" s="3232"/>
      <c r="AI9" s="3231" t="str">
        <f>IF(AI8="","",INDEX(DIFFERENTIATION_UNMERGE_VD,MATCH(AI8,DIFFERENTIATION_ID_DIFF,0)))</f>
        <v>Производство. Теплоноситель</v>
      </c>
      <c r="AJ9" s="3232"/>
      <c r="AK9" s="3231" t="str">
        <f>IF(AK8="","",INDEX(DIFFERENTIATION_UNMERGE_VD,MATCH(AK8,DIFFERENTIATION_ID_DIFF,0)))</f>
        <v>Производство тепловой энергии. Некомбинированная выработка</v>
      </c>
      <c r="AL9" s="3232"/>
      <c r="AM9" s="3231">
        <f>IF(AM8="","",INDEX(DIFFERENTIATION_UNMERGE_VD,MATCH(AM8,DIFFERENTIATION_ID_DIFF,0)))</f>
      </c>
      <c r="AN9" s="3232"/>
      <c r="AO9" s="3231">
        <f>IF(AO8="","",INDEX(DIFFERENTIATION_UNMERGE_VD,MATCH(AO8,DIFFERENTIATION_ID_DIFF,0)))</f>
      </c>
      <c r="AP9" s="3232"/>
      <c r="AQ9" s="3231">
        <f>IF(AQ8="","",INDEX(DIFFERENTIATION_UNMERGE_VD,MATCH(AQ8,DIFFERENTIATION_ID_DIFF,0)))</f>
      </c>
      <c r="AR9" s="3232"/>
      <c r="AS9" s="3231">
        <f>IF(AS8="","",INDEX(DIFFERENTIATION_UNMERGE_VD,MATCH(AS8,DIFFERENTIATION_ID_DIFF,0)))</f>
      </c>
      <c r="AT9" s="3232"/>
      <c r="AU9" s="3231">
        <f>IF(AU8="","",INDEX(DIFFERENTIATION_UNMERGE_VD,MATCH(AU8,DIFFERENTIATION_ID_DIFF,0)))</f>
      </c>
      <c r="AV9" s="3232"/>
      <c r="AW9" s="3231">
        <f>IF(AW8="","",INDEX(DIFFERENTIATION_UNMERGE_VD,MATCH(AW8,DIFFERENTIATION_ID_DIFF,0)))</f>
      </c>
      <c r="AX9" s="3232"/>
      <c r="AY9" s="3231">
        <f>IF(AY8="","",INDEX(DIFFERENTIATION_UNMERGE_VD,MATCH(AY8,DIFFERENTIATION_ID_DIFF,0)))</f>
      </c>
      <c r="AZ9" s="3232"/>
      <c r="BA9" s="3231">
        <f>IF(BA8="","",INDEX(DIFFERENTIATION_UNMERGE_VD,MATCH(BA8,DIFFERENTIATION_ID_DIFF,0)))</f>
      </c>
      <c r="BB9" s="3232"/>
      <c r="BC9" s="3231">
        <f>IF(BC8="","",INDEX(DIFFERENTIATION_UNMERGE_VD,MATCH(BC8,DIFFERENTIATION_ID_DIFF,0)))</f>
      </c>
      <c r="BD9" s="3232"/>
      <c r="BE9" s="3231">
        <f>IF(BE8="","",INDEX(DIFFERENTIATION_UNMERGE_VD,MATCH(BE8,DIFFERENTIATION_ID_DIFF,0)))</f>
      </c>
      <c r="BF9" s="3232"/>
      <c r="BG9" s="3231" t="str">
        <f>IF(BG8="","",INDEX(DIFFERENTIATION_UNMERGE_VD,MATCH(BG8,DIFFERENTIATION_ID_DIFF,0)))</f>
        <v>Производство тепловой энергии. Некомбинированная выработка</v>
      </c>
      <c r="BH9" s="3232"/>
      <c r="BI9" s="3231" t="str">
        <f>IF(BI8="","",INDEX(DIFFERENTIATION_UNMERGE_VD,MATCH(BI8,DIFFERENTIATION_ID_DIFF,0)))</f>
        <v>Производство тепловой энергии. Некомбинированная выработка</v>
      </c>
      <c r="BJ9" s="3232"/>
      <c r="BK9" s="3231" t="str">
        <f>IF(BK8="","",INDEX(DIFFERENTIATION_UNMERGE_VD,MATCH(BK8,DIFFERENTIATION_ID_DIFF,0)))</f>
        <v>Производство тепловой энергии. Некомбинированная выработка</v>
      </c>
      <c r="BL9" s="3232"/>
      <c r="BM9" s="3231" t="str">
        <f>IF(BM8="","",INDEX(DIFFERENTIATION_UNMERGE_VD,MATCH(BM8,DIFFERENTIATION_ID_DIFF,0)))</f>
        <v>Производство тепловой энергии. Некомбинированная выработка</v>
      </c>
      <c r="BN9" s="3232"/>
      <c r="BO9" s="3231" t="str">
        <f>IF(BO8="","",INDEX(DIFFERENTIATION_UNMERGE_VD,MATCH(BO8,DIFFERENTIATION_ID_DIFF,0)))</f>
        <v>Передача. Тепловая энергия; Передача. Теплоноситель; Сбыт. Тепловая энергия; Сбыт. Теплоноситель</v>
      </c>
      <c r="BP9" s="3232"/>
      <c r="BQ9" s="3231" t="str">
        <f>IF(BQ8="","",INDEX(DIFFERENTIATION_UNMERGE_VD,MATCH(BQ8,DIFFERENTIATION_ID_DIFF,0)))</f>
        <v>Передача. Тепловая энергия; Передача. Теплоноситель; Сбыт. Тепловая энергия; Сбыт. Теплоноситель</v>
      </c>
      <c r="BR9" s="3232"/>
      <c r="BS9" s="3231" t="str">
        <f>IF(BS8="","",INDEX(DIFFERENTIATION_UNMERGE_VD,MATCH(BS8,DIFFERENTIATION_ID_DIFF,0)))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Передача. Теплоноситель; Сбыт. Тепловая энергия; Сбыт. Теплоноситель</v>
      </c>
      <c r="BT9" s="3232"/>
      <c r="BU9" s="5289" t="str">
        <f>IF(BU8="","",INDEX(DIFFERENTIATION_UNMERGE_VD,MATCH(BU8,DIFFERENTIATION_ID_DIFF,0)))</f>
        <v>Производство тепловой энергии. Некомбинированная выработка; Передача. Тепловая энергия; Сбыт. Тепловая энергия</v>
      </c>
      <c r="BV9" s="5290"/>
      <c r="BW9" s="5289" t="str">
        <f>IF(BW8="","",INDEX(DIFFERENTIATION_UNMERGE_VD,MATCH(BW8,DIFFERENTIATION_ID_DIFF,0)))</f>
        <v>Производство тепловой энергии. Некомбинированная выработка; Передача. Тепловая энергия; Сбыт. Тепловая энергия</v>
      </c>
      <c r="BX9" s="5290"/>
      <c r="BY9" s="5289" t="str">
        <f>IF(BY8="","",INDEX(DIFFERENTIATION_UNMERGE_VD,MATCH(BY8,DIFFERENTIATION_ID_DIFF,0)))</f>
        <v>Подключение (технологическое присоединение) к системе теплоснабжения</v>
      </c>
      <c r="BZ9" s="5290"/>
      <c r="CA9" s="3047" t="s">
        <v>386</v>
      </c>
      <c r="CL9" s="612">
        <v>15</v>
      </c>
    </row>
    <row s="10232" customFormat="1" customHeight="1" ht="15.75">
      <c r="A10" s="864"/>
      <c r="C10" s="284"/>
      <c r="D10" s="818"/>
      <c r="E10" s="3204" t="s">
        <v>649</v>
      </c>
      <c r="F10" s="3205"/>
      <c r="G10" s="3231" t="str">
        <f>IF(G8="","",INDEX(DIFFERENTIATION_UNMERGE_AREA,MATCH(G8,DIFFERENTIATION_ID_DIFF,0)))</f>
        <v/>
      </c>
      <c r="H10" s="3232"/>
      <c r="I10" s="3231" t="str">
        <f>IF(I8="","",INDEX(DIFFERENTIATION_UNMERGE_AREA,MATCH(I8,DIFFERENTIATION_ID_DIFF,0)))</f>
        <v>Территория 1</v>
      </c>
      <c r="J10" s="3232"/>
      <c r="K10" s="3231" t="str">
        <f>IF(K8="","",INDEX(DIFFERENTIATION_UNMERGE_AREA,MATCH(K8,DIFFERENTIATION_ID_DIFF,0)))</f>
        <v>Территория 1</v>
      </c>
      <c r="L10" s="3232"/>
      <c r="M10" s="3231" t="str">
        <f>IF(M8="","",INDEX(DIFFERENTIATION_UNMERGE_AREA,MATCH(M8,DIFFERENTIATION_ID_DIFF,0)))</f>
        <v>Территория 2</v>
      </c>
      <c r="N10" s="3232"/>
      <c r="O10" s="3231" t="str">
        <f>IF(O8="","",INDEX(DIFFERENTIATION_UNMERGE_AREA,MATCH(O8,DIFFERENTIATION_ID_DIFF,0)))</f>
        <v>Территория 2</v>
      </c>
      <c r="P10" s="3232"/>
      <c r="Q10" s="3231" t="str">
        <f>IF(Q8="","",INDEX(DIFFERENTIATION_UNMERGE_AREA,MATCH(Q8,DIFFERENTIATION_ID_DIFF,0)))</f>
        <v>Территория 3</v>
      </c>
      <c r="R10" s="3232"/>
      <c r="S10" s="3231" t="str">
        <f>IF(S8="","",INDEX(DIFFERENTIATION_UNMERGE_AREA,MATCH(S8,DIFFERENTIATION_ID_DIFF,0)))</f>
        <v>Территория 4</v>
      </c>
      <c r="T10" s="3232"/>
      <c r="U10" s="3231" t="str">
        <f>IF(U8="","",INDEX(DIFFERENTIATION_UNMERGE_AREA,MATCH(U8,DIFFERENTIATION_ID_DIFF,0)))</f>
        <v>Территория 5</v>
      </c>
      <c r="V10" s="3232"/>
      <c r="W10" s="3231" t="str">
        <f>IF(W8="","",INDEX(DIFFERENTIATION_UNMERGE_AREA,MATCH(W8,DIFFERENTIATION_ID_DIFF,0)))</f>
        <v>Территория 1</v>
      </c>
      <c r="X10" s="3232"/>
      <c r="Y10" s="3231" t="str">
        <f>IF(Y8="","",INDEX(DIFFERENTIATION_UNMERGE_AREA,MATCH(Y8,DIFFERENTIATION_ID_DIFF,0)))</f>
        <v>Территория 2</v>
      </c>
      <c r="Z10" s="3232"/>
      <c r="AA10" s="3231" t="str">
        <f>IF(AA8="","",INDEX(DIFFERENTIATION_UNMERGE_AREA,MATCH(AA8,DIFFERENTIATION_ID_DIFF,0)))</f>
        <v>Территория 3</v>
      </c>
      <c r="AB10" s="3232"/>
      <c r="AC10" s="3231" t="str">
        <f>IF(AC8="","",INDEX(DIFFERENTIATION_UNMERGE_AREA,MATCH(AC8,DIFFERENTIATION_ID_DIFF,0)))</f>
        <v>Территория 4</v>
      </c>
      <c r="AD10" s="3232"/>
      <c r="AE10" s="3231" t="str">
        <f>IF(AE8="","",INDEX(DIFFERENTIATION_UNMERGE_AREA,MATCH(AE8,DIFFERENTIATION_ID_DIFF,0)))</f>
        <v>Территория 5</v>
      </c>
      <c r="AF10" s="3232"/>
      <c r="AG10" s="3231" t="str">
        <f>IF(AG8="","",INDEX(DIFFERENTIATION_UNMERGE_AREA,MATCH(AG8,DIFFERENTIATION_ID_DIFF,0)))</f>
        <v>Территория 6</v>
      </c>
      <c r="AH10" s="3232"/>
      <c r="AI10" s="3231" t="str">
        <f>IF(AI8="","",INDEX(DIFFERENTIATION_UNMERGE_AREA,MATCH(AI8,DIFFERENTIATION_ID_DIFF,0)))</f>
        <v>Территория 7</v>
      </c>
      <c r="AJ10" s="3232"/>
      <c r="AK10" s="3231" t="str">
        <f>IF(AK8="","",INDEX(DIFFERENTIATION_UNMERGE_AREA,MATCH(AK8,DIFFERENTIATION_ID_DIFF,0)))</f>
        <v>без дифференциации</v>
      </c>
      <c r="AL10" s="3232"/>
      <c r="AM10" s="3231">
        <f>IF(AM8="","",INDEX(DIFFERENTIATION_UNMERGE_AREA,MATCH(AM8,DIFFERENTIATION_ID_DIFF,0)))</f>
      </c>
      <c r="AN10" s="3232"/>
      <c r="AO10" s="3231">
        <f>IF(AO8="","",INDEX(DIFFERENTIATION_UNMERGE_AREA,MATCH(AO8,DIFFERENTIATION_ID_DIFF,0)))</f>
      </c>
      <c r="AP10" s="3232"/>
      <c r="AQ10" s="3231">
        <f>IF(AQ8="","",INDEX(DIFFERENTIATION_UNMERGE_AREA,MATCH(AQ8,DIFFERENTIATION_ID_DIFF,0)))</f>
      </c>
      <c r="AR10" s="3232"/>
      <c r="AS10" s="3231">
        <f>IF(AS8="","",INDEX(DIFFERENTIATION_UNMERGE_AREA,MATCH(AS8,DIFFERENTIATION_ID_DIFF,0)))</f>
      </c>
      <c r="AT10" s="3232"/>
      <c r="AU10" s="3231">
        <f>IF(AU8="","",INDEX(DIFFERENTIATION_UNMERGE_AREA,MATCH(AU8,DIFFERENTIATION_ID_DIFF,0)))</f>
      </c>
      <c r="AV10" s="3232"/>
      <c r="AW10" s="3231">
        <f>IF(AW8="","",INDEX(DIFFERENTIATION_UNMERGE_AREA,MATCH(AW8,DIFFERENTIATION_ID_DIFF,0)))</f>
      </c>
      <c r="AX10" s="3232"/>
      <c r="AY10" s="3231">
        <f>IF(AY8="","",INDEX(DIFFERENTIATION_UNMERGE_AREA,MATCH(AY8,DIFFERENTIATION_ID_DIFF,0)))</f>
      </c>
      <c r="AZ10" s="3232"/>
      <c r="BA10" s="3231">
        <f>IF(BA8="","",INDEX(DIFFERENTIATION_UNMERGE_AREA,MATCH(BA8,DIFFERENTIATION_ID_DIFF,0)))</f>
      </c>
      <c r="BB10" s="3232"/>
      <c r="BC10" s="3231">
        <f>IF(BC8="","",INDEX(DIFFERENTIATION_UNMERGE_AREA,MATCH(BC8,DIFFERENTIATION_ID_DIFF,0)))</f>
      </c>
      <c r="BD10" s="3232"/>
      <c r="BE10" s="3231">
        <f>IF(BE8="","",INDEX(DIFFERENTIATION_UNMERGE_AREA,MATCH(BE8,DIFFERENTIATION_ID_DIFF,0)))</f>
      </c>
      <c r="BF10" s="3232"/>
      <c r="BG10" s="3231" t="str">
        <f>IF(BG8="","",INDEX(DIFFERENTIATION_UNMERGE_AREA,MATCH(BG8,DIFFERENTIATION_ID_DIFF,0)))</f>
        <v>без дифференциации</v>
      </c>
      <c r="BH10" s="3232"/>
      <c r="BI10" s="3231" t="str">
        <f>IF(BI8="","",INDEX(DIFFERENTIATION_UNMERGE_AREA,MATCH(BI8,DIFFERENTIATION_ID_DIFF,0)))</f>
        <v>без дифференциации</v>
      </c>
      <c r="BJ10" s="3232"/>
      <c r="BK10" s="3231" t="str">
        <f>IF(BK8="","",INDEX(DIFFERENTIATION_UNMERGE_AREA,MATCH(BK8,DIFFERENTIATION_ID_DIFF,0)))</f>
        <v>без дифференциации</v>
      </c>
      <c r="BL10" s="3232"/>
      <c r="BM10" s="3231" t="str">
        <f>IF(BM8="","",INDEX(DIFFERENTIATION_UNMERGE_AREA,MATCH(BM8,DIFFERENTIATION_ID_DIFF,0)))</f>
        <v>без дифференциации</v>
      </c>
      <c r="BN10" s="3232"/>
      <c r="BO10" s="3231" t="str">
        <f>IF(BO8="","",INDEX(DIFFERENTIATION_UNMERGE_AREA,MATCH(BO8,DIFFERENTIATION_ID_DIFF,0)))</f>
        <v>без дифференциации</v>
      </c>
      <c r="BP10" s="3232"/>
      <c r="BQ10" s="3231" t="str">
        <f>IF(BQ8="","",INDEX(DIFFERENTIATION_UNMERGE_AREA,MATCH(BQ8,DIFFERENTIATION_ID_DIFF,0)))</f>
        <v>без дифференциации</v>
      </c>
      <c r="BR10" s="3232"/>
      <c r="BS10" s="3231" t="str">
        <f>IF(BS8="","",INDEX(DIFFERENTIATION_UNMERGE_AREA,MATCH(BS8,DIFFERENTIATION_ID_DIFF,0)))</f>
        <v>Территория 7</v>
      </c>
      <c r="BT10" s="3232"/>
      <c r="BU10" s="5289" t="str">
        <f>IF(BU8="","",INDEX(DIFFERENTIATION_UNMERGE_AREA,MATCH(BU8,DIFFERENTIATION_ID_DIFF,0)))</f>
        <v>Территория 5</v>
      </c>
      <c r="BV10" s="5290"/>
      <c r="BW10" s="5289" t="str">
        <f>IF(BW8="","",INDEX(DIFFERENTIATION_UNMERGE_AREA,MATCH(BW8,DIFFERENTIATION_ID_DIFF,0)))</f>
        <v>Территория 8</v>
      </c>
      <c r="BX10" s="5290"/>
      <c r="BY10" s="5289" t="str">
        <f>IF(BY8="","",INDEX(DIFFERENTIATION_UNMERGE_AREA,MATCH(BY8,DIFFERENTIATION_ID_DIFF,0)))</f>
        <v>без дифференциации</v>
      </c>
      <c r="BZ10" s="5290"/>
      <c r="CA10" s="3052"/>
      <c r="CK10" s="782"/>
      <c r="CL10" s="863">
        <v>15</v>
      </c>
    </row>
    <row s="10232" customFormat="1" customHeight="1" ht="15.75">
      <c r="A11" s="864"/>
      <c r="C11" s="284"/>
      <c r="D11" s="818"/>
      <c r="E11" s="3204" t="s">
        <v>650</v>
      </c>
      <c r="F11" s="3205"/>
      <c r="G11" s="3231" t="str">
        <f>IF(G8="","",INDEX(DIFFERENTIATION_UNMERGE_SYSTEM,MATCH(G8,DIFFERENTIATION_ID_DIFF,0)))</f>
        <v/>
      </c>
      <c r="H11" s="3232"/>
      <c r="I11" s="3231" t="str">
        <f>IF(I8="","",INDEX(DIFFERENTIATION_UNMERGE_SYSTEM,MATCH(I8,DIFFERENTIATION_ID_DIFF,0)))</f>
        <v>Хабаровская ТЭЦ - 1</v>
      </c>
      <c r="J11" s="3232"/>
      <c r="K11" s="3231" t="str">
        <f>IF(K8="","",INDEX(DIFFERENTIATION_UNMERGE_SYSTEM,MATCH(K8,DIFFERENTIATION_ID_DIFF,0)))</f>
        <v>Хабаровская ТЭЦ - 3</v>
      </c>
      <c r="L11" s="3232"/>
      <c r="M11" s="3231" t="str">
        <f>IF(M8="","",INDEX(DIFFERENTIATION_UNMERGE_SYSTEM,MATCH(M8,DIFFERENTIATION_ID_DIFF,0)))</f>
        <v>Комсомольская ТЭЦ - 2</v>
      </c>
      <c r="N11" s="3232"/>
      <c r="O11" s="3231" t="str">
        <f>IF(O8="","",INDEX(DIFFERENTIATION_UNMERGE_SYSTEM,MATCH(O8,DIFFERENTIATION_ID_DIFF,0)))</f>
        <v>Комсомольская ТЭЦ - 3</v>
      </c>
      <c r="P11" s="3232"/>
      <c r="Q11" s="3231" t="str">
        <f>IF(Q8="","",INDEX(DIFFERENTIATION_UNMERGE_SYSTEM,MATCH(Q8,DIFFERENTIATION_ID_DIFF,0)))</f>
        <v>Амурская ТЭЦ - 1</v>
      </c>
      <c r="R11" s="3232"/>
      <c r="S11" s="3231" t="str">
        <f>IF(S8="","",INDEX(DIFFERENTIATION_UNMERGE_SYSTEM,MATCH(S8,DIFFERENTIATION_ID_DIFF,0)))</f>
        <v>Майская ГРЭС</v>
      </c>
      <c r="T11" s="3232"/>
      <c r="U11" s="3231" t="str">
        <f>IF(U8="","",INDEX(DIFFERENTIATION_UNMERGE_SYSTEM,MATCH(U8,DIFFERENTIATION_ID_DIFF,0)))</f>
        <v>Николаевская ТЭЦ</v>
      </c>
      <c r="V11" s="3232"/>
      <c r="W11" s="3231" t="str">
        <f>IF(W8="","",INDEX(DIFFERENTIATION_UNMERGE_SYSTEM,MATCH(W8,DIFFERENTIATION_ID_DIFF,0)))</f>
        <v>г. Хабаровск, Хабаровский муниципальный район</v>
      </c>
      <c r="X11" s="3232"/>
      <c r="Y11" s="3231" t="str">
        <f>IF(Y8="","",INDEX(DIFFERENTIATION_UNMERGE_SYSTEM,MATCH(Y8,DIFFERENTIATION_ID_DIFF,0)))</f>
        <v>г. Комсомольск-на-Амуре</v>
      </c>
      <c r="Z11" s="3232"/>
      <c r="AA11" s="3231" t="str">
        <f>IF(AA8="","",INDEX(DIFFERENTIATION_UNMERGE_SYSTEM,MATCH(AA8,DIFFERENTIATION_ID_DIFF,0)))</f>
        <v>г. Амурск</v>
      </c>
      <c r="AB11" s="3232"/>
      <c r="AC11" s="3231" t="str">
        <f>IF(AC8="","",INDEX(DIFFERENTIATION_UNMERGE_SYSTEM,MATCH(AC8,DIFFERENTIATION_ID_DIFF,0)))</f>
        <v>п. Майский</v>
      </c>
      <c r="AD11" s="3232"/>
      <c r="AE11" s="3231" t="str">
        <f>IF(AE8="","",INDEX(DIFFERENTIATION_UNMERGE_SYSTEM,MATCH(AE8,DIFFERENTIATION_ID_DIFF,0)))</f>
        <v>г. Николаевск-на-Амуре</v>
      </c>
      <c r="AF11" s="3232"/>
      <c r="AG11" s="3231" t="str">
        <f>IF(AG8="","",INDEX(DIFFERENTIATION_UNMERGE_SYSTEM,MATCH(AG8,DIFFERENTIATION_ID_DIFF,0)))</f>
        <v>п. Чегдомын</v>
      </c>
      <c r="AH11" s="3232"/>
      <c r="AI11" s="3231" t="str">
        <f>IF(AI8="","",INDEX(DIFFERENTIATION_UNMERGE_SYSTEM,MATCH(AI8,DIFFERENTIATION_ID_DIFF,0)))</f>
        <v>г. Советская Гавань</v>
      </c>
      <c r="AJ11" s="3232"/>
      <c r="AK11" s="3231" t="str">
        <f>IF(AK8="","",INDEX(DIFFERENTIATION_UNMERGE_SYSTEM,MATCH(AK8,DIFFERENTIATION_ID_DIFF,0)))</f>
        <v>Хабаровская ТЭЦ-2</v>
      </c>
      <c r="AL11" s="3232"/>
      <c r="AM11" s="3231">
        <f>IF(AM8="","",INDEX(DIFFERENTIATION_UNMERGE_SYSTEM,MATCH(AM8,DIFFERENTIATION_ID_DIFF,0)))</f>
      </c>
      <c r="AN11" s="3232"/>
      <c r="AO11" s="3231">
        <f>IF(AO8="","",INDEX(DIFFERENTIATION_UNMERGE_SYSTEM,MATCH(AO8,DIFFERENTIATION_ID_DIFF,0)))</f>
      </c>
      <c r="AP11" s="3232"/>
      <c r="AQ11" s="3231">
        <f>IF(AQ8="","",INDEX(DIFFERENTIATION_UNMERGE_SYSTEM,MATCH(AQ8,DIFFERENTIATION_ID_DIFF,0)))</f>
      </c>
      <c r="AR11" s="3232"/>
      <c r="AS11" s="3231">
        <f>IF(AS8="","",INDEX(DIFFERENTIATION_UNMERGE_SYSTEM,MATCH(AS8,DIFFERENTIATION_ID_DIFF,0)))</f>
      </c>
      <c r="AT11" s="3232"/>
      <c r="AU11" s="3231">
        <f>IF(AU8="","",INDEX(DIFFERENTIATION_UNMERGE_SYSTEM,MATCH(AU8,DIFFERENTIATION_ID_DIFF,0)))</f>
      </c>
      <c r="AV11" s="3232"/>
      <c r="AW11" s="3231">
        <f>IF(AW8="","",INDEX(DIFFERENTIATION_UNMERGE_SYSTEM,MATCH(AW8,DIFFERENTIATION_ID_DIFF,0)))</f>
      </c>
      <c r="AX11" s="3232"/>
      <c r="AY11" s="3231">
        <f>IF(AY8="","",INDEX(DIFFERENTIATION_UNMERGE_SYSTEM,MATCH(AY8,DIFFERENTIATION_ID_DIFF,0)))</f>
      </c>
      <c r="AZ11" s="3232"/>
      <c r="BA11" s="3231">
        <f>IF(BA8="","",INDEX(DIFFERENTIATION_UNMERGE_SYSTEM,MATCH(BA8,DIFFERENTIATION_ID_DIFF,0)))</f>
      </c>
      <c r="BB11" s="3232"/>
      <c r="BC11" s="3231">
        <f>IF(BC8="","",INDEX(DIFFERENTIATION_UNMERGE_SYSTEM,MATCH(BC8,DIFFERENTIATION_ID_DIFF,0)))</f>
      </c>
      <c r="BD11" s="3232"/>
      <c r="BE11" s="3231">
        <f>IF(BE8="","",INDEX(DIFFERENTIATION_UNMERGE_SYSTEM,MATCH(BE8,DIFFERENTIATION_ID_DIFF,0)))</f>
      </c>
      <c r="BF11" s="3232"/>
      <c r="BG11" s="3231" t="str">
        <f>IF(BG8="","",INDEX(DIFFERENTIATION_UNMERGE_SYSTEM,MATCH(BG8,DIFFERENTIATION_ID_DIFF,0)))</f>
        <v>Некрасовская котельная</v>
      </c>
      <c r="BH11" s="3232"/>
      <c r="BI11" s="3231" t="str">
        <f>IF(BI8="","",INDEX(DIFFERENTIATION_UNMERGE_SYSTEM,MATCH(BI8,DIFFERENTIATION_ID_DIFF,0)))</f>
        <v>котельная "Дземги"</v>
      </c>
      <c r="BJ11" s="3232"/>
      <c r="BK11" s="3231" t="str">
        <f>IF(BK8="","",INDEX(DIFFERENTIATION_UNMERGE_SYSTEM,MATCH(BK8,DIFFERENTIATION_ID_DIFF,0)))</f>
        <v>Майская котельная</v>
      </c>
      <c r="BL11" s="3232"/>
      <c r="BM11" s="3231" t="str">
        <f>IF(BM8="","",INDEX(DIFFERENTIATION_UNMERGE_SYSTEM,MATCH(BM8,DIFFERENTIATION_ID_DIFF,0)))</f>
        <v>Ургальская котельная</v>
      </c>
      <c r="BN11" s="3232"/>
      <c r="BO11" s="3231" t="str">
        <f>IF(BO8="","",INDEX(DIFFERENTIATION_UNMERGE_SYSTEM,MATCH(BO8,DIFFERENTIATION_ID_DIFF,0)))</f>
        <v>Комсомольские тепловые сети</v>
      </c>
      <c r="BP11" s="3232"/>
      <c r="BQ11" s="3231" t="str">
        <f>IF(BQ8="","",INDEX(DIFFERENTIATION_UNMERGE_SYSTEM,MATCH(BQ8,DIFFERENTIATION_ID_DIFF,0)))</f>
        <v>Хабаровские тепловые сети</v>
      </c>
      <c r="BR11" s="3232"/>
      <c r="BS11" s="3231" t="str">
        <f>IF(BS8="","",INDEX(DIFFERENTIATION_UNMERGE_SYSTEM,MATCH(BS8,DIFFERENTIATION_ID_DIFF,0)))</f>
        <v>ТЭЦ в г. Советская Гавань</v>
      </c>
      <c r="BT11" s="3232"/>
      <c r="BU11" s="5289" t="str">
        <f>IF(BU8="","",INDEX(DIFFERENTIATION_UNMERGE_SYSTEM,MATCH(BU8,DIFFERENTIATION_ID_DIFF,0)))</f>
        <v>котельная "Аэропорт"</v>
      </c>
      <c r="BV11" s="5290"/>
      <c r="BW11" s="5289" t="str">
        <f>IF(BW8="","",INDEX(DIFFERENTIATION_UNMERGE_SYSTEM,MATCH(BW8,DIFFERENTIATION_ID_DIFF,0)))</f>
        <v>котельная в Волочаевском городке</v>
      </c>
      <c r="BX11" s="5290"/>
      <c r="BY11" s="5289" t="str">
        <f>IF(BY8="","",INDEX(DIFFERENTIATION_UNMERGE_SYSTEM,MATCH(BY8,DIFFERENTIATION_ID_DIFF,0)))</f>
        <v>без дифференциации</v>
      </c>
      <c r="BZ11" s="5290"/>
      <c r="CA11" s="3052"/>
      <c r="CK11" s="782"/>
      <c r="CL11" s="863">
        <v>15</v>
      </c>
    </row>
    <row s="10232" customFormat="1" customHeight="1" ht="15.75">
      <c r="A12" s="864"/>
      <c r="C12" s="284"/>
      <c r="D12" s="3206" t="s">
        <v>385</v>
      </c>
      <c r="E12" s="3207"/>
      <c r="F12" s="3207"/>
      <c r="G12" s="987"/>
      <c r="H12" s="987"/>
      <c r="I12" s="987"/>
      <c r="J12" s="987"/>
      <c r="K12" s="2181"/>
      <c r="L12" s="2181"/>
      <c r="M12" s="2181"/>
      <c r="N12" s="2181"/>
      <c r="O12" s="2181"/>
      <c r="P12" s="2181"/>
      <c r="Q12" s="2181"/>
      <c r="R12" s="2181"/>
      <c r="S12" s="2181"/>
      <c r="T12" s="2181"/>
      <c r="U12" s="2181"/>
      <c r="V12" s="2181"/>
      <c r="W12" s="2181"/>
      <c r="X12" s="2181"/>
      <c r="Y12" s="2181"/>
      <c r="Z12" s="2181"/>
      <c r="AA12" s="2181"/>
      <c r="AB12" s="2181"/>
      <c r="AC12" s="2181"/>
      <c r="AD12" s="2181"/>
      <c r="AE12" s="2181"/>
      <c r="AF12" s="2181"/>
      <c r="AG12" s="2181"/>
      <c r="AH12" s="2181"/>
      <c r="AI12" s="2181"/>
      <c r="AJ12" s="2181"/>
      <c r="AK12" s="2181"/>
      <c r="AL12" s="2181"/>
      <c r="AM12" s="2181"/>
      <c r="AN12" s="2181"/>
      <c r="AO12" s="2181"/>
      <c r="AP12" s="2181"/>
      <c r="AQ12" s="2181"/>
      <c r="AR12" s="2181"/>
      <c r="AS12" s="2181"/>
      <c r="AT12" s="2181"/>
      <c r="AU12" s="2181"/>
      <c r="AV12" s="2181"/>
      <c r="AW12" s="2181"/>
      <c r="AX12" s="2181"/>
      <c r="AY12" s="2181"/>
      <c r="AZ12" s="2181"/>
      <c r="BA12" s="2181"/>
      <c r="BB12" s="2181"/>
      <c r="BC12" s="2181"/>
      <c r="BD12" s="2181"/>
      <c r="BE12" s="2181"/>
      <c r="BF12" s="2181"/>
      <c r="BG12" s="2181"/>
      <c r="BH12" s="2181"/>
      <c r="BI12" s="2181"/>
      <c r="BJ12" s="2181"/>
      <c r="BK12" s="2181"/>
      <c r="BL12" s="2181"/>
      <c r="BM12" s="2181"/>
      <c r="BN12" s="2181"/>
      <c r="BO12" s="2181"/>
      <c r="BP12" s="2181"/>
      <c r="BQ12" s="2181"/>
      <c r="BR12" s="2181"/>
      <c r="BS12" s="2181"/>
      <c r="BT12" s="2181"/>
      <c r="BU12" s="4639"/>
      <c r="BV12" s="4639"/>
      <c r="BW12" s="4639"/>
      <c r="BX12" s="4639"/>
      <c r="BY12" s="4639"/>
      <c r="BZ12" s="4639"/>
      <c r="CA12" s="3052"/>
      <c r="CK12" s="782"/>
      <c r="CL12" s="863">
        <v>15</v>
      </c>
    </row>
    <row customHeight="1" ht="35.699999999999996">
      <c r="C13" s="284"/>
      <c r="D13" s="906" t="s">
        <v>88</v>
      </c>
      <c r="E13" s="908" t="s">
        <v>387</v>
      </c>
      <c r="F13" s="908" t="s">
        <v>651</v>
      </c>
      <c r="G13" s="909" t="s">
        <v>388</v>
      </c>
      <c r="H13" s="908" t="s">
        <v>475</v>
      </c>
      <c r="I13" s="909" t="s">
        <v>388</v>
      </c>
      <c r="J13" s="908" t="s">
        <v>475</v>
      </c>
      <c r="K13" s="2175" t="s">
        <v>388</v>
      </c>
      <c r="L13" s="2179" t="s">
        <v>475</v>
      </c>
      <c r="M13" s="2175" t="s">
        <v>388</v>
      </c>
      <c r="N13" s="2179" t="s">
        <v>475</v>
      </c>
      <c r="O13" s="2175" t="s">
        <v>388</v>
      </c>
      <c r="P13" s="2179" t="s">
        <v>475</v>
      </c>
      <c r="Q13" s="2175" t="s">
        <v>388</v>
      </c>
      <c r="R13" s="2179" t="s">
        <v>475</v>
      </c>
      <c r="S13" s="2175" t="s">
        <v>388</v>
      </c>
      <c r="T13" s="2179" t="s">
        <v>475</v>
      </c>
      <c r="U13" s="2175" t="s">
        <v>388</v>
      </c>
      <c r="V13" s="2179" t="s">
        <v>475</v>
      </c>
      <c r="W13" s="2175" t="s">
        <v>388</v>
      </c>
      <c r="X13" s="2179" t="s">
        <v>475</v>
      </c>
      <c r="Y13" s="2175" t="s">
        <v>388</v>
      </c>
      <c r="Z13" s="2179" t="s">
        <v>475</v>
      </c>
      <c r="AA13" s="2175" t="s">
        <v>388</v>
      </c>
      <c r="AB13" s="2179" t="s">
        <v>475</v>
      </c>
      <c r="AC13" s="2175" t="s">
        <v>388</v>
      </c>
      <c r="AD13" s="2179" t="s">
        <v>475</v>
      </c>
      <c r="AE13" s="2175" t="s">
        <v>388</v>
      </c>
      <c r="AF13" s="2179" t="s">
        <v>475</v>
      </c>
      <c r="AG13" s="2175" t="s">
        <v>388</v>
      </c>
      <c r="AH13" s="2179" t="s">
        <v>475</v>
      </c>
      <c r="AI13" s="2175" t="s">
        <v>388</v>
      </c>
      <c r="AJ13" s="2179" t="s">
        <v>475</v>
      </c>
      <c r="AK13" s="2175" t="s">
        <v>388</v>
      </c>
      <c r="AL13" s="2179" t="s">
        <v>475</v>
      </c>
      <c r="AM13" s="2175" t="s">
        <v>388</v>
      </c>
      <c r="AN13" s="2179" t="s">
        <v>475</v>
      </c>
      <c r="AO13" s="2175" t="s">
        <v>388</v>
      </c>
      <c r="AP13" s="2179" t="s">
        <v>475</v>
      </c>
      <c r="AQ13" s="2175" t="s">
        <v>388</v>
      </c>
      <c r="AR13" s="2179" t="s">
        <v>475</v>
      </c>
      <c r="AS13" s="2175" t="s">
        <v>388</v>
      </c>
      <c r="AT13" s="2179" t="s">
        <v>475</v>
      </c>
      <c r="AU13" s="2175" t="s">
        <v>388</v>
      </c>
      <c r="AV13" s="2179" t="s">
        <v>475</v>
      </c>
      <c r="AW13" s="2175" t="s">
        <v>388</v>
      </c>
      <c r="AX13" s="2179" t="s">
        <v>475</v>
      </c>
      <c r="AY13" s="2175" t="s">
        <v>388</v>
      </c>
      <c r="AZ13" s="2179" t="s">
        <v>475</v>
      </c>
      <c r="BA13" s="2175" t="s">
        <v>388</v>
      </c>
      <c r="BB13" s="2179" t="s">
        <v>475</v>
      </c>
      <c r="BC13" s="2175" t="s">
        <v>388</v>
      </c>
      <c r="BD13" s="2179" t="s">
        <v>475</v>
      </c>
      <c r="BE13" s="2175" t="s">
        <v>388</v>
      </c>
      <c r="BF13" s="2179" t="s">
        <v>475</v>
      </c>
      <c r="BG13" s="2175" t="s">
        <v>388</v>
      </c>
      <c r="BH13" s="2179" t="s">
        <v>475</v>
      </c>
      <c r="BI13" s="2175" t="s">
        <v>388</v>
      </c>
      <c r="BJ13" s="2179" t="s">
        <v>475</v>
      </c>
      <c r="BK13" s="2175" t="s">
        <v>388</v>
      </c>
      <c r="BL13" s="2179" t="s">
        <v>475</v>
      </c>
      <c r="BM13" s="2175" t="s">
        <v>388</v>
      </c>
      <c r="BN13" s="2179" t="s">
        <v>475</v>
      </c>
      <c r="BO13" s="2175" t="s">
        <v>388</v>
      </c>
      <c r="BP13" s="2179" t="s">
        <v>475</v>
      </c>
      <c r="BQ13" s="2175" t="s">
        <v>388</v>
      </c>
      <c r="BR13" s="2179" t="s">
        <v>475</v>
      </c>
      <c r="BS13" s="2175" t="s">
        <v>388</v>
      </c>
      <c r="BT13" s="2179" t="s">
        <v>475</v>
      </c>
      <c r="BU13" s="4994" t="s">
        <v>388</v>
      </c>
      <c r="BV13" s="4593" t="s">
        <v>475</v>
      </c>
      <c r="BW13" s="4994" t="s">
        <v>388</v>
      </c>
      <c r="BX13" s="4593" t="s">
        <v>475</v>
      </c>
      <c r="BY13" s="4994" t="s">
        <v>388</v>
      </c>
      <c r="BZ13" s="4593" t="s">
        <v>475</v>
      </c>
      <c r="CA13" s="3101"/>
      <c r="CL13" s="612">
        <v>34</v>
      </c>
    </row>
    <row customHeight="1" ht="15" hidden="1">
      <c r="C14" s="284"/>
      <c r="D14" s="700" t="s">
        <v>144</v>
      </c>
      <c r="E14" s="700" t="s">
        <v>102</v>
      </c>
      <c r="F14" s="700" t="s">
        <v>90</v>
      </c>
      <c r="G14" s="766" t="str">
        <f>G1&amp;".1"</f>
        <v>4.1</v>
      </c>
      <c r="H14" s="766"/>
      <c r="I14" s="766" t="str">
        <f>I1&amp;".1"</f>
        <v>4.1</v>
      </c>
      <c r="J14" s="766"/>
      <c r="K14" s="790" t="str">
        <f>K1&amp;".1"</f>
        <v>1.1</v>
      </c>
      <c r="L14" s="790"/>
      <c r="M14" s="790" t="str">
        <f>M1&amp;".1"</f>
        <v>4.1</v>
      </c>
      <c r="N14" s="790"/>
      <c r="O14" s="790" t="str">
        <f>O1&amp;".1"</f>
        <v>4.1</v>
      </c>
      <c r="P14" s="790"/>
      <c r="Q14" s="790" t="str">
        <f>Q1&amp;".1"</f>
        <v>4.1</v>
      </c>
      <c r="R14" s="790"/>
      <c r="S14" s="790" t="str">
        <f>S1&amp;".1"</f>
        <v>4.1</v>
      </c>
      <c r="T14" s="790"/>
      <c r="U14" s="790" t="str">
        <f>U1&amp;".1"</f>
        <v>4.1</v>
      </c>
      <c r="V14" s="790"/>
      <c r="W14" s="790" t="str">
        <f>W1&amp;".1"</f>
        <v>4.1</v>
      </c>
      <c r="X14" s="790"/>
      <c r="Y14" s="790" t="str">
        <f>Y1&amp;".1"</f>
        <v>4.1</v>
      </c>
      <c r="Z14" s="790"/>
      <c r="AA14" s="790" t="str">
        <f>AA1&amp;".1"</f>
        <v>4.1</v>
      </c>
      <c r="AB14" s="790"/>
      <c r="AC14" s="790" t="str">
        <f>AC1&amp;".1"</f>
        <v>4.1</v>
      </c>
      <c r="AD14" s="790"/>
      <c r="AE14" s="790" t="str">
        <f>AE1&amp;".1"</f>
        <v>4.1</v>
      </c>
      <c r="AF14" s="790"/>
      <c r="AG14" s="790" t="str">
        <f>AG1&amp;".1"</f>
        <v>4.1</v>
      </c>
      <c r="AH14" s="790"/>
      <c r="AI14" s="790" t="str">
        <f>AI1&amp;".1"</f>
        <v>4.1</v>
      </c>
      <c r="AJ14" s="790"/>
      <c r="AK14" s="790" t="str">
        <f>AK1&amp;".1"</f>
        <v>4.1</v>
      </c>
      <c r="AL14" s="790"/>
      <c r="AM14" s="790" t="str">
        <f>AM1&amp;".1"</f>
        <v>4.1</v>
      </c>
      <c r="AN14" s="790"/>
      <c r="AO14" s="790" t="str">
        <f>AO1&amp;".1"</f>
        <v>4.1</v>
      </c>
      <c r="AP14" s="790"/>
      <c r="AQ14" s="790" t="str">
        <f>AQ1&amp;".1"</f>
        <v>4.1</v>
      </c>
      <c r="AR14" s="790"/>
      <c r="AS14" s="790" t="str">
        <f>AS1&amp;".1"</f>
        <v>4.1</v>
      </c>
      <c r="AT14" s="790"/>
      <c r="AU14" s="790" t="str">
        <f>AU1&amp;".1"</f>
        <v>4.1</v>
      </c>
      <c r="AV14" s="790"/>
      <c r="AW14" s="790" t="str">
        <f>AW1&amp;".1"</f>
        <v>4.1</v>
      </c>
      <c r="AX14" s="790"/>
      <c r="AY14" s="790" t="str">
        <f>AY1&amp;".1"</f>
        <v>4.1</v>
      </c>
      <c r="AZ14" s="790"/>
      <c r="BA14" s="790" t="str">
        <f>BA1&amp;".1"</f>
        <v>4.1</v>
      </c>
      <c r="BB14" s="790"/>
      <c r="BC14" s="790" t="str">
        <f>BC1&amp;".1"</f>
        <v>4.1</v>
      </c>
      <c r="BD14" s="790"/>
      <c r="BE14" s="790" t="str">
        <f>BE1&amp;".1"</f>
        <v>4.1</v>
      </c>
      <c r="BF14" s="790"/>
      <c r="BG14" s="790" t="str">
        <f>BG1&amp;".1"</f>
        <v>4.1</v>
      </c>
      <c r="BH14" s="790"/>
      <c r="BI14" s="790" t="str">
        <f>BI1&amp;".1"</f>
        <v>4.1</v>
      </c>
      <c r="BJ14" s="790"/>
      <c r="BK14" s="790" t="str">
        <f>BK1&amp;".1"</f>
        <v>4.1</v>
      </c>
      <c r="BL14" s="790"/>
      <c r="BM14" s="790" t="str">
        <f>BM1&amp;".1"</f>
        <v>4.1</v>
      </c>
      <c r="BN14" s="790"/>
      <c r="BO14" s="790" t="str">
        <f>BO1&amp;".1"</f>
        <v>4.1</v>
      </c>
      <c r="BP14" s="790"/>
      <c r="BQ14" s="790" t="str">
        <f>BQ1&amp;".1"</f>
        <v>4.1</v>
      </c>
      <c r="BR14" s="790"/>
      <c r="BS14" s="790" t="str">
        <f>BS1&amp;".1"</f>
        <v>4.1</v>
      </c>
      <c r="BT14" s="790"/>
      <c r="BU14" s="5297" t="str">
        <f>BU1&amp;".1"</f>
        <v>4.1</v>
      </c>
      <c r="BV14" s="5297"/>
      <c r="BW14" s="5297" t="str">
        <f>BW1&amp;".1"</f>
        <v>4.1</v>
      </c>
      <c r="BX14" s="5297"/>
      <c r="BY14" s="5297" t="str">
        <f>BY1&amp;".1"</f>
        <v>4.1</v>
      </c>
      <c r="BZ14" s="5297"/>
      <c r="CA14" s="397"/>
      <c r="CL14" s="612">
        <v>0</v>
      </c>
    </row>
    <row customHeight="1" ht="22.5" hidden="1">
      <c r="A15" s="612"/>
      <c r="C15" s="633"/>
      <c r="D15" s="628">
        <v>1</v>
      </c>
      <c r="E15" s="784" t="s">
        <v>967</v>
      </c>
      <c r="F15" s="628" t="s">
        <v>968</v>
      </c>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5"/>
      <c r="BJ15" s="785"/>
      <c r="BK15" s="785"/>
      <c r="BL15" s="785"/>
      <c r="BM15" s="785"/>
      <c r="BN15" s="785"/>
      <c r="BO15" s="785"/>
      <c r="BP15" s="785"/>
      <c r="BQ15" s="785"/>
      <c r="BR15" s="785"/>
      <c r="BS15" s="785"/>
      <c r="BT15" s="785"/>
      <c r="BU15" s="6176"/>
      <c r="BV15" s="6176"/>
      <c r="BW15" s="6176"/>
      <c r="BX15" s="6176"/>
      <c r="BY15" s="6176"/>
      <c r="BZ15" s="6176"/>
      <c r="CA15" s="397" t="s">
        <v>969</v>
      </c>
      <c r="CL15" s="612">
        <v>0</v>
      </c>
    </row>
    <row customHeight="1" ht="22.5" hidden="1">
      <c r="A16" s="612"/>
      <c r="C16" s="633"/>
      <c r="D16" s="628">
        <v>2</v>
      </c>
      <c r="E16" s="387" t="s">
        <v>970</v>
      </c>
      <c r="F16" s="628" t="s">
        <v>971</v>
      </c>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c r="AT16" s="785"/>
      <c r="AU16" s="785"/>
      <c r="AV16" s="785"/>
      <c r="AW16" s="785"/>
      <c r="AX16" s="785"/>
      <c r="AY16" s="785"/>
      <c r="AZ16" s="785"/>
      <c r="BA16" s="785"/>
      <c r="BB16" s="785"/>
      <c r="BC16" s="785"/>
      <c r="BD16" s="785"/>
      <c r="BE16" s="785"/>
      <c r="BF16" s="785"/>
      <c r="BG16" s="785"/>
      <c r="BH16" s="785"/>
      <c r="BI16" s="785"/>
      <c r="BJ16" s="785"/>
      <c r="BK16" s="785"/>
      <c r="BL16" s="785"/>
      <c r="BM16" s="785"/>
      <c r="BN16" s="785"/>
      <c r="BO16" s="785"/>
      <c r="BP16" s="785"/>
      <c r="BQ16" s="785"/>
      <c r="BR16" s="785"/>
      <c r="BS16" s="785"/>
      <c r="BT16" s="785"/>
      <c r="BU16" s="6176"/>
      <c r="BV16" s="6176"/>
      <c r="BW16" s="6176"/>
      <c r="BX16" s="6176"/>
      <c r="BY16" s="6176"/>
      <c r="BZ16" s="6176"/>
      <c r="CA16" s="397" t="s">
        <v>972</v>
      </c>
      <c r="CL16" s="612">
        <v>0</v>
      </c>
    </row>
    <row customHeight="1" ht="123.75" hidden="1">
      <c r="A17" s="612"/>
      <c r="C17" s="633"/>
      <c r="D17" s="628">
        <v>3</v>
      </c>
      <c r="E17" s="387" t="s">
        <v>1451</v>
      </c>
      <c r="F17" s="628" t="s">
        <v>391</v>
      </c>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785"/>
      <c r="AK17" s="785"/>
      <c r="AL17" s="785"/>
      <c r="AM17" s="785"/>
      <c r="AN17" s="785"/>
      <c r="AO17" s="785"/>
      <c r="AP17" s="785"/>
      <c r="AQ17" s="785"/>
      <c r="AR17" s="785"/>
      <c r="AS17" s="785"/>
      <c r="AT17" s="785"/>
      <c r="AU17" s="785"/>
      <c r="AV17" s="785"/>
      <c r="AW17" s="785"/>
      <c r="AX17" s="785"/>
      <c r="AY17" s="785"/>
      <c r="AZ17" s="785"/>
      <c r="BA17" s="785"/>
      <c r="BB17" s="785"/>
      <c r="BC17" s="785"/>
      <c r="BD17" s="785"/>
      <c r="BE17" s="785"/>
      <c r="BF17" s="785"/>
      <c r="BG17" s="785"/>
      <c r="BH17" s="785"/>
      <c r="BI17" s="785"/>
      <c r="BJ17" s="785"/>
      <c r="BK17" s="785"/>
      <c r="BL17" s="785"/>
      <c r="BM17" s="785"/>
      <c r="BN17" s="785"/>
      <c r="BO17" s="785"/>
      <c r="BP17" s="785"/>
      <c r="BQ17" s="785"/>
      <c r="BR17" s="785"/>
      <c r="BS17" s="785"/>
      <c r="BT17" s="785"/>
      <c r="BU17" s="6176"/>
      <c r="BV17" s="6176"/>
      <c r="BW17" s="6176"/>
      <c r="BX17" s="6176"/>
      <c r="BY17" s="6176"/>
      <c r="BZ17" s="6176"/>
      <c r="CA17" s="397" t="s">
        <v>1452</v>
      </c>
      <c r="CL17" s="612">
        <v>0</v>
      </c>
    </row>
    <row customHeight="1" ht="48.29999999999999">
      <c r="A18" s="612"/>
      <c r="C18" s="633"/>
      <c r="D18" s="628">
        <v>3</v>
      </c>
      <c r="E18" s="387" t="s">
        <v>973</v>
      </c>
      <c r="F18" s="628" t="s">
        <v>391</v>
      </c>
      <c r="G18" s="910" t="s">
        <v>391</v>
      </c>
      <c r="H18" s="911" t="s">
        <v>391</v>
      </c>
      <c r="I18" s="628" t="s">
        <v>391</v>
      </c>
      <c r="J18" s="685" t="s">
        <v>391</v>
      </c>
      <c r="K18" s="2179" t="s">
        <v>391</v>
      </c>
      <c r="L18" s="2174" t="s">
        <v>391</v>
      </c>
      <c r="M18" s="2179" t="s">
        <v>391</v>
      </c>
      <c r="N18" s="2174" t="s">
        <v>391</v>
      </c>
      <c r="O18" s="2179" t="s">
        <v>391</v>
      </c>
      <c r="P18" s="2174" t="s">
        <v>391</v>
      </c>
      <c r="Q18" s="2179" t="s">
        <v>391</v>
      </c>
      <c r="R18" s="2174" t="s">
        <v>391</v>
      </c>
      <c r="S18" s="2179" t="s">
        <v>391</v>
      </c>
      <c r="T18" s="2174" t="s">
        <v>391</v>
      </c>
      <c r="U18" s="2179" t="s">
        <v>391</v>
      </c>
      <c r="V18" s="2174" t="s">
        <v>391</v>
      </c>
      <c r="W18" s="2179" t="s">
        <v>391</v>
      </c>
      <c r="X18" s="2174" t="s">
        <v>391</v>
      </c>
      <c r="Y18" s="2179" t="s">
        <v>391</v>
      </c>
      <c r="Z18" s="2174" t="s">
        <v>391</v>
      </c>
      <c r="AA18" s="2179" t="s">
        <v>391</v>
      </c>
      <c r="AB18" s="2174" t="s">
        <v>391</v>
      </c>
      <c r="AC18" s="2179" t="s">
        <v>391</v>
      </c>
      <c r="AD18" s="2174" t="s">
        <v>391</v>
      </c>
      <c r="AE18" s="2179" t="s">
        <v>391</v>
      </c>
      <c r="AF18" s="2174" t="s">
        <v>391</v>
      </c>
      <c r="AG18" s="2179" t="s">
        <v>391</v>
      </c>
      <c r="AH18" s="2174" t="s">
        <v>391</v>
      </c>
      <c r="AI18" s="2179" t="s">
        <v>391</v>
      </c>
      <c r="AJ18" s="2174" t="s">
        <v>391</v>
      </c>
      <c r="AK18" s="2179" t="s">
        <v>391</v>
      </c>
      <c r="AL18" s="2174" t="s">
        <v>391</v>
      </c>
      <c r="AM18" s="2179" t="s">
        <v>391</v>
      </c>
      <c r="AN18" s="2174" t="s">
        <v>391</v>
      </c>
      <c r="AO18" s="2179" t="s">
        <v>391</v>
      </c>
      <c r="AP18" s="2174" t="s">
        <v>391</v>
      </c>
      <c r="AQ18" s="2179" t="s">
        <v>391</v>
      </c>
      <c r="AR18" s="2174" t="s">
        <v>391</v>
      </c>
      <c r="AS18" s="2179" t="s">
        <v>391</v>
      </c>
      <c r="AT18" s="2174" t="s">
        <v>391</v>
      </c>
      <c r="AU18" s="2179" t="s">
        <v>391</v>
      </c>
      <c r="AV18" s="2174" t="s">
        <v>391</v>
      </c>
      <c r="AW18" s="2179" t="s">
        <v>391</v>
      </c>
      <c r="AX18" s="2174" t="s">
        <v>391</v>
      </c>
      <c r="AY18" s="2179" t="s">
        <v>391</v>
      </c>
      <c r="AZ18" s="2174" t="s">
        <v>391</v>
      </c>
      <c r="BA18" s="2179" t="s">
        <v>391</v>
      </c>
      <c r="BB18" s="2174" t="s">
        <v>391</v>
      </c>
      <c r="BC18" s="2179" t="s">
        <v>391</v>
      </c>
      <c r="BD18" s="2174" t="s">
        <v>391</v>
      </c>
      <c r="BE18" s="2179" t="s">
        <v>391</v>
      </c>
      <c r="BF18" s="2174" t="s">
        <v>391</v>
      </c>
      <c r="BG18" s="2179" t="s">
        <v>391</v>
      </c>
      <c r="BH18" s="2174" t="s">
        <v>391</v>
      </c>
      <c r="BI18" s="2179" t="s">
        <v>391</v>
      </c>
      <c r="BJ18" s="2174" t="s">
        <v>391</v>
      </c>
      <c r="BK18" s="2179" t="s">
        <v>391</v>
      </c>
      <c r="BL18" s="2174" t="s">
        <v>391</v>
      </c>
      <c r="BM18" s="2179" t="s">
        <v>391</v>
      </c>
      <c r="BN18" s="2174" t="s">
        <v>391</v>
      </c>
      <c r="BO18" s="2179" t="s">
        <v>391</v>
      </c>
      <c r="BP18" s="2174" t="s">
        <v>391</v>
      </c>
      <c r="BQ18" s="2179" t="s">
        <v>391</v>
      </c>
      <c r="BR18" s="2174" t="s">
        <v>391</v>
      </c>
      <c r="BS18" s="2179" t="s">
        <v>391</v>
      </c>
      <c r="BT18" s="2174" t="s">
        <v>391</v>
      </c>
      <c r="BU18" s="4593" t="s">
        <v>391</v>
      </c>
      <c r="BV18" s="5222" t="s">
        <v>391</v>
      </c>
      <c r="BW18" s="4593" t="s">
        <v>391</v>
      </c>
      <c r="BX18" s="5222" t="s">
        <v>391</v>
      </c>
      <c r="BY18" s="4593" t="s">
        <v>391</v>
      </c>
      <c r="BZ18" s="5222" t="s">
        <v>391</v>
      </c>
      <c r="CA18" s="397" t="s">
        <v>1453</v>
      </c>
      <c r="CL18" s="612">
        <v>46</v>
      </c>
    </row>
    <row customHeight="1" ht="35.699999999999996">
      <c r="A19" s="612"/>
      <c r="C19" s="633"/>
      <c r="D19" s="646" t="s">
        <v>409</v>
      </c>
      <c r="E19" s="666" t="s">
        <v>975</v>
      </c>
      <c r="F19" s="628" t="s">
        <v>976</v>
      </c>
      <c r="G19" s="918"/>
      <c r="H19" s="216"/>
      <c r="I19" s="918"/>
      <c r="J19" s="919"/>
      <c r="K19" s="918"/>
      <c r="L19" s="2194"/>
      <c r="M19" s="918"/>
      <c r="N19" s="2194"/>
      <c r="O19" s="918"/>
      <c r="P19" s="2194"/>
      <c r="Q19" s="918"/>
      <c r="R19" s="2194"/>
      <c r="S19" s="918"/>
      <c r="T19" s="2194"/>
      <c r="U19" s="918"/>
      <c r="V19" s="2194"/>
      <c r="W19" s="918"/>
      <c r="X19" s="2194"/>
      <c r="Y19" s="918"/>
      <c r="Z19" s="2194"/>
      <c r="AA19" s="918"/>
      <c r="AB19" s="2194"/>
      <c r="AC19" s="918"/>
      <c r="AD19" s="2194"/>
      <c r="AE19" s="918"/>
      <c r="AF19" s="2194"/>
      <c r="AG19" s="918"/>
      <c r="AH19" s="2194"/>
      <c r="AI19" s="918"/>
      <c r="AJ19" s="2194"/>
      <c r="AK19" s="918"/>
      <c r="AL19" s="2194"/>
      <c r="AM19" s="918"/>
      <c r="AN19" s="2194"/>
      <c r="AO19" s="918"/>
      <c r="AP19" s="2194"/>
      <c r="AQ19" s="918"/>
      <c r="AR19" s="2194"/>
      <c r="AS19" s="918"/>
      <c r="AT19" s="2194"/>
      <c r="AU19" s="918"/>
      <c r="AV19" s="2194"/>
      <c r="AW19" s="918"/>
      <c r="AX19" s="2194"/>
      <c r="AY19" s="918"/>
      <c r="AZ19" s="2194"/>
      <c r="BA19" s="918"/>
      <c r="BB19" s="2194"/>
      <c r="BC19" s="918"/>
      <c r="BD19" s="2194"/>
      <c r="BE19" s="918"/>
      <c r="BF19" s="2194"/>
      <c r="BG19" s="918"/>
      <c r="BH19" s="2194"/>
      <c r="BI19" s="918"/>
      <c r="BJ19" s="2194"/>
      <c r="BK19" s="918"/>
      <c r="BL19" s="2194"/>
      <c r="BM19" s="918"/>
      <c r="BN19" s="2194"/>
      <c r="BO19" s="918"/>
      <c r="BP19" s="2194"/>
      <c r="BQ19" s="918"/>
      <c r="BR19" s="2194"/>
      <c r="BS19" s="918"/>
      <c r="BT19" s="2194"/>
      <c r="BU19" s="5214"/>
      <c r="BV19" s="5212"/>
      <c r="BW19" s="5214"/>
      <c r="BX19" s="5212"/>
      <c r="BY19" s="5214"/>
      <c r="BZ19" s="5212"/>
      <c r="CA19" s="786"/>
      <c r="CL19" s="612">
        <v>34</v>
      </c>
    </row>
    <row customHeight="1" ht="35.699999999999996">
      <c r="A20" s="612"/>
      <c r="C20" s="633"/>
      <c r="D20" s="1984" t="s">
        <v>417</v>
      </c>
      <c r="E20" s="666" t="s">
        <v>977</v>
      </c>
      <c r="F20" s="628" t="s">
        <v>978</v>
      </c>
      <c r="G20" s="918"/>
      <c r="H20" s="216"/>
      <c r="I20" s="918"/>
      <c r="J20" s="216"/>
      <c r="K20" s="918"/>
      <c r="L20" s="2194"/>
      <c r="M20" s="918"/>
      <c r="N20" s="2194"/>
      <c r="O20" s="918"/>
      <c r="P20" s="2194"/>
      <c r="Q20" s="918"/>
      <c r="R20" s="2194"/>
      <c r="S20" s="918"/>
      <c r="T20" s="2194"/>
      <c r="U20" s="918"/>
      <c r="V20" s="2194"/>
      <c r="W20" s="918"/>
      <c r="X20" s="2194"/>
      <c r="Y20" s="918"/>
      <c r="Z20" s="2194"/>
      <c r="AA20" s="918"/>
      <c r="AB20" s="2194"/>
      <c r="AC20" s="918"/>
      <c r="AD20" s="2194"/>
      <c r="AE20" s="918"/>
      <c r="AF20" s="2194"/>
      <c r="AG20" s="918"/>
      <c r="AH20" s="2194"/>
      <c r="AI20" s="918"/>
      <c r="AJ20" s="2194"/>
      <c r="AK20" s="918"/>
      <c r="AL20" s="2194"/>
      <c r="AM20" s="918"/>
      <c r="AN20" s="2194"/>
      <c r="AO20" s="918"/>
      <c r="AP20" s="2194"/>
      <c r="AQ20" s="918"/>
      <c r="AR20" s="2194"/>
      <c r="AS20" s="918"/>
      <c r="AT20" s="2194"/>
      <c r="AU20" s="918"/>
      <c r="AV20" s="2194"/>
      <c r="AW20" s="918"/>
      <c r="AX20" s="2194"/>
      <c r="AY20" s="918"/>
      <c r="AZ20" s="2194"/>
      <c r="BA20" s="918"/>
      <c r="BB20" s="2194"/>
      <c r="BC20" s="918"/>
      <c r="BD20" s="2194"/>
      <c r="BE20" s="918"/>
      <c r="BF20" s="2194"/>
      <c r="BG20" s="918"/>
      <c r="BH20" s="2194"/>
      <c r="BI20" s="918"/>
      <c r="BJ20" s="2194"/>
      <c r="BK20" s="918"/>
      <c r="BL20" s="2194"/>
      <c r="BM20" s="918"/>
      <c r="BN20" s="2194"/>
      <c r="BO20" s="918"/>
      <c r="BP20" s="2194"/>
      <c r="BQ20" s="918"/>
      <c r="BR20" s="2194"/>
      <c r="BS20" s="918"/>
      <c r="BT20" s="2194"/>
      <c r="BU20" s="5214"/>
      <c r="BV20" s="5212"/>
      <c r="BW20" s="5214"/>
      <c r="BX20" s="5212"/>
      <c r="BY20" s="5214"/>
      <c r="BZ20" s="5212"/>
      <c r="CA20" s="786"/>
      <c r="CL20" s="612">
        <v>34</v>
      </c>
    </row>
    <row customHeight="1" ht="48.29999999999999">
      <c r="A21" s="612"/>
      <c r="C21" s="633"/>
      <c r="D21" s="1984" t="s">
        <v>419</v>
      </c>
      <c r="E21" s="666" t="s">
        <v>979</v>
      </c>
      <c r="F21" s="628" t="s">
        <v>665</v>
      </c>
      <c r="G21" s="787"/>
      <c r="H21" s="216"/>
      <c r="I21" s="787"/>
      <c r="J21" s="216"/>
      <c r="K21" s="787"/>
      <c r="L21" s="2194"/>
      <c r="M21" s="787"/>
      <c r="N21" s="2194"/>
      <c r="O21" s="787"/>
      <c r="P21" s="2194"/>
      <c r="Q21" s="787"/>
      <c r="R21" s="2194"/>
      <c r="S21" s="787"/>
      <c r="T21" s="2194"/>
      <c r="U21" s="787"/>
      <c r="V21" s="2194"/>
      <c r="W21" s="787"/>
      <c r="X21" s="2194"/>
      <c r="Y21" s="787"/>
      <c r="Z21" s="2194"/>
      <c r="AA21" s="787"/>
      <c r="AB21" s="2194"/>
      <c r="AC21" s="787"/>
      <c r="AD21" s="2194"/>
      <c r="AE21" s="787"/>
      <c r="AF21" s="2194"/>
      <c r="AG21" s="787"/>
      <c r="AH21" s="2194"/>
      <c r="AI21" s="787"/>
      <c r="AJ21" s="2194"/>
      <c r="AK21" s="787"/>
      <c r="AL21" s="2194"/>
      <c r="AM21" s="787"/>
      <c r="AN21" s="2194"/>
      <c r="AO21" s="787"/>
      <c r="AP21" s="2194"/>
      <c r="AQ21" s="787"/>
      <c r="AR21" s="2194"/>
      <c r="AS21" s="787"/>
      <c r="AT21" s="2194"/>
      <c r="AU21" s="787"/>
      <c r="AV21" s="2194"/>
      <c r="AW21" s="787"/>
      <c r="AX21" s="2194"/>
      <c r="AY21" s="787"/>
      <c r="AZ21" s="2194"/>
      <c r="BA21" s="787"/>
      <c r="BB21" s="2194"/>
      <c r="BC21" s="787"/>
      <c r="BD21" s="2194"/>
      <c r="BE21" s="787"/>
      <c r="BF21" s="2194"/>
      <c r="BG21" s="787"/>
      <c r="BH21" s="2194"/>
      <c r="BI21" s="787"/>
      <c r="BJ21" s="2194"/>
      <c r="BK21" s="787"/>
      <c r="BL21" s="2194"/>
      <c r="BM21" s="787"/>
      <c r="BN21" s="2194"/>
      <c r="BO21" s="787"/>
      <c r="BP21" s="2194"/>
      <c r="BQ21" s="787"/>
      <c r="BR21" s="2194"/>
      <c r="BS21" s="787"/>
      <c r="BT21" s="2194"/>
      <c r="BU21" s="5216"/>
      <c r="BV21" s="5212"/>
      <c r="BW21" s="5216"/>
      <c r="BX21" s="5212"/>
      <c r="BY21" s="5216"/>
      <c r="BZ21" s="5212"/>
      <c r="CA21" s="786"/>
      <c r="CL21" s="612">
        <v>46</v>
      </c>
    </row>
    <row customHeight="1" ht="67.5" hidden="1">
      <c r="A22" s="612"/>
      <c r="C22" s="633"/>
      <c r="D22" s="628">
        <v>5</v>
      </c>
      <c r="E22" s="387" t="s">
        <v>1454</v>
      </c>
      <c r="F22" s="628" t="s">
        <v>643</v>
      </c>
      <c r="G22" s="788"/>
      <c r="H22" s="789"/>
      <c r="I22" s="788"/>
      <c r="J22" s="789"/>
      <c r="K22" s="788"/>
      <c r="L22" s="1535"/>
      <c r="M22" s="788"/>
      <c r="N22" s="1535"/>
      <c r="O22" s="788"/>
      <c r="P22" s="1535"/>
      <c r="Q22" s="788"/>
      <c r="R22" s="1535"/>
      <c r="S22" s="788"/>
      <c r="T22" s="1535"/>
      <c r="U22" s="788"/>
      <c r="V22" s="1535"/>
      <c r="W22" s="788"/>
      <c r="X22" s="1535"/>
      <c r="Y22" s="788"/>
      <c r="Z22" s="1535"/>
      <c r="AA22" s="788"/>
      <c r="AB22" s="1535"/>
      <c r="AC22" s="788"/>
      <c r="AD22" s="1535"/>
      <c r="AE22" s="788"/>
      <c r="AF22" s="1535"/>
      <c r="AG22" s="788"/>
      <c r="AH22" s="1535"/>
      <c r="AI22" s="788"/>
      <c r="AJ22" s="1535"/>
      <c r="AK22" s="788"/>
      <c r="AL22" s="1535"/>
      <c r="AM22" s="788"/>
      <c r="AN22" s="1535"/>
      <c r="AO22" s="788"/>
      <c r="AP22" s="1535"/>
      <c r="AQ22" s="788"/>
      <c r="AR22" s="1535"/>
      <c r="AS22" s="788"/>
      <c r="AT22" s="1535"/>
      <c r="AU22" s="788"/>
      <c r="AV22" s="1535"/>
      <c r="AW22" s="788"/>
      <c r="AX22" s="1535"/>
      <c r="AY22" s="788"/>
      <c r="AZ22" s="1535"/>
      <c r="BA22" s="788"/>
      <c r="BB22" s="1535"/>
      <c r="BC22" s="788"/>
      <c r="BD22" s="1535"/>
      <c r="BE22" s="788"/>
      <c r="BF22" s="1535"/>
      <c r="BG22" s="788"/>
      <c r="BH22" s="1535"/>
      <c r="BI22" s="788"/>
      <c r="BJ22" s="1535"/>
      <c r="BK22" s="788"/>
      <c r="BL22" s="1535"/>
      <c r="BM22" s="788"/>
      <c r="BN22" s="1535"/>
      <c r="BO22" s="788"/>
      <c r="BP22" s="1535"/>
      <c r="BQ22" s="788"/>
      <c r="BR22" s="1535"/>
      <c r="BS22" s="788"/>
      <c r="BT22" s="1535"/>
      <c r="BU22" s="6184"/>
      <c r="BV22" s="6185"/>
      <c r="BW22" s="6184"/>
      <c r="BX22" s="6185"/>
      <c r="BY22" s="6184"/>
      <c r="BZ22" s="6185"/>
      <c r="CA22" s="397" t="s">
        <v>1455</v>
      </c>
      <c r="CL22" s="612">
        <v>0</v>
      </c>
    </row>
    <row customHeight="1" ht="33.75" hidden="1">
      <c r="C23" s="558"/>
      <c r="D23" s="628">
        <v>6</v>
      </c>
      <c r="E23" s="387" t="s">
        <v>1456</v>
      </c>
      <c r="F23" s="628" t="s">
        <v>1457</v>
      </c>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8"/>
      <c r="AJ23" s="788"/>
      <c r="AK23" s="788"/>
      <c r="AL23" s="788"/>
      <c r="AM23" s="788"/>
      <c r="AN23" s="788"/>
      <c r="AO23" s="788"/>
      <c r="AP23" s="788"/>
      <c r="AQ23" s="788"/>
      <c r="AR23" s="788"/>
      <c r="AS23" s="788"/>
      <c r="AT23" s="788"/>
      <c r="AU23" s="788"/>
      <c r="AV23" s="788"/>
      <c r="AW23" s="788"/>
      <c r="AX23" s="788"/>
      <c r="AY23" s="788"/>
      <c r="AZ23" s="788"/>
      <c r="BA23" s="788"/>
      <c r="BB23" s="788"/>
      <c r="BC23" s="788"/>
      <c r="BD23" s="788"/>
      <c r="BE23" s="788"/>
      <c r="BF23" s="788"/>
      <c r="BG23" s="788"/>
      <c r="BH23" s="788"/>
      <c r="BI23" s="788"/>
      <c r="BJ23" s="788"/>
      <c r="BK23" s="788"/>
      <c r="BL23" s="788"/>
      <c r="BM23" s="788"/>
      <c r="BN23" s="788"/>
      <c r="BO23" s="788"/>
      <c r="BP23" s="788"/>
      <c r="BQ23" s="788"/>
      <c r="BR23" s="788"/>
      <c r="BS23" s="788"/>
      <c r="BT23" s="788"/>
      <c r="BU23" s="6184"/>
      <c r="BV23" s="6184"/>
      <c r="BW23" s="6184"/>
      <c r="BX23" s="6184"/>
      <c r="BY23" s="6184"/>
      <c r="BZ23" s="6184"/>
      <c r="CA23" s="397" t="s">
        <v>1458</v>
      </c>
      <c r="CL23" s="612">
        <v>0</v>
      </c>
    </row>
    <row customHeight="1" ht="15.75">
      <c r="BU24" s="4586"/>
      <c r="BV24" s="4586"/>
      <c r="BW24" s="4586"/>
      <c r="BX24" s="4586"/>
      <c r="BY24" s="4586"/>
      <c r="BZ24" s="4586"/>
      <c r="CL24" s="612">
        <v>15</v>
      </c>
    </row>
    <row customHeight="1" ht="15.75">
      <c r="BU25" s="4586"/>
      <c r="BV25" s="4586"/>
      <c r="BW25" s="4586"/>
      <c r="BX25" s="4586"/>
      <c r="BY25" s="4586"/>
      <c r="BZ25" s="4586"/>
      <c r="CL25" s="612">
        <v>15</v>
      </c>
    </row>
    <row customHeight="1" ht="15.75">
      <c r="BU26" s="4586"/>
      <c r="BV26" s="4586"/>
      <c r="BW26" s="4586"/>
      <c r="BX26" s="4586"/>
      <c r="BY26" s="4586"/>
      <c r="BZ26" s="4586"/>
      <c r="CL26" s="612">
        <v>15</v>
      </c>
    </row>
    <row customHeight="1" ht="15.75">
      <c r="BU27" s="4586"/>
      <c r="BV27" s="4586"/>
      <c r="BW27" s="4586"/>
      <c r="BX27" s="4586"/>
      <c r="BY27" s="4586"/>
      <c r="BZ27" s="4586"/>
      <c r="CL27" s="612">
        <v>15</v>
      </c>
    </row>
    <row customHeight="1" ht="15.75">
      <c r="BU28" s="4586"/>
      <c r="BV28" s="4586"/>
      <c r="BW28" s="4586"/>
      <c r="BX28" s="4586"/>
      <c r="BY28" s="4586"/>
      <c r="BZ28" s="4586"/>
      <c r="CL28" s="612">
        <v>15</v>
      </c>
    </row>
    <row customHeight="1" ht="15.75">
      <c r="J29" s="920"/>
      <c r="BU29" s="4586"/>
      <c r="BV29" s="4586"/>
      <c r="BW29" s="4586"/>
      <c r="BX29" s="4586"/>
      <c r="BY29" s="4586"/>
      <c r="BZ29" s="4586"/>
      <c r="CL29" s="612">
        <v>15</v>
      </c>
    </row>
    <row customHeight="1" ht="22.5" hidden="1">
      <c r="A30" s="556" t="s">
        <v>82</v>
      </c>
      <c r="B30" s="612">
        <v>0</v>
      </c>
      <c r="C30" s="790">
        <v>4</v>
      </c>
      <c r="D30" s="612">
        <v>6</v>
      </c>
      <c r="E30" s="612">
        <v>47</v>
      </c>
      <c r="F30" s="612">
        <v>9</v>
      </c>
      <c r="G30" s="863">
        <v>0</v>
      </c>
      <c r="H30" s="863">
        <v>0</v>
      </c>
      <c r="I30" s="612">
        <v>25</v>
      </c>
      <c r="J30" s="612">
        <v>33</v>
      </c>
      <c r="K30" s="1731">
        <v>0</v>
      </c>
      <c r="L30" s="1731">
        <v>0</v>
      </c>
      <c r="M30" s="1731">
        <v>0</v>
      </c>
      <c r="N30" s="1731">
        <v>0</v>
      </c>
      <c r="O30" s="1731">
        <v>0</v>
      </c>
      <c r="P30" s="1731">
        <v>0</v>
      </c>
      <c r="Q30" s="1731">
        <v>0</v>
      </c>
      <c r="R30" s="1731">
        <v>0</v>
      </c>
      <c r="S30" s="1731">
        <v>0</v>
      </c>
      <c r="T30" s="1731">
        <v>0</v>
      </c>
      <c r="U30" s="1731">
        <v>0</v>
      </c>
      <c r="V30" s="1731">
        <v>0</v>
      </c>
      <c r="W30" s="1731">
        <v>0</v>
      </c>
      <c r="X30" s="1731">
        <v>0</v>
      </c>
      <c r="Y30" s="1731">
        <v>0</v>
      </c>
      <c r="Z30" s="1731">
        <v>0</v>
      </c>
      <c r="AA30" s="1731">
        <v>0</v>
      </c>
      <c r="AB30" s="1731">
        <v>0</v>
      </c>
      <c r="AC30" s="1731">
        <v>0</v>
      </c>
      <c r="AD30" s="1731">
        <v>0</v>
      </c>
      <c r="AE30" s="1731">
        <v>0</v>
      </c>
      <c r="AF30" s="1731">
        <v>0</v>
      </c>
      <c r="AG30" s="1731">
        <v>0</v>
      </c>
      <c r="AH30" s="1731">
        <v>0</v>
      </c>
      <c r="AI30" s="1731">
        <v>0</v>
      </c>
      <c r="AJ30" s="1731">
        <v>0</v>
      </c>
      <c r="AK30" s="1731">
        <v>0</v>
      </c>
      <c r="AL30" s="1731">
        <v>0</v>
      </c>
      <c r="AM30" s="1731">
        <v>0</v>
      </c>
      <c r="AN30" s="1731">
        <v>0</v>
      </c>
      <c r="AO30" s="1731">
        <v>0</v>
      </c>
      <c r="AP30" s="1731">
        <v>0</v>
      </c>
      <c r="AQ30" s="1731">
        <v>0</v>
      </c>
      <c r="AR30" s="1731">
        <v>0</v>
      </c>
      <c r="AS30" s="1731">
        <v>0</v>
      </c>
      <c r="AT30" s="1731">
        <v>0</v>
      </c>
      <c r="AU30" s="1731">
        <v>0</v>
      </c>
      <c r="AV30" s="1731">
        <v>0</v>
      </c>
      <c r="AW30" s="1731">
        <v>0</v>
      </c>
      <c r="AX30" s="1731">
        <v>0</v>
      </c>
      <c r="AY30" s="1731">
        <v>0</v>
      </c>
      <c r="AZ30" s="1731">
        <v>0</v>
      </c>
      <c r="BA30" s="1731">
        <v>0</v>
      </c>
      <c r="BB30" s="1731">
        <v>0</v>
      </c>
      <c r="BC30" s="1731">
        <v>0</v>
      </c>
      <c r="BD30" s="1731">
        <v>0</v>
      </c>
      <c r="BE30" s="1731">
        <v>0</v>
      </c>
      <c r="BF30" s="1731">
        <v>0</v>
      </c>
      <c r="BG30" s="1731">
        <v>0</v>
      </c>
      <c r="BH30" s="1731">
        <v>0</v>
      </c>
      <c r="BI30" s="1731">
        <v>0</v>
      </c>
      <c r="BJ30" s="1731">
        <v>0</v>
      </c>
      <c r="BK30" s="1731">
        <v>0</v>
      </c>
      <c r="BL30" s="1731">
        <v>0</v>
      </c>
      <c r="BM30" s="1731">
        <v>0</v>
      </c>
      <c r="BN30" s="1731">
        <v>0</v>
      </c>
      <c r="BO30" s="1731">
        <v>0</v>
      </c>
      <c r="BP30" s="1731">
        <v>0</v>
      </c>
      <c r="BQ30" s="1731">
        <v>0</v>
      </c>
      <c r="BR30" s="1731">
        <v>0</v>
      </c>
      <c r="BS30" s="1731">
        <v>0</v>
      </c>
      <c r="BT30" s="1731">
        <v>0</v>
      </c>
      <c r="BU30" s="4586">
        <v>0</v>
      </c>
      <c r="BV30" s="4586">
        <v>0</v>
      </c>
      <c r="BW30" s="4586">
        <v>0</v>
      </c>
      <c r="BX30" s="4586">
        <v>0</v>
      </c>
      <c r="BY30" s="4586">
        <v>0</v>
      </c>
      <c r="BZ30" s="4586">
        <v>0</v>
      </c>
      <c r="CA30" s="524">
        <v>50</v>
      </c>
      <c r="CB30" s="612">
        <v>10</v>
      </c>
      <c r="CC30" s="612">
        <v>10</v>
      </c>
      <c r="CD30" s="612">
        <v>10</v>
      </c>
      <c r="CE30" s="612">
        <v>10</v>
      </c>
      <c r="CF30" s="612">
        <v>10</v>
      </c>
      <c r="CG30" s="612">
        <v>10</v>
      </c>
      <c r="CH30" s="612">
        <v>10</v>
      </c>
      <c r="CI30" s="612">
        <v>10</v>
      </c>
      <c r="CJ30" s="612">
        <v>10</v>
      </c>
      <c r="CK30" s="782">
        <v>10</v>
      </c>
      <c r="CL30" s="612">
        <v>23</v>
      </c>
    </row>
  </sheetData>
  <sheetProtection formatColumns="0" formatRows="0" autoFilter="0" sort="0" insertRows="0" insertColumns="1" deleteRows="0" deleteColumns="0"/>
  <mergeCells count="115">
    <mergeCell ref="BO9:BP9"/>
    <mergeCell ref="BO10:BP10"/>
    <mergeCell ref="BO11:BP11"/>
    <mergeCell ref="BQ9:BR9"/>
    <mergeCell ref="BQ10:BR10"/>
    <mergeCell ref="BQ11:BR11"/>
    <mergeCell ref="BS9:BT9"/>
    <mergeCell ref="BS10:BT10"/>
    <mergeCell ref="BS11:BT11"/>
    <mergeCell ref="BI9:BJ9"/>
    <mergeCell ref="BI10:BJ10"/>
    <mergeCell ref="BI11:BJ11"/>
    <mergeCell ref="BK9:BL9"/>
    <mergeCell ref="BK10:BL10"/>
    <mergeCell ref="BK11:BL11"/>
    <mergeCell ref="BM9:BN9"/>
    <mergeCell ref="BM10:BN10"/>
    <mergeCell ref="BM11:BN11"/>
    <mergeCell ref="BC9:BD9"/>
    <mergeCell ref="BC10:BD10"/>
    <mergeCell ref="BC11:BD11"/>
    <mergeCell ref="BE9:BF9"/>
    <mergeCell ref="BE10:BF10"/>
    <mergeCell ref="BE11:BF11"/>
    <mergeCell ref="BG9:BH9"/>
    <mergeCell ref="BG10:BH10"/>
    <mergeCell ref="BG11:BH11"/>
    <mergeCell ref="AW9:AX9"/>
    <mergeCell ref="AW10:AX10"/>
    <mergeCell ref="AW11:AX11"/>
    <mergeCell ref="AY9:AZ9"/>
    <mergeCell ref="AY10:AZ10"/>
    <mergeCell ref="AY11:AZ11"/>
    <mergeCell ref="BA9:BB9"/>
    <mergeCell ref="BA10:BB10"/>
    <mergeCell ref="BA11:BB11"/>
    <mergeCell ref="AQ9:AR9"/>
    <mergeCell ref="AQ10:AR10"/>
    <mergeCell ref="AQ11:AR11"/>
    <mergeCell ref="AS9:AT9"/>
    <mergeCell ref="AS10:AT10"/>
    <mergeCell ref="AS11:AT11"/>
    <mergeCell ref="AU9:AV9"/>
    <mergeCell ref="AU10:AV10"/>
    <mergeCell ref="AU11:AV11"/>
    <mergeCell ref="AK9:AL9"/>
    <mergeCell ref="AK10:AL10"/>
    <mergeCell ref="AK11:AL11"/>
    <mergeCell ref="AM9:AN9"/>
    <mergeCell ref="AM10:AN10"/>
    <mergeCell ref="AM11:AN11"/>
    <mergeCell ref="AO9:AP9"/>
    <mergeCell ref="AO10:AP10"/>
    <mergeCell ref="AO11:AP11"/>
    <mergeCell ref="AE9:AF9"/>
    <mergeCell ref="AE10:AF10"/>
    <mergeCell ref="AE11:AF11"/>
    <mergeCell ref="AG9:AH9"/>
    <mergeCell ref="AG10:AH10"/>
    <mergeCell ref="AG11:AH11"/>
    <mergeCell ref="AI9:AJ9"/>
    <mergeCell ref="AI10:AJ10"/>
    <mergeCell ref="AI11:AJ11"/>
    <mergeCell ref="Y9:Z9"/>
    <mergeCell ref="Y10:Z10"/>
    <mergeCell ref="Y11:Z11"/>
    <mergeCell ref="AA9:AB9"/>
    <mergeCell ref="AA10:AB10"/>
    <mergeCell ref="AA11:AB11"/>
    <mergeCell ref="AC9:AD9"/>
    <mergeCell ref="AC10:AD10"/>
    <mergeCell ref="AC11:AD11"/>
    <mergeCell ref="Q11:R11"/>
    <mergeCell ref="S9:T9"/>
    <mergeCell ref="S10:T10"/>
    <mergeCell ref="S11:T11"/>
    <mergeCell ref="U9:V9"/>
    <mergeCell ref="U10:V10"/>
    <mergeCell ref="U11:V11"/>
    <mergeCell ref="W9:X9"/>
    <mergeCell ref="W10:X10"/>
    <mergeCell ref="W11:X11"/>
    <mergeCell ref="D5:J5"/>
    <mergeCell ref="D6:J6"/>
    <mergeCell ref="CA9:C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BU9:BV9"/>
    <mergeCell ref="BU10:BV10"/>
    <mergeCell ref="BU11:BV11"/>
    <mergeCell ref="BW9:BX9"/>
    <mergeCell ref="BW10:BX10"/>
    <mergeCell ref="BW11:BX11"/>
    <mergeCell ref="BY9:BZ9"/>
    <mergeCell ref="BY10:BZ10"/>
    <mergeCell ref="BY11:BZ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026C03-ACAE-48B7-4F46-543147F7483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122" width="32.57421875" customWidth="1"/>
    <col min="2" max="2" style="10365" width="11.00390625" customWidth="1"/>
    <col min="3" max="3" style="10365" width="9.140625"/>
    <col min="4" max="4" style="10365" width="26.57421875" customWidth="1"/>
    <col min="5" max="5" style="12963" width="36.8515625" customWidth="1"/>
    <col min="6" max="6" style="12963" width="23.57421875" customWidth="1"/>
    <col min="7" max="7" style="12963" width="31.421875" customWidth="1"/>
    <col min="8" max="8" style="12963" width="40.8515625" customWidth="1"/>
    <col min="9" max="9" style="12963" width="14.57421875" customWidth="1"/>
    <col min="10" max="10" style="12963" width="26.8515625" customWidth="1"/>
    <col min="11" max="11" style="12963" width="50.00390625" customWidth="1"/>
    <col min="12" max="12" style="12963" width="52.421875" customWidth="1"/>
    <col min="13" max="13" style="12963" width="10.7109375" customWidth="1"/>
    <col min="14" max="14" style="12963" width="55.140625" customWidth="1"/>
    <col min="15" max="15" style="12963" width="31.8515625" customWidth="1"/>
    <col min="16" max="16" style="12963" width="23.8515625" customWidth="1"/>
    <col min="17" max="17" style="12963" width="46.57421875" customWidth="1"/>
    <col min="18" max="18" style="12963" width="24.00390625" customWidth="1"/>
    <col min="19" max="19" style="12963" width="20.57421875" customWidth="1"/>
    <col min="20" max="20" style="12963" width="22.00390625" customWidth="1"/>
    <col min="21" max="22" style="12963" width="26.421875" customWidth="1"/>
    <col min="23" max="23" style="12963" width="8.28125" hidden="1" customWidth="1"/>
    <col min="24" max="24" style="12963" width="59.7109375" customWidth="1"/>
    <col min="25" max="25" style="12963" width="49.140625" customWidth="1"/>
    <col min="26" max="26" style="12963" width="11.140625" customWidth="1"/>
    <col min="27" max="30" style="12963" width="29.00390625" customWidth="1"/>
    <col min="31" max="31" style="12963" width="9.140625"/>
    <col min="32" max="32" style="12963" width="34.7109375" customWidth="1"/>
    <col min="33" max="33" style="12963" width="9.140625"/>
    <col min="34" max="35" style="12963" width="34.421875" customWidth="1"/>
    <col min="36" max="36" style="12963" width="9.140625"/>
    <col min="37" max="37" style="12963" width="24.57421875" customWidth="1"/>
    <col min="38" max="38" style="12963" width="9.140625"/>
    <col min="39" max="39" style="12963" width="26.140625" customWidth="1"/>
    <col min="40" max="40" style="12963" width="1.7109375" customWidth="1"/>
    <col min="41" max="41" style="12963" width="9.140625"/>
    <col min="42" max="43" style="12963" width="47.8515625" customWidth="1"/>
    <col min="44" max="44" style="12963" width="1.7109375" customWidth="1"/>
    <col min="45" max="45" style="12963" width="21.421875" customWidth="1"/>
    <col min="46" max="46" style="12963" width="1.7109375" customWidth="1"/>
    <col min="47" max="47" style="12963" width="31.28125" customWidth="1"/>
    <col min="48" max="48" style="12963" width="1.7109375" customWidth="1"/>
    <col min="49" max="50" style="12963" width="9.140625"/>
    <col min="51" max="51" style="12963" width="3.7109375" customWidth="1"/>
    <col min="52" max="52" style="12963" width="60.8515625" customWidth="1"/>
    <col min="53" max="53" style="12963" width="49.28125" customWidth="1"/>
    <col min="54" max="54" style="12963" width="35.140625" customWidth="1"/>
    <col min="55" max="55" style="12963" width="9.140625"/>
    <col min="56" max="56" style="12963" width="1.7109375" customWidth="1"/>
    <col min="57" max="57" style="13123" width="12.57421875" customWidth="1"/>
    <col min="58" max="58" style="13123" width="14.28125" customWidth="1"/>
    <col min="59" max="59" style="12963" width="30.7109375" customWidth="1"/>
    <col min="60" max="60" style="13124" width="40.7109375" customWidth="1"/>
    <col min="61" max="61" style="13124" width="15.00390625" customWidth="1"/>
    <col min="62" max="62" style="13124" width="40.7109375" customWidth="1"/>
    <col min="63" max="63" style="13124" width="2.7109375" customWidth="1"/>
    <col min="64" max="64" style="13124" width="44.7109375" customWidth="1"/>
    <col min="65" max="65" style="13124" width="2.7109375" customWidth="1"/>
    <col min="66" max="66" style="13124" width="40.7109375" customWidth="1"/>
    <col min="67" max="68" style="12963" width="9.140625"/>
    <col min="69" max="69" style="12963" width="18.140625" customWidth="1"/>
    <col min="70" max="70" style="12963" width="57.8515625" customWidth="1"/>
    <col min="71" max="71" style="12963" width="1.7109375" customWidth="1"/>
    <col min="72" max="72" style="12963" width="22.57421875" customWidth="1"/>
    <col min="73" max="73" style="12963" width="57.8515625" customWidth="1"/>
    <col min="74" max="74" style="12963" width="1.7109375" customWidth="1"/>
    <col min="75" max="75" style="12963" width="22.57421875" customWidth="1"/>
    <col min="76" max="76" style="12963" width="57.8515625" customWidth="1"/>
    <col min="77" max="77" style="12963" width="1.7109375" customWidth="1"/>
    <col min="78" max="78" style="12963" width="22.57421875" customWidth="1"/>
    <col min="79" max="79" style="12963" width="57.8515625" customWidth="1"/>
    <col min="80" max="81" style="12963" width="9.140625"/>
    <col min="82" max="82" style="12963" width="49.57421875" customWidth="1"/>
  </cols>
  <sheetData>
    <row s="13025" customFormat="1" customHeight="1" ht="11.25">
      <c r="A1" s="1167" t="s">
        <v>1459</v>
      </c>
      <c r="B1" s="1167" t="s">
        <v>1460</v>
      </c>
      <c r="C1" s="1167" t="s">
        <v>1461</v>
      </c>
      <c r="D1" s="1167" t="s">
        <v>1462</v>
      </c>
      <c r="E1" s="1167" t="s">
        <v>1463</v>
      </c>
      <c r="F1" s="1167" t="s">
        <v>1464</v>
      </c>
      <c r="G1" s="1167" t="s">
        <v>1465</v>
      </c>
      <c r="H1" s="1167" t="s">
        <v>1466</v>
      </c>
      <c r="I1" s="1167" t="s">
        <v>1467</v>
      </c>
      <c r="J1" s="1167" t="s">
        <v>1468</v>
      </c>
      <c r="K1" s="1167" t="s">
        <v>1469</v>
      </c>
      <c r="L1" s="1167" t="s">
        <v>1470</v>
      </c>
      <c r="M1" s="1167"/>
      <c r="N1" s="1167" t="s">
        <v>1471</v>
      </c>
      <c r="O1" s="1167" t="s">
        <v>1472</v>
      </c>
      <c r="P1" s="1167" t="s">
        <v>1473</v>
      </c>
      <c r="Q1" s="1167" t="s">
        <v>1474</v>
      </c>
      <c r="R1" s="1167" t="s">
        <v>1475</v>
      </c>
      <c r="S1" s="1167" t="s">
        <v>1476</v>
      </c>
      <c r="T1" s="1167" t="s">
        <v>1477</v>
      </c>
      <c r="U1" s="1167" t="s">
        <v>1478</v>
      </c>
      <c r="V1" s="1167"/>
      <c r="W1" s="898" t="s">
        <v>1479</v>
      </c>
      <c r="X1" s="1167" t="s">
        <v>1480</v>
      </c>
      <c r="Y1" s="1167" t="s">
        <v>1481</v>
      </c>
      <c r="Z1" s="1167"/>
      <c r="AA1" s="1167" t="s">
        <v>1482</v>
      </c>
      <c r="AB1" s="1167"/>
      <c r="AC1" s="1167" t="s">
        <v>1483</v>
      </c>
      <c r="AD1" s="1167"/>
      <c r="AF1" s="1167" t="s">
        <v>1484</v>
      </c>
      <c r="AH1" s="1167" t="s">
        <v>1485</v>
      </c>
      <c r="AI1" s="1167" t="s">
        <v>1486</v>
      </c>
      <c r="AK1" s="1167" t="s">
        <v>1487</v>
      </c>
      <c r="AM1" s="1167" t="s">
        <v>1488</v>
      </c>
      <c r="AP1" s="1167" t="s">
        <v>1489</v>
      </c>
      <c r="AQ1" s="1167" t="s">
        <v>1490</v>
      </c>
      <c r="AS1" s="1167" t="s">
        <v>1491</v>
      </c>
      <c r="AU1" s="1167" t="s">
        <v>1492</v>
      </c>
      <c r="AW1" s="1167" t="s">
        <v>1493</v>
      </c>
      <c r="AX1" s="1167" t="s">
        <v>1494</v>
      </c>
      <c r="AZ1" s="1248" t="s">
        <v>1495</v>
      </c>
      <c r="BB1" s="1167" t="s">
        <v>1496</v>
      </c>
      <c r="BC1" s="1167"/>
      <c r="BE1" s="1167" t="s">
        <v>1497</v>
      </c>
      <c r="BF1" s="1167" t="s">
        <v>1498</v>
      </c>
      <c r="BH1" s="1169" t="s">
        <v>966</v>
      </c>
      <c r="BI1" s="1170"/>
      <c r="BJ1" s="1171" t="s">
        <v>1499</v>
      </c>
      <c r="BK1" s="1170"/>
      <c r="BL1" s="1172" t="s">
        <v>1071</v>
      </c>
      <c r="BM1" s="1170"/>
      <c r="BN1" s="1173" t="s">
        <v>1500</v>
      </c>
    </row>
    <row customHeight="1" ht="11.25">
      <c r="A2" s="1174" t="s">
        <v>1501</v>
      </c>
      <c r="B2" s="1175">
        <v>2000</v>
      </c>
      <c r="C2" s="1175">
        <v>2022</v>
      </c>
      <c r="D2" s="1175" t="s">
        <v>62</v>
      </c>
      <c r="E2" s="1176" t="s">
        <v>1502</v>
      </c>
      <c r="F2" s="1176" t="s">
        <v>1503</v>
      </c>
      <c r="G2" s="1176" t="s">
        <v>1504</v>
      </c>
      <c r="H2" s="1177" t="s">
        <v>54</v>
      </c>
      <c r="I2" s="1176" t="s">
        <v>144</v>
      </c>
      <c r="J2" s="1176" t="s">
        <v>1505</v>
      </c>
      <c r="K2" s="1178" t="s">
        <v>1506</v>
      </c>
      <c r="L2" s="1179"/>
      <c r="M2" s="1178">
        <v>1</v>
      </c>
      <c r="N2" s="1258" t="s">
        <v>1507</v>
      </c>
      <c r="O2" s="1177" t="s">
        <v>1508</v>
      </c>
      <c r="P2" s="1180" t="s">
        <v>37</v>
      </c>
      <c r="Q2" s="1181" t="s">
        <v>1509</v>
      </c>
      <c r="R2" s="252" t="s">
        <v>1510</v>
      </c>
      <c r="S2" s="252" t="s">
        <v>1511</v>
      </c>
      <c r="T2" s="1182" t="s">
        <v>1512</v>
      </c>
      <c r="U2" s="1179" t="s">
        <v>1513</v>
      </c>
      <c r="V2" s="1183">
        <v>1</v>
      </c>
      <c r="W2" s="1184"/>
      <c r="X2" s="1184" t="s">
        <v>1514</v>
      </c>
      <c r="Y2" s="1175" t="s">
        <v>1515</v>
      </c>
      <c r="Z2" s="1185"/>
      <c r="AA2" s="1175" t="s">
        <v>1516</v>
      </c>
      <c r="AB2" s="1186" t="s">
        <v>1516</v>
      </c>
      <c r="AC2" s="1175" t="s">
        <v>1517</v>
      </c>
      <c r="AD2" s="1186" t="s">
        <v>1517</v>
      </c>
      <c r="AF2" s="1177" t="s">
        <v>1513</v>
      </c>
      <c r="AH2" s="1176" t="s">
        <v>1518</v>
      </c>
      <c r="AI2" s="1176" t="s">
        <v>1518</v>
      </c>
      <c r="AK2" s="1176" t="s">
        <v>1519</v>
      </c>
      <c r="AM2" s="1176" t="s">
        <v>1520</v>
      </c>
      <c r="AP2" s="1187" t="s">
        <v>1514</v>
      </c>
      <c r="AQ2" s="1188" t="s">
        <v>1514</v>
      </c>
      <c r="AS2" s="1175" t="s">
        <v>1521</v>
      </c>
      <c r="AU2" s="1217" t="s">
        <v>1522</v>
      </c>
      <c r="AW2" s="1217" t="s">
        <v>1523</v>
      </c>
      <c r="AX2" s="1217" t="s">
        <v>1523</v>
      </c>
      <c r="AZ2" s="1217" t="s">
        <v>52</v>
      </c>
      <c r="BB2" s="1217" t="s">
        <v>1524</v>
      </c>
      <c r="BC2" s="1217" t="s">
        <v>655</v>
      </c>
      <c r="BE2" s="1217" t="s">
        <v>1525</v>
      </c>
      <c r="BF2" s="1217" t="s">
        <v>1525</v>
      </c>
    </row>
    <row customHeight="1" ht="11.25">
      <c r="A3" s="1174" t="s">
        <v>1526</v>
      </c>
      <c r="B3" s="1175">
        <v>2001</v>
      </c>
      <c r="C3" s="1175">
        <v>2023</v>
      </c>
      <c r="D3" s="1175" t="s">
        <v>19</v>
      </c>
      <c r="E3" s="1176" t="s">
        <v>1527</v>
      </c>
      <c r="F3" s="1176" t="s">
        <v>1528</v>
      </c>
      <c r="G3" s="1176" t="s">
        <v>1529</v>
      </c>
      <c r="H3" s="1177" t="s">
        <v>1530</v>
      </c>
      <c r="I3" s="1176" t="s">
        <v>102</v>
      </c>
      <c r="J3" s="1176" t="s">
        <v>641</v>
      </c>
      <c r="K3" s="1178" t="s">
        <v>1531</v>
      </c>
      <c r="L3" s="1179">
        <f>_xlfn.IFERROR(MATCH(K3,OFFER_METHOD,0),0)</f>
        <v>0</v>
      </c>
      <c r="M3" s="1178">
        <v>2</v>
      </c>
      <c r="N3" s="1258" t="s">
        <v>1532</v>
      </c>
      <c r="O3" s="1177" t="s">
        <v>1533</v>
      </c>
      <c r="P3" s="1180" t="s">
        <v>1534</v>
      </c>
      <c r="Q3" s="1181" t="s">
        <v>1535</v>
      </c>
      <c r="R3" s="252" t="s">
        <v>1536</v>
      </c>
      <c r="S3" s="252" t="s">
        <v>1537</v>
      </c>
      <c r="T3" s="1182" t="s">
        <v>1538</v>
      </c>
      <c r="U3" s="1179" t="s">
        <v>1539</v>
      </c>
      <c r="V3" s="1183">
        <v>2</v>
      </c>
      <c r="W3" s="1184"/>
      <c r="X3" s="1184" t="s">
        <v>1540</v>
      </c>
      <c r="Y3" s="1175" t="s">
        <v>1515</v>
      </c>
      <c r="Z3" s="1185"/>
      <c r="AA3" s="1175" t="s">
        <v>1541</v>
      </c>
      <c r="AB3" s="1186" t="s">
        <v>1541</v>
      </c>
      <c r="AC3" s="1175" t="s">
        <v>1542</v>
      </c>
      <c r="AD3" s="1186" t="s">
        <v>1542</v>
      </c>
      <c r="AF3" s="1177" t="s">
        <v>1539</v>
      </c>
      <c r="AH3" s="1176" t="s">
        <v>1543</v>
      </c>
      <c r="AI3" s="1176" t="s">
        <v>1544</v>
      </c>
      <c r="AK3" s="1176" t="s">
        <v>1545</v>
      </c>
      <c r="AM3" s="1176" t="s">
        <v>1546</v>
      </c>
      <c r="AP3" s="1187" t="s">
        <v>1547</v>
      </c>
      <c r="AQ3" s="1188" t="s">
        <v>1547</v>
      </c>
      <c r="AS3" s="1175" t="s">
        <v>1548</v>
      </c>
      <c r="AU3" s="1217" t="s">
        <v>1549</v>
      </c>
      <c r="AW3" s="1217" t="s">
        <v>1550</v>
      </c>
      <c r="AX3" s="1217" t="s">
        <v>1550</v>
      </c>
      <c r="AZ3" s="1217" t="s">
        <v>1551</v>
      </c>
      <c r="BB3" s="1217" t="s">
        <v>654</v>
      </c>
      <c r="BC3" s="1217" t="s">
        <v>655</v>
      </c>
      <c r="BE3" s="1217" t="s">
        <v>1552</v>
      </c>
      <c r="BF3" s="1217" t="s">
        <v>1552</v>
      </c>
      <c r="BH3" s="1167" t="s">
        <v>1553</v>
      </c>
      <c r="BJ3" s="1167" t="s">
        <v>1554</v>
      </c>
      <c r="BL3" s="1167" t="s">
        <v>1555</v>
      </c>
      <c r="BN3" s="1167" t="s">
        <v>1556</v>
      </c>
      <c r="BR3" s="1167" t="s">
        <v>1557</v>
      </c>
      <c r="BS3" s="1524"/>
      <c r="BT3" s="1170"/>
      <c r="BU3" s="1167" t="s">
        <v>1558</v>
      </c>
      <c r="BV3" s="1170"/>
      <c r="BW3" s="1786"/>
      <c r="BX3" s="1788" t="s">
        <v>1559</v>
      </c>
      <c r="CA3" s="1167" t="s">
        <v>1560</v>
      </c>
    </row>
    <row customHeight="1" ht="11.25">
      <c r="A4" s="1174" t="s">
        <v>1561</v>
      </c>
      <c r="B4" s="1175">
        <v>2002</v>
      </c>
      <c r="C4" s="1175">
        <v>2024</v>
      </c>
      <c r="E4" s="1176" t="s">
        <v>1562</v>
      </c>
      <c r="F4" s="1176" t="s">
        <v>1563</v>
      </c>
      <c r="H4" s="1177" t="s">
        <v>1564</v>
      </c>
      <c r="I4" s="1176" t="s">
        <v>90</v>
      </c>
      <c r="J4" s="1176" t="s">
        <v>1565</v>
      </c>
      <c r="K4" s="1178" t="s">
        <v>1566</v>
      </c>
      <c r="L4" s="1179">
        <f>_xlfn.IFERROR(MATCH(K4,OFFER_METHOD,0),0)</f>
        <v>0</v>
      </c>
      <c r="M4" s="1178">
        <v>3</v>
      </c>
      <c r="N4" s="1258" t="s">
        <v>1567</v>
      </c>
      <c r="O4" s="1176" t="s">
        <v>1568</v>
      </c>
      <c r="Q4" s="1181" t="s">
        <v>1569</v>
      </c>
      <c r="R4" s="252" t="s">
        <v>1570</v>
      </c>
      <c r="S4" s="252" t="s">
        <v>1571</v>
      </c>
      <c r="T4" s="1182" t="s">
        <v>1572</v>
      </c>
      <c r="U4" s="1179" t="s">
        <v>1573</v>
      </c>
      <c r="V4" s="1183">
        <v>3</v>
      </c>
      <c r="W4" s="1184"/>
      <c r="X4" s="1184" t="s">
        <v>1574</v>
      </c>
      <c r="Y4" s="1175" t="s">
        <v>1515</v>
      </c>
      <c r="Z4" s="1190"/>
      <c r="AC4" s="1175" t="s">
        <v>1575</v>
      </c>
      <c r="AD4" s="1186" t="s">
        <v>1575</v>
      </c>
      <c r="AF4" s="1177" t="s">
        <v>1573</v>
      </c>
      <c r="AH4" s="1177" t="s">
        <v>1576</v>
      </c>
      <c r="AK4" s="1176" t="s">
        <v>1577</v>
      </c>
      <c r="AM4" s="1176" t="s">
        <v>1578</v>
      </c>
      <c r="AP4" s="1187" t="s">
        <v>1540</v>
      </c>
      <c r="AQ4" s="1188" t="s">
        <v>1540</v>
      </c>
      <c r="AS4" s="1175" t="s">
        <v>1579</v>
      </c>
      <c r="AU4" s="1217" t="s">
        <v>1580</v>
      </c>
      <c r="AW4" s="1217" t="s">
        <v>1581</v>
      </c>
      <c r="AX4" s="1217" t="s">
        <v>1581</v>
      </c>
      <c r="AZ4" s="1217" t="s">
        <v>1582</v>
      </c>
      <c r="BB4" s="1217" t="s">
        <v>1583</v>
      </c>
      <c r="BC4" s="1217" t="s">
        <v>1584</v>
      </c>
      <c r="BE4" s="9629">
        <v>2000</v>
      </c>
      <c r="BF4" s="9629" t="s">
        <v>1585</v>
      </c>
      <c r="BH4" s="1168" t="s">
        <v>1586</v>
      </c>
      <c r="BJ4" s="1168" t="s">
        <v>1586</v>
      </c>
      <c r="BL4" s="1168" t="s">
        <v>1586</v>
      </c>
      <c r="BN4" s="1168" t="s">
        <v>1586</v>
      </c>
      <c r="BQ4" s="1528" t="s">
        <v>1587</v>
      </c>
      <c r="BR4" s="1255" t="s">
        <v>1588</v>
      </c>
      <c r="BS4" s="382"/>
      <c r="BT4" s="1528" t="s">
        <v>1589</v>
      </c>
      <c r="BU4" s="1255" t="s">
        <v>1590</v>
      </c>
      <c r="BV4" s="1170"/>
      <c r="BW4" s="1793" t="s">
        <v>1591</v>
      </c>
      <c r="BX4" s="1787" t="s">
        <v>1592</v>
      </c>
      <c r="BZ4" s="1528" t="s">
        <v>1593</v>
      </c>
      <c r="CA4" s="1255" t="s">
        <v>1594</v>
      </c>
    </row>
    <row customHeight="1" ht="11.25">
      <c r="A5" s="1174" t="s">
        <v>1595</v>
      </c>
      <c r="B5" s="1175">
        <v>2003</v>
      </c>
      <c r="C5" s="1175">
        <v>2025</v>
      </c>
      <c r="E5" s="1176" t="s">
        <v>1596</v>
      </c>
      <c r="F5" s="1176" t="s">
        <v>1597</v>
      </c>
      <c r="H5" s="1177" t="s">
        <v>1598</v>
      </c>
      <c r="I5" s="1176" t="s">
        <v>91</v>
      </c>
      <c r="K5" s="1178" t="s">
        <v>1599</v>
      </c>
      <c r="L5" s="1179">
        <f>_xlfn.IFERROR(MATCH(K5,OFFER_METHOD,0),0)</f>
        <v>0</v>
      </c>
      <c r="M5" s="1178">
        <v>4</v>
      </c>
      <c r="N5" s="1191" t="s">
        <v>1600</v>
      </c>
      <c r="O5" s="1176" t="s">
        <v>1601</v>
      </c>
      <c r="Q5" s="1181" t="s">
        <v>1602</v>
      </c>
      <c r="R5" s="252" t="s">
        <v>1603</v>
      </c>
      <c r="T5" s="1177" t="s">
        <v>1604</v>
      </c>
      <c r="U5" s="1179" t="s">
        <v>1605</v>
      </c>
      <c r="V5" s="1183">
        <v>4</v>
      </c>
      <c r="W5" s="1184"/>
      <c r="X5" s="1184" t="s">
        <v>253</v>
      </c>
      <c r="Y5" s="1175" t="s">
        <v>1606</v>
      </c>
      <c r="Z5" s="1190">
        <v>1</v>
      </c>
      <c r="AF5" s="1177" t="s">
        <v>1607</v>
      </c>
      <c r="AH5" s="1176" t="s">
        <v>1608</v>
      </c>
      <c r="AK5" s="1176" t="s">
        <v>1609</v>
      </c>
      <c r="AM5" s="1176" t="s">
        <v>1610</v>
      </c>
      <c r="AP5" s="1187" t="s">
        <v>253</v>
      </c>
      <c r="AQ5" s="1188" t="s">
        <v>253</v>
      </c>
      <c r="AU5" s="1217" t="s">
        <v>1611</v>
      </c>
      <c r="AW5" s="1217" t="s">
        <v>1612</v>
      </c>
      <c r="AX5" s="1217" t="s">
        <v>1612</v>
      </c>
      <c r="AZ5" s="1217" t="s">
        <v>1613</v>
      </c>
      <c r="BB5" s="1217" t="s">
        <v>1614</v>
      </c>
      <c r="BC5" s="1217" t="s">
        <v>658</v>
      </c>
      <c r="BE5" s="9629">
        <v>2001</v>
      </c>
      <c r="BF5" s="9629" t="s">
        <v>1287</v>
      </c>
      <c r="BH5" s="1168" t="s">
        <v>1615</v>
      </c>
      <c r="BJ5" s="1168" t="s">
        <v>1615</v>
      </c>
      <c r="BL5" s="1168" t="s">
        <v>1615</v>
      </c>
      <c r="BN5" s="1168" t="s">
        <v>1616</v>
      </c>
      <c r="BQ5" s="1377">
        <v>4213775</v>
      </c>
      <c r="BR5" s="1168" t="s">
        <v>1514</v>
      </c>
      <c r="BS5" s="1525"/>
      <c r="BT5" s="1377">
        <v>64236871</v>
      </c>
      <c r="BU5" s="1168" t="s">
        <v>314</v>
      </c>
      <c r="BV5" s="1170"/>
      <c r="BW5" s="1791">
        <v>4213767</v>
      </c>
      <c r="BX5" s="1789" t="s">
        <v>1617</v>
      </c>
      <c r="BZ5" s="1377">
        <v>64237509</v>
      </c>
      <c r="CA5" s="1391" t="s">
        <v>1618</v>
      </c>
    </row>
    <row customHeight="1" ht="11.25">
      <c r="A6" s="1174" t="s">
        <v>1619</v>
      </c>
      <c r="B6" s="1175">
        <v>2004</v>
      </c>
      <c r="C6" s="1175">
        <v>2026</v>
      </c>
      <c r="E6" s="1176" t="s">
        <v>1620</v>
      </c>
      <c r="F6" s="1192"/>
      <c r="H6" s="1177" t="s">
        <v>1621</v>
      </c>
      <c r="I6" s="1176" t="s">
        <v>121</v>
      </c>
      <c r="J6" s="1167" t="s">
        <v>1622</v>
      </c>
      <c r="L6" s="1179">
        <f>SUM(kind_of_control_method_filter)</f>
        <v>0</v>
      </c>
      <c r="N6" s="1191" t="s">
        <v>1623</v>
      </c>
      <c r="O6" s="1176" t="s">
        <v>1624</v>
      </c>
      <c r="R6" s="252" t="s">
        <v>1509</v>
      </c>
      <c r="T6" s="1177" t="s">
        <v>1625</v>
      </c>
      <c r="U6" s="1179" t="s">
        <v>1607</v>
      </c>
      <c r="V6" s="1183">
        <v>5</v>
      </c>
      <c r="W6" s="1184"/>
      <c r="X6" s="1175" t="s">
        <v>259</v>
      </c>
      <c r="Y6" s="1175" t="s">
        <v>1626</v>
      </c>
      <c r="Z6" s="1190"/>
      <c r="AA6" s="1193"/>
      <c r="AH6" s="1176" t="s">
        <v>1627</v>
      </c>
      <c r="AK6" s="1176" t="s">
        <v>1628</v>
      </c>
      <c r="AM6" s="1176" t="s">
        <v>1629</v>
      </c>
      <c r="AP6" s="1187" t="s">
        <v>259</v>
      </c>
      <c r="AQ6" s="1188" t="s">
        <v>259</v>
      </c>
      <c r="AU6" s="1217" t="s">
        <v>1630</v>
      </c>
      <c r="AW6" s="1217" t="s">
        <v>1631</v>
      </c>
      <c r="AX6" s="1217" t="s">
        <v>1631</v>
      </c>
      <c r="BB6" s="1217" t="s">
        <v>1632</v>
      </c>
      <c r="BC6" s="1217" t="s">
        <v>658</v>
      </c>
      <c r="BE6" s="9629">
        <v>2002</v>
      </c>
      <c r="BF6" s="9629" t="s">
        <v>1633</v>
      </c>
      <c r="BH6" s="1168" t="s">
        <v>1634</v>
      </c>
      <c r="BJ6" s="1168" t="s">
        <v>1635</v>
      </c>
      <c r="BL6" s="1168" t="s">
        <v>1635</v>
      </c>
      <c r="BN6" s="1168" t="s">
        <v>1636</v>
      </c>
      <c r="BQ6" s="1377">
        <v>4213784</v>
      </c>
      <c r="BR6" s="1391" t="s">
        <v>1547</v>
      </c>
      <c r="BS6" s="1526"/>
      <c r="BT6" s="1377">
        <v>64236872</v>
      </c>
      <c r="BU6" s="1168" t="s">
        <v>319</v>
      </c>
      <c r="BV6" s="1170"/>
      <c r="BW6" s="1791">
        <v>4213768</v>
      </c>
      <c r="BX6" s="1789" t="s">
        <v>339</v>
      </c>
      <c r="BZ6" s="1377">
        <v>64237510</v>
      </c>
      <c r="CA6" s="1168" t="s">
        <v>1637</v>
      </c>
    </row>
    <row customHeight="1" ht="11.25">
      <c r="A7" s="1174" t="s">
        <v>1638</v>
      </c>
      <c r="B7" s="1175">
        <v>2005</v>
      </c>
      <c r="E7" s="1176" t="s">
        <v>1639</v>
      </c>
      <c r="F7" s="1192"/>
      <c r="H7" s="1177" t="s">
        <v>1640</v>
      </c>
      <c r="I7" s="1176" t="s">
        <v>92</v>
      </c>
      <c r="J7" s="1176" t="s">
        <v>1641</v>
      </c>
      <c r="N7" s="1195" t="s">
        <v>1642</v>
      </c>
      <c r="O7" s="1176" t="s">
        <v>1643</v>
      </c>
      <c r="U7" s="1179" t="s">
        <v>19</v>
      </c>
      <c r="V7" s="477" t="s">
        <v>92</v>
      </c>
      <c r="W7" s="1184"/>
      <c r="X7" s="1175" t="s">
        <v>265</v>
      </c>
      <c r="Y7" s="1175" t="s">
        <v>1606</v>
      </c>
      <c r="Z7" s="1190"/>
      <c r="AA7" s="1193"/>
      <c r="AH7" s="1176" t="s">
        <v>1644</v>
      </c>
      <c r="AK7" s="1176" t="s">
        <v>1645</v>
      </c>
      <c r="AM7" s="1176" t="s">
        <v>1646</v>
      </c>
      <c r="AP7" s="1187" t="s">
        <v>265</v>
      </c>
      <c r="AQ7" s="1188" t="s">
        <v>265</v>
      </c>
      <c r="AU7" s="1217" t="s">
        <v>1647</v>
      </c>
      <c r="AW7" s="1217" t="s">
        <v>1648</v>
      </c>
      <c r="AX7" s="1217" t="s">
        <v>1648</v>
      </c>
      <c r="AZ7" s="1167" t="s">
        <v>1649</v>
      </c>
      <c r="BB7" s="1217" t="s">
        <v>661</v>
      </c>
      <c r="BC7" s="1217" t="s">
        <v>658</v>
      </c>
      <c r="BE7" s="9629">
        <v>2003</v>
      </c>
      <c r="BF7" s="9629" t="s">
        <v>1650</v>
      </c>
      <c r="BH7" s="1168" t="s">
        <v>1201</v>
      </c>
      <c r="BJ7" s="1168" t="s">
        <v>1634</v>
      </c>
      <c r="BL7" s="1168" t="s">
        <v>1634</v>
      </c>
      <c r="BN7" s="1168" t="s">
        <v>1651</v>
      </c>
      <c r="BQ7" s="1377">
        <v>4213781</v>
      </c>
      <c r="BR7" s="1168" t="s">
        <v>1540</v>
      </c>
      <c r="BS7" s="1525"/>
      <c r="BT7" s="1377">
        <v>64236873</v>
      </c>
      <c r="BU7" s="1168" t="s">
        <v>324</v>
      </c>
      <c r="BV7" s="1170"/>
      <c r="BW7" s="1791">
        <v>4213769</v>
      </c>
      <c r="BX7" s="1789" t="s">
        <v>1652</v>
      </c>
      <c r="BZ7" s="1377">
        <v>64237511</v>
      </c>
      <c r="CA7" s="1168" t="s">
        <v>354</v>
      </c>
    </row>
    <row customHeight="1" ht="11.25">
      <c r="A8" s="1174" t="s">
        <v>1653</v>
      </c>
      <c r="B8" s="1175">
        <v>2006</v>
      </c>
      <c r="E8" s="1176" t="s">
        <v>1654</v>
      </c>
      <c r="F8" s="1192"/>
      <c r="H8" s="1177" t="s">
        <v>1655</v>
      </c>
      <c r="I8" s="1176" t="s">
        <v>93</v>
      </c>
      <c r="J8" s="1176" t="s">
        <v>1656</v>
      </c>
      <c r="N8" s="1259" t="s">
        <v>1657</v>
      </c>
      <c r="O8" s="1176" t="s">
        <v>1658</v>
      </c>
      <c r="V8" s="477" t="s">
        <v>93</v>
      </c>
      <c r="W8" s="1184"/>
      <c r="X8" s="1175" t="s">
        <v>271</v>
      </c>
      <c r="Y8" s="1175" t="s">
        <v>1606</v>
      </c>
      <c r="Z8" s="1190"/>
      <c r="AA8" s="1193"/>
      <c r="AK8" s="1176" t="s">
        <v>1659</v>
      </c>
      <c r="AP8" s="1187" t="s">
        <v>271</v>
      </c>
      <c r="AQ8" s="1188" t="s">
        <v>271</v>
      </c>
      <c r="AU8" s="1217" t="s">
        <v>1660</v>
      </c>
      <c r="AW8" s="1217" t="s">
        <v>1661</v>
      </c>
      <c r="AX8" s="1217" t="s">
        <v>1661</v>
      </c>
      <c r="AZ8" s="1217" t="s">
        <v>1662</v>
      </c>
      <c r="BB8" s="1217" t="s">
        <v>1663</v>
      </c>
      <c r="BC8" s="1217" t="s">
        <v>658</v>
      </c>
      <c r="BE8" s="9629">
        <v>2004</v>
      </c>
      <c r="BF8" s="9629" t="s">
        <v>1664</v>
      </c>
      <c r="BH8" s="1168" t="s">
        <v>1202</v>
      </c>
      <c r="BJ8" s="1168" t="s">
        <v>1665</v>
      </c>
      <c r="BL8" s="1168" t="s">
        <v>1665</v>
      </c>
      <c r="BN8" s="1168" t="s">
        <v>1294</v>
      </c>
      <c r="BQ8" s="1377">
        <v>4213776</v>
      </c>
      <c r="BR8" s="1168" t="s">
        <v>253</v>
      </c>
      <c r="BS8" s="1525"/>
      <c r="BT8" s="1377">
        <v>64236874</v>
      </c>
      <c r="BU8" s="1391" t="s">
        <v>1666</v>
      </c>
      <c r="BV8" s="1170"/>
      <c r="BW8" s="1791">
        <v>4213770</v>
      </c>
      <c r="BX8" s="1792" t="s">
        <v>1667</v>
      </c>
      <c r="BZ8" s="1377">
        <v>64237512</v>
      </c>
      <c r="CA8" s="1168" t="s">
        <v>349</v>
      </c>
    </row>
    <row customHeight="1" ht="11.25">
      <c r="A9" s="1174" t="s">
        <v>1668</v>
      </c>
      <c r="B9" s="1175">
        <v>2007</v>
      </c>
      <c r="E9" s="1176" t="s">
        <v>1669</v>
      </c>
      <c r="F9" s="1192"/>
      <c r="G9" s="1167" t="s">
        <v>1670</v>
      </c>
      <c r="H9" s="1167" t="s">
        <v>1671</v>
      </c>
      <c r="I9" s="1176" t="s">
        <v>136</v>
      </c>
      <c r="O9" s="1176" t="s">
        <v>1672</v>
      </c>
      <c r="V9" s="477" t="s">
        <v>136</v>
      </c>
      <c r="W9" s="1184"/>
      <c r="X9" s="1175" t="s">
        <v>277</v>
      </c>
      <c r="Y9" s="1175" t="s">
        <v>1515</v>
      </c>
      <c r="Z9" s="1190">
        <v>1</v>
      </c>
      <c r="AA9" s="1193"/>
      <c r="AK9" s="1176" t="s">
        <v>1673</v>
      </c>
      <c r="AP9" s="1187" t="s">
        <v>1674</v>
      </c>
      <c r="AQ9" s="1188" t="s">
        <v>1674</v>
      </c>
      <c r="AW9" s="1217" t="s">
        <v>1675</v>
      </c>
      <c r="AX9" s="1217" t="s">
        <v>1675</v>
      </c>
      <c r="AZ9" s="1217" t="s">
        <v>1676</v>
      </c>
      <c r="BB9" s="1217" t="s">
        <v>662</v>
      </c>
      <c r="BC9" s="1217" t="s">
        <v>658</v>
      </c>
      <c r="BE9" s="9629">
        <v>2005</v>
      </c>
      <c r="BF9" s="9629" t="s">
        <v>1677</v>
      </c>
      <c r="BH9" s="1168" t="s">
        <v>1208</v>
      </c>
      <c r="BJ9" s="1168" t="s">
        <v>1678</v>
      </c>
      <c r="BL9" s="1168" t="s">
        <v>1678</v>
      </c>
      <c r="BN9" s="1168" t="s">
        <v>1679</v>
      </c>
      <c r="BQ9" s="1377">
        <v>4213777</v>
      </c>
      <c r="BR9" s="1168" t="s">
        <v>259</v>
      </c>
      <c r="BS9" s="1525"/>
      <c r="BT9" s="1377">
        <v>64236875</v>
      </c>
      <c r="BU9" s="1168" t="s">
        <v>329</v>
      </c>
      <c r="BV9" s="1170"/>
      <c r="BW9" s="1786"/>
      <c r="BX9" s="1786"/>
    </row>
    <row customHeight="1" ht="11.25">
      <c r="A10" s="1174" t="s">
        <v>1680</v>
      </c>
      <c r="B10" s="1175">
        <v>2008</v>
      </c>
      <c r="E10" s="1176" t="s">
        <v>1681</v>
      </c>
      <c r="F10" s="1192"/>
      <c r="G10" s="1176" t="s">
        <v>1682</v>
      </c>
      <c r="H10" s="1176" t="s">
        <v>1683</v>
      </c>
      <c r="I10" s="1176" t="s">
        <v>235</v>
      </c>
      <c r="J10" s="1167" t="s">
        <v>1684</v>
      </c>
      <c r="K10" s="1167" t="s">
        <v>1685</v>
      </c>
      <c r="O10" s="1176" t="s">
        <v>1686</v>
      </c>
      <c r="V10" s="478" t="s">
        <v>235</v>
      </c>
      <c r="W10" s="1196"/>
      <c r="X10" s="1196" t="s">
        <v>1687</v>
      </c>
      <c r="Y10" s="1197" t="s">
        <v>1688</v>
      </c>
      <c r="Z10" s="1190"/>
      <c r="AP10" s="1187" t="s">
        <v>1687</v>
      </c>
      <c r="AQ10" s="1188" t="s">
        <v>1687</v>
      </c>
      <c r="AW10" s="1217" t="s">
        <v>1689</v>
      </c>
      <c r="AX10" s="1217" t="s">
        <v>1689</v>
      </c>
      <c r="AZ10" s="1217" t="s">
        <v>1405</v>
      </c>
      <c r="BB10" s="1217" t="s">
        <v>657</v>
      </c>
      <c r="BC10" s="1217" t="s">
        <v>658</v>
      </c>
      <c r="BE10" s="9629">
        <v>2006</v>
      </c>
      <c r="BF10" s="9629" t="s">
        <v>1690</v>
      </c>
      <c r="BH10" s="1168" t="s">
        <v>1242</v>
      </c>
      <c r="BJ10" s="1168" t="s">
        <v>1691</v>
      </c>
      <c r="BL10" s="1168" t="s">
        <v>1691</v>
      </c>
      <c r="BN10" s="1168" t="s">
        <v>1692</v>
      </c>
      <c r="BQ10" s="1377">
        <v>4213778</v>
      </c>
      <c r="BR10" s="1168" t="s">
        <v>265</v>
      </c>
      <c r="BS10" s="1525"/>
      <c r="BT10" s="1377">
        <v>64236876</v>
      </c>
      <c r="BU10" s="1168" t="s">
        <v>309</v>
      </c>
      <c r="BV10" s="1170"/>
      <c r="BW10" s="1786"/>
      <c r="BX10" s="1786"/>
    </row>
    <row customHeight="1" ht="11.25">
      <c r="A11" s="1174" t="s">
        <v>1693</v>
      </c>
      <c r="B11" s="1175">
        <v>2009</v>
      </c>
      <c r="E11" s="1176" t="s">
        <v>1694</v>
      </c>
      <c r="F11" s="1192"/>
      <c r="G11" s="1176" t="s">
        <v>1695</v>
      </c>
      <c r="H11" s="1176" t="s">
        <v>1696</v>
      </c>
      <c r="I11" s="1176" t="s">
        <v>236</v>
      </c>
      <c r="J11" s="1177" t="s">
        <v>1697</v>
      </c>
      <c r="K11" s="1198" t="s">
        <v>659</v>
      </c>
      <c r="O11" s="1177" t="s">
        <v>1698</v>
      </c>
      <c r="V11" s="477" t="s">
        <v>236</v>
      </c>
      <c r="W11" s="383"/>
      <c r="X11" s="1184" t="s">
        <v>1674</v>
      </c>
      <c r="Y11" s="1175" t="s">
        <v>1699</v>
      </c>
      <c r="Z11" s="1190"/>
      <c r="AP11" s="1187" t="s">
        <v>277</v>
      </c>
      <c r="AQ11" s="1189" t="s">
        <v>277</v>
      </c>
      <c r="AW11" s="1217" t="s">
        <v>1700</v>
      </c>
      <c r="AX11" s="1217" t="s">
        <v>1700</v>
      </c>
      <c r="AZ11" s="1217" t="s">
        <v>1701</v>
      </c>
      <c r="BB11" s="1217" t="s">
        <v>660</v>
      </c>
      <c r="BC11" s="1217" t="s">
        <v>658</v>
      </c>
      <c r="BE11" s="9629">
        <v>2007</v>
      </c>
      <c r="BF11" s="9629" t="s">
        <v>1702</v>
      </c>
      <c r="BH11" s="1168" t="s">
        <v>1703</v>
      </c>
      <c r="BJ11" s="1168" t="s">
        <v>1208</v>
      </c>
      <c r="BL11" s="1168" t="s">
        <v>1208</v>
      </c>
      <c r="BN11" s="1168" t="s">
        <v>1236</v>
      </c>
      <c r="BQ11" s="1377">
        <v>4213780</v>
      </c>
      <c r="BR11" s="1168" t="s">
        <v>271</v>
      </c>
      <c r="BS11" s="1525"/>
      <c r="BW11" s="1786"/>
      <c r="BX11" s="1786"/>
    </row>
    <row customHeight="1" ht="11.25">
      <c r="A12" s="1174" t="s">
        <v>1704</v>
      </c>
      <c r="B12" s="1175">
        <v>2010</v>
      </c>
      <c r="E12" s="1176" t="s">
        <v>1705</v>
      </c>
      <c r="F12" s="1192"/>
      <c r="G12" s="1176" t="s">
        <v>1696</v>
      </c>
      <c r="I12" s="1176" t="s">
        <v>237</v>
      </c>
      <c r="J12" s="1177" t="s">
        <v>1706</v>
      </c>
      <c r="K12" s="1198" t="s">
        <v>656</v>
      </c>
      <c r="O12" s="1177" t="s">
        <v>1509</v>
      </c>
      <c r="V12" s="477" t="s">
        <v>237</v>
      </c>
      <c r="W12" s="1189"/>
      <c r="X12" s="1184" t="s">
        <v>1707</v>
      </c>
      <c r="Y12" s="1175" t="s">
        <v>1515</v>
      </c>
      <c r="AP12" s="1187"/>
      <c r="AW12" s="1217" t="s">
        <v>236</v>
      </c>
      <c r="AX12" s="1217" t="s">
        <v>236</v>
      </c>
      <c r="AZ12" s="1217" t="s">
        <v>1708</v>
      </c>
      <c r="BB12" s="1217" t="s">
        <v>1709</v>
      </c>
      <c r="BC12" s="1217" t="s">
        <v>658</v>
      </c>
      <c r="BE12" s="9629">
        <v>2008</v>
      </c>
      <c r="BF12" s="9629" t="s">
        <v>1710</v>
      </c>
      <c r="BH12" s="1168" t="s">
        <v>1711</v>
      </c>
      <c r="BJ12" s="1168" t="s">
        <v>1712</v>
      </c>
      <c r="BL12" s="1168" t="s">
        <v>1712</v>
      </c>
      <c r="BN12" s="1168" t="s">
        <v>1713</v>
      </c>
      <c r="BQ12" s="1377">
        <v>4213779</v>
      </c>
      <c r="BR12" s="1168" t="s">
        <v>1674</v>
      </c>
      <c r="BS12" s="1525"/>
      <c r="BT12" s="1170"/>
      <c r="BU12" s="1170"/>
      <c r="BV12" s="1170"/>
      <c r="BW12" s="1786"/>
      <c r="BX12" s="1786"/>
    </row>
    <row customHeight="1" ht="11.25">
      <c r="A13" s="1174" t="s">
        <v>1714</v>
      </c>
      <c r="B13" s="1175">
        <v>2011</v>
      </c>
      <c r="E13" s="1176" t="s">
        <v>1715</v>
      </c>
      <c r="F13" s="1192"/>
      <c r="I13" s="1176" t="s">
        <v>238</v>
      </c>
      <c r="K13" s="1198" t="s">
        <v>1673</v>
      </c>
      <c r="V13" s="477" t="s">
        <v>238</v>
      </c>
      <c r="W13" s="1189"/>
      <c r="X13" s="1189"/>
      <c r="Y13" s="1189"/>
      <c r="AW13" s="1217" t="s">
        <v>237</v>
      </c>
      <c r="AX13" s="1217" t="s">
        <v>237</v>
      </c>
      <c r="BB13" s="1217" t="s">
        <v>1716</v>
      </c>
      <c r="BC13" s="1217" t="s">
        <v>1717</v>
      </c>
      <c r="BE13" s="9629">
        <v>2009</v>
      </c>
      <c r="BF13" s="9629" t="s">
        <v>1199</v>
      </c>
      <c r="BH13" s="1168" t="s">
        <v>1718</v>
      </c>
      <c r="BJ13" s="1168" t="s">
        <v>1703</v>
      </c>
      <c r="BL13" s="1168" t="s">
        <v>1703</v>
      </c>
      <c r="BN13" s="1168" t="s">
        <v>1719</v>
      </c>
      <c r="BQ13" s="1377">
        <v>4213783</v>
      </c>
      <c r="BR13" s="1168" t="s">
        <v>1687</v>
      </c>
      <c r="BS13" s="1525"/>
      <c r="BT13" s="1170"/>
      <c r="BU13" s="1170"/>
      <c r="BV13" s="1170"/>
      <c r="BW13" s="1790"/>
      <c r="BX13" s="1786"/>
    </row>
    <row customHeight="1" ht="11.25">
      <c r="A14" s="1174" t="s">
        <v>1720</v>
      </c>
      <c r="B14" s="1175">
        <v>2012</v>
      </c>
      <c r="I14" s="1176" t="s">
        <v>239</v>
      </c>
      <c r="J14" s="1167" t="s">
        <v>1721</v>
      </c>
      <c r="N14" s="1167" t="s">
        <v>1722</v>
      </c>
      <c r="V14" s="1183">
        <v>13</v>
      </c>
      <c r="W14" s="1184"/>
      <c r="X14" s="1184" t="s">
        <v>1547</v>
      </c>
      <c r="Y14" s="1175" t="s">
        <v>1515</v>
      </c>
      <c r="AW14" s="1217" t="s">
        <v>238</v>
      </c>
      <c r="AX14" s="1217" t="s">
        <v>238</v>
      </c>
      <c r="AZ14" s="1167" t="s">
        <v>1723</v>
      </c>
      <c r="BB14" s="1217" t="s">
        <v>1724</v>
      </c>
      <c r="BC14" s="1217" t="s">
        <v>1717</v>
      </c>
      <c r="BE14" s="9629">
        <v>2010</v>
      </c>
      <c r="BF14" s="9629" t="s">
        <v>1725</v>
      </c>
      <c r="BH14" s="1168" t="s">
        <v>1651</v>
      </c>
      <c r="BJ14" s="1313" t="s">
        <v>1726</v>
      </c>
      <c r="BL14" s="1313" t="s">
        <v>1726</v>
      </c>
      <c r="BN14" s="1168" t="s">
        <v>1727</v>
      </c>
      <c r="BQ14" s="1377">
        <v>4213782</v>
      </c>
      <c r="BR14" s="1168" t="s">
        <v>277</v>
      </c>
      <c r="BS14" s="1525"/>
      <c r="BT14" s="1170"/>
      <c r="BU14" s="1170"/>
      <c r="BV14" s="1170"/>
      <c r="BW14" s="1790"/>
      <c r="BX14" s="1786"/>
    </row>
    <row customHeight="1" ht="19.5">
      <c r="A15" s="1174" t="s">
        <v>1728</v>
      </c>
      <c r="B15" s="1175">
        <v>2013</v>
      </c>
      <c r="E15" s="1794" t="s">
        <v>1729</v>
      </c>
      <c r="G15" s="1167" t="s">
        <v>1730</v>
      </c>
      <c r="H15" s="1167" t="s">
        <v>1731</v>
      </c>
      <c r="I15" s="1178" t="s">
        <v>240</v>
      </c>
      <c r="J15" s="1189" t="s">
        <v>679</v>
      </c>
      <c r="N15" s="1254" t="s">
        <v>1732</v>
      </c>
      <c r="X15" s="1187"/>
      <c r="AW15" s="1217" t="s">
        <v>239</v>
      </c>
      <c r="AX15" s="1217" t="s">
        <v>239</v>
      </c>
      <c r="AZ15" s="1217" t="s">
        <v>1662</v>
      </c>
      <c r="BB15" s="1217" t="s">
        <v>1733</v>
      </c>
      <c r="BC15" s="1217" t="s">
        <v>1717</v>
      </c>
      <c r="BE15" s="9629">
        <v>2011</v>
      </c>
      <c r="BF15" s="9629" t="s">
        <v>1206</v>
      </c>
      <c r="BH15" s="1168" t="s">
        <v>1294</v>
      </c>
      <c r="BJ15" s="1313" t="s">
        <v>1734</v>
      </c>
      <c r="BL15" s="1313" t="s">
        <v>1734</v>
      </c>
      <c r="BN15" s="1168" t="s">
        <v>1735</v>
      </c>
      <c r="BR15" s="1170"/>
      <c r="BS15" s="1527"/>
      <c r="BT15" s="1170"/>
      <c r="BU15" s="1170"/>
      <c r="BV15" s="1170"/>
      <c r="BW15" s="1790"/>
      <c r="BX15" s="1786"/>
    </row>
    <row customHeight="1" ht="21">
      <c r="A16" s="1964" t="s">
        <v>1736</v>
      </c>
      <c r="B16" s="1175">
        <v>2014</v>
      </c>
      <c r="E16" s="1795" t="s">
        <v>1737</v>
      </c>
      <c r="G16" s="1176" t="s">
        <v>1738</v>
      </c>
      <c r="H16" s="1176" t="s">
        <v>1739</v>
      </c>
      <c r="I16" s="1178" t="s">
        <v>1228</v>
      </c>
      <c r="J16" s="1189" t="s">
        <v>641</v>
      </c>
      <c r="N16" s="1254" t="s">
        <v>1740</v>
      </c>
      <c r="AW16" s="1217" t="s">
        <v>240</v>
      </c>
      <c r="AX16" s="1217" t="s">
        <v>240</v>
      </c>
      <c r="AZ16" s="1217" t="s">
        <v>1676</v>
      </c>
      <c r="BB16" s="1217" t="s">
        <v>1741</v>
      </c>
      <c r="BC16" s="1217" t="s">
        <v>1717</v>
      </c>
      <c r="BE16" s="9629">
        <v>2012</v>
      </c>
      <c r="BH16" s="1168" t="s">
        <v>1679</v>
      </c>
      <c r="BJ16" s="1313" t="s">
        <v>1742</v>
      </c>
      <c r="BL16" s="1313" t="s">
        <v>1742</v>
      </c>
      <c r="BN16" s="1168" t="s">
        <v>1743</v>
      </c>
      <c r="BR16" s="1170"/>
      <c r="BS16" s="1527"/>
      <c r="BT16" s="1170"/>
      <c r="BU16" s="1170"/>
      <c r="BV16" s="1170"/>
      <c r="BW16" s="1790"/>
      <c r="BX16" s="1786"/>
    </row>
    <row customHeight="1" ht="21">
      <c r="A17" s="1174" t="s">
        <v>1744</v>
      </c>
      <c r="B17" s="1175">
        <v>2015</v>
      </c>
      <c r="G17" s="1176" t="s">
        <v>1696</v>
      </c>
      <c r="H17" s="1176" t="s">
        <v>1696</v>
      </c>
      <c r="I17" s="1176" t="s">
        <v>1230</v>
      </c>
      <c r="N17" s="1254" t="s">
        <v>1745</v>
      </c>
      <c r="X17" s="1187"/>
      <c r="AW17" s="1217" t="s">
        <v>1228</v>
      </c>
      <c r="AX17" s="1217" t="s">
        <v>1228</v>
      </c>
      <c r="AZ17" s="1217" t="s">
        <v>67</v>
      </c>
      <c r="BB17" s="1217" t="s">
        <v>1746</v>
      </c>
      <c r="BC17" s="1217" t="s">
        <v>658</v>
      </c>
      <c r="BE17" s="9629">
        <v>2013</v>
      </c>
      <c r="BH17" s="1168" t="s">
        <v>1692</v>
      </c>
      <c r="BJ17" s="1313" t="s">
        <v>1747</v>
      </c>
      <c r="BL17" s="1313" t="s">
        <v>1747</v>
      </c>
      <c r="BN17" s="1168" t="s">
        <v>1748</v>
      </c>
      <c r="BR17" s="1167" t="s">
        <v>1557</v>
      </c>
      <c r="BS17" s="1524"/>
      <c r="BU17" s="1167" t="s">
        <v>1749</v>
      </c>
      <c r="BV17" s="1170"/>
      <c r="BW17" s="1786"/>
      <c r="BX17" s="1788" t="s">
        <v>1750</v>
      </c>
      <c r="CA17" s="1167" t="s">
        <v>1751</v>
      </c>
      <c r="CD17" s="1167" t="s">
        <v>1752</v>
      </c>
    </row>
    <row customHeight="1" ht="21">
      <c r="A18" s="1174" t="s">
        <v>1753</v>
      </c>
      <c r="B18" s="1175">
        <v>2016</v>
      </c>
      <c r="E18" s="2096" t="s">
        <v>1754</v>
      </c>
      <c r="I18" s="1176" t="s">
        <v>1232</v>
      </c>
      <c r="N18" s="1254" t="s">
        <v>1755</v>
      </c>
      <c r="X18" s="1187"/>
      <c r="AW18" s="1217" t="s">
        <v>1230</v>
      </c>
      <c r="AX18" s="1217" t="s">
        <v>1230</v>
      </c>
      <c r="BB18" s="1217" t="s">
        <v>1756</v>
      </c>
      <c r="BC18" s="1217" t="s">
        <v>658</v>
      </c>
      <c r="BE18" s="9629">
        <v>2014</v>
      </c>
      <c r="BH18" s="1168" t="s">
        <v>1236</v>
      </c>
      <c r="BJ18" s="1313" t="s">
        <v>1757</v>
      </c>
      <c r="BL18" s="1313" t="s">
        <v>1757</v>
      </c>
      <c r="BN18" s="1168" t="s">
        <v>1758</v>
      </c>
      <c r="BQ18" s="1528" t="s">
        <v>1587</v>
      </c>
      <c r="BR18" s="1255" t="s">
        <v>1588</v>
      </c>
      <c r="BS18" s="382"/>
      <c r="BT18" s="1528" t="s">
        <v>1759</v>
      </c>
      <c r="BU18" s="1255" t="s">
        <v>1760</v>
      </c>
      <c r="BV18" s="1170"/>
      <c r="BW18" s="1793" t="s">
        <v>1761</v>
      </c>
      <c r="BX18" s="1787" t="s">
        <v>1762</v>
      </c>
      <c r="BZ18" s="1528" t="s">
        <v>1763</v>
      </c>
      <c r="CA18" s="1255" t="s">
        <v>1764</v>
      </c>
      <c r="CC18" s="1528" t="s">
        <v>1765</v>
      </c>
      <c r="CD18" s="1255" t="s">
        <v>1766</v>
      </c>
    </row>
    <row customHeight="1" ht="21">
      <c r="A19" s="1964" t="s">
        <v>1767</v>
      </c>
      <c r="B19" s="1175">
        <v>2017</v>
      </c>
      <c r="E19" s="1174" t="s">
        <v>252</v>
      </c>
      <c r="I19" s="1176" t="s">
        <v>1234</v>
      </c>
      <c r="N19" s="1254" t="s">
        <v>1768</v>
      </c>
      <c r="X19" s="1187"/>
      <c r="AW19" s="1217" t="s">
        <v>1232</v>
      </c>
      <c r="AX19" s="1217" t="s">
        <v>1232</v>
      </c>
      <c r="AZ19" s="1167" t="s">
        <v>1769</v>
      </c>
      <c r="BB19" s="1217" t="s">
        <v>1770</v>
      </c>
      <c r="BC19" s="1217" t="s">
        <v>658</v>
      </c>
      <c r="BE19" s="9629">
        <v>2015</v>
      </c>
      <c r="BH19" s="1168" t="s">
        <v>1771</v>
      </c>
      <c r="BJ19" s="1313" t="s">
        <v>1772</v>
      </c>
      <c r="BL19" s="1313" t="s">
        <v>1772</v>
      </c>
      <c r="BQ19" s="1377">
        <v>4190064</v>
      </c>
      <c r="BR19" s="1168" t="s">
        <v>1773</v>
      </c>
      <c r="BS19" s="1525"/>
      <c r="BT19" s="1377">
        <v>4189671</v>
      </c>
      <c r="BU19" s="1168" t="s">
        <v>1774</v>
      </c>
      <c r="BV19" s="1170"/>
      <c r="BW19" s="1791">
        <v>4189706</v>
      </c>
      <c r="BX19" s="1789" t="s">
        <v>1775</v>
      </c>
      <c r="BZ19" s="1377">
        <v>4189714</v>
      </c>
      <c r="CA19" s="1168" t="s">
        <v>1776</v>
      </c>
      <c r="CC19" s="1377">
        <v>4189708</v>
      </c>
      <c r="CD19" s="1168" t="s">
        <v>1777</v>
      </c>
    </row>
    <row customHeight="1" ht="21">
      <c r="A20" s="1174" t="s">
        <v>1778</v>
      </c>
      <c r="B20" s="1175">
        <v>2018</v>
      </c>
      <c r="E20" s="1174" t="s">
        <v>1547</v>
      </c>
      <c r="I20" s="1176" t="s">
        <v>1237</v>
      </c>
      <c r="N20" s="1254" t="s">
        <v>1779</v>
      </c>
      <c r="AW20" s="1217" t="s">
        <v>1234</v>
      </c>
      <c r="AX20" s="1217" t="s">
        <v>1234</v>
      </c>
      <c r="AZ20" s="1217" t="s">
        <v>1404</v>
      </c>
      <c r="BB20" s="1217" t="s">
        <v>1780</v>
      </c>
      <c r="BC20" s="1217" t="s">
        <v>1717</v>
      </c>
      <c r="BE20" s="9629">
        <v>2016</v>
      </c>
      <c r="BH20" s="1168" t="s">
        <v>1713</v>
      </c>
      <c r="BJ20" s="1168" t="s">
        <v>1651</v>
      </c>
      <c r="BL20" s="1168" t="s">
        <v>1651</v>
      </c>
      <c r="BQ20" s="1377">
        <v>4190065</v>
      </c>
      <c r="BR20" s="1168" t="s">
        <v>1781</v>
      </c>
      <c r="BS20" s="1525"/>
      <c r="BT20" s="1377">
        <v>4189672</v>
      </c>
      <c r="BU20" s="1168" t="s">
        <v>1782</v>
      </c>
      <c r="BV20" s="1170"/>
      <c r="BW20" s="1791">
        <v>4189705</v>
      </c>
      <c r="BX20" s="1789" t="s">
        <v>1783</v>
      </c>
      <c r="BZ20" s="1377">
        <v>4189713</v>
      </c>
      <c r="CA20" s="1168" t="s">
        <v>1783</v>
      </c>
      <c r="CC20" s="1377">
        <v>4189709</v>
      </c>
      <c r="CD20" s="1168" t="s">
        <v>1784</v>
      </c>
    </row>
    <row customHeight="1" ht="21">
      <c r="A21" s="1174" t="s">
        <v>1785</v>
      </c>
      <c r="B21" s="1175">
        <v>2019</v>
      </c>
      <c r="I21" s="1176" t="s">
        <v>1240</v>
      </c>
      <c r="N21" s="1254" t="s">
        <v>1786</v>
      </c>
      <c r="AW21" s="1217" t="s">
        <v>1237</v>
      </c>
      <c r="AX21" s="1217" t="s">
        <v>1237</v>
      </c>
      <c r="AZ21" s="1217" t="s">
        <v>1787</v>
      </c>
      <c r="BB21" s="1217" t="s">
        <v>1788</v>
      </c>
      <c r="BC21" s="1217" t="s">
        <v>658</v>
      </c>
      <c r="BE21" s="9629">
        <v>2017</v>
      </c>
      <c r="BH21" s="1168" t="s">
        <v>1719</v>
      </c>
      <c r="BJ21" s="1168" t="s">
        <v>1294</v>
      </c>
      <c r="BL21" s="1168" t="s">
        <v>1294</v>
      </c>
      <c r="BQ21" s="1377">
        <v>4190066</v>
      </c>
      <c r="BR21" s="1168" t="s">
        <v>1789</v>
      </c>
      <c r="BS21" s="1525"/>
      <c r="BT21" s="1377">
        <v>4189673</v>
      </c>
      <c r="BU21" s="1168" t="s">
        <v>1790</v>
      </c>
      <c r="BV21" s="1170"/>
      <c r="BW21" s="1791">
        <v>4189707</v>
      </c>
      <c r="BX21" s="1789" t="s">
        <v>1791</v>
      </c>
      <c r="BZ21" s="1377">
        <v>4189712</v>
      </c>
      <c r="CA21" s="1168" t="s">
        <v>1792</v>
      </c>
      <c r="CC21" s="1377">
        <v>4189710</v>
      </c>
      <c r="CD21" s="1168" t="s">
        <v>1793</v>
      </c>
    </row>
    <row customHeight="1" ht="21">
      <c r="A22" s="1174" t="s">
        <v>1794</v>
      </c>
      <c r="B22" s="1175">
        <v>2020</v>
      </c>
      <c r="N22" s="1254" t="s">
        <v>1795</v>
      </c>
      <c r="AW22" s="1217" t="s">
        <v>1240</v>
      </c>
      <c r="AX22" s="1217" t="s">
        <v>1240</v>
      </c>
      <c r="AZ22" s="1217" t="s">
        <v>1796</v>
      </c>
      <c r="BB22" s="1217" t="s">
        <v>1797</v>
      </c>
      <c r="BC22" s="1217" t="s">
        <v>658</v>
      </c>
      <c r="BE22" s="9629">
        <v>2018</v>
      </c>
      <c r="BH22" s="1168" t="s">
        <v>1727</v>
      </c>
      <c r="BJ22" s="1168" t="s">
        <v>1679</v>
      </c>
      <c r="BL22" s="1168" t="s">
        <v>1679</v>
      </c>
      <c r="BQ22" s="1377">
        <v>4190067</v>
      </c>
      <c r="BR22" s="1168" t="s">
        <v>1798</v>
      </c>
      <c r="BS22" s="1525"/>
      <c r="BT22" s="1377">
        <v>4189674</v>
      </c>
      <c r="BU22" s="1168" t="s">
        <v>1799</v>
      </c>
      <c r="BV22" s="1170"/>
      <c r="BW22" s="1170"/>
      <c r="CC22" s="1377">
        <v>4189711</v>
      </c>
      <c r="CD22" s="1168" t="s">
        <v>378</v>
      </c>
    </row>
    <row customHeight="1" ht="21">
      <c r="A23" s="1174" t="s">
        <v>1800</v>
      </c>
      <c r="B23" s="1175">
        <v>2021</v>
      </c>
      <c r="AW23" s="1217" t="s">
        <v>1243</v>
      </c>
      <c r="AX23" s="1217" t="s">
        <v>1243</v>
      </c>
      <c r="AZ23" s="1217" t="s">
        <v>1801</v>
      </c>
      <c r="BB23" s="1217" t="s">
        <v>1802</v>
      </c>
      <c r="BC23" s="1217" t="s">
        <v>655</v>
      </c>
      <c r="BE23" s="9629">
        <v>2019</v>
      </c>
      <c r="BH23" s="1168" t="s">
        <v>1735</v>
      </c>
      <c r="BJ23" s="1168" t="s">
        <v>1692</v>
      </c>
      <c r="BL23" s="1168" t="s">
        <v>1692</v>
      </c>
      <c r="BQ23" s="1377">
        <v>4190068</v>
      </c>
      <c r="BR23" s="1168" t="s">
        <v>1803</v>
      </c>
      <c r="BS23" s="1525"/>
      <c r="BT23" s="1377">
        <v>4189675</v>
      </c>
      <c r="BU23" s="1168" t="s">
        <v>1804</v>
      </c>
      <c r="BV23" s="1170"/>
      <c r="BW23" s="1170"/>
      <c r="CC23" s="1377">
        <v>5110778</v>
      </c>
      <c r="CD23" s="1168" t="s">
        <v>1805</v>
      </c>
    </row>
    <row customHeight="1" ht="21">
      <c r="A24" s="1174" t="s">
        <v>1806</v>
      </c>
      <c r="B24" s="1175">
        <v>2022</v>
      </c>
      <c r="AW24" s="1217" t="s">
        <v>1246</v>
      </c>
      <c r="AX24" s="1217" t="s">
        <v>1246</v>
      </c>
      <c r="AZ24" s="1217" t="s">
        <v>1807</v>
      </c>
      <c r="BB24" s="1217" t="s">
        <v>1808</v>
      </c>
      <c r="BC24" s="1217" t="s">
        <v>1809</v>
      </c>
      <c r="BE24" s="9629">
        <v>2020</v>
      </c>
      <c r="BH24" s="1168" t="s">
        <v>1743</v>
      </c>
      <c r="BJ24" s="1168" t="s">
        <v>1236</v>
      </c>
      <c r="BL24" s="1168" t="s">
        <v>1236</v>
      </c>
      <c r="BQ24" s="1377">
        <v>4190069</v>
      </c>
      <c r="BR24" s="1168" t="s">
        <v>1810</v>
      </c>
      <c r="BS24" s="1525"/>
      <c r="BT24" s="1377">
        <v>4189676</v>
      </c>
      <c r="BU24" s="1168" t="s">
        <v>1811</v>
      </c>
      <c r="BV24" s="1170"/>
      <c r="BW24" s="1170"/>
      <c r="CC24" s="1377">
        <v>25575374</v>
      </c>
      <c r="CD24" s="1168" t="s">
        <v>1812</v>
      </c>
    </row>
    <row customHeight="1" ht="11.25">
      <c r="A25" s="1174" t="s">
        <v>1813</v>
      </c>
      <c r="B25" s="1175">
        <v>2023</v>
      </c>
      <c r="AW25" s="1217" t="s">
        <v>1248</v>
      </c>
      <c r="AX25" s="1217" t="s">
        <v>1248</v>
      </c>
      <c r="AZ25" s="1217" t="s">
        <v>1814</v>
      </c>
      <c r="BB25" s="1217" t="s">
        <v>1815</v>
      </c>
      <c r="BC25" s="1217" t="s">
        <v>1809</v>
      </c>
      <c r="BE25" s="9629">
        <v>2021</v>
      </c>
      <c r="BH25" s="1168" t="s">
        <v>1748</v>
      </c>
      <c r="BJ25" s="1168" t="s">
        <v>1771</v>
      </c>
      <c r="BL25" s="1168" t="s">
        <v>1771</v>
      </c>
      <c r="BQ25" s="1377">
        <v>4190070</v>
      </c>
      <c r="BR25" s="1168" t="s">
        <v>1816</v>
      </c>
      <c r="BS25" s="1525"/>
      <c r="BT25" s="1377">
        <v>4189677</v>
      </c>
      <c r="BU25" s="1168" t="s">
        <v>1817</v>
      </c>
      <c r="BV25" s="1170"/>
      <c r="BW25" s="1170"/>
    </row>
    <row customHeight="1" ht="11.25">
      <c r="A26" s="1174" t="s">
        <v>1818</v>
      </c>
      <c r="B26" s="1175">
        <v>2024</v>
      </c>
      <c r="J26" s="1827" t="s">
        <v>1819</v>
      </c>
      <c r="AX26" s="1217" t="s">
        <v>1250</v>
      </c>
      <c r="AZ26" s="1217" t="s">
        <v>1698</v>
      </c>
      <c r="BB26" s="1217" t="s">
        <v>1820</v>
      </c>
      <c r="BC26" s="1217" t="s">
        <v>1809</v>
      </c>
      <c r="BE26" s="9629">
        <v>2022</v>
      </c>
      <c r="BH26" s="1168" t="s">
        <v>1758</v>
      </c>
      <c r="BJ26" s="1168" t="s">
        <v>1713</v>
      </c>
      <c r="BL26" s="1168" t="s">
        <v>1713</v>
      </c>
      <c r="BQ26" s="1377">
        <v>4190071</v>
      </c>
      <c r="BR26" s="1168" t="s">
        <v>1821</v>
      </c>
      <c r="BS26" s="1525"/>
      <c r="BV26" s="1170"/>
      <c r="BW26" s="1170"/>
    </row>
    <row customHeight="1" ht="11.25">
      <c r="A27" s="1174" t="s">
        <v>1822</v>
      </c>
      <c r="B27" s="1175">
        <v>2025</v>
      </c>
      <c r="J27" s="284" t="s">
        <v>103</v>
      </c>
      <c r="AX27" s="1217" t="s">
        <v>1252</v>
      </c>
      <c r="BB27" s="1217" t="s">
        <v>1823</v>
      </c>
      <c r="BC27" s="1217" t="s">
        <v>1809</v>
      </c>
      <c r="BE27" s="9629">
        <v>2023</v>
      </c>
      <c r="BH27" s="1170" t="s">
        <v>22</v>
      </c>
      <c r="BJ27" s="1168" t="s">
        <v>1719</v>
      </c>
      <c r="BL27" s="1168" t="s">
        <v>1719</v>
      </c>
      <c r="BN27" s="1170" t="s">
        <v>22</v>
      </c>
      <c r="BQ27" s="1377">
        <v>4190072</v>
      </c>
      <c r="BR27" s="1168" t="s">
        <v>1824</v>
      </c>
      <c r="BS27" s="1525"/>
      <c r="BV27" s="1170"/>
      <c r="BW27" s="1170"/>
    </row>
    <row customHeight="1" ht="11.25">
      <c r="A28" s="1174" t="s">
        <v>1825</v>
      </c>
      <c r="D28" s="1199"/>
      <c r="E28" s="1200"/>
      <c r="F28" s="1200"/>
      <c r="H28" s="1201" t="s">
        <v>1826</v>
      </c>
      <c r="AX28" s="1217" t="s">
        <v>1254</v>
      </c>
      <c r="AZ28" s="1167" t="s">
        <v>1827</v>
      </c>
      <c r="BB28" s="1217" t="s">
        <v>1828</v>
      </c>
      <c r="BC28" s="1217" t="s">
        <v>1829</v>
      </c>
      <c r="BE28" s="9629">
        <v>2024</v>
      </c>
      <c r="BH28" s="1170" t="s">
        <v>22</v>
      </c>
      <c r="BJ28" s="1168" t="s">
        <v>1727</v>
      </c>
      <c r="BL28" s="1168" t="s">
        <v>1727</v>
      </c>
      <c r="BN28" s="1170" t="s">
        <v>22</v>
      </c>
      <c r="BQ28" s="1377">
        <v>4190073</v>
      </c>
      <c r="BR28" s="1168" t="s">
        <v>1830</v>
      </c>
      <c r="BS28" s="1525"/>
      <c r="BV28" s="1170"/>
      <c r="BW28" s="1170"/>
    </row>
    <row customHeight="1" ht="11.25">
      <c r="A29" s="1174" t="s">
        <v>1831</v>
      </c>
      <c r="D29" s="1202" t="s">
        <v>1832</v>
      </c>
      <c r="E29" s="1203" t="str">
        <f>IF(TEMPLATE_GROUP="","",INDEX(StartDateList,MATCH(TEMPLATE_GROUP,CodeTemplateList,0),1))</f>
        <v>01.01.2023</v>
      </c>
      <c r="F29" s="1203" t="str">
        <f>IF(TEMPLATE_GROUP="","",INDEX(EndDateList,MATCH(TEMPLATE_GROUP,CodeTemplateList,0),1))</f>
        <v>31.12.2023</v>
      </c>
      <c r="H29" s="1204" t="s">
        <v>1833</v>
      </c>
      <c r="AX29" s="1217" t="s">
        <v>1256</v>
      </c>
      <c r="AZ29" s="1217" t="s">
        <v>1510</v>
      </c>
      <c r="BB29" s="1217" t="s">
        <v>1698</v>
      </c>
      <c r="BC29" s="1190"/>
      <c r="BE29" s="9629">
        <v>2025</v>
      </c>
      <c r="BJ29" s="1168" t="s">
        <v>1735</v>
      </c>
      <c r="BL29" s="1168" t="s">
        <v>1735</v>
      </c>
    </row>
    <row customHeight="1" ht="11.25">
      <c r="A30" s="1174" t="s">
        <v>1834</v>
      </c>
      <c r="D30" s="1205"/>
      <c r="E30" s="1206"/>
      <c r="F30" s="1206"/>
      <c r="AX30" s="1217" t="s">
        <v>1258</v>
      </c>
      <c r="AZ30" s="1217" t="s">
        <v>1536</v>
      </c>
      <c r="BE30" s="9629">
        <v>2026</v>
      </c>
      <c r="BJ30" s="1168" t="s">
        <v>1835</v>
      </c>
      <c r="BL30" s="1168" t="s">
        <v>1835</v>
      </c>
    </row>
    <row customHeight="1" ht="12.75">
      <c r="A31" s="1174" t="s">
        <v>1836</v>
      </c>
      <c r="D31" s="1199"/>
      <c r="E31" s="1200"/>
      <c r="F31" s="1200"/>
      <c r="H31" s="1207"/>
      <c r="AX31" s="1217" t="s">
        <v>1261</v>
      </c>
      <c r="AZ31" s="1217" t="s">
        <v>1837</v>
      </c>
      <c r="BE31" s="9629">
        <v>2027</v>
      </c>
      <c r="BJ31" s="1168" t="s">
        <v>1838</v>
      </c>
      <c r="BL31" s="1168" t="s">
        <v>1838</v>
      </c>
    </row>
    <row customHeight="1" ht="11.25">
      <c r="A32" s="1174" t="s">
        <v>1839</v>
      </c>
      <c r="D32" s="1202" t="s">
        <v>1840</v>
      </c>
      <c r="E32" s="1203" t="str">
        <f>IF(TEMPLATE_GROUP="","",INDEX(StartDateList,MATCH(TEMPLATE_GROUP,CodeTemplateList,0),1))</f>
        <v>01.01.2023</v>
      </c>
      <c r="F32" s="1203" t="str">
        <f>IF(TEMPLATE_GROUP="","",INDEX(EndDateList,MATCH(TEMPLATE_GROUP,CodeTemplateList,0),1))</f>
        <v>31.12.2023</v>
      </c>
      <c r="H32" s="1208" t="s">
        <v>1841</v>
      </c>
      <c r="O32" s="1174" t="s">
        <v>1508</v>
      </c>
      <c r="AX32" s="1217" t="s">
        <v>1263</v>
      </c>
      <c r="AZ32" s="1217" t="s">
        <v>1603</v>
      </c>
      <c r="BE32" s="9629">
        <v>2028</v>
      </c>
      <c r="BJ32" s="1168" t="s">
        <v>1743</v>
      </c>
      <c r="BL32" s="1168" t="s">
        <v>1743</v>
      </c>
    </row>
    <row customHeight="1" ht="11.25">
      <c r="A33" s="1174" t="s">
        <v>1842</v>
      </c>
      <c r="O33" s="1174" t="s">
        <v>1533</v>
      </c>
      <c r="AX33" s="1217" t="s">
        <v>1265</v>
      </c>
      <c r="AZ33" s="1217" t="s">
        <v>1509</v>
      </c>
      <c r="BE33" s="9629">
        <v>2029</v>
      </c>
      <c r="BJ33" s="1168" t="s">
        <v>1748</v>
      </c>
      <c r="BL33" s="1168" t="s">
        <v>1748</v>
      </c>
    </row>
    <row customHeight="1" ht="11.25">
      <c r="A34" s="1174" t="s">
        <v>1843</v>
      </c>
      <c r="O34" s="1174" t="s">
        <v>1568</v>
      </c>
      <c r="AX34" s="1217" t="s">
        <v>1267</v>
      </c>
      <c r="BE34" s="9629">
        <v>2030</v>
      </c>
      <c r="BJ34" s="1168" t="s">
        <v>1758</v>
      </c>
      <c r="BL34" s="1168" t="s">
        <v>1758</v>
      </c>
    </row>
    <row customHeight="1" ht="11.25">
      <c r="A35" s="1174" t="s">
        <v>1844</v>
      </c>
      <c r="O35" s="1174" t="s">
        <v>1601</v>
      </c>
      <c r="AX35" s="1217" t="s">
        <v>1269</v>
      </c>
      <c r="AZ35" s="1167" t="s">
        <v>1845</v>
      </c>
      <c r="BE35" s="9629">
        <v>2031</v>
      </c>
      <c r="BL35" s="1168" t="s">
        <v>1846</v>
      </c>
    </row>
    <row customHeight="1" ht="11.25">
      <c r="A36" s="1964" t="s">
        <v>1847</v>
      </c>
      <c r="D36" s="1209" t="s">
        <v>1848</v>
      </c>
      <c r="E36" s="1210" t="s">
        <v>966</v>
      </c>
      <c r="F36" s="1211" t="str">
        <f>INDEX(E37:E41,MATCH(TEMPLATE_SPHERE,F37:F41,0))</f>
        <v>теплоснабжения</v>
      </c>
      <c r="G36" s="1211" t="str">
        <f>INDEX(G37:G41,MATCH(TEMPLATE_SPHERE,F37:F41,0))</f>
        <v>теплоснабжение</v>
      </c>
      <c r="O36" s="1174" t="s">
        <v>1624</v>
      </c>
      <c r="AX36" s="1217" t="s">
        <v>1271</v>
      </c>
      <c r="AZ36" s="1217" t="s">
        <v>1509</v>
      </c>
      <c r="BE36" s="9629">
        <v>2032</v>
      </c>
      <c r="BL36" s="1168" t="s">
        <v>1849</v>
      </c>
    </row>
    <row customHeight="1" ht="11.25">
      <c r="A37" s="1174" t="s">
        <v>1850</v>
      </c>
      <c r="E37" s="514" t="s">
        <v>1851</v>
      </c>
      <c r="F37" s="1212" t="s">
        <v>966</v>
      </c>
      <c r="G37" s="514" t="s">
        <v>1852</v>
      </c>
      <c r="O37" s="1174" t="s">
        <v>1643</v>
      </c>
      <c r="AX37" s="1217" t="s">
        <v>1274</v>
      </c>
      <c r="AZ37" s="1217" t="s">
        <v>1535</v>
      </c>
      <c r="BE37" s="9629">
        <v>2033</v>
      </c>
    </row>
    <row customHeight="1" ht="11.25">
      <c r="A38" s="1174" t="s">
        <v>1853</v>
      </c>
      <c r="E38" s="514" t="s">
        <v>1854</v>
      </c>
      <c r="F38" s="1213" t="s">
        <v>1018</v>
      </c>
      <c r="G38" s="514" t="s">
        <v>1855</v>
      </c>
      <c r="O38" s="1174" t="s">
        <v>1658</v>
      </c>
      <c r="AX38" s="1217" t="s">
        <v>1277</v>
      </c>
      <c r="AZ38" s="1217" t="s">
        <v>1569</v>
      </c>
      <c r="BE38" s="9629">
        <v>2034</v>
      </c>
      <c r="BH38" s="1167" t="s">
        <v>1856</v>
      </c>
      <c r="BJ38" s="1167" t="s">
        <v>1857</v>
      </c>
      <c r="BL38" s="1167" t="s">
        <v>1858</v>
      </c>
      <c r="BN38" s="1167" t="s">
        <v>1859</v>
      </c>
    </row>
    <row customHeight="1" ht="11.25">
      <c r="A39" s="1174" t="s">
        <v>1860</v>
      </c>
      <c r="E39" s="514" t="s">
        <v>1861</v>
      </c>
      <c r="F39" s="1213" t="s">
        <v>1071</v>
      </c>
      <c r="G39" s="514" t="s">
        <v>1862</v>
      </c>
      <c r="O39" s="1174" t="s">
        <v>1672</v>
      </c>
      <c r="AX39" s="1217" t="s">
        <v>1279</v>
      </c>
      <c r="AZ39" s="1217" t="s">
        <v>1602</v>
      </c>
      <c r="BE39" s="9629">
        <v>2035</v>
      </c>
      <c r="BH39" s="1168" t="s">
        <v>1863</v>
      </c>
      <c r="BJ39" s="1313" t="s">
        <v>1863</v>
      </c>
      <c r="BL39" s="1313" t="s">
        <v>1863</v>
      </c>
      <c r="BN39" s="1168" t="s">
        <v>1864</v>
      </c>
    </row>
    <row customHeight="1" ht="11.25">
      <c r="A40" s="1174" t="s">
        <v>1865</v>
      </c>
      <c r="E40" s="514" t="s">
        <v>1866</v>
      </c>
      <c r="F40" s="1213" t="s">
        <v>1058</v>
      </c>
      <c r="G40" s="514" t="s">
        <v>1867</v>
      </c>
      <c r="O40" s="1174" t="s">
        <v>1686</v>
      </c>
      <c r="AX40" s="1217" t="s">
        <v>1281</v>
      </c>
      <c r="BE40" s="9629">
        <v>2036</v>
      </c>
      <c r="BH40" s="1168" t="s">
        <v>1868</v>
      </c>
      <c r="BJ40" s="1313" t="s">
        <v>1316</v>
      </c>
      <c r="BL40" s="1313" t="s">
        <v>1316</v>
      </c>
      <c r="BN40" s="1168" t="s">
        <v>1350</v>
      </c>
    </row>
    <row customHeight="1" ht="11.25">
      <c r="A41" s="1174" t="s">
        <v>1869</v>
      </c>
      <c r="E41" s="514" t="s">
        <v>1870</v>
      </c>
      <c r="F41" s="1213" t="s">
        <v>1871</v>
      </c>
      <c r="G41" s="514" t="s">
        <v>1870</v>
      </c>
      <c r="O41" s="1174" t="s">
        <v>1698</v>
      </c>
      <c r="AX41" s="1217" t="s">
        <v>1283</v>
      </c>
      <c r="AZ41" s="1167" t="s">
        <v>1872</v>
      </c>
      <c r="BE41" s="9629">
        <v>2037</v>
      </c>
      <c r="BH41" s="1168" t="s">
        <v>1873</v>
      </c>
      <c r="BJ41" s="1313" t="s">
        <v>1312</v>
      </c>
      <c r="BL41" s="1313" t="s">
        <v>1312</v>
      </c>
      <c r="BN41" s="1168" t="s">
        <v>1337</v>
      </c>
    </row>
    <row customHeight="1" ht="11.25">
      <c r="A42" s="1174" t="s">
        <v>1874</v>
      </c>
      <c r="AX42" s="1217" t="s">
        <v>1285</v>
      </c>
      <c r="AZ42" s="1217" t="s">
        <v>1508</v>
      </c>
      <c r="BE42" s="9629">
        <v>2038</v>
      </c>
      <c r="BH42" s="1168" t="s">
        <v>1334</v>
      </c>
      <c r="BJ42" s="1313" t="s">
        <v>1314</v>
      </c>
      <c r="BL42" s="1313" t="s">
        <v>1314</v>
      </c>
      <c r="BN42" s="1168" t="s">
        <v>1875</v>
      </c>
    </row>
    <row customHeight="1" ht="11.25">
      <c r="A43" s="1174" t="s">
        <v>1876</v>
      </c>
      <c r="AX43" s="1217" t="s">
        <v>1288</v>
      </c>
      <c r="AZ43" s="1217" t="s">
        <v>1533</v>
      </c>
      <c r="BE43" s="9629">
        <v>2039</v>
      </c>
      <c r="BH43" s="1168" t="s">
        <v>1877</v>
      </c>
      <c r="BJ43" s="1313" t="s">
        <v>1873</v>
      </c>
      <c r="BL43" s="1313" t="s">
        <v>1873</v>
      </c>
      <c r="BN43" s="1168" t="s">
        <v>1878</v>
      </c>
    </row>
    <row customHeight="1" ht="11.25">
      <c r="A44" s="1174" t="s">
        <v>1879</v>
      </c>
      <c r="G44" s="1193">
        <f>YEAR(TODAY())</f>
        <v>2024</v>
      </c>
      <c r="I44" s="900" t="s">
        <v>1880</v>
      </c>
      <c r="J44" s="1189" t="s">
        <v>1881</v>
      </c>
      <c r="K44" s="1189" t="s">
        <v>1882</v>
      </c>
      <c r="AX44" s="1217" t="s">
        <v>1290</v>
      </c>
      <c r="AZ44" s="1217" t="s">
        <v>1568</v>
      </c>
      <c r="BE44" s="9629">
        <v>2040</v>
      </c>
      <c r="BH44" s="1168" t="s">
        <v>1883</v>
      </c>
      <c r="BJ44" s="1313" t="s">
        <v>1334</v>
      </c>
      <c r="BL44" s="1313" t="s">
        <v>1334</v>
      </c>
      <c r="BN44" s="1168" t="s">
        <v>1884</v>
      </c>
    </row>
    <row customHeight="1" ht="11.25">
      <c r="A45" s="1174" t="s">
        <v>1885</v>
      </c>
      <c r="D45" s="1209" t="s">
        <v>1886</v>
      </c>
      <c r="E45" s="1210" t="s">
        <v>1887</v>
      </c>
      <c r="F45" s="898" t="s">
        <v>1888</v>
      </c>
      <c r="G45" s="897" t="s">
        <v>1889</v>
      </c>
      <c r="H45" s="900" t="s">
        <v>1890</v>
      </c>
      <c r="I45" s="1837">
        <f>INDEX(PeriodIsEmptyList,MATCH(TEMPLATE_GROUP,CodeTemplateList,0),1)</f>
        <v>0</v>
      </c>
      <c r="J45" s="184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4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17" t="s">
        <v>1292</v>
      </c>
      <c r="AZ45" s="1217" t="s">
        <v>1601</v>
      </c>
      <c r="BE45" s="9629">
        <v>2041</v>
      </c>
      <c r="BH45" s="1168" t="s">
        <v>1891</v>
      </c>
      <c r="BJ45" s="1313" t="s">
        <v>1328</v>
      </c>
      <c r="BL45" s="1313" t="s">
        <v>1328</v>
      </c>
      <c r="BN45" s="1168" t="s">
        <v>1892</v>
      </c>
    </row>
    <row customHeight="1" ht="11.25">
      <c r="A46" s="1174" t="s">
        <v>1893</v>
      </c>
      <c r="E46" s="514" t="s">
        <v>27</v>
      </c>
      <c r="F46" s="1212" t="s">
        <v>1894</v>
      </c>
      <c r="G46" s="1214" t="str">
        <f>_xlfn.IFERROR(IF(TITLE_DATE_FIL="","01.01."&amp;CURRENT_YEAR,"01.01."&amp;YEAR(TITLE_DATE_FIL)),"01.01."&amp;CURRENT_YEAR)</f>
        <v>01.01.2024</v>
      </c>
      <c r="H46" s="1214" t="str">
        <f>_xlfn.IFERROR(IF(TITLE_DATE_FIL="","31.12."&amp;CURRENT_YEAR,"31.12."&amp;YEAR(TITLE_DATE_FIL)),"31.12."&amp;CURRENT_YEAR)</f>
        <v>31.12.2024</v>
      </c>
      <c r="I46" s="1838">
        <f>IF(TITLE_DATE_FIL="",TRUE,FALSE)</f>
        <v>1</v>
      </c>
      <c r="J46" s="1841" t="str">
        <f>"Общая информация о регулируемой организации ("&amp;TEMPLATE_SPHERE_RUS&amp;")"</f>
        <v>Общая информация о регулируемой организации (теплоснабжения)</v>
      </c>
      <c r="K46" s="1842"/>
      <c r="AX46" s="1217" t="s">
        <v>1295</v>
      </c>
      <c r="AZ46" s="1217" t="s">
        <v>1624</v>
      </c>
      <c r="BE46" s="9629">
        <v>2042</v>
      </c>
      <c r="BH46" s="1168" t="s">
        <v>1337</v>
      </c>
      <c r="BJ46" s="1313" t="s">
        <v>1318</v>
      </c>
      <c r="BL46" s="1313" t="s">
        <v>1318</v>
      </c>
      <c r="BN46" s="1168" t="s">
        <v>1895</v>
      </c>
    </row>
    <row customHeight="1" ht="11.25">
      <c r="A47" s="1174" t="s">
        <v>1896</v>
      </c>
      <c r="E47" s="514" t="s">
        <v>33</v>
      </c>
      <c r="F47" s="1213" t="s">
        <v>1897</v>
      </c>
      <c r="G47" s="1214" t="str">
        <f>_xlfn.IFERROR(IF(f_year="","01.01."&amp;CURRENT_YEAR,IF(LEN(f_quart)=0,"01.01."&amp;f_year,IF(f_quart="I квартал","01.01."&amp;f_year,IF(f_quart="II квартал","01.04."&amp;f_year,(IF(f_quart="III квартал","01.07."&amp;f_year,"01.10."&amp;f_year)))))),"01.01."&amp;CURRENT_YEAR)</f>
        <v>01.01.2023</v>
      </c>
      <c r="H47" s="1214" t="str">
        <f>_xlfn.IFERROR(IF(f_year="","31.12."&amp;CURRENT_YEAR,IF(LEN(f_quart)=0,"31.12."&amp;f_year,IF(f_quart="I квартал","31.03."&amp;f_year,IF(f_quart="II квартал","30.06."&amp;f_year,(IF(f_quart="III квартал","30.09."&amp;f_year,"31.12."&amp;f_year)))))),"31.12."&amp;CURRENT_YEAR)</f>
        <v>31.12.2023</v>
      </c>
      <c r="I47" s="1839">
        <f>IF(OR(f_year="",f_quart=""),TRUE,FALSE)</f>
        <v>1</v>
      </c>
      <c r="J47" s="184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42"/>
      <c r="AX47" s="1217" t="s">
        <v>128</v>
      </c>
      <c r="AZ47" s="1217" t="s">
        <v>1643</v>
      </c>
      <c r="BE47" s="9629">
        <v>2043</v>
      </c>
      <c r="BH47" s="1168" t="s">
        <v>1875</v>
      </c>
      <c r="BJ47" s="1313" t="s">
        <v>1320</v>
      </c>
      <c r="BL47" s="1313" t="s">
        <v>1320</v>
      </c>
      <c r="BN47" s="1168" t="s">
        <v>1898</v>
      </c>
    </row>
    <row customHeight="1" ht="11.25">
      <c r="A48" s="1174" t="s">
        <v>1899</v>
      </c>
      <c r="E48" s="514" t="s">
        <v>1900</v>
      </c>
      <c r="F48" s="1213" t="s">
        <v>1887</v>
      </c>
      <c r="G48" s="1214" t="str">
        <f>_xlfn.IFERROR(IF(f_year="","01.01."&amp;CURRENT_YEAR,"01.01."&amp;f_year),"01.01."&amp;CURRENT_YEAR)</f>
        <v>01.01.2023</v>
      </c>
      <c r="H48" s="1214" t="str">
        <f>_xlfn.IFERROR(IF(f_year="","31.12."&amp;CURRENT_YEAR,"31.12."&amp;f_year),"31.12."&amp;CURRENT_YEAR)</f>
        <v>31.12.2023</v>
      </c>
      <c r="I48" s="1838">
        <f>IF(f_year="",TRUE,FALSE)</f>
        <v>0</v>
      </c>
      <c r="J48" s="1841" t="s">
        <v>1901</v>
      </c>
      <c r="K48" s="1842"/>
      <c r="AX48" s="1217" t="s">
        <v>1298</v>
      </c>
      <c r="AZ48" s="1217" t="s">
        <v>1658</v>
      </c>
      <c r="BE48" s="9629">
        <v>2044</v>
      </c>
      <c r="BH48" s="1168" t="s">
        <v>1878</v>
      </c>
      <c r="BJ48" s="1313" t="s">
        <v>1322</v>
      </c>
      <c r="BL48" s="1313" t="s">
        <v>1322</v>
      </c>
      <c r="BN48" s="1168" t="s">
        <v>1902</v>
      </c>
    </row>
    <row customHeight="1" ht="11.25">
      <c r="A49" s="1174" t="s">
        <v>1903</v>
      </c>
      <c r="E49" s="514" t="s">
        <v>1904</v>
      </c>
      <c r="F49" s="1213" t="s">
        <v>1905</v>
      </c>
      <c r="G49" s="1214" t="str">
        <f>_xlfn.IFERROR(IF(f_year="","01.01."&amp;CURRENT_YEAR,"01.01."&amp;f_year),"01.01."&amp;CURRENT_YEAR)</f>
        <v>01.01.2023</v>
      </c>
      <c r="H49" s="1214" t="str">
        <f>_xlfn.IFERROR(IF(f_year="","31.12."&amp;CURRENT_YEAR,"31.12."&amp;f_year),"31.12."&amp;CURRENT_YEAR)</f>
        <v>31.12.2023</v>
      </c>
      <c r="I49" s="1838">
        <f>IF(f_year="",TRUE,FALSE)</f>
        <v>0</v>
      </c>
      <c r="J49" s="184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42"/>
      <c r="AX49" s="1217" t="s">
        <v>1300</v>
      </c>
      <c r="AZ49" s="1217" t="s">
        <v>1672</v>
      </c>
      <c r="BE49" s="9629">
        <v>2045</v>
      </c>
      <c r="BH49" s="1168" t="s">
        <v>1338</v>
      </c>
      <c r="BJ49" s="1313" t="s">
        <v>1324</v>
      </c>
      <c r="BL49" s="1313" t="s">
        <v>1324</v>
      </c>
    </row>
    <row customHeight="1" ht="11.25">
      <c r="A50" s="1174" t="s">
        <v>1906</v>
      </c>
      <c r="E50" s="514" t="s">
        <v>1907</v>
      </c>
      <c r="F50" s="1213" t="s">
        <v>1308</v>
      </c>
      <c r="G50" s="1214" t="str">
        <f>_xlfn.IFERROR(IF(f_year="","01.01."&amp;CURRENT_YEAR,"01.01."&amp;f_year),"01.01."&amp;CURRENT_YEAR)</f>
        <v>01.01.2023</v>
      </c>
      <c r="H50" s="1214" t="str">
        <f>_xlfn.IFERROR(IF(f_year="","31.12."&amp;CURRENT_YEAR,"31.12."&amp;f_year),"31.12."&amp;CURRENT_YEAR)</f>
        <v>31.12.2023</v>
      </c>
      <c r="I50" s="1838">
        <f>IF(f_year="",TRUE,FALSE)</f>
        <v>0</v>
      </c>
      <c r="J50" s="184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42"/>
      <c r="AX50" s="1217" t="s">
        <v>1302</v>
      </c>
      <c r="AZ50" s="1217" t="s">
        <v>1686</v>
      </c>
      <c r="BE50" s="9629">
        <v>2046</v>
      </c>
      <c r="BH50" s="1168" t="s">
        <v>1884</v>
      </c>
      <c r="BJ50" s="1313" t="s">
        <v>1326</v>
      </c>
      <c r="BL50" s="1313" t="s">
        <v>1326</v>
      </c>
    </row>
    <row customHeight="1" ht="11.25">
      <c r="A51" s="1174" t="s">
        <v>1908</v>
      </c>
      <c r="E51" s="514" t="s">
        <v>1909</v>
      </c>
      <c r="F51" s="1213" t="s">
        <v>1910</v>
      </c>
      <c r="G51" s="1214" t="str">
        <f>_xlfn.IFERROR(IF(TITLE_PERIOD_START="","01.01."&amp;CURRENT_YEAR,"01.01."&amp;YEAR(TITLE_PERIOD_START)),"01.01."&amp;CURRENT_YEAR)</f>
        <v>01.01.2024</v>
      </c>
      <c r="H51" s="1214" t="str">
        <f>_xlfn.IFERROR(IF(TITLE_PERIOD_END="","31.12."&amp;CURRENT_YEAR,"31.12."&amp;YEAR(TITLE_PERIOD_END)),"31.12."&amp;CURRENT_YEAR)</f>
        <v>31.12.2024</v>
      </c>
      <c r="I51" s="1839">
        <f>IF(OR(TITLE_PERIOD_START="",TITLE_PERIOD_END=""),TRUE,FALSE)</f>
        <v>1</v>
      </c>
      <c r="J51" s="184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42"/>
      <c r="AX51" s="1217" t="s">
        <v>1911</v>
      </c>
      <c r="AZ51" s="1217" t="s">
        <v>1698</v>
      </c>
      <c r="BE51" s="9629">
        <v>2047</v>
      </c>
      <c r="BH51" s="1168" t="s">
        <v>1892</v>
      </c>
      <c r="BJ51" s="1313" t="s">
        <v>1912</v>
      </c>
      <c r="BL51" s="1313" t="s">
        <v>1912</v>
      </c>
    </row>
    <row customHeight="1" ht="11.25">
      <c r="A52" s="1174" t="s">
        <v>1913</v>
      </c>
      <c r="E52" s="514" t="s">
        <v>1914</v>
      </c>
      <c r="F52" s="1213" t="s">
        <v>1915</v>
      </c>
      <c r="G52" s="1214" t="str">
        <f>_xlfn.IFERROR(IF(TITLE_PERIOD_START="","01.01."&amp;CURRENT_YEAR,"01.01."&amp;YEAR(TITLE_PERIOD_START)),"01.01."&amp;CURRENT_YEAR)</f>
        <v>01.01.2024</v>
      </c>
      <c r="H52" s="1214" t="str">
        <f>_xlfn.IFERROR(IF(TITLE_PERIOD_END="","31.12."&amp;CURRENT_YEAR,"31.12."&amp;YEAR(TITLE_PERIOD_END)),"31.12."&amp;CURRENT_YEAR)</f>
        <v>31.12.2024</v>
      </c>
      <c r="I52" s="1839">
        <f>IF(OR(TITLE_PERIOD_START="",TITLE_PERIOD_END=""),TRUE,FALSE)</f>
        <v>1</v>
      </c>
      <c r="J52" s="1841" t="str">
        <f>"Показатели, подлежащие раскрытию в сфере "&amp;TEMPLATE_SPHERE_RUS&amp;" (цены и тарифы)"</f>
        <v>Показатели, подлежащие раскрытию в сфере теплоснабжения (цены и тарифы)</v>
      </c>
      <c r="K52" s="1842"/>
      <c r="AX52" s="1217" t="s">
        <v>1916</v>
      </c>
      <c r="AZ52" s="1217" t="s">
        <v>1509</v>
      </c>
      <c r="BE52" s="9629">
        <v>2048</v>
      </c>
      <c r="BH52" s="1168" t="s">
        <v>1895</v>
      </c>
      <c r="BJ52" s="1313" t="s">
        <v>1337</v>
      </c>
      <c r="BL52" s="1313" t="s">
        <v>1337</v>
      </c>
    </row>
    <row customHeight="1" ht="11.25">
      <c r="A53" s="1174" t="s">
        <v>1917</v>
      </c>
      <c r="E53" s="514" t="s">
        <v>1918</v>
      </c>
      <c r="F53" s="1213" t="s">
        <v>1918</v>
      </c>
      <c r="G53" s="1214" t="str">
        <f>_xlfn.IFERROR(IF(f_year="","01.01."&amp;CURRENT_YEAR,"01.01."&amp;f_year),"01.01."&amp;CURRENT_YEAR)</f>
        <v>01.01.2023</v>
      </c>
      <c r="H53" s="1214" t="str">
        <f>_xlfn.IFERROR(IF(f_year="","31.12."&amp;CURRENT_YEAR,"31.12."&amp;f_year),"31.12."&amp;CURRENT_YEAR)</f>
        <v>31.12.2023</v>
      </c>
      <c r="I53" s="1838">
        <f>IF(AND(f_year="",TITLE_DATE_FIL=""),TRUE,FALSE)</f>
        <v>0</v>
      </c>
      <c r="J53" s="1841" t="s">
        <v>1919</v>
      </c>
      <c r="K53" s="1842"/>
      <c r="AX53" s="1217" t="s">
        <v>1920</v>
      </c>
      <c r="BE53" s="9629">
        <v>2049</v>
      </c>
      <c r="BH53" s="1168" t="s">
        <v>1898</v>
      </c>
      <c r="BJ53" s="1313" t="s">
        <v>1875</v>
      </c>
      <c r="BL53" s="1313" t="s">
        <v>1875</v>
      </c>
    </row>
    <row customHeight="1" ht="11.25">
      <c r="A54" s="1174" t="s">
        <v>1921</v>
      </c>
      <c r="AX54" s="1217" t="s">
        <v>1922</v>
      </c>
      <c r="AZ54" s="1167" t="s">
        <v>1923</v>
      </c>
      <c r="BE54" s="9629">
        <v>2050</v>
      </c>
      <c r="BH54" s="1168" t="s">
        <v>1902</v>
      </c>
      <c r="BJ54" s="1313" t="s">
        <v>1878</v>
      </c>
      <c r="BL54" s="1313" t="s">
        <v>1878</v>
      </c>
    </row>
    <row customHeight="1" ht="11.25">
      <c r="A55" s="1174" t="s">
        <v>1924</v>
      </c>
      <c r="AX55" s="1217" t="s">
        <v>1925</v>
      </c>
      <c r="AZ55" s="1217" t="s">
        <v>1511</v>
      </c>
      <c r="BE55" s="9629">
        <v>2051</v>
      </c>
      <c r="BH55" s="1170" t="s">
        <v>22</v>
      </c>
      <c r="BJ55" s="1313" t="s">
        <v>1338</v>
      </c>
      <c r="BL55" s="1313" t="s">
        <v>1338</v>
      </c>
    </row>
    <row customHeight="1" ht="11.25">
      <c r="A56" s="1174" t="s">
        <v>1926</v>
      </c>
      <c r="D56" s="1216" t="s">
        <v>1927</v>
      </c>
      <c r="E56" s="1194" t="s">
        <v>1928</v>
      </c>
      <c r="F56" s="1174" t="s">
        <v>1929</v>
      </c>
      <c r="AX56" s="1217" t="s">
        <v>1930</v>
      </c>
      <c r="AZ56" s="1217" t="s">
        <v>1537</v>
      </c>
      <c r="BE56" s="9629">
        <v>2052</v>
      </c>
      <c r="BH56" s="1170" t="s">
        <v>22</v>
      </c>
      <c r="BJ56" s="1313" t="s">
        <v>1884</v>
      </c>
      <c r="BL56" s="1313" t="s">
        <v>1884</v>
      </c>
    </row>
    <row customHeight="1" ht="11.25">
      <c r="A57" s="1174" t="s">
        <v>1931</v>
      </c>
      <c r="D57" s="1216" t="s">
        <v>1932</v>
      </c>
      <c r="E57" s="1194" t="s">
        <v>1933</v>
      </c>
      <c r="F57" s="1174" t="s">
        <v>1929</v>
      </c>
      <c r="AX57" s="1217" t="s">
        <v>1934</v>
      </c>
      <c r="AZ57" s="1217" t="s">
        <v>1571</v>
      </c>
      <c r="BE57" s="9629">
        <v>2053</v>
      </c>
      <c r="BJ57" s="1313" t="s">
        <v>1892</v>
      </c>
      <c r="BL57" s="1313" t="s">
        <v>1892</v>
      </c>
    </row>
    <row customHeight="1" ht="11.25">
      <c r="A58" s="1174" t="s">
        <v>1935</v>
      </c>
      <c r="D58" s="1216" t="s">
        <v>1936</v>
      </c>
      <c r="E58" s="1194" t="s">
        <v>1920</v>
      </c>
      <c r="F58" s="1174" t="s">
        <v>1929</v>
      </c>
      <c r="AX58" s="1217" t="s">
        <v>1937</v>
      </c>
      <c r="BE58" s="9629">
        <v>2054</v>
      </c>
      <c r="BJ58" s="1313" t="s">
        <v>1895</v>
      </c>
      <c r="BL58" s="1313" t="s">
        <v>1895</v>
      </c>
    </row>
    <row customHeight="1" ht="11.25">
      <c r="A59" s="1174" t="s">
        <v>1938</v>
      </c>
      <c r="D59" s="1216" t="s">
        <v>218</v>
      </c>
      <c r="E59" s="1194" t="s">
        <v>1263</v>
      </c>
      <c r="F59" s="1174" t="s">
        <v>1939</v>
      </c>
      <c r="AX59" s="1217" t="s">
        <v>1940</v>
      </c>
      <c r="AZ59" s="1167" t="s">
        <v>1941</v>
      </c>
      <c r="BE59" s="9629">
        <v>2055</v>
      </c>
      <c r="BJ59" s="1313" t="s">
        <v>1898</v>
      </c>
      <c r="BL59" s="1313" t="s">
        <v>1898</v>
      </c>
    </row>
    <row customHeight="1" ht="11.25">
      <c r="A60" s="1174" t="s">
        <v>1942</v>
      </c>
      <c r="D60" s="1216" t="s">
        <v>1943</v>
      </c>
      <c r="E60" s="1194" t="s">
        <v>1263</v>
      </c>
      <c r="F60" s="1174" t="s">
        <v>1939</v>
      </c>
      <c r="AX60" s="1217" t="s">
        <v>1944</v>
      </c>
      <c r="AZ60" s="1217" t="s">
        <v>1512</v>
      </c>
      <c r="BE60" s="9629">
        <v>2056</v>
      </c>
      <c r="BJ60" s="1313" t="s">
        <v>1902</v>
      </c>
      <c r="BL60" s="1313" t="s">
        <v>1902</v>
      </c>
    </row>
    <row customHeight="1" ht="11.25">
      <c r="A61" s="1174" t="s">
        <v>1945</v>
      </c>
      <c r="D61" s="1216" t="s">
        <v>1946</v>
      </c>
      <c r="E61" s="1194" t="s">
        <v>1263</v>
      </c>
      <c r="F61" s="1174" t="s">
        <v>1939</v>
      </c>
      <c r="AX61" s="1217" t="s">
        <v>1947</v>
      </c>
      <c r="AZ61" s="1217" t="s">
        <v>1538</v>
      </c>
      <c r="BE61" s="9629">
        <v>2057</v>
      </c>
      <c r="BL61" s="1313" t="s">
        <v>1330</v>
      </c>
    </row>
    <row customHeight="1" ht="11.25">
      <c r="A62" s="1174" t="s">
        <v>1948</v>
      </c>
      <c r="D62" s="1216" t="s">
        <v>217</v>
      </c>
      <c r="E62" s="1194">
        <v>30</v>
      </c>
      <c r="F62" s="1174" t="s">
        <v>1939</v>
      </c>
      <c r="AZ62" s="1217" t="s">
        <v>1572</v>
      </c>
      <c r="BE62" s="9629">
        <v>2058</v>
      </c>
      <c r="BL62" s="1313" t="s">
        <v>1332</v>
      </c>
    </row>
    <row customHeight="1" ht="11.25">
      <c r="A63" s="1174" t="s">
        <v>1949</v>
      </c>
      <c r="D63" s="1216" t="s">
        <v>1950</v>
      </c>
      <c r="E63" s="1194">
        <v>30</v>
      </c>
      <c r="F63" s="1174" t="s">
        <v>1939</v>
      </c>
      <c r="AZ63" s="1217" t="s">
        <v>1604</v>
      </c>
      <c r="BE63" s="9629">
        <v>2059</v>
      </c>
    </row>
    <row customHeight="1" ht="11.25">
      <c r="A64" s="1174" t="s">
        <v>1951</v>
      </c>
      <c r="D64" s="1216" t="s">
        <v>1952</v>
      </c>
      <c r="E64" s="1194">
        <v>30</v>
      </c>
      <c r="F64" s="1174" t="s">
        <v>1939</v>
      </c>
      <c r="AZ64" s="1217" t="s">
        <v>1625</v>
      </c>
      <c r="BE64" s="9629">
        <v>2060</v>
      </c>
    </row>
    <row customHeight="1" ht="11.25">
      <c r="A65" s="1174" t="s">
        <v>1953</v>
      </c>
      <c r="D65" s="1174"/>
      <c r="BE65" s="9629">
        <v>2061</v>
      </c>
    </row>
    <row customHeight="1" ht="11.25">
      <c r="A66" s="1174" t="s">
        <v>1954</v>
      </c>
      <c r="AZ66" s="1167" t="s">
        <v>1955</v>
      </c>
      <c r="BE66" s="9629">
        <v>2062</v>
      </c>
    </row>
    <row customHeight="1" ht="11.25">
      <c r="A67" s="1174" t="s">
        <v>1956</v>
      </c>
      <c r="AZ67" s="1217" t="s">
        <v>1513</v>
      </c>
      <c r="BE67" s="9629">
        <v>2063</v>
      </c>
    </row>
    <row customHeight="1" ht="11.25">
      <c r="A68" s="1174" t="s">
        <v>1957</v>
      </c>
      <c r="AZ68" s="1217" t="s">
        <v>1539</v>
      </c>
      <c r="BE68" s="9629">
        <v>2064</v>
      </c>
      <c r="BH68" s="1167" t="s">
        <v>1958</v>
      </c>
      <c r="BJ68" s="1167" t="s">
        <v>1959</v>
      </c>
      <c r="BL68" s="1167" t="s">
        <v>1960</v>
      </c>
      <c r="BN68" s="1167" t="s">
        <v>1961</v>
      </c>
    </row>
    <row customHeight="1" ht="11.25">
      <c r="A69" s="1174" t="s">
        <v>1962</v>
      </c>
      <c r="AZ69" s="1217" t="s">
        <v>1573</v>
      </c>
      <c r="BE69" s="9629">
        <v>2065</v>
      </c>
      <c r="BH69" s="1168" t="s">
        <v>1963</v>
      </c>
      <c r="BI69" s="1215" t="s">
        <v>144</v>
      </c>
      <c r="BJ69" s="1168" t="s">
        <v>1964</v>
      </c>
      <c r="BK69" s="1215" t="s">
        <v>144</v>
      </c>
      <c r="BL69" s="1168" t="s">
        <v>1965</v>
      </c>
      <c r="BM69" s="1170" t="s">
        <v>144</v>
      </c>
      <c r="BN69" s="1168" t="s">
        <v>1966</v>
      </c>
    </row>
    <row customHeight="1" ht="11.25">
      <c r="A70" s="1174" t="s">
        <v>1967</v>
      </c>
      <c r="AZ70" s="1217" t="s">
        <v>1605</v>
      </c>
      <c r="BE70" s="9629">
        <v>2066</v>
      </c>
      <c r="BH70" s="1168" t="s">
        <v>1238</v>
      </c>
      <c r="BJ70" s="1168" t="s">
        <v>1968</v>
      </c>
      <c r="BL70" s="1168" t="s">
        <v>1969</v>
      </c>
      <c r="BN70" s="1168" t="s">
        <v>1970</v>
      </c>
    </row>
    <row customHeight="1" ht="11.25">
      <c r="A71" s="1174" t="s">
        <v>1971</v>
      </c>
      <c r="AZ71" s="1217" t="s">
        <v>1607</v>
      </c>
      <c r="BE71" s="9629">
        <v>2067</v>
      </c>
      <c r="BH71" s="1168" t="s">
        <v>1196</v>
      </c>
      <c r="BI71" s="1215" t="s">
        <v>90</v>
      </c>
      <c r="BJ71" s="1168" t="s">
        <v>1972</v>
      </c>
      <c r="BK71" s="1215" t="s">
        <v>90</v>
      </c>
      <c r="BL71" s="1168" t="s">
        <v>1973</v>
      </c>
      <c r="BM71" s="1170" t="s">
        <v>90</v>
      </c>
      <c r="BN71" s="1168" t="s">
        <v>1974</v>
      </c>
    </row>
    <row customHeight="1" ht="11.25">
      <c r="A72" s="1174" t="s">
        <v>1975</v>
      </c>
      <c r="AZ72" s="1217" t="s">
        <v>19</v>
      </c>
      <c r="BE72" s="9629">
        <v>2068</v>
      </c>
      <c r="BH72" s="1168" t="s">
        <v>1272</v>
      </c>
      <c r="BJ72" s="1168" t="s">
        <v>1272</v>
      </c>
      <c r="BL72" s="1168" t="s">
        <v>1272</v>
      </c>
      <c r="BN72" s="1168" t="s">
        <v>1976</v>
      </c>
    </row>
    <row customHeight="1" ht="11.25">
      <c r="A73" s="1174" t="s">
        <v>1977</v>
      </c>
      <c r="BE73" s="9629">
        <v>2069</v>
      </c>
      <c r="BH73" s="1168" t="s">
        <v>1978</v>
      </c>
      <c r="BI73" s="1215" t="s">
        <v>121</v>
      </c>
      <c r="BJ73" s="1168" t="s">
        <v>1979</v>
      </c>
      <c r="BK73" s="1215" t="s">
        <v>121</v>
      </c>
      <c r="BL73" s="1168" t="s">
        <v>1980</v>
      </c>
      <c r="BM73" s="1170" t="s">
        <v>121</v>
      </c>
      <c r="BN73" s="1168" t="s">
        <v>1981</v>
      </c>
    </row>
    <row customHeight="1" ht="11.25">
      <c r="A74" s="1174" t="s">
        <v>1982</v>
      </c>
      <c r="BE74" s="9629">
        <v>2070</v>
      </c>
      <c r="BH74" s="1168" t="s">
        <v>1275</v>
      </c>
      <c r="BJ74" s="1168" t="s">
        <v>1983</v>
      </c>
      <c r="BL74" s="1168" t="s">
        <v>1984</v>
      </c>
      <c r="BN74" s="1168" t="s">
        <v>1985</v>
      </c>
    </row>
    <row customHeight="1" ht="11.25">
      <c r="A75" s="1174" t="s">
        <v>1986</v>
      </c>
      <c r="AZ75" s="1167" t="s">
        <v>1987</v>
      </c>
      <c r="BH75" s="1168" t="s">
        <v>1215</v>
      </c>
      <c r="BJ75" s="1168" t="s">
        <v>1215</v>
      </c>
      <c r="BL75" s="1168" t="s">
        <v>1215</v>
      </c>
    </row>
    <row customHeight="1" ht="11.25">
      <c r="A76" s="1174" t="s">
        <v>1988</v>
      </c>
      <c r="AZ76" s="1217" t="s">
        <v>1522</v>
      </c>
      <c r="BH76" s="1168" t="s">
        <v>1217</v>
      </c>
      <c r="BJ76" s="1168" t="s">
        <v>1989</v>
      </c>
      <c r="BL76" s="1168" t="s">
        <v>1990</v>
      </c>
    </row>
    <row customHeight="1" ht="11.25">
      <c r="A77" s="1174" t="s">
        <v>1991</v>
      </c>
      <c r="AZ77" s="1217" t="s">
        <v>1549</v>
      </c>
    </row>
    <row customHeight="1" ht="11.25">
      <c r="A78" s="1174" t="s">
        <v>1992</v>
      </c>
      <c r="AZ78" s="1217" t="s">
        <v>1580</v>
      </c>
    </row>
    <row customHeight="1" ht="11.25">
      <c r="A79" s="1174" t="s">
        <v>1993</v>
      </c>
      <c r="AZ79" s="1217" t="s">
        <v>1611</v>
      </c>
      <c r="BH79" s="1167" t="s">
        <v>1994</v>
      </c>
      <c r="BJ79" s="1167" t="s">
        <v>1995</v>
      </c>
      <c r="BL79" s="1167" t="s">
        <v>1996</v>
      </c>
    </row>
    <row customHeight="1" ht="11.25">
      <c r="A80" s="1174" t="s">
        <v>1997</v>
      </c>
      <c r="AZ80" s="1217" t="s">
        <v>1630</v>
      </c>
      <c r="BH80" s="1168" t="s">
        <v>1998</v>
      </c>
      <c r="BJ80" s="1168" t="s">
        <v>1999</v>
      </c>
      <c r="BL80" s="1168" t="s">
        <v>2000</v>
      </c>
    </row>
    <row customHeight="1" ht="11.25">
      <c r="A81" s="1174" t="s">
        <v>2001</v>
      </c>
      <c r="AZ81" s="1217" t="s">
        <v>1647</v>
      </c>
      <c r="BH81" s="1168" t="s">
        <v>2002</v>
      </c>
      <c r="BJ81" s="1168" t="s">
        <v>2003</v>
      </c>
      <c r="BL81" s="1168" t="s">
        <v>2004</v>
      </c>
    </row>
    <row customHeight="1" ht="11.25">
      <c r="A82" s="1174" t="s">
        <v>2005</v>
      </c>
      <c r="AZ82" s="1217" t="s">
        <v>1660</v>
      </c>
      <c r="BH82" s="1168" t="s">
        <v>2006</v>
      </c>
      <c r="BJ82" s="1168" t="s">
        <v>2007</v>
      </c>
      <c r="BL82" s="1168" t="s">
        <v>2008</v>
      </c>
    </row>
    <row customHeight="1" ht="11.25">
      <c r="A83" s="1174" t="s">
        <v>16</v>
      </c>
      <c r="BH83" s="1168" t="s">
        <v>2009</v>
      </c>
      <c r="BJ83" s="1168" t="s">
        <v>2010</v>
      </c>
      <c r="BL83" s="1168" t="s">
        <v>2011</v>
      </c>
    </row>
    <row customHeight="1" ht="11.25">
      <c r="A84" s="1174" t="s">
        <v>2012</v>
      </c>
      <c r="AZ84" s="1167" t="s">
        <v>2013</v>
      </c>
    </row>
    <row customHeight="1" ht="11.25">
      <c r="A85" s="1964" t="s">
        <v>2014</v>
      </c>
      <c r="AZ85" s="1217" t="s">
        <v>2015</v>
      </c>
    </row>
    <row customHeight="1" ht="11.25">
      <c r="A86" s="1174" t="s">
        <v>2016</v>
      </c>
      <c r="AZ86" s="1217" t="s">
        <v>2017</v>
      </c>
      <c r="BH86" s="1167" t="s">
        <v>1195</v>
      </c>
      <c r="BJ86" s="1167" t="s">
        <v>2018</v>
      </c>
      <c r="BL86" s="1167" t="s">
        <v>2019</v>
      </c>
    </row>
    <row customHeight="1" ht="11.25">
      <c r="A87" s="1174" t="s">
        <v>2020</v>
      </c>
      <c r="AZ87" s="1217" t="s">
        <v>2021</v>
      </c>
      <c r="BH87" s="1168" t="s">
        <v>1219</v>
      </c>
      <c r="BJ87" s="1168" t="s">
        <v>2022</v>
      </c>
      <c r="BL87" s="1168" t="s">
        <v>2023</v>
      </c>
    </row>
    <row customHeight="1" ht="11.25">
      <c r="A88" s="1174" t="s">
        <v>2024</v>
      </c>
      <c r="AZ88" s="1702"/>
      <c r="BH88" s="1168" t="s">
        <v>1197</v>
      </c>
      <c r="BJ88" s="1168" t="s">
        <v>2025</v>
      </c>
      <c r="BL88" s="1168" t="s">
        <v>2026</v>
      </c>
    </row>
    <row customHeight="1" ht="11.25">
      <c r="A89" s="1174" t="s">
        <v>2027</v>
      </c>
      <c r="AZ89" s="1167" t="s">
        <v>2028</v>
      </c>
    </row>
    <row customHeight="1" ht="11.25">
      <c r="A90" s="1174" t="s">
        <v>2029</v>
      </c>
      <c r="AZ90" s="1217" t="s">
        <v>1308</v>
      </c>
    </row>
    <row customHeight="1" ht="11.25">
      <c r="A91" s="1174" t="s">
        <v>2030</v>
      </c>
      <c r="AZ91" s="1217" t="s">
        <v>1344</v>
      </c>
      <c r="BH91" s="1167" t="s">
        <v>2031</v>
      </c>
      <c r="BJ91" s="1167" t="s">
        <v>2032</v>
      </c>
      <c r="BL91" s="1167" t="s">
        <v>2033</v>
      </c>
    </row>
    <row customHeight="1" ht="11.25">
      <c r="AZ92" s="1217" t="s">
        <v>2034</v>
      </c>
      <c r="BH92" s="1168" t="s">
        <v>2035</v>
      </c>
      <c r="BJ92" s="1168" t="s">
        <v>2036</v>
      </c>
      <c r="BL92" s="1168" t="s">
        <v>2037</v>
      </c>
    </row>
    <row customHeight="1" ht="11.25">
      <c r="AZ93" s="1217" t="s">
        <v>2038</v>
      </c>
      <c r="BH93" s="1168" t="s">
        <v>2039</v>
      </c>
      <c r="BJ93" s="1168" t="s">
        <v>2040</v>
      </c>
      <c r="BL93" s="1168" t="s">
        <v>2041</v>
      </c>
    </row>
    <row customHeight="1" ht="11.25">
      <c r="AZ94" s="1217" t="s">
        <v>2042</v>
      </c>
    </row>
    <row r="96" customHeight="1" ht="11.25">
      <c r="AZ96" s="1167" t="s">
        <v>2043</v>
      </c>
      <c r="BH96" s="1167" t="s">
        <v>2044</v>
      </c>
      <c r="BJ96" s="1167" t="s">
        <v>2045</v>
      </c>
      <c r="BL96" s="1167" t="s">
        <v>2046</v>
      </c>
      <c r="BN96" s="1167" t="s">
        <v>2047</v>
      </c>
    </row>
    <row customHeight="1" ht="11.25">
      <c r="AZ97" s="1995" t="s">
        <v>2048</v>
      </c>
      <c r="BA97" s="1996" t="s">
        <v>2049</v>
      </c>
      <c r="BH97" s="1168" t="s">
        <v>2050</v>
      </c>
      <c r="BJ97" s="1168" t="s">
        <v>2051</v>
      </c>
      <c r="BL97" s="1168" t="s">
        <v>2052</v>
      </c>
      <c r="BN97" s="1168" t="s">
        <v>2053</v>
      </c>
    </row>
    <row customHeight="1" ht="11.25">
      <c r="AZ98" s="1995" t="s">
        <v>2054</v>
      </c>
      <c r="BA98" s="1996" t="s">
        <v>2055</v>
      </c>
      <c r="BH98" s="1168" t="s">
        <v>2056</v>
      </c>
      <c r="BJ98" s="1168" t="s">
        <v>2057</v>
      </c>
      <c r="BL98" s="1168" t="s">
        <v>2058</v>
      </c>
      <c r="BN98" s="1168" t="s">
        <v>2059</v>
      </c>
    </row>
    <row customHeight="1" ht="22.5">
      <c r="AZ99" s="1995" t="s">
        <v>2060</v>
      </c>
      <c r="BA99" s="199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68" t="s">
        <v>2061</v>
      </c>
      <c r="BJ99" s="1168" t="s">
        <v>2062</v>
      </c>
      <c r="BL99" s="1168" t="s">
        <v>2063</v>
      </c>
      <c r="BN99" s="1168" t="s">
        <v>2064</v>
      </c>
    </row>
    <row customHeight="1" ht="22.5">
      <c r="AZ100" s="1995" t="s">
        <v>2065</v>
      </c>
      <c r="BA100" s="199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68" t="s">
        <v>1698</v>
      </c>
      <c r="BL100" s="1168" t="s">
        <v>1698</v>
      </c>
      <c r="BN100" s="1168" t="s">
        <v>2066</v>
      </c>
    </row>
    <row customHeight="1" ht="22.5">
      <c r="AZ101" s="1995" t="s">
        <v>2067</v>
      </c>
      <c r="BA101" s="1996" t="s">
        <v>2068</v>
      </c>
      <c r="BN101" s="1168" t="s">
        <v>2069</v>
      </c>
    </row>
    <row customHeight="1" ht="22.5">
      <c r="AZ102" s="1995" t="s">
        <v>2070</v>
      </c>
      <c r="BA102" s="199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68" t="s">
        <v>2071</v>
      </c>
    </row>
    <row customHeight="1" ht="11.25">
      <c r="AZ103" s="1995" t="s">
        <v>2072</v>
      </c>
      <c r="BA103" s="1996" t="s">
        <v>2073</v>
      </c>
      <c r="BN103" s="1168" t="s">
        <v>2074</v>
      </c>
    </row>
    <row customHeight="1" ht="11.25">
      <c r="BN104" s="1168" t="s">
        <v>2075</v>
      </c>
    </row>
    <row customHeight="1" ht="11.25">
      <c r="AZ105" s="1788" t="s">
        <v>2076</v>
      </c>
    </row>
    <row customHeight="1" ht="11.25">
      <c r="AZ106" s="1217" t="s">
        <v>2077</v>
      </c>
    </row>
    <row customHeight="1" ht="11.25">
      <c r="AZ107" s="1217" t="s">
        <v>2078</v>
      </c>
      <c r="BH107" s="1167" t="s">
        <v>2079</v>
      </c>
      <c r="BJ107" s="1167" t="s">
        <v>2080</v>
      </c>
      <c r="BL107" s="1167" t="s">
        <v>2081</v>
      </c>
      <c r="BN107" s="1167" t="s">
        <v>2082</v>
      </c>
    </row>
    <row customHeight="1" ht="11.25">
      <c r="AZ108" s="1217" t="s">
        <v>665</v>
      </c>
      <c r="BH108" s="1168" t="s">
        <v>2083</v>
      </c>
      <c r="BJ108" s="1168" t="s">
        <v>2084</v>
      </c>
      <c r="BL108" s="1168" t="s">
        <v>1776</v>
      </c>
      <c r="BN108" s="1168" t="s">
        <v>2085</v>
      </c>
    </row>
    <row customHeight="1" ht="11.25">
      <c r="BH109" s="1168" t="s">
        <v>2086</v>
      </c>
    </row>
    <row customHeight="1" ht="11.25">
      <c r="AZ110" s="1788" t="s">
        <v>2087</v>
      </c>
      <c r="BH110" s="1168" t="s">
        <v>2086</v>
      </c>
    </row>
    <row customHeight="1" ht="11.25">
      <c r="AZ111" s="1995" t="s">
        <v>2048</v>
      </c>
      <c r="BA111" s="1996" t="s">
        <v>2049</v>
      </c>
    </row>
    <row customHeight="1" ht="11.25">
      <c r="AZ112" s="1995" t="s">
        <v>2054</v>
      </c>
      <c r="BA112" s="1996" t="s">
        <v>2055</v>
      </c>
    </row>
    <row customHeight="1" ht="22.5">
      <c r="AZ113" s="1995" t="s">
        <v>2060</v>
      </c>
      <c r="BA113" s="199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5" t="s">
        <v>2065</v>
      </c>
      <c r="BA114" s="199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67" t="s">
        <v>2088</v>
      </c>
    </row>
    <row customHeight="1" ht="22.5">
      <c r="AZ115" s="1995" t="s">
        <v>2070</v>
      </c>
      <c r="BA115" s="199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68" t="s">
        <v>1509</v>
      </c>
    </row>
    <row customHeight="1" ht="11.25">
      <c r="AZ116" s="1995" t="s">
        <v>2072</v>
      </c>
      <c r="BA116" s="1996" t="s">
        <v>2073</v>
      </c>
      <c r="BH116" s="1168" t="s">
        <v>1535</v>
      </c>
    </row>
    <row customHeight="1" ht="11.25">
      <c r="BH117" s="1168" t="s">
        <v>1569</v>
      </c>
    </row>
    <row customHeight="1" ht="11.25">
      <c r="BH118" s="1168" t="s">
        <v>1602</v>
      </c>
    </row>
  </sheetData>
  <sheetProtection formatColumns="0" formatRows="0" autoFilter="0" sort="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33E2C-DB36-FBFD-19D3-797D83795C8C}" mc:Ignorable="x14ac xr xr2 xr3">
  <dimension ref="A1:J25"/>
  <sheetViews>
    <sheetView topLeftCell="A1" showGridLines="0" zoomScale="90" workbookViewId="0">
      <selection activeCell="A1" sqref="A1"/>
    </sheetView>
  </sheetViews>
  <sheetFormatPr defaultColWidth="9.140625" customHeight="1" defaultRowHeight="11.25"/>
  <cols>
    <col min="1" max="2" style="10766" width="15.00390625" hidden="1" customWidth="1"/>
    <col min="3" max="3" style="10810" width="3.00390625" customWidth="1"/>
    <col min="4" max="4" style="10811" width="6.00390625" customWidth="1"/>
    <col min="5" max="5" style="10810" width="52.00390625" customWidth="1"/>
    <col min="6" max="6" style="10810" width="48.00390625" customWidth="1"/>
    <col min="7" max="7" style="10810" width="93.00390625" customWidth="1"/>
    <col min="8" max="8" style="10810" width="8.00390625" customWidth="1"/>
    <col min="9" max="9" style="10810" width="64.00390625" customWidth="1"/>
    <col min="10" max="10" style="10810" width="9.140625" hidden="1"/>
  </cols>
  <sheetData>
    <row customHeight="1" ht="11.25" hidden="1">
      <c r="A1" s="608" t="s">
        <v>384</v>
      </c>
      <c r="J1" s="562" t="s">
        <v>14</v>
      </c>
    </row>
    <row customHeight="1" ht="22.5" hidden="1">
      <c r="A2" s="609"/>
      <c r="B2" s="609"/>
      <c r="C2" s="1826" t="s">
        <v>103</v>
      </c>
      <c r="D2" s="1616"/>
      <c r="E2" s="1622"/>
      <c r="F2" s="1645"/>
      <c r="H2" s="582"/>
      <c r="J2" s="562">
        <v>0</v>
      </c>
    </row>
    <row customHeight="1" ht="11.25" hidden="1">
      <c r="J3" s="562">
        <v>0</v>
      </c>
    </row>
    <row customHeight="1" ht="11.549999999999999">
      <c r="A4" s="1646"/>
      <c r="B4" s="1646"/>
      <c r="J4" s="562">
        <v>11</v>
      </c>
    </row>
    <row customHeight="1" ht="27.299999999999997">
      <c r="D5" s="297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972"/>
      <c r="F5" s="2973"/>
      <c r="I5" s="822"/>
      <c r="J5" s="562">
        <v>26</v>
      </c>
    </row>
    <row customHeight="1" ht="18">
      <c r="D6" s="3069" t="str">
        <f>IF(region_name=0,"Не определено",region_name)</f>
        <v>Хабаровский край</v>
      </c>
      <c r="E6" s="3069"/>
      <c r="F6" s="3069"/>
      <c r="I6" s="822"/>
      <c r="J6" s="562">
        <v>17</v>
      </c>
    </row>
    <row s="10725" customFormat="1" customHeight="1" ht="11.549999999999999">
      <c r="A7" s="608"/>
      <c r="B7" s="608"/>
      <c r="D7" s="821"/>
      <c r="E7" s="821"/>
      <c r="F7" s="859"/>
      <c r="G7" s="821"/>
      <c r="J7" s="584">
        <v>11</v>
      </c>
    </row>
    <row customHeight="1" ht="11.25" hidden="1">
      <c r="A8" s="609"/>
      <c r="B8" s="609"/>
      <c r="C8" s="564"/>
      <c r="D8" s="570"/>
      <c r="E8" s="3075"/>
      <c r="F8" s="3075"/>
      <c r="J8" s="562">
        <v>0</v>
      </c>
    </row>
    <row customHeight="1" ht="11.549999999999999">
      <c r="A9" s="609"/>
      <c r="B9" s="609"/>
      <c r="C9" s="564"/>
      <c r="D9" s="3072" t="s">
        <v>385</v>
      </c>
      <c r="E9" s="3073"/>
      <c r="F9" s="3073"/>
      <c r="G9" s="3076" t="s">
        <v>386</v>
      </c>
      <c r="J9" s="562">
        <v>11</v>
      </c>
    </row>
    <row customHeight="1" ht="11.549999999999999">
      <c r="A10" s="609"/>
      <c r="B10" s="609"/>
      <c r="C10" s="564"/>
      <c r="D10" s="1570" t="s">
        <v>88</v>
      </c>
      <c r="E10" s="1572" t="s">
        <v>387</v>
      </c>
      <c r="F10" s="1572" t="s">
        <v>388</v>
      </c>
      <c r="G10" s="3077"/>
      <c r="J10" s="562">
        <v>11</v>
      </c>
    </row>
    <row customHeight="1" ht="1.05">
      <c r="A11" s="609"/>
      <c r="B11" s="609"/>
      <c r="C11" s="564"/>
      <c r="D11" s="571"/>
      <c r="E11" s="571"/>
      <c r="F11" s="571"/>
      <c r="G11" s="571"/>
      <c r="J11" s="562">
        <v>1</v>
      </c>
    </row>
    <row customHeight="1" ht="24">
      <c r="A12" s="609"/>
      <c r="B12" s="609"/>
      <c r="C12" s="564"/>
      <c r="D12" s="1616">
        <v>1</v>
      </c>
      <c r="E12" s="5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02" t="str">
        <f>IF(org="","",org)</f>
        <v>АО "ДГК"</v>
      </c>
      <c r="G12" s="5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29"/>
      <c r="J12" s="562">
        <v>23</v>
      </c>
    </row>
    <row customHeight="1" ht="19.95">
      <c r="A13" s="609"/>
      <c r="B13" s="609"/>
      <c r="C13" s="564"/>
      <c r="D13" s="1616">
        <v>2</v>
      </c>
      <c r="E13" s="1623" t="s">
        <v>2089</v>
      </c>
      <c r="F13" s="1617" t="s">
        <v>391</v>
      </c>
      <c r="G13" s="581"/>
      <c r="H13" s="1629"/>
      <c r="J13" s="562">
        <v>19</v>
      </c>
    </row>
    <row customHeight="1" ht="19.95">
      <c r="A14" s="609"/>
      <c r="B14" s="609"/>
      <c r="C14" s="564"/>
      <c r="D14" s="1619" t="s">
        <v>848</v>
      </c>
      <c r="E14" s="1620" t="s">
        <v>2090</v>
      </c>
      <c r="F14" s="1622"/>
      <c r="G14" s="1621" t="s">
        <v>2091</v>
      </c>
      <c r="H14" s="1629"/>
      <c r="J14" s="562">
        <v>19</v>
      </c>
    </row>
    <row customHeight="1" ht="19.95">
      <c r="A15" s="609"/>
      <c r="B15" s="609"/>
      <c r="C15" s="564"/>
      <c r="D15" s="1619" t="s">
        <v>392</v>
      </c>
      <c r="E15" s="1620" t="s">
        <v>2092</v>
      </c>
      <c r="F15" s="1622"/>
      <c r="G15" s="1621" t="s">
        <v>2093</v>
      </c>
      <c r="H15" s="1629"/>
      <c r="J15" s="562">
        <v>19</v>
      </c>
    </row>
    <row customHeight="1" ht="24">
      <c r="A16" s="609"/>
      <c r="B16" s="609"/>
      <c r="C16" s="564"/>
      <c r="D16" s="1619" t="s">
        <v>395</v>
      </c>
      <c r="E16" s="1618" t="s">
        <v>2094</v>
      </c>
      <c r="F16" s="1627"/>
      <c r="G16" s="581" t="s">
        <v>2095</v>
      </c>
      <c r="H16" s="1629"/>
      <c r="J16" s="562">
        <v>23</v>
      </c>
    </row>
    <row customHeight="1" ht="48.29999999999999">
      <c r="A17" s="609"/>
      <c r="B17" s="609"/>
      <c r="C17" s="564"/>
      <c r="D17" s="1616">
        <v>3</v>
      </c>
      <c r="E17" s="1623" t="s">
        <v>2096</v>
      </c>
      <c r="F17" s="1622"/>
      <c r="G17" s="581" t="s">
        <v>2097</v>
      </c>
      <c r="H17" s="1629"/>
      <c r="J17" s="562">
        <v>46</v>
      </c>
    </row>
    <row customHeight="1" ht="48.29999999999999">
      <c r="A18" s="1571">
        <v>1</v>
      </c>
      <c r="B18" s="609"/>
      <c r="C18" s="1573"/>
      <c r="D18" s="1616" t="s">
        <v>91</v>
      </c>
      <c r="E18" s="1623" t="s">
        <v>2098</v>
      </c>
      <c r="F18" s="1622"/>
      <c r="G18" s="581" t="s">
        <v>2097</v>
      </c>
      <c r="H18" s="1629"/>
      <c r="I18" s="953"/>
      <c r="J18" s="562">
        <v>46</v>
      </c>
    </row>
    <row customHeight="1" ht="23.25">
      <c r="A19" s="609"/>
      <c r="B19" s="609"/>
      <c r="C19" s="564"/>
      <c r="D19" s="1616" t="s">
        <v>121</v>
      </c>
      <c r="E19" s="1623" t="s">
        <v>2099</v>
      </c>
      <c r="F19" s="1617" t="s">
        <v>391</v>
      </c>
      <c r="G19" s="3312" t="s">
        <v>2100</v>
      </c>
      <c r="H19" s="582"/>
      <c r="J19" s="562">
        <v>22</v>
      </c>
    </row>
    <row s="13140" customFormat="1" customHeight="1" ht="5.25" hidden="1">
      <c r="A20" s="609"/>
      <c r="B20" s="609"/>
      <c r="C20" s="1625"/>
      <c r="D20" s="1624" t="s">
        <v>1408</v>
      </c>
      <c r="E20" s="1114"/>
      <c r="F20" s="1113"/>
      <c r="G20" s="3313"/>
      <c r="J20" s="1626">
        <v>0</v>
      </c>
    </row>
    <row customHeight="1" ht="15.75">
      <c r="A21" s="609"/>
      <c r="B21" s="609"/>
      <c r="C21" s="564"/>
      <c r="D21" s="574"/>
      <c r="E21" s="522" t="s">
        <v>424</v>
      </c>
      <c r="F21" s="576"/>
      <c r="G21" s="3314"/>
      <c r="H21" s="1629"/>
      <c r="J21" s="562">
        <v>15</v>
      </c>
    </row>
    <row s="10766" customFormat="1" customHeight="1" ht="26.25">
      <c r="A22" s="609"/>
      <c r="B22" s="609"/>
      <c r="C22" s="609"/>
      <c r="D22" s="1616" t="s">
        <v>92</v>
      </c>
      <c r="E22" s="581" t="s">
        <v>2101</v>
      </c>
      <c r="F22" s="1622"/>
      <c r="G22" s="581" t="s">
        <v>2102</v>
      </c>
      <c r="H22" s="1628"/>
      <c r="J22" s="608">
        <v>25</v>
      </c>
    </row>
    <row s="10766" customFormat="1" customHeight="1" ht="19.95">
      <c r="A23" s="609"/>
      <c r="B23" s="609"/>
      <c r="C23" s="609"/>
      <c r="D23" s="1616" t="s">
        <v>93</v>
      </c>
      <c r="E23" s="1623" t="s">
        <v>2103</v>
      </c>
      <c r="F23" s="1627"/>
      <c r="G23" s="581" t="s">
        <v>2104</v>
      </c>
      <c r="H23" s="1628"/>
      <c r="J23" s="608">
        <v>19</v>
      </c>
    </row>
    <row s="10766" customFormat="1" customHeight="1" ht="144" hidden="1">
      <c r="A24" s="609"/>
      <c r="B24" s="609"/>
      <c r="C24" s="609"/>
      <c r="D24" s="1616" t="s">
        <v>136</v>
      </c>
      <c r="E24" s="199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92"/>
      <c r="G24" s="199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28"/>
      <c r="J24" s="608">
        <v>0</v>
      </c>
    </row>
    <row customHeight="1" ht="11.25" hidden="1">
      <c r="A25" s="608" t="s">
        <v>82</v>
      </c>
      <c r="B25" s="608">
        <v>0</v>
      </c>
      <c r="C25" s="562">
        <v>3</v>
      </c>
      <c r="D25" s="563">
        <v>6</v>
      </c>
      <c r="E25" s="562">
        <v>52</v>
      </c>
      <c r="F25" s="562">
        <v>48</v>
      </c>
      <c r="G25" s="562">
        <v>93</v>
      </c>
      <c r="H25" s="562">
        <v>8</v>
      </c>
      <c r="I25" s="562">
        <v>64</v>
      </c>
      <c r="J25" s="56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80403-B104-53F8-C157-CFE95B5F458F}" mc:Ignorable="x14ac xr xr2 xr3">
  <dimension ref="A1:IU24"/>
  <sheetViews>
    <sheetView topLeftCell="A1" showGridLines="0" zoomScale="90" workbookViewId="0">
      <selection activeCell="A1" sqref="A1"/>
    </sheetView>
  </sheetViews>
  <sheetFormatPr defaultColWidth="9.140625" customHeight="1" defaultRowHeight="14.25"/>
  <cols>
    <col min="1" max="1" style="10232" width="9.140625" hidden="1"/>
    <col min="2" max="2" style="10306" width="9.140625" hidden="1"/>
    <col min="3" max="3" style="10232" width="3.7109375" hidden="1" customWidth="1"/>
    <col min="4" max="4" style="10409" width="3.00390625" customWidth="1"/>
    <col min="5" max="5" style="10232" width="6.00390625" customWidth="1"/>
    <col min="6" max="6" style="10232" width="46.00390625" customWidth="1"/>
    <col min="7" max="8" style="10232" width="16.00390625" customWidth="1"/>
    <col min="9" max="9" style="10232" width="35.00390625" customWidth="1"/>
    <col min="10" max="10" style="10232" width="89.00390625" customWidth="1"/>
    <col min="11" max="11" style="10410" width="3.00390625" customWidth="1"/>
    <col min="12" max="14" style="10410" width="8.00390625" customWidth="1"/>
    <col min="15" max="15" style="10410" width="25.00390625" customWidth="1"/>
    <col min="16" max="16" style="10410" width="14.00390625" customWidth="1"/>
    <col min="17" max="20" style="10411" width="8.00390625" customWidth="1"/>
    <col min="21" max="254" style="10232" width="8.00390625" customWidth="1"/>
    <col min="255" max="255" style="10232" width="9.140625" hidden="1"/>
  </cols>
  <sheetData>
    <row customHeight="1" ht="22.5" hidden="1">
      <c r="F1" s="1727" t="s">
        <v>2105</v>
      </c>
      <c r="G1" s="1727" t="s">
        <v>47</v>
      </c>
      <c r="H1" s="1727" t="s">
        <v>49</v>
      </c>
      <c r="IU1" s="1251" t="s">
        <v>14</v>
      </c>
    </row>
    <row s="10365" customFormat="1" customHeight="1" ht="22.5" hidden="1">
      <c r="A2" s="932"/>
      <c r="B2" s="1256">
        <v>1</v>
      </c>
      <c r="C2" s="1256"/>
      <c r="D2" s="2019" t="s">
        <v>103</v>
      </c>
      <c r="E2" s="1580"/>
      <c r="F2" s="1587"/>
      <c r="G2" s="1587"/>
      <c r="H2" s="1587"/>
      <c r="I2" s="2075"/>
      <c r="J2" s="2076"/>
      <c r="K2" s="1631"/>
      <c r="L2" s="618"/>
      <c r="M2" s="618"/>
      <c r="N2" s="607" t="str">
        <f t="array" ref="N2:N2">IF(ISERROR(MATCH(MID(O2,1,250),MID(note_ter,1,250),0)),"n","y")</f>
        <v>n</v>
      </c>
      <c r="O2" s="618"/>
      <c r="P2" s="607" t="str">
        <f>G2&amp;"("&amp;J2&amp;")"</f>
        <v>()</v>
      </c>
      <c r="Q2" s="1256"/>
      <c r="R2" s="1256"/>
      <c r="S2" s="527"/>
      <c r="T2" s="1256"/>
      <c r="U2" s="1256"/>
      <c r="V2" s="1256"/>
      <c r="W2" s="529"/>
      <c r="X2" s="529"/>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9"/>
      <c r="BU2" s="529"/>
      <c r="BV2" s="529"/>
      <c r="BW2" s="529"/>
      <c r="BX2" s="529"/>
      <c r="BY2" s="529"/>
      <c r="BZ2" s="529"/>
      <c r="CA2" s="529"/>
      <c r="CB2" s="529"/>
      <c r="CC2" s="529"/>
      <c r="IU2" s="530">
        <v>0</v>
      </c>
    </row>
    <row s="10307" customFormat="1" customHeight="1" ht="4.2">
      <c r="A3" s="603"/>
      <c r="D3" s="601"/>
      <c r="F3" s="355" t="s">
        <v>83</v>
      </c>
      <c r="G3" s="601" t="s">
        <v>84</v>
      </c>
      <c r="H3" s="601"/>
      <c r="I3" s="601"/>
      <c r="J3" s="335" t="s">
        <v>85</v>
      </c>
      <c r="K3" s="355" t="s">
        <v>83</v>
      </c>
      <c r="L3" s="355"/>
      <c r="M3" s="355"/>
      <c r="N3" s="355"/>
      <c r="O3" s="356"/>
      <c r="P3" s="355"/>
      <c r="Q3" s="355"/>
      <c r="R3" s="355"/>
      <c r="S3" s="355"/>
      <c r="T3" s="35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c r="CF3" s="335"/>
      <c r="CG3" s="335"/>
      <c r="CH3" s="335"/>
      <c r="CI3" s="335"/>
      <c r="CJ3" s="335"/>
      <c r="CK3" s="335"/>
      <c r="CL3" s="335"/>
      <c r="CM3" s="335"/>
      <c r="CN3" s="335"/>
      <c r="CO3" s="335"/>
      <c r="CP3" s="335"/>
      <c r="CQ3" s="335"/>
      <c r="CR3" s="335"/>
      <c r="CS3" s="335"/>
      <c r="CT3" s="335"/>
      <c r="CU3" s="335"/>
      <c r="CV3" s="335"/>
      <c r="CW3" s="335"/>
      <c r="CX3" s="335"/>
      <c r="CY3" s="335"/>
      <c r="CZ3" s="335"/>
      <c r="DA3" s="335"/>
      <c r="DB3" s="335"/>
      <c r="DC3" s="335"/>
      <c r="DD3" s="335"/>
      <c r="DE3" s="335"/>
      <c r="DF3" s="335"/>
      <c r="DG3" s="335"/>
      <c r="DH3" s="335"/>
      <c r="DI3" s="335"/>
      <c r="DJ3" s="335"/>
      <c r="DK3" s="335"/>
      <c r="DL3" s="335"/>
      <c r="DM3" s="335"/>
      <c r="DN3" s="335"/>
      <c r="DO3" s="335"/>
      <c r="DP3" s="335"/>
      <c r="DQ3" s="335"/>
      <c r="DR3" s="335"/>
      <c r="DS3" s="335"/>
      <c r="DT3" s="335"/>
      <c r="DU3" s="335"/>
      <c r="DV3" s="335"/>
      <c r="DW3" s="335"/>
      <c r="DX3" s="335"/>
      <c r="DY3" s="335"/>
      <c r="DZ3" s="335"/>
      <c r="EA3" s="335"/>
      <c r="EB3" s="335"/>
      <c r="EC3" s="335"/>
      <c r="ED3" s="335"/>
      <c r="EE3" s="335"/>
      <c r="EF3" s="335"/>
      <c r="EG3" s="335"/>
      <c r="EH3" s="335"/>
      <c r="EI3" s="335"/>
      <c r="EJ3" s="335"/>
      <c r="EK3" s="335"/>
      <c r="EL3" s="335"/>
      <c r="EM3" s="335"/>
      <c r="EN3" s="335"/>
      <c r="EO3" s="335"/>
      <c r="EP3" s="335"/>
      <c r="EQ3" s="335"/>
      <c r="ER3" s="335"/>
      <c r="ES3" s="335"/>
      <c r="ET3" s="335"/>
      <c r="EU3" s="335"/>
      <c r="EV3" s="335"/>
      <c r="EW3" s="335"/>
      <c r="EX3" s="335"/>
      <c r="EY3" s="335"/>
      <c r="EZ3" s="335"/>
      <c r="FA3" s="335"/>
      <c r="FB3" s="335"/>
      <c r="FC3" s="335"/>
      <c r="FD3" s="335"/>
      <c r="FE3" s="335"/>
      <c r="FF3" s="335"/>
      <c r="FG3" s="335"/>
      <c r="FH3" s="335"/>
      <c r="FI3" s="335"/>
      <c r="FJ3" s="335"/>
      <c r="FK3" s="335"/>
      <c r="FL3" s="335"/>
      <c r="FM3" s="335"/>
      <c r="FN3" s="335"/>
      <c r="FO3" s="335"/>
      <c r="FP3" s="335"/>
      <c r="FQ3" s="335"/>
      <c r="FR3" s="335"/>
      <c r="FS3" s="335"/>
      <c r="FT3" s="335"/>
      <c r="FU3" s="335"/>
      <c r="FV3" s="335"/>
      <c r="FW3" s="335"/>
      <c r="FX3" s="335"/>
      <c r="FY3" s="335"/>
      <c r="FZ3" s="335"/>
      <c r="GA3" s="335"/>
      <c r="GB3" s="335"/>
      <c r="GC3" s="335"/>
      <c r="GD3" s="335"/>
      <c r="GE3" s="335"/>
      <c r="GF3" s="335"/>
      <c r="GG3" s="335"/>
      <c r="GH3" s="335"/>
      <c r="GI3" s="335"/>
      <c r="GJ3" s="335"/>
      <c r="GK3" s="335"/>
      <c r="GL3" s="335"/>
      <c r="GM3" s="335"/>
      <c r="GN3" s="335"/>
      <c r="GO3" s="335"/>
      <c r="GP3" s="335"/>
      <c r="GQ3" s="335"/>
      <c r="GR3" s="335"/>
      <c r="GS3" s="335"/>
      <c r="GT3" s="335"/>
      <c r="GU3" s="335"/>
      <c r="GV3" s="335"/>
      <c r="GW3" s="335"/>
      <c r="GX3" s="335"/>
      <c r="GY3" s="335"/>
      <c r="GZ3" s="335"/>
      <c r="HA3" s="335"/>
      <c r="HB3" s="335"/>
      <c r="HC3" s="335"/>
      <c r="HD3" s="335"/>
      <c r="HE3" s="335"/>
      <c r="HF3" s="335"/>
      <c r="HG3" s="335"/>
      <c r="HH3" s="335"/>
      <c r="HI3" s="335"/>
      <c r="HJ3" s="335"/>
      <c r="HK3" s="335"/>
      <c r="HL3" s="335"/>
      <c r="HM3" s="335"/>
      <c r="HN3" s="335"/>
      <c r="HO3" s="335"/>
      <c r="HP3" s="335"/>
      <c r="HQ3" s="335"/>
      <c r="HR3" s="335"/>
      <c r="HS3" s="335"/>
      <c r="HT3" s="335"/>
      <c r="HU3" s="335"/>
      <c r="HV3" s="335"/>
      <c r="HW3" s="335"/>
      <c r="HX3" s="335"/>
      <c r="HY3" s="335"/>
      <c r="HZ3" s="335"/>
      <c r="IA3" s="335"/>
      <c r="IB3" s="335"/>
      <c r="IC3" s="335"/>
      <c r="ID3" s="335"/>
      <c r="IE3" s="335"/>
      <c r="IF3" s="335"/>
      <c r="IG3" s="335"/>
      <c r="IH3" s="335"/>
      <c r="II3" s="335"/>
      <c r="IJ3" s="335"/>
      <c r="IK3" s="335"/>
      <c r="IL3" s="335"/>
      <c r="IM3" s="335"/>
      <c r="IN3" s="335"/>
      <c r="IO3" s="335"/>
      <c r="IP3" s="335"/>
      <c r="IQ3" s="335"/>
      <c r="IR3" s="335"/>
      <c r="IS3" s="335"/>
      <c r="IT3" s="335"/>
      <c r="IU3" s="618">
        <v>4</v>
      </c>
    </row>
    <row s="10322" customFormat="1" customHeight="1" ht="14.699999999999998">
      <c r="A4" s="1251"/>
      <c r="B4" s="1256"/>
      <c r="C4" s="1251"/>
      <c r="D4" s="1591"/>
      <c r="E4" s="616"/>
      <c r="F4" s="1738"/>
      <c r="G4" s="616"/>
      <c r="H4" s="616"/>
      <c r="I4" s="616"/>
      <c r="J4" s="274"/>
      <c r="K4" s="355"/>
      <c r="L4" s="607"/>
      <c r="M4" s="607"/>
      <c r="N4" s="607"/>
      <c r="O4" s="334"/>
      <c r="P4" s="607"/>
      <c r="Q4" s="333"/>
      <c r="R4" s="333"/>
      <c r="S4" s="333"/>
      <c r="T4" s="333"/>
      <c r="IU4" s="614">
        <v>14</v>
      </c>
    </row>
    <row s="10322" customFormat="1" customHeight="1" ht="27.299999999999997">
      <c r="A5" s="1251"/>
      <c r="B5" s="1256"/>
      <c r="C5" s="1251"/>
      <c r="D5" s="1591"/>
      <c r="E5" s="29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964"/>
      <c r="G5" s="2964"/>
      <c r="H5" s="2964"/>
      <c r="I5" s="2964"/>
      <c r="J5" s="2964"/>
      <c r="K5" s="355"/>
      <c r="L5" s="607"/>
      <c r="M5" s="607"/>
      <c r="N5" s="607"/>
      <c r="O5" s="334"/>
      <c r="P5" s="607"/>
      <c r="Q5" s="333"/>
      <c r="R5" s="333"/>
      <c r="S5" s="333"/>
      <c r="T5" s="333"/>
      <c r="IU5" s="614">
        <v>26</v>
      </c>
    </row>
    <row s="10322" customFormat="1" customHeight="1" ht="14.699999999999998">
      <c r="A6" s="1251"/>
      <c r="B6" s="1256"/>
      <c r="C6" s="1251"/>
      <c r="D6" s="1591"/>
      <c r="E6" s="616"/>
      <c r="F6" s="275"/>
      <c r="G6" s="275"/>
      <c r="H6" s="275"/>
      <c r="I6" s="275"/>
      <c r="J6" s="276"/>
      <c r="K6" s="607"/>
      <c r="L6" s="607"/>
      <c r="M6" s="607"/>
      <c r="N6" s="607"/>
      <c r="O6" s="334"/>
      <c r="P6" s="607"/>
      <c r="Q6" s="333"/>
      <c r="R6" s="333"/>
      <c r="S6" s="333"/>
      <c r="T6" s="333"/>
      <c r="IU6" s="614">
        <v>14</v>
      </c>
    </row>
    <row s="10322" customFormat="1" customHeight="1" ht="14.699999999999998">
      <c r="A7" s="1251"/>
      <c r="B7" s="1256"/>
      <c r="C7" s="1251"/>
      <c r="D7" s="1591"/>
      <c r="E7" s="2959" t="s">
        <v>385</v>
      </c>
      <c r="F7" s="2965"/>
      <c r="G7" s="2965"/>
      <c r="H7" s="2965"/>
      <c r="I7" s="2965"/>
      <c r="J7" s="3315" t="s">
        <v>386</v>
      </c>
      <c r="K7" s="607"/>
      <c r="L7" s="607"/>
      <c r="M7" s="607"/>
      <c r="N7" s="607"/>
      <c r="O7" s="334"/>
      <c r="P7" s="607"/>
      <c r="Q7" s="333"/>
      <c r="R7" s="333"/>
      <c r="S7" s="333"/>
      <c r="T7" s="333"/>
      <c r="IU7" s="614">
        <v>14</v>
      </c>
    </row>
    <row s="10322" customFormat="1" customHeight="1" ht="21">
      <c r="A8" s="1251"/>
      <c r="B8" s="1256"/>
      <c r="C8" s="1251"/>
      <c r="D8" s="1591"/>
      <c r="E8" s="1644" t="s">
        <v>88</v>
      </c>
      <c r="F8" s="1636" t="s">
        <v>2105</v>
      </c>
      <c r="G8" s="1636" t="s">
        <v>47</v>
      </c>
      <c r="H8" s="1636" t="s">
        <v>49</v>
      </c>
      <c r="I8" s="1636" t="s">
        <v>2106</v>
      </c>
      <c r="J8" s="3316"/>
      <c r="K8" s="607"/>
      <c r="L8" s="607"/>
      <c r="M8" s="607"/>
      <c r="N8" s="607"/>
      <c r="O8" s="334"/>
      <c r="P8" s="607"/>
      <c r="Q8" s="333"/>
      <c r="R8" s="333"/>
      <c r="S8" s="333"/>
      <c r="T8" s="333"/>
      <c r="IU8" s="614">
        <v>20</v>
      </c>
    </row>
    <row s="10365" customFormat="1" customHeight="1" ht="23.25">
      <c r="A9" s="1727"/>
      <c r="B9" s="1256">
        <v>1</v>
      </c>
      <c r="C9" s="1256"/>
      <c r="D9" s="902"/>
      <c r="E9" s="1580">
        <v>1</v>
      </c>
      <c r="F9" s="1643"/>
      <c r="G9" s="1587"/>
      <c r="H9" s="1587"/>
      <c r="I9" s="1634"/>
      <c r="J9" s="30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31"/>
      <c r="L9" s="618"/>
      <c r="M9" s="618"/>
      <c r="N9" s="607" t="str">
        <f t="array" ref="N9:N9">IF(ISERROR(MATCH(MID(O9,1,250),MID(note_ter,1,250),0)),"n","y")</f>
        <v>n</v>
      </c>
      <c r="O9" s="618"/>
      <c r="P9" s="6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56"/>
      <c r="R9" s="1256"/>
      <c r="S9" s="527"/>
      <c r="T9" s="1256"/>
      <c r="U9" s="1256"/>
      <c r="V9" s="1256"/>
      <c r="W9" s="529"/>
      <c r="X9" s="529"/>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6"/>
      <c r="AY9" s="526"/>
      <c r="AZ9" s="526"/>
      <c r="BA9" s="526"/>
      <c r="BB9" s="526"/>
      <c r="BC9" s="526"/>
      <c r="BD9" s="526"/>
      <c r="BE9" s="526"/>
      <c r="BF9" s="526"/>
      <c r="BG9" s="526"/>
      <c r="BH9" s="526"/>
      <c r="BI9" s="526"/>
      <c r="BJ9" s="526"/>
      <c r="BK9" s="526"/>
      <c r="BL9" s="526"/>
      <c r="BM9" s="526"/>
      <c r="BN9" s="526"/>
      <c r="BO9" s="526"/>
      <c r="BP9" s="526"/>
      <c r="BQ9" s="526"/>
      <c r="BR9" s="526"/>
      <c r="BS9" s="526"/>
      <c r="BT9" s="529"/>
      <c r="BU9" s="529"/>
      <c r="BV9" s="529"/>
      <c r="BW9" s="529"/>
      <c r="BX9" s="529"/>
      <c r="BY9" s="529"/>
      <c r="BZ9" s="529"/>
      <c r="CA9" s="529"/>
      <c r="CB9" s="529"/>
      <c r="CC9" s="529"/>
      <c r="IU9" s="530">
        <v>22</v>
      </c>
    </row>
    <row s="10365" customFormat="1" customHeight="1" ht="15.75">
      <c r="A10" s="1727"/>
      <c r="B10" s="1256"/>
      <c r="C10" s="519"/>
      <c r="D10" s="902"/>
      <c r="E10" s="1637"/>
      <c r="F10" s="1596" t="s">
        <v>2107</v>
      </c>
      <c r="G10" s="1638"/>
      <c r="H10" s="1638"/>
      <c r="I10" s="1993"/>
      <c r="J10" s="3034"/>
      <c r="K10" s="1632"/>
      <c r="L10" s="618"/>
      <c r="M10" s="618"/>
      <c r="N10" s="618"/>
      <c r="O10" s="607"/>
      <c r="P10" s="618"/>
      <c r="Q10" s="1256"/>
      <c r="R10" s="1256"/>
      <c r="S10" s="527"/>
      <c r="T10" s="1256"/>
      <c r="U10" s="1256"/>
      <c r="V10" s="1256"/>
      <c r="W10" s="529"/>
      <c r="X10" s="529"/>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6"/>
      <c r="BT10" s="529"/>
      <c r="BU10" s="529"/>
      <c r="BV10" s="529"/>
      <c r="BW10" s="529"/>
      <c r="BX10" s="529"/>
      <c r="BY10" s="529"/>
      <c r="BZ10" s="529"/>
      <c r="CA10" s="529"/>
      <c r="CB10" s="529"/>
      <c r="CC10" s="529"/>
      <c r="IU10" s="530">
        <v>15</v>
      </c>
    </row>
    <row s="10322" customFormat="1" customHeight="1" ht="22.049999999999997">
      <c r="A11" s="1251"/>
      <c r="B11" s="1256"/>
      <c r="C11" s="1251"/>
      <c r="D11" s="558"/>
      <c r="E11" s="288"/>
      <c r="F11" s="288"/>
      <c r="G11" s="288"/>
      <c r="H11" s="288"/>
      <c r="I11" s="288"/>
      <c r="J11" s="288"/>
      <c r="K11" s="607"/>
      <c r="L11" s="607"/>
      <c r="M11" s="607"/>
      <c r="N11" s="607"/>
      <c r="O11" s="334"/>
      <c r="P11" s="607"/>
      <c r="Q11" s="333"/>
      <c r="R11" s="333"/>
      <c r="S11" s="333"/>
      <c r="T11" s="333"/>
      <c r="IU11" s="614">
        <v>21</v>
      </c>
    </row>
    <row s="10322" customFormat="1" customHeight="1" ht="14.699999999999998">
      <c r="A12" s="1251"/>
      <c r="B12" s="1256"/>
      <c r="C12" s="1251"/>
      <c r="D12" s="558"/>
      <c r="E12" s="1251"/>
      <c r="F12" s="1251"/>
      <c r="G12" s="1251"/>
      <c r="H12" s="1251"/>
      <c r="I12" s="1251"/>
      <c r="J12" s="1251"/>
      <c r="K12" s="607"/>
      <c r="L12" s="607"/>
      <c r="M12" s="607"/>
      <c r="N12" s="607"/>
      <c r="O12" s="334"/>
      <c r="P12" s="607"/>
      <c r="Q12" s="333"/>
      <c r="R12" s="333"/>
      <c r="S12" s="333"/>
      <c r="T12" s="333"/>
      <c r="IU12" s="614">
        <v>14</v>
      </c>
    </row>
    <row s="10322" customFormat="1" customHeight="1" ht="1.05">
      <c r="A13" s="1251"/>
      <c r="B13" s="1256"/>
      <c r="C13" s="1251"/>
      <c r="D13" s="558"/>
      <c r="E13" s="1251"/>
      <c r="F13" s="1251"/>
      <c r="G13" s="1251"/>
      <c r="H13" s="1251"/>
      <c r="I13" s="1251"/>
      <c r="J13" s="1251"/>
      <c r="K13" s="607"/>
      <c r="L13" s="607"/>
      <c r="M13" s="607"/>
      <c r="N13" s="607"/>
      <c r="O13" s="334"/>
      <c r="P13" s="607"/>
      <c r="Q13" s="333"/>
      <c r="R13" s="333"/>
      <c r="S13" s="333"/>
      <c r="T13" s="333"/>
      <c r="IU13" s="614">
        <v>1</v>
      </c>
    </row>
    <row s="10404" customFormat="1" customHeight="1" ht="10.5">
      <c r="B14" s="935"/>
      <c r="D14" s="290"/>
      <c r="K14" s="607"/>
      <c r="L14" s="607"/>
      <c r="M14" s="607"/>
      <c r="N14" s="607"/>
      <c r="O14" s="334"/>
      <c r="P14" s="607"/>
      <c r="Q14" s="333"/>
      <c r="R14" s="333"/>
      <c r="S14" s="333"/>
      <c r="T14" s="333"/>
      <c r="IU14" s="289">
        <v>10</v>
      </c>
    </row>
    <row s="10404" customFormat="1" customHeight="1" ht="10.5">
      <c r="B15" s="935"/>
      <c r="D15" s="290"/>
      <c r="K15" s="607"/>
      <c r="L15" s="607"/>
      <c r="M15" s="607"/>
      <c r="N15" s="607"/>
      <c r="O15" s="334"/>
      <c r="P15" s="607"/>
      <c r="Q15" s="333"/>
      <c r="R15" s="333"/>
      <c r="S15" s="333"/>
      <c r="T15" s="333"/>
      <c r="IU15" s="289">
        <v>10</v>
      </c>
    </row>
    <row customHeight="1" ht="14.699999999999998">
      <c r="IU16" s="1251">
        <v>14</v>
      </c>
    </row>
    <row customHeight="1" ht="14.699999999999998">
      <c r="IU17" s="1251">
        <v>14</v>
      </c>
    </row>
    <row customHeight="1" ht="14.699999999999998">
      <c r="IU18" s="1251">
        <v>14</v>
      </c>
    </row>
    <row customHeight="1" ht="14.699999999999998">
      <c r="G19" s="480"/>
      <c r="H19" s="480"/>
      <c r="I19" s="480"/>
      <c r="IU19" s="1251">
        <v>14</v>
      </c>
    </row>
    <row customHeight="1" ht="14.699999999999998">
      <c r="IU20" s="1251">
        <v>14</v>
      </c>
    </row>
    <row customHeight="1" ht="14.699999999999998">
      <c r="IU21" s="1251">
        <v>14</v>
      </c>
    </row>
    <row customHeight="1" ht="14.699999999999998">
      <c r="IU22" s="1251">
        <v>14</v>
      </c>
    </row>
    <row customHeight="1" ht="14.699999999999998">
      <c r="K23" s="1251"/>
      <c r="L23" s="1251"/>
      <c r="M23" s="1251"/>
      <c r="IU23" s="1251">
        <v>14</v>
      </c>
    </row>
    <row customHeight="1" ht="22.5" hidden="1">
      <c r="A24" s="1251" t="s">
        <v>82</v>
      </c>
      <c r="B24" s="1256">
        <v>0</v>
      </c>
      <c r="C24" s="1251">
        <v>0</v>
      </c>
      <c r="D24" s="558">
        <v>3</v>
      </c>
      <c r="E24" s="1251">
        <v>6</v>
      </c>
      <c r="F24" s="1251">
        <v>46</v>
      </c>
      <c r="G24" s="1251">
        <v>16</v>
      </c>
      <c r="H24" s="1251">
        <v>16</v>
      </c>
      <c r="I24" s="1251">
        <v>35</v>
      </c>
      <c r="J24" s="1251">
        <v>89</v>
      </c>
      <c r="K24" s="607">
        <v>3</v>
      </c>
      <c r="L24" s="607">
        <v>8</v>
      </c>
      <c r="M24" s="607">
        <v>8</v>
      </c>
      <c r="N24" s="607">
        <v>8</v>
      </c>
      <c r="O24" s="334">
        <v>25</v>
      </c>
      <c r="P24" s="607">
        <v>14</v>
      </c>
      <c r="Q24" s="333">
        <v>8</v>
      </c>
      <c r="R24" s="333">
        <v>8</v>
      </c>
      <c r="S24" s="333">
        <v>8</v>
      </c>
      <c r="T24" s="333">
        <v>8</v>
      </c>
      <c r="U24" s="1251">
        <v>8</v>
      </c>
      <c r="V24" s="1251">
        <v>8</v>
      </c>
      <c r="W24" s="1251">
        <v>8</v>
      </c>
      <c r="X24" s="1251">
        <v>8</v>
      </c>
      <c r="Y24" s="1251">
        <v>8</v>
      </c>
      <c r="Z24" s="1251">
        <v>8</v>
      </c>
      <c r="AA24" s="1251">
        <v>8</v>
      </c>
      <c r="AB24" s="1251">
        <v>8</v>
      </c>
      <c r="AC24" s="1251">
        <v>8</v>
      </c>
      <c r="AD24" s="1251">
        <v>8</v>
      </c>
      <c r="AE24" s="1251">
        <v>8</v>
      </c>
      <c r="AF24" s="1251">
        <v>8</v>
      </c>
      <c r="AG24" s="1251">
        <v>8</v>
      </c>
      <c r="AH24" s="1251">
        <v>8</v>
      </c>
      <c r="AI24" s="1251">
        <v>8</v>
      </c>
      <c r="AJ24" s="1251">
        <v>8</v>
      </c>
      <c r="AK24" s="1251">
        <v>8</v>
      </c>
      <c r="AL24" s="1251">
        <v>8</v>
      </c>
      <c r="AM24" s="1251">
        <v>8</v>
      </c>
      <c r="AN24" s="1251">
        <v>8</v>
      </c>
      <c r="AO24" s="1251">
        <v>8</v>
      </c>
      <c r="AP24" s="1251">
        <v>8</v>
      </c>
      <c r="AQ24" s="1251">
        <v>8</v>
      </c>
      <c r="AR24" s="1251">
        <v>8</v>
      </c>
      <c r="AS24" s="1251">
        <v>8</v>
      </c>
      <c r="AT24" s="1251">
        <v>8</v>
      </c>
      <c r="AU24" s="1251">
        <v>8</v>
      </c>
      <c r="AV24" s="1251">
        <v>8</v>
      </c>
      <c r="AW24" s="1251">
        <v>8</v>
      </c>
      <c r="AX24" s="1251">
        <v>8</v>
      </c>
      <c r="AY24" s="1251">
        <v>8</v>
      </c>
      <c r="AZ24" s="1251">
        <v>8</v>
      </c>
      <c r="BA24" s="1251">
        <v>8</v>
      </c>
      <c r="BB24" s="1251">
        <v>8</v>
      </c>
      <c r="BC24" s="1251">
        <v>8</v>
      </c>
      <c r="BD24" s="1251">
        <v>8</v>
      </c>
      <c r="BE24" s="1251">
        <v>8</v>
      </c>
      <c r="BF24" s="1251">
        <v>8</v>
      </c>
      <c r="BG24" s="1251">
        <v>8</v>
      </c>
      <c r="BH24" s="1251">
        <v>8</v>
      </c>
      <c r="BI24" s="1251">
        <v>8</v>
      </c>
      <c r="BJ24" s="1251">
        <v>8</v>
      </c>
      <c r="BK24" s="1251">
        <v>8</v>
      </c>
      <c r="BL24" s="1251">
        <v>8</v>
      </c>
      <c r="BM24" s="1251">
        <v>8</v>
      </c>
      <c r="BN24" s="1251">
        <v>8</v>
      </c>
      <c r="BO24" s="1251">
        <v>8</v>
      </c>
      <c r="BP24" s="1251">
        <v>8</v>
      </c>
      <c r="BQ24" s="1251">
        <v>8</v>
      </c>
      <c r="BR24" s="1251">
        <v>8</v>
      </c>
      <c r="BS24" s="1251">
        <v>8</v>
      </c>
      <c r="BT24" s="1251">
        <v>8</v>
      </c>
      <c r="BU24" s="1251">
        <v>8</v>
      </c>
      <c r="BV24" s="1251">
        <v>8</v>
      </c>
      <c r="BW24" s="1251">
        <v>8</v>
      </c>
      <c r="BX24" s="1251">
        <v>8</v>
      </c>
      <c r="BY24" s="1251">
        <v>8</v>
      </c>
      <c r="BZ24" s="1251">
        <v>8</v>
      </c>
      <c r="CA24" s="1251">
        <v>8</v>
      </c>
      <c r="CB24" s="1251">
        <v>8</v>
      </c>
      <c r="CC24" s="1251">
        <v>8</v>
      </c>
      <c r="CD24" s="1251">
        <v>8</v>
      </c>
      <c r="CE24" s="1251">
        <v>8</v>
      </c>
      <c r="CF24" s="1251">
        <v>8</v>
      </c>
      <c r="CG24" s="1251">
        <v>8</v>
      </c>
      <c r="CH24" s="1251">
        <v>8</v>
      </c>
      <c r="CI24" s="1251">
        <v>8</v>
      </c>
      <c r="CJ24" s="1251">
        <v>8</v>
      </c>
      <c r="CK24" s="1251">
        <v>8</v>
      </c>
      <c r="CL24" s="1251">
        <v>8</v>
      </c>
      <c r="CM24" s="1251">
        <v>8</v>
      </c>
      <c r="CN24" s="1251">
        <v>8</v>
      </c>
      <c r="CO24" s="1251">
        <v>8</v>
      </c>
      <c r="CP24" s="1251">
        <v>8</v>
      </c>
      <c r="CQ24" s="1251">
        <v>8</v>
      </c>
      <c r="CR24" s="1251">
        <v>8</v>
      </c>
      <c r="CS24" s="1251">
        <v>8</v>
      </c>
      <c r="CT24" s="1251">
        <v>8</v>
      </c>
      <c r="CU24" s="1251">
        <v>8</v>
      </c>
      <c r="CV24" s="1251">
        <v>8</v>
      </c>
      <c r="CW24" s="1251">
        <v>8</v>
      </c>
      <c r="CX24" s="1251">
        <v>8</v>
      </c>
      <c r="CY24" s="1251">
        <v>8</v>
      </c>
      <c r="CZ24" s="1251">
        <v>8</v>
      </c>
      <c r="DA24" s="1251">
        <v>8</v>
      </c>
      <c r="DB24" s="1251">
        <v>8</v>
      </c>
      <c r="DC24" s="1251">
        <v>8</v>
      </c>
      <c r="DD24" s="1251">
        <v>8</v>
      </c>
      <c r="DE24" s="1251">
        <v>8</v>
      </c>
      <c r="DF24" s="1251">
        <v>8</v>
      </c>
      <c r="DG24" s="1251">
        <v>8</v>
      </c>
      <c r="DH24" s="1251">
        <v>8</v>
      </c>
      <c r="DI24" s="1251">
        <v>8</v>
      </c>
      <c r="DJ24" s="1251">
        <v>8</v>
      </c>
      <c r="DK24" s="1251">
        <v>8</v>
      </c>
      <c r="DL24" s="1251">
        <v>8</v>
      </c>
      <c r="DM24" s="1251">
        <v>8</v>
      </c>
      <c r="DN24" s="1251">
        <v>8</v>
      </c>
      <c r="DO24" s="1251">
        <v>8</v>
      </c>
      <c r="DP24" s="1251">
        <v>8</v>
      </c>
      <c r="DQ24" s="1251">
        <v>8</v>
      </c>
      <c r="DR24" s="1251">
        <v>8</v>
      </c>
      <c r="DS24" s="1251">
        <v>8</v>
      </c>
      <c r="DT24" s="1251">
        <v>8</v>
      </c>
      <c r="DU24" s="1251">
        <v>8</v>
      </c>
      <c r="DV24" s="1251">
        <v>8</v>
      </c>
      <c r="DW24" s="1251">
        <v>8</v>
      </c>
      <c r="DX24" s="1251">
        <v>8</v>
      </c>
      <c r="DY24" s="1251">
        <v>8</v>
      </c>
      <c r="DZ24" s="1251">
        <v>8</v>
      </c>
      <c r="EA24" s="1251">
        <v>8</v>
      </c>
      <c r="EB24" s="1251">
        <v>8</v>
      </c>
      <c r="EC24" s="1251">
        <v>8</v>
      </c>
      <c r="ED24" s="1251">
        <v>8</v>
      </c>
      <c r="EE24" s="1251">
        <v>8</v>
      </c>
      <c r="EF24" s="1251">
        <v>8</v>
      </c>
      <c r="EG24" s="1251">
        <v>8</v>
      </c>
      <c r="EH24" s="1251">
        <v>8</v>
      </c>
      <c r="EI24" s="1251">
        <v>8</v>
      </c>
      <c r="EJ24" s="1251">
        <v>8</v>
      </c>
      <c r="EK24" s="1251">
        <v>8</v>
      </c>
      <c r="EL24" s="1251">
        <v>8</v>
      </c>
      <c r="EM24" s="1251">
        <v>8</v>
      </c>
      <c r="EN24" s="1251">
        <v>8</v>
      </c>
      <c r="EO24" s="1251">
        <v>8</v>
      </c>
      <c r="EP24" s="1251">
        <v>8</v>
      </c>
      <c r="EQ24" s="1251">
        <v>8</v>
      </c>
      <c r="ER24" s="1251">
        <v>8</v>
      </c>
      <c r="ES24" s="1251">
        <v>8</v>
      </c>
      <c r="ET24" s="1251">
        <v>8</v>
      </c>
      <c r="EU24" s="1251">
        <v>8</v>
      </c>
      <c r="EV24" s="1251">
        <v>8</v>
      </c>
      <c r="EW24" s="1251">
        <v>8</v>
      </c>
      <c r="EX24" s="1251">
        <v>8</v>
      </c>
      <c r="EY24" s="1251">
        <v>8</v>
      </c>
      <c r="EZ24" s="1251">
        <v>8</v>
      </c>
      <c r="FA24" s="1251">
        <v>8</v>
      </c>
      <c r="FB24" s="1251">
        <v>8</v>
      </c>
      <c r="FC24" s="1251">
        <v>8</v>
      </c>
      <c r="FD24" s="1251">
        <v>8</v>
      </c>
      <c r="FE24" s="1251">
        <v>8</v>
      </c>
      <c r="FF24" s="1251">
        <v>8</v>
      </c>
      <c r="FG24" s="1251">
        <v>8</v>
      </c>
      <c r="FH24" s="1251">
        <v>8</v>
      </c>
      <c r="FI24" s="1251">
        <v>8</v>
      </c>
      <c r="FJ24" s="1251">
        <v>8</v>
      </c>
      <c r="FK24" s="1251">
        <v>8</v>
      </c>
      <c r="FL24" s="1251">
        <v>8</v>
      </c>
      <c r="FM24" s="1251">
        <v>8</v>
      </c>
      <c r="FN24" s="1251">
        <v>8</v>
      </c>
      <c r="FO24" s="1251">
        <v>8</v>
      </c>
      <c r="FP24" s="1251">
        <v>8</v>
      </c>
      <c r="FQ24" s="1251">
        <v>8</v>
      </c>
      <c r="FR24" s="1251">
        <v>8</v>
      </c>
      <c r="FS24" s="1251">
        <v>8</v>
      </c>
      <c r="FT24" s="1251">
        <v>8</v>
      </c>
      <c r="FU24" s="1251">
        <v>8</v>
      </c>
      <c r="FV24" s="1251">
        <v>8</v>
      </c>
      <c r="FW24" s="1251">
        <v>8</v>
      </c>
      <c r="FX24" s="1251">
        <v>8</v>
      </c>
      <c r="FY24" s="1251">
        <v>8</v>
      </c>
      <c r="FZ24" s="1251">
        <v>8</v>
      </c>
      <c r="GA24" s="1251">
        <v>8</v>
      </c>
      <c r="GB24" s="1251">
        <v>8</v>
      </c>
      <c r="GC24" s="1251">
        <v>8</v>
      </c>
      <c r="GD24" s="1251">
        <v>8</v>
      </c>
      <c r="GE24" s="1251">
        <v>8</v>
      </c>
      <c r="GF24" s="1251">
        <v>8</v>
      </c>
      <c r="GG24" s="1251">
        <v>8</v>
      </c>
      <c r="GH24" s="1251">
        <v>8</v>
      </c>
      <c r="GI24" s="1251">
        <v>8</v>
      </c>
      <c r="GJ24" s="1251">
        <v>8</v>
      </c>
      <c r="GK24" s="1251">
        <v>8</v>
      </c>
      <c r="GL24" s="1251">
        <v>8</v>
      </c>
      <c r="GM24" s="1251">
        <v>8</v>
      </c>
      <c r="GN24" s="1251">
        <v>8</v>
      </c>
      <c r="GO24" s="1251">
        <v>8</v>
      </c>
      <c r="GP24" s="1251">
        <v>8</v>
      </c>
      <c r="GQ24" s="1251">
        <v>8</v>
      </c>
      <c r="GR24" s="1251">
        <v>8</v>
      </c>
      <c r="GS24" s="1251">
        <v>8</v>
      </c>
      <c r="GT24" s="1251">
        <v>8</v>
      </c>
      <c r="GU24" s="1251">
        <v>8</v>
      </c>
      <c r="GV24" s="1251">
        <v>8</v>
      </c>
      <c r="GW24" s="1251">
        <v>8</v>
      </c>
      <c r="GX24" s="1251">
        <v>8</v>
      </c>
      <c r="GY24" s="1251">
        <v>8</v>
      </c>
      <c r="GZ24" s="1251">
        <v>8</v>
      </c>
      <c r="HA24" s="1251">
        <v>8</v>
      </c>
      <c r="HB24" s="1251">
        <v>8</v>
      </c>
      <c r="HC24" s="1251">
        <v>8</v>
      </c>
      <c r="HD24" s="1251">
        <v>8</v>
      </c>
      <c r="HE24" s="1251">
        <v>8</v>
      </c>
      <c r="HF24" s="1251">
        <v>8</v>
      </c>
      <c r="HG24" s="1251">
        <v>8</v>
      </c>
      <c r="HH24" s="1251">
        <v>8</v>
      </c>
      <c r="HI24" s="1251">
        <v>8</v>
      </c>
      <c r="HJ24" s="1251">
        <v>8</v>
      </c>
      <c r="HK24" s="1251">
        <v>8</v>
      </c>
      <c r="HL24" s="1251">
        <v>8</v>
      </c>
      <c r="HM24" s="1251">
        <v>8</v>
      </c>
      <c r="HN24" s="1251">
        <v>8</v>
      </c>
      <c r="HO24" s="1251">
        <v>8</v>
      </c>
      <c r="HP24" s="1251">
        <v>8</v>
      </c>
      <c r="HQ24" s="1251">
        <v>8</v>
      </c>
      <c r="HR24" s="1251">
        <v>8</v>
      </c>
      <c r="HS24" s="1251">
        <v>8</v>
      </c>
      <c r="HT24" s="1251">
        <v>8</v>
      </c>
      <c r="HU24" s="1251">
        <v>8</v>
      </c>
      <c r="HV24" s="1251">
        <v>8</v>
      </c>
      <c r="HW24" s="1251">
        <v>8</v>
      </c>
      <c r="HX24" s="1251">
        <v>8</v>
      </c>
      <c r="HY24" s="1251">
        <v>8</v>
      </c>
      <c r="HZ24" s="1251">
        <v>8</v>
      </c>
      <c r="IA24" s="1251">
        <v>8</v>
      </c>
      <c r="IB24" s="1251">
        <v>8</v>
      </c>
      <c r="IC24" s="1251">
        <v>8</v>
      </c>
      <c r="ID24" s="1251">
        <v>8</v>
      </c>
      <c r="IE24" s="1251">
        <v>8</v>
      </c>
      <c r="IF24" s="1251">
        <v>8</v>
      </c>
      <c r="IG24" s="1251">
        <v>8</v>
      </c>
      <c r="IH24" s="1251">
        <v>8</v>
      </c>
      <c r="II24" s="1251">
        <v>8</v>
      </c>
      <c r="IJ24" s="1251">
        <v>8</v>
      </c>
      <c r="IK24" s="1251">
        <v>8</v>
      </c>
      <c r="IL24" s="1251">
        <v>8</v>
      </c>
      <c r="IM24" s="1251">
        <v>8</v>
      </c>
      <c r="IN24" s="1251">
        <v>8</v>
      </c>
      <c r="IO24" s="1251">
        <v>8</v>
      </c>
      <c r="IP24" s="1251">
        <v>8</v>
      </c>
      <c r="IQ24" s="1251">
        <v>8</v>
      </c>
      <c r="IR24" s="1251">
        <v>8</v>
      </c>
      <c r="IS24" s="1251">
        <v>8</v>
      </c>
      <c r="IT24" s="1251">
        <v>8</v>
      </c>
      <c r="IU24" s="125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EAE7A-3E32-156D-AB2C-32C1810E3BF7}" mc:Ignorable="x14ac xr xr2 xr3">
  <dimension ref="A1:IW15"/>
  <sheetViews>
    <sheetView topLeftCell="A1" showGridLines="0" zoomScale="90" workbookViewId="0">
      <selection activeCell="A1" sqref="A1"/>
    </sheetView>
  </sheetViews>
  <sheetFormatPr defaultColWidth="9.140625" customHeight="1" defaultRowHeight="14.25"/>
  <cols>
    <col min="1" max="1" style="10232" width="9.140625" hidden="1"/>
    <col min="2" max="2" style="10306" width="9.140625" hidden="1"/>
    <col min="3" max="3" style="10232" width="3.7109375" hidden="1" customWidth="1"/>
    <col min="4" max="4" style="10409" width="3.00390625" customWidth="1"/>
    <col min="5" max="5" style="10232" width="6.00390625" customWidth="1"/>
    <col min="6" max="6" style="10232" width="27.00390625" customWidth="1"/>
    <col min="7" max="7" style="10232" width="16.00390625" customWidth="1"/>
    <col min="8" max="8" style="10232" width="12.00390625" customWidth="1"/>
    <col min="9" max="9" style="10232" width="32.00390625" customWidth="1"/>
    <col min="10" max="11" style="10232" width="41.00390625" customWidth="1"/>
    <col min="12" max="12" style="10232" width="89.00390625" customWidth="1"/>
    <col min="13" max="13" style="10410" width="3.00390625" customWidth="1"/>
    <col min="14" max="16" style="10410" width="8.00390625" customWidth="1"/>
    <col min="17" max="17" style="10410" width="25.00390625" customWidth="1"/>
    <col min="18" max="18" style="10410" width="14.00390625" customWidth="1"/>
    <col min="19" max="22" style="10411" width="8.00390625" customWidth="1"/>
    <col min="23" max="256" style="10232" width="8.00390625" customWidth="1"/>
    <col min="257" max="257" style="10232" width="9.140625" hidden="1"/>
  </cols>
  <sheetData>
    <row customHeight="1" ht="22.5" hidden="1">
      <c r="IW1" s="1251" t="s">
        <v>14</v>
      </c>
    </row>
    <row s="10365" customFormat="1" customHeight="1" ht="22.5" hidden="1">
      <c r="A2" s="932"/>
      <c r="B2" s="1256">
        <v>1</v>
      </c>
      <c r="C2" s="1256"/>
      <c r="D2" s="2019" t="s">
        <v>103</v>
      </c>
      <c r="E2" s="1983"/>
      <c r="F2" s="1986" t="str">
        <f>IF(ROIV_INFO_NAME="","",ROIV_INFO_NAME)</f>
        <v>АО "ДГК"</v>
      </c>
      <c r="G2" s="2011" t="s">
        <v>22</v>
      </c>
      <c r="H2" s="2010"/>
      <c r="I2" s="1634"/>
      <c r="J2" s="919"/>
      <c r="K2" s="919"/>
      <c r="L2" s="336"/>
      <c r="M2" s="1631">
        <f>MERGEVALUE(F2)</f>
      </c>
      <c r="N2" s="618"/>
      <c r="O2" s="618"/>
      <c r="P2" s="607" t="str">
        <f t="array" ref="P2:P2">IF(ISERROR(MATCH(MID(Q2,1,250),MID(note_ter,1,250),0)),"n","y")</f>
        <v>n</v>
      </c>
      <c r="Q2" s="618"/>
      <c r="R2" s="607" t="str">
        <f>G2&amp;"("&amp;L2&amp;")"</f>
        <v>()</v>
      </c>
      <c r="S2" s="1256"/>
      <c r="T2" s="1256"/>
      <c r="U2" s="527"/>
      <c r="V2" s="1256"/>
      <c r="W2" s="1256"/>
      <c r="X2" s="1256"/>
      <c r="Y2" s="529"/>
      <c r="Z2" s="529"/>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9"/>
      <c r="BW2" s="529"/>
      <c r="BX2" s="529"/>
      <c r="BY2" s="529"/>
      <c r="BZ2" s="529"/>
      <c r="CA2" s="529"/>
      <c r="CB2" s="529"/>
      <c r="CC2" s="529"/>
      <c r="CD2" s="529"/>
      <c r="CE2" s="529"/>
      <c r="IW2" s="530">
        <v>0</v>
      </c>
    </row>
    <row s="10307" customFormat="1" customHeight="1" ht="5.25" hidden="1">
      <c r="A3" s="603"/>
      <c r="D3" s="601"/>
      <c r="F3" s="355" t="s">
        <v>83</v>
      </c>
      <c r="G3" s="1831" t="s">
        <v>84</v>
      </c>
      <c r="H3" s="601"/>
      <c r="I3" s="601"/>
      <c r="J3" s="601"/>
      <c r="K3" s="601"/>
      <c r="L3" s="335" t="s">
        <v>85</v>
      </c>
      <c r="M3" s="355" t="s">
        <v>83</v>
      </c>
      <c r="N3" s="355"/>
      <c r="O3" s="355"/>
      <c r="P3" s="355"/>
      <c r="Q3" s="356"/>
      <c r="R3" s="355"/>
      <c r="S3" s="355"/>
      <c r="T3" s="355"/>
      <c r="U3" s="355"/>
      <c r="V3" s="35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c r="CF3" s="335"/>
      <c r="CG3" s="335"/>
      <c r="CH3" s="335"/>
      <c r="CI3" s="335"/>
      <c r="CJ3" s="335"/>
      <c r="CK3" s="335"/>
      <c r="CL3" s="335"/>
      <c r="CM3" s="335"/>
      <c r="CN3" s="335"/>
      <c r="CO3" s="335"/>
      <c r="CP3" s="335"/>
      <c r="CQ3" s="335"/>
      <c r="CR3" s="335"/>
      <c r="CS3" s="335"/>
      <c r="CT3" s="335"/>
      <c r="CU3" s="335"/>
      <c r="CV3" s="335"/>
      <c r="CW3" s="335"/>
      <c r="CX3" s="335"/>
      <c r="CY3" s="335"/>
      <c r="CZ3" s="335"/>
      <c r="DA3" s="335"/>
      <c r="DB3" s="335"/>
      <c r="DC3" s="335"/>
      <c r="DD3" s="335"/>
      <c r="DE3" s="335"/>
      <c r="DF3" s="335"/>
      <c r="DG3" s="335"/>
      <c r="DH3" s="335"/>
      <c r="DI3" s="335"/>
      <c r="DJ3" s="335"/>
      <c r="DK3" s="335"/>
      <c r="DL3" s="335"/>
      <c r="DM3" s="335"/>
      <c r="DN3" s="335"/>
      <c r="DO3" s="335"/>
      <c r="DP3" s="335"/>
      <c r="DQ3" s="335"/>
      <c r="DR3" s="335"/>
      <c r="DS3" s="335"/>
      <c r="DT3" s="335"/>
      <c r="DU3" s="335"/>
      <c r="DV3" s="335"/>
      <c r="DW3" s="335"/>
      <c r="DX3" s="335"/>
      <c r="DY3" s="335"/>
      <c r="DZ3" s="335"/>
      <c r="EA3" s="335"/>
      <c r="EB3" s="335"/>
      <c r="EC3" s="335"/>
      <c r="ED3" s="335"/>
      <c r="EE3" s="335"/>
      <c r="EF3" s="335"/>
      <c r="EG3" s="335"/>
      <c r="EH3" s="335"/>
      <c r="EI3" s="335"/>
      <c r="EJ3" s="335"/>
      <c r="EK3" s="335"/>
      <c r="EL3" s="335"/>
      <c r="EM3" s="335"/>
      <c r="EN3" s="335"/>
      <c r="EO3" s="335"/>
      <c r="EP3" s="335"/>
      <c r="EQ3" s="335"/>
      <c r="ER3" s="335"/>
      <c r="ES3" s="335"/>
      <c r="ET3" s="335"/>
      <c r="EU3" s="335"/>
      <c r="EV3" s="335"/>
      <c r="EW3" s="335"/>
      <c r="EX3" s="335"/>
      <c r="EY3" s="335"/>
      <c r="EZ3" s="335"/>
      <c r="FA3" s="335"/>
      <c r="FB3" s="335"/>
      <c r="FC3" s="335"/>
      <c r="FD3" s="335"/>
      <c r="FE3" s="335"/>
      <c r="FF3" s="335"/>
      <c r="FG3" s="335"/>
      <c r="FH3" s="335"/>
      <c r="FI3" s="335"/>
      <c r="FJ3" s="335"/>
      <c r="FK3" s="335"/>
      <c r="FL3" s="335"/>
      <c r="FM3" s="335"/>
      <c r="FN3" s="335"/>
      <c r="FO3" s="335"/>
      <c r="FP3" s="335"/>
      <c r="FQ3" s="335"/>
      <c r="FR3" s="335"/>
      <c r="FS3" s="335"/>
      <c r="FT3" s="335"/>
      <c r="FU3" s="335"/>
      <c r="FV3" s="335"/>
      <c r="FW3" s="335"/>
      <c r="FX3" s="335"/>
      <c r="FY3" s="335"/>
      <c r="FZ3" s="335"/>
      <c r="GA3" s="335"/>
      <c r="GB3" s="335"/>
      <c r="GC3" s="335"/>
      <c r="GD3" s="335"/>
      <c r="GE3" s="335"/>
      <c r="GF3" s="335"/>
      <c r="GG3" s="335"/>
      <c r="GH3" s="335"/>
      <c r="GI3" s="335"/>
      <c r="GJ3" s="335"/>
      <c r="GK3" s="335"/>
      <c r="GL3" s="335"/>
      <c r="GM3" s="335"/>
      <c r="GN3" s="335"/>
      <c r="GO3" s="335"/>
      <c r="GP3" s="335"/>
      <c r="GQ3" s="335"/>
      <c r="GR3" s="335"/>
      <c r="GS3" s="335"/>
      <c r="GT3" s="335"/>
      <c r="GU3" s="335"/>
      <c r="GV3" s="335"/>
      <c r="GW3" s="335"/>
      <c r="GX3" s="335"/>
      <c r="GY3" s="335"/>
      <c r="GZ3" s="335"/>
      <c r="HA3" s="335"/>
      <c r="HB3" s="335"/>
      <c r="HC3" s="335"/>
      <c r="HD3" s="335"/>
      <c r="HE3" s="335"/>
      <c r="HF3" s="335"/>
      <c r="HG3" s="335"/>
      <c r="HH3" s="335"/>
      <c r="HI3" s="335"/>
      <c r="HJ3" s="335"/>
      <c r="HK3" s="335"/>
      <c r="HL3" s="335"/>
      <c r="HM3" s="335"/>
      <c r="HN3" s="335"/>
      <c r="HO3" s="335"/>
      <c r="HP3" s="335"/>
      <c r="HQ3" s="335"/>
      <c r="HR3" s="335"/>
      <c r="HS3" s="335"/>
      <c r="HT3" s="335"/>
      <c r="HU3" s="335"/>
      <c r="HV3" s="335"/>
      <c r="HW3" s="335"/>
      <c r="HX3" s="335"/>
      <c r="HY3" s="335"/>
      <c r="HZ3" s="335"/>
      <c r="IA3" s="335"/>
      <c r="IB3" s="335"/>
      <c r="IC3" s="335"/>
      <c r="ID3" s="335"/>
      <c r="IE3" s="335"/>
      <c r="IF3" s="335"/>
      <c r="IG3" s="335"/>
      <c r="IH3" s="335"/>
      <c r="II3" s="335"/>
      <c r="IJ3" s="335"/>
      <c r="IK3" s="335"/>
      <c r="IL3" s="335"/>
      <c r="IM3" s="335"/>
      <c r="IN3" s="335"/>
      <c r="IO3" s="335"/>
      <c r="IP3" s="335"/>
      <c r="IQ3" s="335"/>
      <c r="IR3" s="335"/>
      <c r="IS3" s="335"/>
      <c r="IT3" s="335"/>
      <c r="IU3" s="335"/>
      <c r="IV3" s="335"/>
      <c r="IW3" s="618">
        <v>0</v>
      </c>
    </row>
    <row s="10322" customFormat="1" customHeight="1" ht="14.699999999999998">
      <c r="A4" s="1251"/>
      <c r="B4" s="1256"/>
      <c r="C4" s="1251"/>
      <c r="D4" s="1591"/>
      <c r="E4" s="616"/>
      <c r="F4" s="616"/>
      <c r="G4" s="616"/>
      <c r="H4" s="616"/>
      <c r="I4" s="616"/>
      <c r="J4" s="616"/>
      <c r="K4" s="616"/>
      <c r="L4" s="274"/>
      <c r="M4" s="355"/>
      <c r="N4" s="607"/>
      <c r="O4" s="607"/>
      <c r="P4" s="607"/>
      <c r="Q4" s="334"/>
      <c r="R4" s="607"/>
      <c r="S4" s="333"/>
      <c r="T4" s="333"/>
      <c r="U4" s="333"/>
      <c r="V4" s="333"/>
      <c r="IW4" s="614">
        <v>14</v>
      </c>
    </row>
    <row s="10322" customFormat="1" customHeight="1" ht="27.299999999999997">
      <c r="A5" s="1251"/>
      <c r="B5" s="1256"/>
      <c r="C5" s="1251"/>
      <c r="D5" s="1591"/>
      <c r="E5" s="29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64"/>
      <c r="G5" s="2964"/>
      <c r="H5" s="2964"/>
      <c r="I5" s="2964"/>
      <c r="J5" s="2964"/>
      <c r="K5" s="2964"/>
      <c r="L5" s="695"/>
      <c r="M5" s="355"/>
      <c r="N5" s="607"/>
      <c r="O5" s="607"/>
      <c r="P5" s="607"/>
      <c r="Q5" s="334"/>
      <c r="R5" s="607"/>
      <c r="S5" s="333"/>
      <c r="T5" s="333"/>
      <c r="U5" s="333"/>
      <c r="V5" s="333"/>
      <c r="IW5" s="614">
        <v>26</v>
      </c>
    </row>
    <row s="10322" customFormat="1" customHeight="1" ht="14.699999999999998">
      <c r="A6" s="1251"/>
      <c r="B6" s="1256"/>
      <c r="C6" s="1251"/>
      <c r="D6" s="1591"/>
      <c r="E6" s="616"/>
      <c r="F6" s="275"/>
      <c r="G6" s="275"/>
      <c r="H6" s="275"/>
      <c r="I6" s="275"/>
      <c r="J6" s="275"/>
      <c r="K6" s="275"/>
      <c r="L6" s="276"/>
      <c r="M6" s="607"/>
      <c r="N6" s="607"/>
      <c r="O6" s="607"/>
      <c r="P6" s="607"/>
      <c r="Q6" s="334"/>
      <c r="R6" s="607"/>
      <c r="S6" s="333"/>
      <c r="T6" s="333"/>
      <c r="U6" s="333"/>
      <c r="V6" s="333"/>
      <c r="IW6" s="614">
        <v>14</v>
      </c>
    </row>
    <row s="10322" customFormat="1" customHeight="1" ht="14.699999999999998">
      <c r="A7" s="1251"/>
      <c r="B7" s="1256"/>
      <c r="C7" s="1251"/>
      <c r="D7" s="1591"/>
      <c r="E7" s="2959" t="s">
        <v>385</v>
      </c>
      <c r="F7" s="2965"/>
      <c r="G7" s="2965"/>
      <c r="H7" s="2965"/>
      <c r="I7" s="2965"/>
      <c r="J7" s="2965"/>
      <c r="K7" s="2965"/>
      <c r="L7" s="3315" t="s">
        <v>386</v>
      </c>
      <c r="M7" s="607"/>
      <c r="N7" s="607"/>
      <c r="O7" s="607"/>
      <c r="P7" s="607"/>
      <c r="Q7" s="334"/>
      <c r="R7" s="607"/>
      <c r="S7" s="333"/>
      <c r="T7" s="333"/>
      <c r="U7" s="333"/>
      <c r="V7" s="333"/>
      <c r="IW7" s="614">
        <v>14</v>
      </c>
    </row>
    <row s="10322" customFormat="1" customHeight="1" ht="67.2">
      <c r="A8" s="1251"/>
      <c r="B8" s="1256"/>
      <c r="C8" s="1251"/>
      <c r="D8" s="1591"/>
      <c r="E8" s="3319" t="s">
        <v>88</v>
      </c>
      <c r="F8" s="33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3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322"/>
      <c r="I8" s="3323"/>
      <c r="J8" s="33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3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317"/>
      <c r="M8" s="607"/>
      <c r="N8" s="607"/>
      <c r="O8" s="607"/>
      <c r="P8" s="607"/>
      <c r="Q8" s="334"/>
      <c r="R8" s="607"/>
      <c r="S8" s="333"/>
      <c r="T8" s="333"/>
      <c r="U8" s="333"/>
      <c r="V8" s="333"/>
      <c r="IW8" s="614">
        <v>64</v>
      </c>
    </row>
    <row s="10322" customFormat="1" customHeight="1" ht="29.25">
      <c r="A9" s="1251"/>
      <c r="B9" s="1256"/>
      <c r="C9" s="1251"/>
      <c r="D9" s="1591"/>
      <c r="E9" s="3320"/>
      <c r="F9" s="3320"/>
      <c r="G9" s="1633" t="s">
        <v>2108</v>
      </c>
      <c r="H9" s="1633" t="s">
        <v>2109</v>
      </c>
      <c r="I9" s="1633" t="s">
        <v>2110</v>
      </c>
      <c r="J9" s="3320"/>
      <c r="K9" s="3320"/>
      <c r="L9" s="3316"/>
      <c r="M9" s="607"/>
      <c r="N9" s="607"/>
      <c r="O9" s="607"/>
      <c r="P9" s="607"/>
      <c r="Q9" s="334"/>
      <c r="R9" s="607"/>
      <c r="S9" s="333"/>
      <c r="T9" s="333"/>
      <c r="U9" s="333"/>
      <c r="V9" s="333"/>
      <c r="IW9" s="614">
        <v>28</v>
      </c>
    </row>
    <row s="10365" customFormat="1" customHeight="1" ht="23.25">
      <c r="A10" s="2962"/>
      <c r="B10" s="1256">
        <v>1</v>
      </c>
      <c r="C10" s="1256"/>
      <c r="D10" s="901"/>
      <c r="E10" s="899">
        <v>1</v>
      </c>
      <c r="F10" s="1635" t="str">
        <f>IF(ROIV_INFO_NAME="","",ROIV_INFO_NAME)</f>
        <v>АО "ДГК"</v>
      </c>
      <c r="G10" s="1828" t="s">
        <v>22</v>
      </c>
      <c r="H10" s="2010"/>
      <c r="I10" s="1630"/>
      <c r="J10" s="919"/>
      <c r="K10" s="919"/>
      <c r="L10" s="33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31">
        <f>MERGEVALUE(F10)</f>
      </c>
      <c r="N10" s="618"/>
      <c r="O10" s="618"/>
      <c r="P10" s="607" t="str">
        <f t="array" ref="P10:P10">IF(ISERROR(MATCH(MID(Q10,1,250),MID(note_ter,1,250),0)),"n","y")</f>
        <v>n</v>
      </c>
      <c r="Q10" s="618"/>
      <c r="R10" s="6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56"/>
      <c r="T10" s="1256"/>
      <c r="U10" s="527"/>
      <c r="V10" s="1256"/>
      <c r="W10" s="1256"/>
      <c r="X10" s="1256"/>
      <c r="Y10" s="529"/>
      <c r="Z10" s="529"/>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9"/>
      <c r="BW10" s="529"/>
      <c r="BX10" s="529"/>
      <c r="BY10" s="529"/>
      <c r="BZ10" s="529"/>
      <c r="CA10" s="529"/>
      <c r="CB10" s="529"/>
      <c r="CC10" s="529"/>
      <c r="CD10" s="529"/>
      <c r="CE10" s="529"/>
      <c r="IW10" s="530">
        <v>22</v>
      </c>
    </row>
    <row s="10365" customFormat="1" customHeight="1" ht="15.75">
      <c r="A11" s="2962"/>
      <c r="B11" s="1256"/>
      <c r="C11" s="519"/>
      <c r="D11" s="902"/>
      <c r="E11" s="528"/>
      <c r="F11" s="523" t="s">
        <v>2111</v>
      </c>
      <c r="G11" s="295"/>
      <c r="H11" s="295"/>
      <c r="I11" s="295"/>
      <c r="J11" s="295"/>
      <c r="K11" s="531"/>
      <c r="L11" s="3318"/>
      <c r="M11" s="1632"/>
      <c r="N11" s="618"/>
      <c r="O11" s="618"/>
      <c r="P11" s="618"/>
      <c r="Q11" s="607"/>
      <c r="R11" s="618"/>
      <c r="S11" s="1256"/>
      <c r="T11" s="1256"/>
      <c r="U11" s="527"/>
      <c r="V11" s="1256"/>
      <c r="W11" s="1256"/>
      <c r="X11" s="1256"/>
      <c r="Y11" s="529"/>
      <c r="Z11" s="529"/>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9"/>
      <c r="BW11" s="529"/>
      <c r="BX11" s="529"/>
      <c r="BY11" s="529"/>
      <c r="BZ11" s="529"/>
      <c r="CA11" s="529"/>
      <c r="CB11" s="529"/>
      <c r="CC11" s="529"/>
      <c r="CD11" s="529"/>
      <c r="CE11" s="529"/>
      <c r="IW11" s="530">
        <v>15</v>
      </c>
    </row>
    <row s="10322" customFormat="1" customHeight="1" ht="22.049999999999997">
      <c r="A12" s="1251"/>
      <c r="B12" s="1256"/>
      <c r="C12" s="1251"/>
      <c r="D12" s="558"/>
      <c r="E12" s="288"/>
      <c r="F12" s="288"/>
      <c r="G12" s="288"/>
      <c r="H12" s="288"/>
      <c r="I12" s="288"/>
      <c r="J12" s="288"/>
      <c r="K12" s="288"/>
      <c r="L12" s="288"/>
      <c r="M12" s="607"/>
      <c r="N12" s="607"/>
      <c r="O12" s="607"/>
      <c r="P12" s="607"/>
      <c r="Q12" s="334"/>
      <c r="R12" s="607"/>
      <c r="S12" s="333"/>
      <c r="T12" s="333"/>
      <c r="U12" s="333"/>
      <c r="V12" s="333"/>
      <c r="IW12" s="614">
        <v>21</v>
      </c>
    </row>
    <row s="10322" customFormat="1" customHeight="1" ht="14.699999999999998">
      <c r="A13" s="1251"/>
      <c r="B13" s="1256"/>
      <c r="C13" s="1251"/>
      <c r="D13" s="558"/>
      <c r="E13" s="1251"/>
      <c r="F13" s="1251"/>
      <c r="G13" s="1251"/>
      <c r="H13" s="1251"/>
      <c r="I13" s="1251"/>
      <c r="J13" s="1251"/>
      <c r="K13" s="1251"/>
      <c r="L13" s="1251"/>
      <c r="M13" s="607"/>
      <c r="N13" s="607"/>
      <c r="O13" s="607"/>
      <c r="P13" s="607"/>
      <c r="Q13" s="334"/>
      <c r="R13" s="607"/>
      <c r="S13" s="333"/>
      <c r="T13" s="333"/>
      <c r="U13" s="333"/>
      <c r="V13" s="333"/>
      <c r="IW13" s="614">
        <v>14</v>
      </c>
    </row>
    <row s="10322" customFormat="1" customHeight="1" ht="1.05">
      <c r="A14" s="1251"/>
      <c r="B14" s="1256"/>
      <c r="C14" s="1251"/>
      <c r="D14" s="558"/>
      <c r="E14" s="1251"/>
      <c r="F14" s="1251"/>
      <c r="G14" s="1251"/>
      <c r="H14" s="1251"/>
      <c r="I14" s="1251"/>
      <c r="J14" s="1251"/>
      <c r="K14" s="1251"/>
      <c r="L14" s="1251"/>
      <c r="M14" s="607"/>
      <c r="N14" s="607"/>
      <c r="O14" s="607"/>
      <c r="P14" s="607"/>
      <c r="Q14" s="334"/>
      <c r="R14" s="607"/>
      <c r="S14" s="333"/>
      <c r="T14" s="333"/>
      <c r="U14" s="333"/>
      <c r="V14" s="333"/>
      <c r="IW14" s="614">
        <v>1</v>
      </c>
    </row>
    <row customHeight="1" ht="22.5" hidden="1">
      <c r="A15" s="1251" t="s">
        <v>82</v>
      </c>
      <c r="B15" s="1256">
        <v>0</v>
      </c>
      <c r="C15" s="1251">
        <v>0</v>
      </c>
      <c r="D15" s="558">
        <v>3</v>
      </c>
      <c r="E15" s="1251">
        <v>6</v>
      </c>
      <c r="F15" s="1251">
        <v>27</v>
      </c>
      <c r="G15" s="1251">
        <v>16</v>
      </c>
      <c r="H15" s="1251">
        <v>12</v>
      </c>
      <c r="I15" s="1251">
        <v>32</v>
      </c>
      <c r="J15" s="1251">
        <v>41</v>
      </c>
      <c r="K15" s="1251">
        <v>41</v>
      </c>
      <c r="L15" s="1251">
        <v>89</v>
      </c>
      <c r="M15" s="607">
        <v>3</v>
      </c>
      <c r="N15" s="607">
        <v>8</v>
      </c>
      <c r="O15" s="607">
        <v>8</v>
      </c>
      <c r="P15" s="607">
        <v>8</v>
      </c>
      <c r="Q15" s="334">
        <v>25</v>
      </c>
      <c r="R15" s="607">
        <v>14</v>
      </c>
      <c r="S15" s="333">
        <v>8</v>
      </c>
      <c r="T15" s="333">
        <v>8</v>
      </c>
      <c r="U15" s="333">
        <v>8</v>
      </c>
      <c r="V15" s="333">
        <v>8</v>
      </c>
      <c r="W15" s="1251">
        <v>8</v>
      </c>
      <c r="X15" s="1251">
        <v>8</v>
      </c>
      <c r="Y15" s="1251">
        <v>8</v>
      </c>
      <c r="Z15" s="1251">
        <v>8</v>
      </c>
      <c r="AA15" s="1251">
        <v>8</v>
      </c>
      <c r="AB15" s="1251">
        <v>8</v>
      </c>
      <c r="AC15" s="1251">
        <v>8</v>
      </c>
      <c r="AD15" s="1251">
        <v>8</v>
      </c>
      <c r="AE15" s="1251">
        <v>8</v>
      </c>
      <c r="AF15" s="1251">
        <v>8</v>
      </c>
      <c r="AG15" s="1251">
        <v>8</v>
      </c>
      <c r="AH15" s="1251">
        <v>8</v>
      </c>
      <c r="AI15" s="1251">
        <v>8</v>
      </c>
      <c r="AJ15" s="1251">
        <v>8</v>
      </c>
      <c r="AK15" s="1251">
        <v>8</v>
      </c>
      <c r="AL15" s="1251">
        <v>8</v>
      </c>
      <c r="AM15" s="1251">
        <v>8</v>
      </c>
      <c r="AN15" s="1251">
        <v>8</v>
      </c>
      <c r="AO15" s="1251">
        <v>8</v>
      </c>
      <c r="AP15" s="1251">
        <v>8</v>
      </c>
      <c r="AQ15" s="1251">
        <v>8</v>
      </c>
      <c r="AR15" s="1251">
        <v>8</v>
      </c>
      <c r="AS15" s="1251">
        <v>8</v>
      </c>
      <c r="AT15" s="1251">
        <v>8</v>
      </c>
      <c r="AU15" s="1251">
        <v>8</v>
      </c>
      <c r="AV15" s="1251">
        <v>8</v>
      </c>
      <c r="AW15" s="1251">
        <v>8</v>
      </c>
      <c r="AX15" s="1251">
        <v>8</v>
      </c>
      <c r="AY15" s="1251">
        <v>8</v>
      </c>
      <c r="AZ15" s="1251">
        <v>8</v>
      </c>
      <c r="BA15" s="1251">
        <v>8</v>
      </c>
      <c r="BB15" s="1251">
        <v>8</v>
      </c>
      <c r="BC15" s="1251">
        <v>8</v>
      </c>
      <c r="BD15" s="1251">
        <v>8</v>
      </c>
      <c r="BE15" s="1251">
        <v>8</v>
      </c>
      <c r="BF15" s="1251">
        <v>8</v>
      </c>
      <c r="BG15" s="1251">
        <v>8</v>
      </c>
      <c r="BH15" s="1251">
        <v>8</v>
      </c>
      <c r="BI15" s="1251">
        <v>8</v>
      </c>
      <c r="BJ15" s="1251">
        <v>8</v>
      </c>
      <c r="BK15" s="1251">
        <v>8</v>
      </c>
      <c r="BL15" s="1251">
        <v>8</v>
      </c>
      <c r="BM15" s="1251">
        <v>8</v>
      </c>
      <c r="BN15" s="1251">
        <v>8</v>
      </c>
      <c r="BO15" s="1251">
        <v>8</v>
      </c>
      <c r="BP15" s="1251">
        <v>8</v>
      </c>
      <c r="BQ15" s="1251">
        <v>8</v>
      </c>
      <c r="BR15" s="1251">
        <v>8</v>
      </c>
      <c r="BS15" s="1251">
        <v>8</v>
      </c>
      <c r="BT15" s="1251">
        <v>8</v>
      </c>
      <c r="BU15" s="1251">
        <v>8</v>
      </c>
      <c r="BV15" s="1251">
        <v>8</v>
      </c>
      <c r="BW15" s="1251">
        <v>8</v>
      </c>
      <c r="BX15" s="1251">
        <v>8</v>
      </c>
      <c r="BY15" s="1251">
        <v>8</v>
      </c>
      <c r="BZ15" s="1251">
        <v>8</v>
      </c>
      <c r="CA15" s="1251">
        <v>8</v>
      </c>
      <c r="CB15" s="1251">
        <v>8</v>
      </c>
      <c r="CC15" s="1251">
        <v>8</v>
      </c>
      <c r="CD15" s="1251">
        <v>8</v>
      </c>
      <c r="CE15" s="1251">
        <v>8</v>
      </c>
      <c r="CF15" s="1251">
        <v>8</v>
      </c>
      <c r="CG15" s="1251">
        <v>8</v>
      </c>
      <c r="CH15" s="1251">
        <v>8</v>
      </c>
      <c r="CI15" s="1251">
        <v>8</v>
      </c>
      <c r="CJ15" s="1251">
        <v>8</v>
      </c>
      <c r="CK15" s="1251">
        <v>8</v>
      </c>
      <c r="CL15" s="1251">
        <v>8</v>
      </c>
      <c r="CM15" s="1251">
        <v>8</v>
      </c>
      <c r="CN15" s="1251">
        <v>8</v>
      </c>
      <c r="CO15" s="1251">
        <v>8</v>
      </c>
      <c r="CP15" s="1251">
        <v>8</v>
      </c>
      <c r="CQ15" s="1251">
        <v>8</v>
      </c>
      <c r="CR15" s="1251">
        <v>8</v>
      </c>
      <c r="CS15" s="1251">
        <v>8</v>
      </c>
      <c r="CT15" s="1251">
        <v>8</v>
      </c>
      <c r="CU15" s="1251">
        <v>8</v>
      </c>
      <c r="CV15" s="1251">
        <v>8</v>
      </c>
      <c r="CW15" s="1251">
        <v>8</v>
      </c>
      <c r="CX15" s="1251">
        <v>8</v>
      </c>
      <c r="CY15" s="1251">
        <v>8</v>
      </c>
      <c r="CZ15" s="1251">
        <v>8</v>
      </c>
      <c r="DA15" s="1251">
        <v>8</v>
      </c>
      <c r="DB15" s="1251">
        <v>8</v>
      </c>
      <c r="DC15" s="1251">
        <v>8</v>
      </c>
      <c r="DD15" s="1251">
        <v>8</v>
      </c>
      <c r="DE15" s="1251">
        <v>8</v>
      </c>
      <c r="DF15" s="1251">
        <v>8</v>
      </c>
      <c r="DG15" s="1251">
        <v>8</v>
      </c>
      <c r="DH15" s="1251">
        <v>8</v>
      </c>
      <c r="DI15" s="1251">
        <v>8</v>
      </c>
      <c r="DJ15" s="1251">
        <v>8</v>
      </c>
      <c r="DK15" s="1251">
        <v>8</v>
      </c>
      <c r="DL15" s="1251">
        <v>8</v>
      </c>
      <c r="DM15" s="1251">
        <v>8</v>
      </c>
      <c r="DN15" s="1251">
        <v>8</v>
      </c>
      <c r="DO15" s="1251">
        <v>8</v>
      </c>
      <c r="DP15" s="1251">
        <v>8</v>
      </c>
      <c r="DQ15" s="1251">
        <v>8</v>
      </c>
      <c r="DR15" s="1251">
        <v>8</v>
      </c>
      <c r="DS15" s="1251">
        <v>8</v>
      </c>
      <c r="DT15" s="1251">
        <v>8</v>
      </c>
      <c r="DU15" s="1251">
        <v>8</v>
      </c>
      <c r="DV15" s="1251">
        <v>8</v>
      </c>
      <c r="DW15" s="1251">
        <v>8</v>
      </c>
      <c r="DX15" s="1251">
        <v>8</v>
      </c>
      <c r="DY15" s="1251">
        <v>8</v>
      </c>
      <c r="DZ15" s="1251">
        <v>8</v>
      </c>
      <c r="EA15" s="1251">
        <v>8</v>
      </c>
      <c r="EB15" s="1251">
        <v>8</v>
      </c>
      <c r="EC15" s="1251">
        <v>8</v>
      </c>
      <c r="ED15" s="1251">
        <v>8</v>
      </c>
      <c r="EE15" s="1251">
        <v>8</v>
      </c>
      <c r="EF15" s="1251">
        <v>8</v>
      </c>
      <c r="EG15" s="1251">
        <v>8</v>
      </c>
      <c r="EH15" s="1251">
        <v>8</v>
      </c>
      <c r="EI15" s="1251">
        <v>8</v>
      </c>
      <c r="EJ15" s="1251">
        <v>8</v>
      </c>
      <c r="EK15" s="1251">
        <v>8</v>
      </c>
      <c r="EL15" s="1251">
        <v>8</v>
      </c>
      <c r="EM15" s="1251">
        <v>8</v>
      </c>
      <c r="EN15" s="1251">
        <v>8</v>
      </c>
      <c r="EO15" s="1251">
        <v>8</v>
      </c>
      <c r="EP15" s="1251">
        <v>8</v>
      </c>
      <c r="EQ15" s="1251">
        <v>8</v>
      </c>
      <c r="ER15" s="1251">
        <v>8</v>
      </c>
      <c r="ES15" s="1251">
        <v>8</v>
      </c>
      <c r="ET15" s="1251">
        <v>8</v>
      </c>
      <c r="EU15" s="1251">
        <v>8</v>
      </c>
      <c r="EV15" s="1251">
        <v>8</v>
      </c>
      <c r="EW15" s="1251">
        <v>8</v>
      </c>
      <c r="EX15" s="1251">
        <v>8</v>
      </c>
      <c r="EY15" s="1251">
        <v>8</v>
      </c>
      <c r="EZ15" s="1251">
        <v>8</v>
      </c>
      <c r="FA15" s="1251">
        <v>8</v>
      </c>
      <c r="FB15" s="1251">
        <v>8</v>
      </c>
      <c r="FC15" s="1251">
        <v>8</v>
      </c>
      <c r="FD15" s="1251">
        <v>8</v>
      </c>
      <c r="FE15" s="1251">
        <v>8</v>
      </c>
      <c r="FF15" s="1251">
        <v>8</v>
      </c>
      <c r="FG15" s="1251">
        <v>8</v>
      </c>
      <c r="FH15" s="1251">
        <v>8</v>
      </c>
      <c r="FI15" s="1251">
        <v>8</v>
      </c>
      <c r="FJ15" s="1251">
        <v>8</v>
      </c>
      <c r="FK15" s="1251">
        <v>8</v>
      </c>
      <c r="FL15" s="1251">
        <v>8</v>
      </c>
      <c r="FM15" s="1251">
        <v>8</v>
      </c>
      <c r="FN15" s="1251">
        <v>8</v>
      </c>
      <c r="FO15" s="1251">
        <v>8</v>
      </c>
      <c r="FP15" s="1251">
        <v>8</v>
      </c>
      <c r="FQ15" s="1251">
        <v>8</v>
      </c>
      <c r="FR15" s="1251">
        <v>8</v>
      </c>
      <c r="FS15" s="1251">
        <v>8</v>
      </c>
      <c r="FT15" s="1251">
        <v>8</v>
      </c>
      <c r="FU15" s="1251">
        <v>8</v>
      </c>
      <c r="FV15" s="1251">
        <v>8</v>
      </c>
      <c r="FW15" s="1251">
        <v>8</v>
      </c>
      <c r="FX15" s="1251">
        <v>8</v>
      </c>
      <c r="FY15" s="1251">
        <v>8</v>
      </c>
      <c r="FZ15" s="1251">
        <v>8</v>
      </c>
      <c r="GA15" s="1251">
        <v>8</v>
      </c>
      <c r="GB15" s="1251">
        <v>8</v>
      </c>
      <c r="GC15" s="1251">
        <v>8</v>
      </c>
      <c r="GD15" s="1251">
        <v>8</v>
      </c>
      <c r="GE15" s="1251">
        <v>8</v>
      </c>
      <c r="GF15" s="1251">
        <v>8</v>
      </c>
      <c r="GG15" s="1251">
        <v>8</v>
      </c>
      <c r="GH15" s="1251">
        <v>8</v>
      </c>
      <c r="GI15" s="1251">
        <v>8</v>
      </c>
      <c r="GJ15" s="1251">
        <v>8</v>
      </c>
      <c r="GK15" s="1251">
        <v>8</v>
      </c>
      <c r="GL15" s="1251">
        <v>8</v>
      </c>
      <c r="GM15" s="1251">
        <v>8</v>
      </c>
      <c r="GN15" s="1251">
        <v>8</v>
      </c>
      <c r="GO15" s="1251">
        <v>8</v>
      </c>
      <c r="GP15" s="1251">
        <v>8</v>
      </c>
      <c r="GQ15" s="1251">
        <v>8</v>
      </c>
      <c r="GR15" s="1251">
        <v>8</v>
      </c>
      <c r="GS15" s="1251">
        <v>8</v>
      </c>
      <c r="GT15" s="1251">
        <v>8</v>
      </c>
      <c r="GU15" s="1251">
        <v>8</v>
      </c>
      <c r="GV15" s="1251">
        <v>8</v>
      </c>
      <c r="GW15" s="1251">
        <v>8</v>
      </c>
      <c r="GX15" s="1251">
        <v>8</v>
      </c>
      <c r="GY15" s="1251">
        <v>8</v>
      </c>
      <c r="GZ15" s="1251">
        <v>8</v>
      </c>
      <c r="HA15" s="1251">
        <v>8</v>
      </c>
      <c r="HB15" s="1251">
        <v>8</v>
      </c>
      <c r="HC15" s="1251">
        <v>8</v>
      </c>
      <c r="HD15" s="1251">
        <v>8</v>
      </c>
      <c r="HE15" s="1251">
        <v>8</v>
      </c>
      <c r="HF15" s="1251">
        <v>8</v>
      </c>
      <c r="HG15" s="1251">
        <v>8</v>
      </c>
      <c r="HH15" s="1251">
        <v>8</v>
      </c>
      <c r="HI15" s="1251">
        <v>8</v>
      </c>
      <c r="HJ15" s="1251">
        <v>8</v>
      </c>
      <c r="HK15" s="1251">
        <v>8</v>
      </c>
      <c r="HL15" s="1251">
        <v>8</v>
      </c>
      <c r="HM15" s="1251">
        <v>8</v>
      </c>
      <c r="HN15" s="1251">
        <v>8</v>
      </c>
      <c r="HO15" s="1251">
        <v>8</v>
      </c>
      <c r="HP15" s="1251">
        <v>8</v>
      </c>
      <c r="HQ15" s="1251">
        <v>8</v>
      </c>
      <c r="HR15" s="1251">
        <v>8</v>
      </c>
      <c r="HS15" s="1251">
        <v>8</v>
      </c>
      <c r="HT15" s="1251">
        <v>8</v>
      </c>
      <c r="HU15" s="1251">
        <v>8</v>
      </c>
      <c r="HV15" s="1251">
        <v>8</v>
      </c>
      <c r="HW15" s="1251">
        <v>8</v>
      </c>
      <c r="HX15" s="1251">
        <v>8</v>
      </c>
      <c r="HY15" s="1251">
        <v>8</v>
      </c>
      <c r="HZ15" s="1251">
        <v>8</v>
      </c>
      <c r="IA15" s="1251">
        <v>8</v>
      </c>
      <c r="IB15" s="1251">
        <v>8</v>
      </c>
      <c r="IC15" s="1251">
        <v>8</v>
      </c>
      <c r="ID15" s="1251">
        <v>8</v>
      </c>
      <c r="IE15" s="1251">
        <v>8</v>
      </c>
      <c r="IF15" s="1251">
        <v>8</v>
      </c>
      <c r="IG15" s="1251">
        <v>8</v>
      </c>
      <c r="IH15" s="1251">
        <v>8</v>
      </c>
      <c r="II15" s="1251">
        <v>8</v>
      </c>
      <c r="IJ15" s="1251">
        <v>8</v>
      </c>
      <c r="IK15" s="1251">
        <v>8</v>
      </c>
      <c r="IL15" s="1251">
        <v>8</v>
      </c>
      <c r="IM15" s="1251">
        <v>8</v>
      </c>
      <c r="IN15" s="1251">
        <v>8</v>
      </c>
      <c r="IO15" s="1251">
        <v>8</v>
      </c>
      <c r="IP15" s="1251">
        <v>8</v>
      </c>
      <c r="IQ15" s="1251">
        <v>8</v>
      </c>
      <c r="IR15" s="1251">
        <v>8</v>
      </c>
      <c r="IS15" s="1251">
        <v>8</v>
      </c>
      <c r="IT15" s="1251">
        <v>8</v>
      </c>
      <c r="IU15" s="1251">
        <v>8</v>
      </c>
      <c r="IV15" s="1251">
        <v>8</v>
      </c>
      <c r="IW15" s="125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3FDA1-28DC-7459-0DA2-4006AA83978A}" mc:Ignorable="x14ac xr xr2 xr3">
  <dimension ref="A1:IW15"/>
  <sheetViews>
    <sheetView topLeftCell="A1" showGridLines="0" zoomScale="90" workbookViewId="0">
      <selection activeCell="A1" sqref="A1"/>
    </sheetView>
  </sheetViews>
  <sheetFormatPr defaultColWidth="9.140625" customHeight="1" defaultRowHeight="14.25"/>
  <cols>
    <col min="1" max="1" style="10232" width="9.140625" hidden="1"/>
    <col min="2" max="2" style="10306" width="9.140625" hidden="1"/>
    <col min="3" max="3" style="10232" width="3.7109375" hidden="1" customWidth="1"/>
    <col min="4" max="4" style="10409" width="3.00390625" customWidth="1"/>
    <col min="5" max="5" style="10232" width="6.00390625" customWidth="1"/>
    <col min="6" max="6" style="10232" width="27.00390625" customWidth="1"/>
    <col min="7" max="7" style="10232" width="16.00390625" customWidth="1"/>
    <col min="8" max="8" style="10232" width="12.00390625" customWidth="1"/>
    <col min="9" max="9" style="10232" width="32.00390625" customWidth="1"/>
    <col min="10" max="11" style="10232" width="41.00390625" customWidth="1"/>
    <col min="12" max="12" style="10232" width="89.00390625" customWidth="1"/>
    <col min="13" max="13" style="10410" width="3.00390625" customWidth="1"/>
    <col min="14" max="16" style="10410" width="8.00390625" customWidth="1"/>
    <col min="17" max="17" style="10410" width="25.00390625" customWidth="1"/>
    <col min="18" max="18" style="10410" width="14.00390625" customWidth="1"/>
    <col min="19" max="22" style="10411" width="8.00390625" customWidth="1"/>
    <col min="23" max="256" style="10232" width="8.00390625" customWidth="1"/>
    <col min="257" max="257" style="10232" width="9.140625" hidden="1"/>
  </cols>
  <sheetData>
    <row customHeight="1" ht="22.5" hidden="1">
      <c r="IW1" s="1727" t="s">
        <v>14</v>
      </c>
    </row>
    <row s="10365" customFormat="1" customHeight="1" ht="22.5" hidden="1">
      <c r="A2" s="932"/>
      <c r="B2" s="1462">
        <v>1</v>
      </c>
      <c r="C2" s="1462"/>
      <c r="D2" s="2019" t="s">
        <v>103</v>
      </c>
      <c r="E2" s="1998"/>
      <c r="F2" s="2000" t="str">
        <f>IF(ROIV_INFO_NAME="","",ROIV_INFO_NAME)</f>
        <v>АО "ДГК"</v>
      </c>
      <c r="G2" s="1828" t="s">
        <v>22</v>
      </c>
      <c r="H2" s="2010"/>
      <c r="I2" s="1634"/>
      <c r="J2" s="919"/>
      <c r="K2" s="919"/>
      <c r="L2" s="336"/>
      <c r="M2" s="1631">
        <f>MERGEVALUE(F2)</f>
      </c>
      <c r="N2" s="1732"/>
      <c r="O2" s="1732"/>
      <c r="P2" s="1720" t="str">
        <f t="array" ref="P2:P2">IF(ISERROR(MATCH(MID(Q2,1,250),MID(note_ter,1,250),0)),"n","y")</f>
        <v>n</v>
      </c>
      <c r="Q2" s="1732"/>
      <c r="R2" s="1720" t="str">
        <f>G2&amp;"("&amp;L2&amp;")"</f>
        <v>()</v>
      </c>
      <c r="S2" s="1462"/>
      <c r="T2" s="1462"/>
      <c r="U2" s="527"/>
      <c r="V2" s="1462"/>
      <c r="W2" s="1462"/>
      <c r="X2" s="1462"/>
      <c r="Y2" s="934"/>
      <c r="Z2" s="9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734"/>
      <c r="BK2" s="734"/>
      <c r="BL2" s="734"/>
      <c r="BM2" s="734"/>
      <c r="BN2" s="734"/>
      <c r="BO2" s="734"/>
      <c r="BP2" s="734"/>
      <c r="BQ2" s="734"/>
      <c r="BR2" s="734"/>
      <c r="BS2" s="734"/>
      <c r="BT2" s="734"/>
      <c r="BU2" s="734"/>
      <c r="BV2" s="934"/>
      <c r="BW2" s="934"/>
      <c r="BX2" s="934"/>
      <c r="BY2" s="934"/>
      <c r="BZ2" s="934"/>
      <c r="CA2" s="934"/>
      <c r="CB2" s="934"/>
      <c r="CC2" s="934"/>
      <c r="CD2" s="934"/>
      <c r="CE2" s="934"/>
      <c r="IW2" s="731">
        <v>0</v>
      </c>
    </row>
    <row s="10307" customFormat="1" customHeight="1" ht="5.25" hidden="1">
      <c r="A3" s="1737"/>
      <c r="D3" s="1987"/>
      <c r="F3" s="356" t="s">
        <v>83</v>
      </c>
      <c r="G3" s="1831" t="s">
        <v>84</v>
      </c>
      <c r="H3" s="1987"/>
      <c r="I3" s="1987"/>
      <c r="J3" s="1987"/>
      <c r="K3" s="1987"/>
      <c r="L3" s="335" t="s">
        <v>85</v>
      </c>
      <c r="M3" s="356" t="s">
        <v>83</v>
      </c>
      <c r="N3" s="356"/>
      <c r="O3" s="356"/>
      <c r="P3" s="356"/>
      <c r="Q3" s="356"/>
      <c r="R3" s="356"/>
      <c r="S3" s="356"/>
      <c r="T3" s="356"/>
      <c r="U3" s="356"/>
      <c r="V3" s="356"/>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c r="CF3" s="335"/>
      <c r="CG3" s="335"/>
      <c r="CH3" s="335"/>
      <c r="CI3" s="335"/>
      <c r="CJ3" s="335"/>
      <c r="CK3" s="335"/>
      <c r="CL3" s="335"/>
      <c r="CM3" s="335"/>
      <c r="CN3" s="335"/>
      <c r="CO3" s="335"/>
      <c r="CP3" s="335"/>
      <c r="CQ3" s="335"/>
      <c r="CR3" s="335"/>
      <c r="CS3" s="335"/>
      <c r="CT3" s="335"/>
      <c r="CU3" s="335"/>
      <c r="CV3" s="335"/>
      <c r="CW3" s="335"/>
      <c r="CX3" s="335"/>
      <c r="CY3" s="335"/>
      <c r="CZ3" s="335"/>
      <c r="DA3" s="335"/>
      <c r="DB3" s="335"/>
      <c r="DC3" s="335"/>
      <c r="DD3" s="335"/>
      <c r="DE3" s="335"/>
      <c r="DF3" s="335"/>
      <c r="DG3" s="335"/>
      <c r="DH3" s="335"/>
      <c r="DI3" s="335"/>
      <c r="DJ3" s="335"/>
      <c r="DK3" s="335"/>
      <c r="DL3" s="335"/>
      <c r="DM3" s="335"/>
      <c r="DN3" s="335"/>
      <c r="DO3" s="335"/>
      <c r="DP3" s="335"/>
      <c r="DQ3" s="335"/>
      <c r="DR3" s="335"/>
      <c r="DS3" s="335"/>
      <c r="DT3" s="335"/>
      <c r="DU3" s="335"/>
      <c r="DV3" s="335"/>
      <c r="DW3" s="335"/>
      <c r="DX3" s="335"/>
      <c r="DY3" s="335"/>
      <c r="DZ3" s="335"/>
      <c r="EA3" s="335"/>
      <c r="EB3" s="335"/>
      <c r="EC3" s="335"/>
      <c r="ED3" s="335"/>
      <c r="EE3" s="335"/>
      <c r="EF3" s="335"/>
      <c r="EG3" s="335"/>
      <c r="EH3" s="335"/>
      <c r="EI3" s="335"/>
      <c r="EJ3" s="335"/>
      <c r="EK3" s="335"/>
      <c r="EL3" s="335"/>
      <c r="EM3" s="335"/>
      <c r="EN3" s="335"/>
      <c r="EO3" s="335"/>
      <c r="EP3" s="335"/>
      <c r="EQ3" s="335"/>
      <c r="ER3" s="335"/>
      <c r="ES3" s="335"/>
      <c r="ET3" s="335"/>
      <c r="EU3" s="335"/>
      <c r="EV3" s="335"/>
      <c r="EW3" s="335"/>
      <c r="EX3" s="335"/>
      <c r="EY3" s="335"/>
      <c r="EZ3" s="335"/>
      <c r="FA3" s="335"/>
      <c r="FB3" s="335"/>
      <c r="FC3" s="335"/>
      <c r="FD3" s="335"/>
      <c r="FE3" s="335"/>
      <c r="FF3" s="335"/>
      <c r="FG3" s="335"/>
      <c r="FH3" s="335"/>
      <c r="FI3" s="335"/>
      <c r="FJ3" s="335"/>
      <c r="FK3" s="335"/>
      <c r="FL3" s="335"/>
      <c r="FM3" s="335"/>
      <c r="FN3" s="335"/>
      <c r="FO3" s="335"/>
      <c r="FP3" s="335"/>
      <c r="FQ3" s="335"/>
      <c r="FR3" s="335"/>
      <c r="FS3" s="335"/>
      <c r="FT3" s="335"/>
      <c r="FU3" s="335"/>
      <c r="FV3" s="335"/>
      <c r="FW3" s="335"/>
      <c r="FX3" s="335"/>
      <c r="FY3" s="335"/>
      <c r="FZ3" s="335"/>
      <c r="GA3" s="335"/>
      <c r="GB3" s="335"/>
      <c r="GC3" s="335"/>
      <c r="GD3" s="335"/>
      <c r="GE3" s="335"/>
      <c r="GF3" s="335"/>
      <c r="GG3" s="335"/>
      <c r="GH3" s="335"/>
      <c r="GI3" s="335"/>
      <c r="GJ3" s="335"/>
      <c r="GK3" s="335"/>
      <c r="GL3" s="335"/>
      <c r="GM3" s="335"/>
      <c r="GN3" s="335"/>
      <c r="GO3" s="335"/>
      <c r="GP3" s="335"/>
      <c r="GQ3" s="335"/>
      <c r="GR3" s="335"/>
      <c r="GS3" s="335"/>
      <c r="GT3" s="335"/>
      <c r="GU3" s="335"/>
      <c r="GV3" s="335"/>
      <c r="GW3" s="335"/>
      <c r="GX3" s="335"/>
      <c r="GY3" s="335"/>
      <c r="GZ3" s="335"/>
      <c r="HA3" s="335"/>
      <c r="HB3" s="335"/>
      <c r="HC3" s="335"/>
      <c r="HD3" s="335"/>
      <c r="HE3" s="335"/>
      <c r="HF3" s="335"/>
      <c r="HG3" s="335"/>
      <c r="HH3" s="335"/>
      <c r="HI3" s="335"/>
      <c r="HJ3" s="335"/>
      <c r="HK3" s="335"/>
      <c r="HL3" s="335"/>
      <c r="HM3" s="335"/>
      <c r="HN3" s="335"/>
      <c r="HO3" s="335"/>
      <c r="HP3" s="335"/>
      <c r="HQ3" s="335"/>
      <c r="HR3" s="335"/>
      <c r="HS3" s="335"/>
      <c r="HT3" s="335"/>
      <c r="HU3" s="335"/>
      <c r="HV3" s="335"/>
      <c r="HW3" s="335"/>
      <c r="HX3" s="335"/>
      <c r="HY3" s="335"/>
      <c r="HZ3" s="335"/>
      <c r="IA3" s="335"/>
      <c r="IB3" s="335"/>
      <c r="IC3" s="335"/>
      <c r="ID3" s="335"/>
      <c r="IE3" s="335"/>
      <c r="IF3" s="335"/>
      <c r="IG3" s="335"/>
      <c r="IH3" s="335"/>
      <c r="II3" s="335"/>
      <c r="IJ3" s="335"/>
      <c r="IK3" s="335"/>
      <c r="IL3" s="335"/>
      <c r="IM3" s="335"/>
      <c r="IN3" s="335"/>
      <c r="IO3" s="335"/>
      <c r="IP3" s="335"/>
      <c r="IQ3" s="335"/>
      <c r="IR3" s="335"/>
      <c r="IS3" s="335"/>
      <c r="IT3" s="335"/>
      <c r="IU3" s="335"/>
      <c r="IV3" s="335"/>
      <c r="IW3" s="1732">
        <v>0</v>
      </c>
    </row>
    <row s="10322" customFormat="1" customHeight="1" ht="14.699999999999998">
      <c r="A4" s="1727"/>
      <c r="B4" s="1462"/>
      <c r="C4" s="1727"/>
      <c r="D4" s="1611"/>
      <c r="E4" s="1731"/>
      <c r="F4" s="1731"/>
      <c r="G4" s="1731"/>
      <c r="H4" s="1731"/>
      <c r="I4" s="1731"/>
      <c r="J4" s="1731"/>
      <c r="K4" s="1731"/>
      <c r="L4" s="1989"/>
      <c r="M4" s="356"/>
      <c r="N4" s="1720"/>
      <c r="O4" s="1720"/>
      <c r="P4" s="1720"/>
      <c r="Q4" s="1720"/>
      <c r="R4" s="1720"/>
      <c r="S4" s="333"/>
      <c r="T4" s="333"/>
      <c r="U4" s="333"/>
      <c r="V4" s="333"/>
      <c r="IW4" s="1705">
        <v>14</v>
      </c>
    </row>
    <row s="10322" customFormat="1" customHeight="1" ht="27.299999999999997">
      <c r="A5" s="1727"/>
      <c r="B5" s="1462"/>
      <c r="C5" s="1727"/>
      <c r="D5" s="1611"/>
      <c r="E5" s="29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64"/>
      <c r="G5" s="2964"/>
      <c r="H5" s="2964"/>
      <c r="I5" s="2964"/>
      <c r="J5" s="2964"/>
      <c r="K5" s="2964"/>
      <c r="L5" s="1731"/>
      <c r="M5" s="356"/>
      <c r="N5" s="1720"/>
      <c r="O5" s="1720"/>
      <c r="P5" s="1720"/>
      <c r="Q5" s="1720"/>
      <c r="R5" s="1720"/>
      <c r="S5" s="333"/>
      <c r="T5" s="333"/>
      <c r="U5" s="333"/>
      <c r="V5" s="333"/>
      <c r="IW5" s="1705">
        <v>26</v>
      </c>
    </row>
    <row s="10322" customFormat="1" customHeight="1" ht="14.699999999999998">
      <c r="A6" s="1727"/>
      <c r="B6" s="1462"/>
      <c r="C6" s="1727"/>
      <c r="D6" s="1611"/>
      <c r="E6" s="1731"/>
      <c r="F6" s="723"/>
      <c r="G6" s="723"/>
      <c r="H6" s="723"/>
      <c r="I6" s="723"/>
      <c r="J6" s="723"/>
      <c r="K6" s="723"/>
      <c r="L6" s="1348"/>
      <c r="M6" s="1720"/>
      <c r="N6" s="1720"/>
      <c r="O6" s="1720"/>
      <c r="P6" s="1720"/>
      <c r="Q6" s="1720"/>
      <c r="R6" s="1720"/>
      <c r="S6" s="333"/>
      <c r="T6" s="333"/>
      <c r="U6" s="333"/>
      <c r="V6" s="333"/>
      <c r="IW6" s="1705">
        <v>14</v>
      </c>
    </row>
    <row s="10322" customFormat="1" customHeight="1" ht="14.699999999999998">
      <c r="A7" s="1727"/>
      <c r="B7" s="1462"/>
      <c r="C7" s="1727"/>
      <c r="D7" s="1611"/>
      <c r="E7" s="2959" t="s">
        <v>385</v>
      </c>
      <c r="F7" s="2965"/>
      <c r="G7" s="2965"/>
      <c r="H7" s="2965"/>
      <c r="I7" s="2965"/>
      <c r="J7" s="2965"/>
      <c r="K7" s="2965"/>
      <c r="L7" s="3315" t="s">
        <v>386</v>
      </c>
      <c r="M7" s="1720"/>
      <c r="N7" s="1720"/>
      <c r="O7" s="1720"/>
      <c r="P7" s="1720"/>
      <c r="Q7" s="1720"/>
      <c r="R7" s="1720"/>
      <c r="S7" s="333"/>
      <c r="T7" s="333"/>
      <c r="U7" s="333"/>
      <c r="V7" s="333"/>
      <c r="IW7" s="1705">
        <v>14</v>
      </c>
    </row>
    <row s="10322" customFormat="1" customHeight="1" ht="67.2">
      <c r="A8" s="1727"/>
      <c r="B8" s="1462"/>
      <c r="C8" s="1727"/>
      <c r="D8" s="1611"/>
      <c r="E8" s="3319" t="s">
        <v>88</v>
      </c>
      <c r="F8" s="3319" t="s">
        <v>2112</v>
      </c>
      <c r="G8" s="3321" t="s">
        <v>2113</v>
      </c>
      <c r="H8" s="3322"/>
      <c r="I8" s="3323"/>
      <c r="J8" s="3319" t="s">
        <v>2114</v>
      </c>
      <c r="K8" s="33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317"/>
      <c r="M8" s="1720"/>
      <c r="N8" s="1720"/>
      <c r="O8" s="1720"/>
      <c r="P8" s="1720"/>
      <c r="Q8" s="1720"/>
      <c r="R8" s="1720"/>
      <c r="S8" s="333"/>
      <c r="T8" s="333"/>
      <c r="U8" s="333"/>
      <c r="V8" s="333"/>
      <c r="IW8" s="1705">
        <v>64</v>
      </c>
    </row>
    <row s="10322" customFormat="1" customHeight="1" ht="29.25">
      <c r="A9" s="1727"/>
      <c r="B9" s="1462"/>
      <c r="C9" s="1727"/>
      <c r="D9" s="1611"/>
      <c r="E9" s="3320"/>
      <c r="F9" s="3320"/>
      <c r="G9" s="1988" t="s">
        <v>2108</v>
      </c>
      <c r="H9" s="1988" t="s">
        <v>2109</v>
      </c>
      <c r="I9" s="1988" t="s">
        <v>2110</v>
      </c>
      <c r="J9" s="3320"/>
      <c r="K9" s="3320"/>
      <c r="L9" s="3316"/>
      <c r="M9" s="1720"/>
      <c r="N9" s="1720"/>
      <c r="O9" s="1720"/>
      <c r="P9" s="1720"/>
      <c r="Q9" s="1720"/>
      <c r="R9" s="1720"/>
      <c r="S9" s="333"/>
      <c r="T9" s="333"/>
      <c r="U9" s="333"/>
      <c r="V9" s="333"/>
      <c r="IW9" s="1705">
        <v>28</v>
      </c>
    </row>
    <row s="10365" customFormat="1" customHeight="1" ht="1.05">
      <c r="A10" s="2962"/>
      <c r="B10" s="1462">
        <v>1</v>
      </c>
      <c r="C10" s="1462"/>
      <c r="D10" s="901"/>
      <c r="E10" s="896">
        <v>0</v>
      </c>
      <c r="F10" s="1985" t="str">
        <f>IF(ROIV_INFO_NAME="","",ROIV_INFO_NAME)</f>
        <v>АО "ДГК"</v>
      </c>
      <c r="G10" s="1829" t="s">
        <v>22</v>
      </c>
      <c r="H10" s="1997"/>
      <c r="I10" s="1997"/>
      <c r="J10" s="626"/>
      <c r="K10" s="626"/>
      <c r="L10" s="33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31">
        <f>MERGEVALUE(F10)</f>
      </c>
      <c r="N10" s="1732"/>
      <c r="O10" s="1732"/>
      <c r="P10" s="1720" t="str">
        <f t="array" ref="P10:P10">IF(ISERROR(MATCH(MID(Q10,1,250),MID(note_ter,1,250),0)),"n","y")</f>
        <v>n</v>
      </c>
      <c r="Q10" s="1732"/>
      <c r="R10" s="172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62"/>
      <c r="T10" s="1462"/>
      <c r="U10" s="527"/>
      <c r="V10" s="1462"/>
      <c r="W10" s="1462"/>
      <c r="X10" s="1462"/>
      <c r="Y10" s="934"/>
      <c r="Z10" s="9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4"/>
      <c r="AY10" s="734"/>
      <c r="AZ10" s="734"/>
      <c r="BA10" s="734"/>
      <c r="BB10" s="734"/>
      <c r="BC10" s="734"/>
      <c r="BD10" s="734"/>
      <c r="BE10" s="734"/>
      <c r="BF10" s="734"/>
      <c r="BG10" s="734"/>
      <c r="BH10" s="734"/>
      <c r="BI10" s="734"/>
      <c r="BJ10" s="734"/>
      <c r="BK10" s="734"/>
      <c r="BL10" s="734"/>
      <c r="BM10" s="734"/>
      <c r="BN10" s="734"/>
      <c r="BO10" s="734"/>
      <c r="BP10" s="734"/>
      <c r="BQ10" s="734"/>
      <c r="BR10" s="734"/>
      <c r="BS10" s="734"/>
      <c r="BT10" s="734"/>
      <c r="BU10" s="734"/>
      <c r="BV10" s="934"/>
      <c r="BW10" s="934"/>
      <c r="BX10" s="934"/>
      <c r="BY10" s="934"/>
      <c r="BZ10" s="934"/>
      <c r="CA10" s="934"/>
      <c r="CB10" s="934"/>
      <c r="CC10" s="934"/>
      <c r="CD10" s="934"/>
      <c r="CE10" s="934"/>
      <c r="IW10" s="731">
        <v>1</v>
      </c>
    </row>
    <row s="10365" customFormat="1" customHeight="1" ht="15.75">
      <c r="A11" s="2962"/>
      <c r="B11" s="1462"/>
      <c r="C11" s="519"/>
      <c r="D11" s="902"/>
      <c r="E11" s="528"/>
      <c r="F11" s="758" t="s">
        <v>2111</v>
      </c>
      <c r="G11" s="295"/>
      <c r="H11" s="295"/>
      <c r="I11" s="295"/>
      <c r="J11" s="295"/>
      <c r="K11" s="531"/>
      <c r="L11" s="3318"/>
      <c r="M11" s="1632"/>
      <c r="N11" s="1732"/>
      <c r="O11" s="1732"/>
      <c r="P11" s="1732"/>
      <c r="Q11" s="1720"/>
      <c r="R11" s="1732"/>
      <c r="S11" s="1462"/>
      <c r="T11" s="1462"/>
      <c r="U11" s="527"/>
      <c r="V11" s="1462"/>
      <c r="W11" s="1462"/>
      <c r="X11" s="1462"/>
      <c r="Y11" s="934"/>
      <c r="Z11" s="9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4"/>
      <c r="AY11" s="734"/>
      <c r="AZ11" s="734"/>
      <c r="BA11" s="734"/>
      <c r="BB11" s="734"/>
      <c r="BC11" s="734"/>
      <c r="BD11" s="734"/>
      <c r="BE11" s="734"/>
      <c r="BF11" s="734"/>
      <c r="BG11" s="734"/>
      <c r="BH11" s="734"/>
      <c r="BI11" s="734"/>
      <c r="BJ11" s="734"/>
      <c r="BK11" s="734"/>
      <c r="BL11" s="734"/>
      <c r="BM11" s="734"/>
      <c r="BN11" s="734"/>
      <c r="BO11" s="734"/>
      <c r="BP11" s="734"/>
      <c r="BQ11" s="734"/>
      <c r="BR11" s="734"/>
      <c r="BS11" s="734"/>
      <c r="BT11" s="734"/>
      <c r="BU11" s="734"/>
      <c r="BV11" s="934"/>
      <c r="BW11" s="934"/>
      <c r="BX11" s="934"/>
      <c r="BY11" s="934"/>
      <c r="BZ11" s="934"/>
      <c r="CA11" s="934"/>
      <c r="CB11" s="934"/>
      <c r="CC11" s="934"/>
      <c r="CD11" s="934"/>
      <c r="CE11" s="934"/>
      <c r="IW11" s="731">
        <v>15</v>
      </c>
    </row>
    <row s="10322" customFormat="1" customHeight="1" ht="22.049999999999997">
      <c r="A12" s="1727"/>
      <c r="B12" s="1462"/>
      <c r="C12" s="1727"/>
      <c r="D12" s="1729"/>
      <c r="E12" s="288"/>
      <c r="F12" s="288"/>
      <c r="G12" s="288"/>
      <c r="H12" s="288"/>
      <c r="I12" s="288"/>
      <c r="J12" s="288"/>
      <c r="K12" s="288"/>
      <c r="L12" s="288"/>
      <c r="M12" s="1720"/>
      <c r="N12" s="1720"/>
      <c r="O12" s="1720"/>
      <c r="P12" s="1720"/>
      <c r="Q12" s="1720"/>
      <c r="R12" s="1720"/>
      <c r="S12" s="333"/>
      <c r="T12" s="333"/>
      <c r="U12" s="333"/>
      <c r="V12" s="333"/>
      <c r="IW12" s="1705">
        <v>21</v>
      </c>
    </row>
    <row s="10322" customFormat="1" customHeight="1" ht="14.699999999999998">
      <c r="A13" s="1727"/>
      <c r="B13" s="1462"/>
      <c r="C13" s="1727"/>
      <c r="D13" s="1729"/>
      <c r="E13" s="1727"/>
      <c r="F13" s="1727"/>
      <c r="G13" s="1727"/>
      <c r="H13" s="1727"/>
      <c r="I13" s="1727"/>
      <c r="J13" s="1727"/>
      <c r="K13" s="1727"/>
      <c r="L13" s="1727"/>
      <c r="M13" s="1720"/>
      <c r="N13" s="1720"/>
      <c r="O13" s="1720"/>
      <c r="P13" s="1720"/>
      <c r="Q13" s="1720"/>
      <c r="R13" s="1720"/>
      <c r="S13" s="333"/>
      <c r="T13" s="333"/>
      <c r="U13" s="333"/>
      <c r="V13" s="333"/>
      <c r="IW13" s="1705">
        <v>14</v>
      </c>
    </row>
    <row s="10322" customFormat="1" customHeight="1" ht="1.05">
      <c r="A14" s="1727"/>
      <c r="B14" s="1462"/>
      <c r="C14" s="1727"/>
      <c r="D14" s="1729"/>
      <c r="E14" s="1727"/>
      <c r="F14" s="1727"/>
      <c r="G14" s="1727"/>
      <c r="H14" s="1727"/>
      <c r="I14" s="1727"/>
      <c r="J14" s="1727"/>
      <c r="K14" s="1727"/>
      <c r="L14" s="1727"/>
      <c r="M14" s="1720"/>
      <c r="N14" s="1720"/>
      <c r="O14" s="1720"/>
      <c r="P14" s="1720"/>
      <c r="Q14" s="1720"/>
      <c r="R14" s="1720"/>
      <c r="S14" s="333"/>
      <c r="T14" s="333"/>
      <c r="U14" s="333"/>
      <c r="V14" s="333"/>
      <c r="IW14" s="1705">
        <v>1</v>
      </c>
    </row>
    <row customHeight="1" ht="22.5" hidden="1">
      <c r="A15" s="1727" t="s">
        <v>82</v>
      </c>
      <c r="B15" s="1462">
        <v>0</v>
      </c>
      <c r="C15" s="1727">
        <v>0</v>
      </c>
      <c r="D15" s="1729">
        <v>3</v>
      </c>
      <c r="E15" s="1727">
        <v>6</v>
      </c>
      <c r="F15" s="1727">
        <v>27</v>
      </c>
      <c r="G15" s="1727">
        <v>16</v>
      </c>
      <c r="H15" s="1727">
        <v>12</v>
      </c>
      <c r="I15" s="1727">
        <v>32</v>
      </c>
      <c r="J15" s="1727">
        <v>41</v>
      </c>
      <c r="K15" s="1727">
        <v>41</v>
      </c>
      <c r="L15" s="1727">
        <v>89</v>
      </c>
      <c r="M15" s="1720">
        <v>3</v>
      </c>
      <c r="N15" s="1720">
        <v>8</v>
      </c>
      <c r="O15" s="1720">
        <v>8</v>
      </c>
      <c r="P15" s="1720">
        <v>8</v>
      </c>
      <c r="Q15" s="1720">
        <v>25</v>
      </c>
      <c r="R15" s="1720">
        <v>14</v>
      </c>
      <c r="S15" s="333">
        <v>8</v>
      </c>
      <c r="T15" s="333">
        <v>8</v>
      </c>
      <c r="U15" s="333">
        <v>8</v>
      </c>
      <c r="V15" s="333">
        <v>8</v>
      </c>
      <c r="W15" s="1727">
        <v>8</v>
      </c>
      <c r="X15" s="1727">
        <v>8</v>
      </c>
      <c r="Y15" s="1727">
        <v>8</v>
      </c>
      <c r="Z15" s="1727">
        <v>8</v>
      </c>
      <c r="AA15" s="1727">
        <v>8</v>
      </c>
      <c r="AB15" s="1727">
        <v>8</v>
      </c>
      <c r="AC15" s="1727">
        <v>8</v>
      </c>
      <c r="AD15" s="1727">
        <v>8</v>
      </c>
      <c r="AE15" s="1727">
        <v>8</v>
      </c>
      <c r="AF15" s="1727">
        <v>8</v>
      </c>
      <c r="AG15" s="1727">
        <v>8</v>
      </c>
      <c r="AH15" s="1727">
        <v>8</v>
      </c>
      <c r="AI15" s="1727">
        <v>8</v>
      </c>
      <c r="AJ15" s="1727">
        <v>8</v>
      </c>
      <c r="AK15" s="1727">
        <v>8</v>
      </c>
      <c r="AL15" s="1727">
        <v>8</v>
      </c>
      <c r="AM15" s="1727">
        <v>8</v>
      </c>
      <c r="AN15" s="1727">
        <v>8</v>
      </c>
      <c r="AO15" s="1727">
        <v>8</v>
      </c>
      <c r="AP15" s="1727">
        <v>8</v>
      </c>
      <c r="AQ15" s="1727">
        <v>8</v>
      </c>
      <c r="AR15" s="1727">
        <v>8</v>
      </c>
      <c r="AS15" s="1727">
        <v>8</v>
      </c>
      <c r="AT15" s="1727">
        <v>8</v>
      </c>
      <c r="AU15" s="1727">
        <v>8</v>
      </c>
      <c r="AV15" s="1727">
        <v>8</v>
      </c>
      <c r="AW15" s="1727">
        <v>8</v>
      </c>
      <c r="AX15" s="1727">
        <v>8</v>
      </c>
      <c r="AY15" s="1727">
        <v>8</v>
      </c>
      <c r="AZ15" s="1727">
        <v>8</v>
      </c>
      <c r="BA15" s="1727">
        <v>8</v>
      </c>
      <c r="BB15" s="1727">
        <v>8</v>
      </c>
      <c r="BC15" s="1727">
        <v>8</v>
      </c>
      <c r="BD15" s="1727">
        <v>8</v>
      </c>
      <c r="BE15" s="1727">
        <v>8</v>
      </c>
      <c r="BF15" s="1727">
        <v>8</v>
      </c>
      <c r="BG15" s="1727">
        <v>8</v>
      </c>
      <c r="BH15" s="1727">
        <v>8</v>
      </c>
      <c r="BI15" s="1727">
        <v>8</v>
      </c>
      <c r="BJ15" s="1727">
        <v>8</v>
      </c>
      <c r="BK15" s="1727">
        <v>8</v>
      </c>
      <c r="BL15" s="1727">
        <v>8</v>
      </c>
      <c r="BM15" s="1727">
        <v>8</v>
      </c>
      <c r="BN15" s="1727">
        <v>8</v>
      </c>
      <c r="BO15" s="1727">
        <v>8</v>
      </c>
      <c r="BP15" s="1727">
        <v>8</v>
      </c>
      <c r="BQ15" s="1727">
        <v>8</v>
      </c>
      <c r="BR15" s="1727">
        <v>8</v>
      </c>
      <c r="BS15" s="1727">
        <v>8</v>
      </c>
      <c r="BT15" s="1727">
        <v>8</v>
      </c>
      <c r="BU15" s="1727">
        <v>8</v>
      </c>
      <c r="BV15" s="1727">
        <v>8</v>
      </c>
      <c r="BW15" s="1727">
        <v>8</v>
      </c>
      <c r="BX15" s="1727">
        <v>8</v>
      </c>
      <c r="BY15" s="1727">
        <v>8</v>
      </c>
      <c r="BZ15" s="1727">
        <v>8</v>
      </c>
      <c r="CA15" s="1727">
        <v>8</v>
      </c>
      <c r="CB15" s="1727">
        <v>8</v>
      </c>
      <c r="CC15" s="1727">
        <v>8</v>
      </c>
      <c r="CD15" s="1727">
        <v>8</v>
      </c>
      <c r="CE15" s="1727">
        <v>8</v>
      </c>
      <c r="CF15" s="1727">
        <v>8</v>
      </c>
      <c r="CG15" s="1727">
        <v>8</v>
      </c>
      <c r="CH15" s="1727">
        <v>8</v>
      </c>
      <c r="CI15" s="1727">
        <v>8</v>
      </c>
      <c r="CJ15" s="1727">
        <v>8</v>
      </c>
      <c r="CK15" s="1727">
        <v>8</v>
      </c>
      <c r="CL15" s="1727">
        <v>8</v>
      </c>
      <c r="CM15" s="1727">
        <v>8</v>
      </c>
      <c r="CN15" s="1727">
        <v>8</v>
      </c>
      <c r="CO15" s="1727">
        <v>8</v>
      </c>
      <c r="CP15" s="1727">
        <v>8</v>
      </c>
      <c r="CQ15" s="1727">
        <v>8</v>
      </c>
      <c r="CR15" s="1727">
        <v>8</v>
      </c>
      <c r="CS15" s="1727">
        <v>8</v>
      </c>
      <c r="CT15" s="1727">
        <v>8</v>
      </c>
      <c r="CU15" s="1727">
        <v>8</v>
      </c>
      <c r="CV15" s="1727">
        <v>8</v>
      </c>
      <c r="CW15" s="1727">
        <v>8</v>
      </c>
      <c r="CX15" s="1727">
        <v>8</v>
      </c>
      <c r="CY15" s="1727">
        <v>8</v>
      </c>
      <c r="CZ15" s="1727">
        <v>8</v>
      </c>
      <c r="DA15" s="1727">
        <v>8</v>
      </c>
      <c r="DB15" s="1727">
        <v>8</v>
      </c>
      <c r="DC15" s="1727">
        <v>8</v>
      </c>
      <c r="DD15" s="1727">
        <v>8</v>
      </c>
      <c r="DE15" s="1727">
        <v>8</v>
      </c>
      <c r="DF15" s="1727">
        <v>8</v>
      </c>
      <c r="DG15" s="1727">
        <v>8</v>
      </c>
      <c r="DH15" s="1727">
        <v>8</v>
      </c>
      <c r="DI15" s="1727">
        <v>8</v>
      </c>
      <c r="DJ15" s="1727">
        <v>8</v>
      </c>
      <c r="DK15" s="1727">
        <v>8</v>
      </c>
      <c r="DL15" s="1727">
        <v>8</v>
      </c>
      <c r="DM15" s="1727">
        <v>8</v>
      </c>
      <c r="DN15" s="1727">
        <v>8</v>
      </c>
      <c r="DO15" s="1727">
        <v>8</v>
      </c>
      <c r="DP15" s="1727">
        <v>8</v>
      </c>
      <c r="DQ15" s="1727">
        <v>8</v>
      </c>
      <c r="DR15" s="1727">
        <v>8</v>
      </c>
      <c r="DS15" s="1727">
        <v>8</v>
      </c>
      <c r="DT15" s="1727">
        <v>8</v>
      </c>
      <c r="DU15" s="1727">
        <v>8</v>
      </c>
      <c r="DV15" s="1727">
        <v>8</v>
      </c>
      <c r="DW15" s="1727">
        <v>8</v>
      </c>
      <c r="DX15" s="1727">
        <v>8</v>
      </c>
      <c r="DY15" s="1727">
        <v>8</v>
      </c>
      <c r="DZ15" s="1727">
        <v>8</v>
      </c>
      <c r="EA15" s="1727">
        <v>8</v>
      </c>
      <c r="EB15" s="1727">
        <v>8</v>
      </c>
      <c r="EC15" s="1727">
        <v>8</v>
      </c>
      <c r="ED15" s="1727">
        <v>8</v>
      </c>
      <c r="EE15" s="1727">
        <v>8</v>
      </c>
      <c r="EF15" s="1727">
        <v>8</v>
      </c>
      <c r="EG15" s="1727">
        <v>8</v>
      </c>
      <c r="EH15" s="1727">
        <v>8</v>
      </c>
      <c r="EI15" s="1727">
        <v>8</v>
      </c>
      <c r="EJ15" s="1727">
        <v>8</v>
      </c>
      <c r="EK15" s="1727">
        <v>8</v>
      </c>
      <c r="EL15" s="1727">
        <v>8</v>
      </c>
      <c r="EM15" s="1727">
        <v>8</v>
      </c>
      <c r="EN15" s="1727">
        <v>8</v>
      </c>
      <c r="EO15" s="1727">
        <v>8</v>
      </c>
      <c r="EP15" s="1727">
        <v>8</v>
      </c>
      <c r="EQ15" s="1727">
        <v>8</v>
      </c>
      <c r="ER15" s="1727">
        <v>8</v>
      </c>
      <c r="ES15" s="1727">
        <v>8</v>
      </c>
      <c r="ET15" s="1727">
        <v>8</v>
      </c>
      <c r="EU15" s="1727">
        <v>8</v>
      </c>
      <c r="EV15" s="1727">
        <v>8</v>
      </c>
      <c r="EW15" s="1727">
        <v>8</v>
      </c>
      <c r="EX15" s="1727">
        <v>8</v>
      </c>
      <c r="EY15" s="1727">
        <v>8</v>
      </c>
      <c r="EZ15" s="1727">
        <v>8</v>
      </c>
      <c r="FA15" s="1727">
        <v>8</v>
      </c>
      <c r="FB15" s="1727">
        <v>8</v>
      </c>
      <c r="FC15" s="1727">
        <v>8</v>
      </c>
      <c r="FD15" s="1727">
        <v>8</v>
      </c>
      <c r="FE15" s="1727">
        <v>8</v>
      </c>
      <c r="FF15" s="1727">
        <v>8</v>
      </c>
      <c r="FG15" s="1727">
        <v>8</v>
      </c>
      <c r="FH15" s="1727">
        <v>8</v>
      </c>
      <c r="FI15" s="1727">
        <v>8</v>
      </c>
      <c r="FJ15" s="1727">
        <v>8</v>
      </c>
      <c r="FK15" s="1727">
        <v>8</v>
      </c>
      <c r="FL15" s="1727">
        <v>8</v>
      </c>
      <c r="FM15" s="1727">
        <v>8</v>
      </c>
      <c r="FN15" s="1727">
        <v>8</v>
      </c>
      <c r="FO15" s="1727">
        <v>8</v>
      </c>
      <c r="FP15" s="1727">
        <v>8</v>
      </c>
      <c r="FQ15" s="1727">
        <v>8</v>
      </c>
      <c r="FR15" s="1727">
        <v>8</v>
      </c>
      <c r="FS15" s="1727">
        <v>8</v>
      </c>
      <c r="FT15" s="1727">
        <v>8</v>
      </c>
      <c r="FU15" s="1727">
        <v>8</v>
      </c>
      <c r="FV15" s="1727">
        <v>8</v>
      </c>
      <c r="FW15" s="1727">
        <v>8</v>
      </c>
      <c r="FX15" s="1727">
        <v>8</v>
      </c>
      <c r="FY15" s="1727">
        <v>8</v>
      </c>
      <c r="FZ15" s="1727">
        <v>8</v>
      </c>
      <c r="GA15" s="1727">
        <v>8</v>
      </c>
      <c r="GB15" s="1727">
        <v>8</v>
      </c>
      <c r="GC15" s="1727">
        <v>8</v>
      </c>
      <c r="GD15" s="1727">
        <v>8</v>
      </c>
      <c r="GE15" s="1727">
        <v>8</v>
      </c>
      <c r="GF15" s="1727">
        <v>8</v>
      </c>
      <c r="GG15" s="1727">
        <v>8</v>
      </c>
      <c r="GH15" s="1727">
        <v>8</v>
      </c>
      <c r="GI15" s="1727">
        <v>8</v>
      </c>
      <c r="GJ15" s="1727">
        <v>8</v>
      </c>
      <c r="GK15" s="1727">
        <v>8</v>
      </c>
      <c r="GL15" s="1727">
        <v>8</v>
      </c>
      <c r="GM15" s="1727">
        <v>8</v>
      </c>
      <c r="GN15" s="1727">
        <v>8</v>
      </c>
      <c r="GO15" s="1727">
        <v>8</v>
      </c>
      <c r="GP15" s="1727">
        <v>8</v>
      </c>
      <c r="GQ15" s="1727">
        <v>8</v>
      </c>
      <c r="GR15" s="1727">
        <v>8</v>
      </c>
      <c r="GS15" s="1727">
        <v>8</v>
      </c>
      <c r="GT15" s="1727">
        <v>8</v>
      </c>
      <c r="GU15" s="1727">
        <v>8</v>
      </c>
      <c r="GV15" s="1727">
        <v>8</v>
      </c>
      <c r="GW15" s="1727">
        <v>8</v>
      </c>
      <c r="GX15" s="1727">
        <v>8</v>
      </c>
      <c r="GY15" s="1727">
        <v>8</v>
      </c>
      <c r="GZ15" s="1727">
        <v>8</v>
      </c>
      <c r="HA15" s="1727">
        <v>8</v>
      </c>
      <c r="HB15" s="1727">
        <v>8</v>
      </c>
      <c r="HC15" s="1727">
        <v>8</v>
      </c>
      <c r="HD15" s="1727">
        <v>8</v>
      </c>
      <c r="HE15" s="1727">
        <v>8</v>
      </c>
      <c r="HF15" s="1727">
        <v>8</v>
      </c>
      <c r="HG15" s="1727">
        <v>8</v>
      </c>
      <c r="HH15" s="1727">
        <v>8</v>
      </c>
      <c r="HI15" s="1727">
        <v>8</v>
      </c>
      <c r="HJ15" s="1727">
        <v>8</v>
      </c>
      <c r="HK15" s="1727">
        <v>8</v>
      </c>
      <c r="HL15" s="1727">
        <v>8</v>
      </c>
      <c r="HM15" s="1727">
        <v>8</v>
      </c>
      <c r="HN15" s="1727">
        <v>8</v>
      </c>
      <c r="HO15" s="1727">
        <v>8</v>
      </c>
      <c r="HP15" s="1727">
        <v>8</v>
      </c>
      <c r="HQ15" s="1727">
        <v>8</v>
      </c>
      <c r="HR15" s="1727">
        <v>8</v>
      </c>
      <c r="HS15" s="1727">
        <v>8</v>
      </c>
      <c r="HT15" s="1727">
        <v>8</v>
      </c>
      <c r="HU15" s="1727">
        <v>8</v>
      </c>
      <c r="HV15" s="1727">
        <v>8</v>
      </c>
      <c r="HW15" s="1727">
        <v>8</v>
      </c>
      <c r="HX15" s="1727">
        <v>8</v>
      </c>
      <c r="HY15" s="1727">
        <v>8</v>
      </c>
      <c r="HZ15" s="1727">
        <v>8</v>
      </c>
      <c r="IA15" s="1727">
        <v>8</v>
      </c>
      <c r="IB15" s="1727">
        <v>8</v>
      </c>
      <c r="IC15" s="1727">
        <v>8</v>
      </c>
      <c r="ID15" s="1727">
        <v>8</v>
      </c>
      <c r="IE15" s="1727">
        <v>8</v>
      </c>
      <c r="IF15" s="1727">
        <v>8</v>
      </c>
      <c r="IG15" s="1727">
        <v>8</v>
      </c>
      <c r="IH15" s="1727">
        <v>8</v>
      </c>
      <c r="II15" s="1727">
        <v>8</v>
      </c>
      <c r="IJ15" s="1727">
        <v>8</v>
      </c>
      <c r="IK15" s="1727">
        <v>8</v>
      </c>
      <c r="IL15" s="1727">
        <v>8</v>
      </c>
      <c r="IM15" s="1727">
        <v>8</v>
      </c>
      <c r="IN15" s="1727">
        <v>8</v>
      </c>
      <c r="IO15" s="1727">
        <v>8</v>
      </c>
      <c r="IP15" s="1727">
        <v>8</v>
      </c>
      <c r="IQ15" s="1727">
        <v>8</v>
      </c>
      <c r="IR15" s="1727">
        <v>8</v>
      </c>
      <c r="IS15" s="1727">
        <v>8</v>
      </c>
      <c r="IT15" s="1727">
        <v>8</v>
      </c>
      <c r="IU15" s="1727">
        <v>8</v>
      </c>
      <c r="IV15" s="1727">
        <v>8</v>
      </c>
      <c r="IW15" s="1727">
        <v>23</v>
      </c>
    </row>
  </sheetData>
  <sheetProtection autoFilter="0" sort="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EC5A2-A6C2-5E2E-DBE5-C953A2BD5668}" mc:Ignorable="x14ac xr xr2 xr3">
  <dimension ref="A1:Q19"/>
  <sheetViews>
    <sheetView topLeftCell="A1" showGridLines="0" zoomScale="90" workbookViewId="0">
      <selection activeCell="A1" sqref="A1"/>
    </sheetView>
  </sheetViews>
  <sheetFormatPr defaultColWidth="9.140625" customHeight="1" defaultRowHeight="14.25"/>
  <cols>
    <col min="1" max="1" style="10232" width="9.140625" hidden="1"/>
    <col min="2" max="2" style="10306" width="9.140625" hidden="1"/>
    <col min="3" max="3" style="10232" width="3.7109375" hidden="1" customWidth="1"/>
    <col min="4" max="4" style="10409" width="3.00390625" customWidth="1"/>
    <col min="5" max="5" style="10232" width="6.00390625" customWidth="1"/>
    <col min="6" max="6" style="10232" width="27.00390625" customWidth="1"/>
    <col min="7" max="7" style="10232" width="29.00390625" customWidth="1"/>
    <col min="8" max="8" style="10232" width="25.00390625" customWidth="1"/>
    <col min="9" max="9" style="10232" width="5.00390625" customWidth="1"/>
    <col min="10" max="10" style="10232" width="6.00390625" customWidth="1"/>
    <col min="11" max="11" style="10232" width="41.00390625" customWidth="1"/>
    <col min="12" max="12" style="10232" width="42.00390625" customWidth="1"/>
    <col min="13" max="13" style="10232" width="41.00390625" customWidth="1"/>
    <col min="14" max="14" style="10232" width="89.00390625" customWidth="1"/>
    <col min="15" max="15" style="10410" width="3.00390625" customWidth="1"/>
    <col min="16" max="16" style="10410" width="8.00390625" customWidth="1"/>
    <col min="17" max="17" style="10232" width="9.140625" hidden="1"/>
  </cols>
  <sheetData>
    <row customHeight="1" ht="22.5" hidden="1">
      <c r="Q1" s="1251" t="s">
        <v>14</v>
      </c>
    </row>
    <row s="10365" customFormat="1" customHeight="1" ht="22.5" hidden="1">
      <c r="A2" s="603"/>
      <c r="B2" s="1256">
        <v>1</v>
      </c>
      <c r="C2" s="1256"/>
      <c r="D2" s="2019" t="s">
        <v>103</v>
      </c>
      <c r="E2" s="2978">
        <v>1</v>
      </c>
      <c r="F2" s="3154" t="str">
        <f>IF(region_name="","",region_name)</f>
        <v>Хабаровский край</v>
      </c>
      <c r="G2" s="3332"/>
      <c r="H2" s="3333"/>
      <c r="I2" s="581"/>
      <c r="J2" s="2004">
        <v>1</v>
      </c>
      <c r="K2" s="2006"/>
      <c r="L2" s="2006"/>
      <c r="M2" s="2006"/>
      <c r="N2" s="599"/>
      <c r="O2" s="1631"/>
      <c r="P2" s="618"/>
      <c r="Q2" s="530">
        <v>0</v>
      </c>
    </row>
    <row s="10365" customFormat="1" customHeight="1" ht="22.5" hidden="1">
      <c r="A3" s="932"/>
      <c r="B3" s="1256"/>
      <c r="C3" s="1256"/>
      <c r="D3" s="902"/>
      <c r="E3" s="2978"/>
      <c r="F3" s="3154"/>
      <c r="G3" s="3332"/>
      <c r="H3" s="3334"/>
      <c r="I3" s="528"/>
      <c r="J3" s="1596"/>
      <c r="K3" s="1596" t="s">
        <v>2115</v>
      </c>
      <c r="L3" s="1639"/>
      <c r="M3" s="2014"/>
      <c r="N3" s="2007"/>
      <c r="O3" s="1631"/>
      <c r="P3" s="618"/>
      <c r="Q3" s="530">
        <v>0</v>
      </c>
    </row>
    <row s="10307" customFormat="1" customHeight="1" ht="5.25" hidden="1">
      <c r="A4" s="603"/>
      <c r="D4" s="601"/>
      <c r="F4" s="355" t="s">
        <v>83</v>
      </c>
      <c r="G4" s="601" t="s">
        <v>84</v>
      </c>
      <c r="H4" s="601"/>
      <c r="I4" s="2017"/>
      <c r="J4" s="1640"/>
      <c r="K4" s="2005"/>
      <c r="L4" s="2005"/>
      <c r="M4" s="2005"/>
      <c r="N4" s="2001"/>
      <c r="O4" s="355" t="s">
        <v>83</v>
      </c>
      <c r="P4" s="355"/>
      <c r="Q4" s="618">
        <v>0</v>
      </c>
    </row>
    <row s="10365" customFormat="1" customHeight="1" ht="22.5" hidden="1">
      <c r="A5" s="1737"/>
      <c r="B5" s="1462">
        <v>1</v>
      </c>
      <c r="C5" s="1462"/>
      <c r="D5" s="902"/>
      <c r="E5" s="2007"/>
      <c r="F5" s="2007"/>
      <c r="G5" s="2007"/>
      <c r="H5" s="2018"/>
      <c r="I5" s="2020" t="s">
        <v>103</v>
      </c>
      <c r="J5" s="2016">
        <v>1</v>
      </c>
      <c r="K5" s="2006"/>
      <c r="L5" s="2006"/>
      <c r="M5" s="2006"/>
      <c r="N5" s="599"/>
      <c r="O5" s="1631"/>
      <c r="P5" s="1732"/>
      <c r="Q5" s="731">
        <v>0</v>
      </c>
    </row>
    <row s="10322" customFormat="1" customHeight="1" ht="14.699999999999998">
      <c r="A6" s="1251"/>
      <c r="B6" s="1256"/>
      <c r="C6" s="1251"/>
      <c r="D6" s="1591"/>
      <c r="E6" s="616"/>
      <c r="F6" s="616"/>
      <c r="G6" s="616"/>
      <c r="H6" s="616"/>
      <c r="I6" s="616"/>
      <c r="J6" s="616"/>
      <c r="K6" s="616"/>
      <c r="L6" s="616"/>
      <c r="M6" s="616"/>
      <c r="N6" s="1731"/>
      <c r="O6" s="355"/>
      <c r="P6" s="607"/>
      <c r="Q6" s="614">
        <v>14</v>
      </c>
    </row>
    <row s="10322" customFormat="1" customHeight="1" ht="27.299999999999997">
      <c r="A7" s="1251"/>
      <c r="B7" s="1256"/>
      <c r="C7" s="1251"/>
      <c r="D7" s="1591"/>
      <c r="E7" s="332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326"/>
      <c r="G7" s="3326"/>
      <c r="H7" s="3326"/>
      <c r="I7" s="3326"/>
      <c r="J7" s="3326"/>
      <c r="K7" s="3326"/>
      <c r="L7" s="3326"/>
      <c r="M7" s="3326"/>
      <c r="N7" s="1348"/>
      <c r="O7" s="355"/>
      <c r="P7" s="607"/>
      <c r="Q7" s="614">
        <v>26</v>
      </c>
    </row>
    <row s="10322" customFormat="1" customHeight="1" ht="14.699999999999998">
      <c r="A8" s="1251"/>
      <c r="B8" s="1256"/>
      <c r="C8" s="1251"/>
      <c r="D8" s="1591"/>
      <c r="E8" s="616"/>
      <c r="F8" s="275"/>
      <c r="G8" s="275"/>
      <c r="H8" s="275"/>
      <c r="I8" s="275"/>
      <c r="J8" s="275"/>
      <c r="K8" s="275"/>
      <c r="L8" s="275"/>
      <c r="M8" s="275"/>
      <c r="N8" s="723"/>
      <c r="O8" s="607"/>
      <c r="P8" s="607"/>
      <c r="Q8" s="614">
        <v>14</v>
      </c>
    </row>
    <row s="13206" customFormat="1" customHeight="1" ht="14.25" hidden="1">
      <c r="A9" s="1564"/>
      <c r="B9" s="1574"/>
      <c r="C9" s="1564"/>
      <c r="D9" s="1591"/>
      <c r="E9" s="2008"/>
      <c r="F9" s="2008"/>
      <c r="G9" s="2008"/>
      <c r="H9" s="2008"/>
      <c r="I9" s="3329"/>
      <c r="J9" s="3329"/>
      <c r="K9" s="3329"/>
      <c r="L9" s="2008"/>
      <c r="M9" s="2009"/>
      <c r="O9" s="1641"/>
      <c r="P9" s="1641"/>
      <c r="Q9" s="1642">
        <v>0</v>
      </c>
    </row>
    <row s="10322" customFormat="1" customHeight="1" ht="14.699999999999998">
      <c r="A10" s="1251"/>
      <c r="B10" s="1256"/>
      <c r="C10" s="1251"/>
      <c r="D10" s="1591"/>
      <c r="E10" s="2978" t="s">
        <v>385</v>
      </c>
      <c r="F10" s="2978"/>
      <c r="G10" s="2978"/>
      <c r="H10" s="2978"/>
      <c r="I10" s="2978"/>
      <c r="J10" s="2978"/>
      <c r="K10" s="2978"/>
      <c r="L10" s="2978"/>
      <c r="M10" s="2959"/>
      <c r="N10" s="3319" t="s">
        <v>386</v>
      </c>
      <c r="O10" s="607"/>
      <c r="P10" s="607"/>
      <c r="Q10" s="614">
        <v>14</v>
      </c>
    </row>
    <row s="10322" customFormat="1" customHeight="1" ht="44.25">
      <c r="A11" s="1727"/>
      <c r="B11" s="1462"/>
      <c r="C11" s="1727"/>
      <c r="D11" s="1611"/>
      <c r="E11" s="3328" t="s">
        <v>88</v>
      </c>
      <c r="F11" s="3328" t="s">
        <v>389</v>
      </c>
      <c r="G11" s="3328" t="s">
        <v>2116</v>
      </c>
      <c r="H11" s="3328"/>
      <c r="I11" s="3328" t="s">
        <v>2117</v>
      </c>
      <c r="J11" s="3328"/>
      <c r="K11" s="3328"/>
      <c r="L11" s="3328" t="s">
        <v>2118</v>
      </c>
      <c r="M11" s="3321" t="s">
        <v>2119</v>
      </c>
      <c r="N11" s="3327"/>
      <c r="O11" s="1720"/>
      <c r="P11" s="1720"/>
      <c r="Q11" s="1705">
        <v>42</v>
      </c>
    </row>
    <row s="10322" customFormat="1" customHeight="1" ht="29.25">
      <c r="A12" s="1251"/>
      <c r="B12" s="1256"/>
      <c r="C12" s="1251"/>
      <c r="D12" s="1591"/>
      <c r="E12" s="3319"/>
      <c r="F12" s="3328"/>
      <c r="G12" s="2003" t="s">
        <v>2120</v>
      </c>
      <c r="H12" s="2003" t="s">
        <v>393</v>
      </c>
      <c r="I12" s="3328"/>
      <c r="J12" s="3328"/>
      <c r="K12" s="3328"/>
      <c r="L12" s="3328"/>
      <c r="M12" s="3321"/>
      <c r="N12" s="3320"/>
      <c r="O12" s="607"/>
      <c r="P12" s="607"/>
      <c r="Q12" s="614">
        <v>28</v>
      </c>
    </row>
    <row s="10365" customFormat="1" customHeight="1" ht="23.25">
      <c r="A13" s="2962">
        <v>26379339</v>
      </c>
      <c r="B13" s="1256">
        <v>1</v>
      </c>
      <c r="C13" s="1256"/>
      <c r="D13" s="902"/>
      <c r="E13" s="2978">
        <v>1</v>
      </c>
      <c r="F13" s="3335" t="str">
        <f>IF(region_name="","",region_name)</f>
        <v>Хабаровский край</v>
      </c>
      <c r="G13" s="3336"/>
      <c r="H13" s="3330"/>
      <c r="I13" s="581"/>
      <c r="J13" s="1999">
        <v>1</v>
      </c>
      <c r="K13" s="2012"/>
      <c r="L13" s="2013"/>
      <c r="M13" s="2013"/>
      <c r="N13" s="3324" t="s">
        <v>2121</v>
      </c>
      <c r="O13" s="1631"/>
      <c r="P13" s="618"/>
      <c r="Q13" s="530">
        <v>22</v>
      </c>
    </row>
    <row s="10365" customFormat="1" customHeight="1" ht="23.25">
      <c r="A14" s="2962"/>
      <c r="B14" s="1256"/>
      <c r="C14" s="1256"/>
      <c r="D14" s="902"/>
      <c r="E14" s="2978"/>
      <c r="F14" s="3335"/>
      <c r="G14" s="3336"/>
      <c r="H14" s="3331"/>
      <c r="I14" s="528"/>
      <c r="J14" s="1596"/>
      <c r="K14" s="1596" t="s">
        <v>2115</v>
      </c>
      <c r="L14" s="1639"/>
      <c r="M14" s="1639"/>
      <c r="N14" s="3325"/>
      <c r="O14" s="1631"/>
      <c r="P14" s="618"/>
      <c r="Q14" s="530">
        <v>22</v>
      </c>
    </row>
    <row s="10365" customFormat="1" customHeight="1" ht="23.25">
      <c r="A15" s="2962"/>
      <c r="B15" s="1256"/>
      <c r="C15" s="519"/>
      <c r="D15" s="902"/>
      <c r="E15" s="528"/>
      <c r="F15" s="1596" t="s">
        <v>2107</v>
      </c>
      <c r="G15" s="1638"/>
      <c r="H15" s="1638"/>
      <c r="I15" s="295"/>
      <c r="J15" s="295"/>
      <c r="K15" s="295"/>
      <c r="L15" s="295"/>
      <c r="M15" s="295"/>
      <c r="N15" s="3325"/>
      <c r="O15" s="1632"/>
      <c r="P15" s="618"/>
      <c r="Q15" s="530">
        <v>22</v>
      </c>
    </row>
    <row s="10322" customFormat="1" customHeight="1" ht="22.049999999999997">
      <c r="A16" s="1251"/>
      <c r="B16" s="1256"/>
      <c r="C16" s="1251"/>
      <c r="D16" s="558"/>
      <c r="E16" s="288"/>
      <c r="F16" s="288"/>
      <c r="G16" s="288"/>
      <c r="H16" s="288"/>
      <c r="I16" s="288"/>
      <c r="J16" s="288"/>
      <c r="K16" s="288"/>
      <c r="L16" s="288"/>
      <c r="M16" s="616"/>
      <c r="N16" s="1731"/>
      <c r="O16" s="607"/>
      <c r="P16" s="607"/>
      <c r="Q16" s="614">
        <v>21</v>
      </c>
    </row>
    <row s="10322" customFormat="1" customHeight="1" ht="14.699999999999998">
      <c r="A17" s="1251"/>
      <c r="B17" s="1256"/>
      <c r="C17" s="1251"/>
      <c r="D17" s="558"/>
      <c r="E17" s="1251"/>
      <c r="F17" s="1251"/>
      <c r="G17" s="1251"/>
      <c r="H17" s="1251"/>
      <c r="I17" s="1251"/>
      <c r="J17" s="1251"/>
      <c r="K17" s="1251"/>
      <c r="L17" s="1251"/>
      <c r="M17" s="1251"/>
      <c r="N17" s="1727"/>
      <c r="O17" s="607"/>
      <c r="P17" s="607"/>
      <c r="Q17" s="614">
        <v>14</v>
      </c>
    </row>
    <row s="10322" customFormat="1" customHeight="1" ht="1.05">
      <c r="A18" s="1251"/>
      <c r="B18" s="1256"/>
      <c r="C18" s="1251"/>
      <c r="D18" s="558"/>
      <c r="E18" s="1251"/>
      <c r="F18" s="1251"/>
      <c r="G18" s="1251"/>
      <c r="H18" s="1251"/>
      <c r="I18" s="1251"/>
      <c r="J18" s="1251"/>
      <c r="K18" s="1251"/>
      <c r="L18" s="1251"/>
      <c r="M18" s="1251"/>
      <c r="N18" s="1727"/>
      <c r="O18" s="607"/>
      <c r="P18" s="607"/>
      <c r="Q18" s="614">
        <v>1</v>
      </c>
    </row>
    <row customHeight="1" ht="22.5" hidden="1">
      <c r="A19" s="1251" t="s">
        <v>82</v>
      </c>
      <c r="B19" s="1256">
        <v>0</v>
      </c>
      <c r="C19" s="1251">
        <v>0</v>
      </c>
      <c r="D19" s="558">
        <v>3</v>
      </c>
      <c r="E19" s="1251">
        <v>6</v>
      </c>
      <c r="F19" s="1251">
        <v>27</v>
      </c>
      <c r="G19" s="1251">
        <v>29</v>
      </c>
      <c r="H19" s="1251">
        <v>25</v>
      </c>
      <c r="I19" s="1251">
        <v>5</v>
      </c>
      <c r="J19" s="1251">
        <v>6</v>
      </c>
      <c r="K19" s="1251">
        <v>41</v>
      </c>
      <c r="L19" s="1251">
        <v>42</v>
      </c>
      <c r="M19" s="1251">
        <v>41</v>
      </c>
      <c r="N19" s="1727">
        <v>89</v>
      </c>
      <c r="O19" s="607">
        <v>3</v>
      </c>
      <c r="P19" s="607">
        <v>8</v>
      </c>
      <c r="Q19" s="1251">
        <v>23</v>
      </c>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F4D11-11E9-4FB8-D13A-6EC5D5D10AC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0722" width="9.140625" hidden="1"/>
    <col min="2" max="2" style="12963" width="9.140625" hidden="1"/>
    <col min="3" max="3" style="13246" width="3.00390625" customWidth="1"/>
    <col min="4" max="4" style="12963" width="6.00390625" customWidth="1"/>
    <col min="5" max="5" style="12963" width="22.00390625" customWidth="1"/>
    <col min="6" max="6" style="12963" width="15.00390625" customWidth="1"/>
    <col min="7" max="7" style="12963" width="14.00390625" customWidth="1"/>
    <col min="8" max="8" style="12963" width="47.00390625" customWidth="1"/>
    <col min="9" max="9" style="12963" width="115.00390625" customWidth="1"/>
    <col min="10" max="10" style="12963" width="3.00390625" customWidth="1"/>
    <col min="11" max="12" style="12963" width="8.00390625" customWidth="1"/>
    <col min="13" max="13" style="12963" width="9.140625" hidden="1"/>
  </cols>
  <sheetData>
    <row customHeight="1" ht="14.25" hidden="1">
      <c r="M1" s="231" t="s">
        <v>14</v>
      </c>
    </row>
    <row customHeight="1" ht="14.25" hidden="1">
      <c r="M2" s="231">
        <v>0</v>
      </c>
    </row>
    <row customHeight="1" ht="14.25" hidden="1">
      <c r="M3" s="231">
        <v>0</v>
      </c>
    </row>
    <row customHeight="1" ht="3">
      <c r="M4" s="231">
        <v>3</v>
      </c>
    </row>
    <row s="10232" customFormat="1" customHeight="1" ht="31.5">
      <c r="A5" s="225"/>
      <c r="C5" s="201"/>
      <c r="D5" s="2964" t="s">
        <v>2122</v>
      </c>
      <c r="E5" s="2964"/>
      <c r="F5" s="2964"/>
      <c r="G5" s="2964"/>
      <c r="H5" s="2964"/>
      <c r="I5" s="373"/>
      <c r="M5" s="194">
        <v>30</v>
      </c>
    </row>
    <row customHeight="1" ht="3" hidden="1">
      <c r="D6" s="232"/>
      <c r="E6" s="232"/>
      <c r="F6" s="232"/>
      <c r="G6" s="232"/>
      <c r="H6" s="232"/>
      <c r="I6" s="232"/>
      <c r="M6" s="231">
        <v>0</v>
      </c>
    </row>
    <row s="10722" customFormat="1" customHeight="1" ht="14.699999999999998">
      <c r="B7" s="229"/>
      <c r="C7" s="230"/>
      <c r="D7" s="233"/>
      <c r="E7" s="233"/>
      <c r="F7" s="233"/>
      <c r="G7" s="233"/>
      <c r="H7" s="859"/>
      <c r="I7" s="233"/>
      <c r="J7" s="234"/>
      <c r="M7" s="228">
        <v>14</v>
      </c>
    </row>
    <row customHeight="1" ht="14.699999999999998">
      <c r="D8" s="3077" t="s">
        <v>385</v>
      </c>
      <c r="E8" s="3077"/>
      <c r="F8" s="3077"/>
      <c r="G8" s="3077"/>
      <c r="H8" s="3077"/>
      <c r="I8" s="3077" t="s">
        <v>386</v>
      </c>
      <c r="M8" s="231">
        <v>14</v>
      </c>
    </row>
    <row customHeight="1" ht="29.25">
      <c r="D9" s="3077" t="s">
        <v>88</v>
      </c>
      <c r="E9" s="3077" t="s">
        <v>2123</v>
      </c>
      <c r="F9" s="3077"/>
      <c r="G9" s="3077"/>
      <c r="H9" s="3077"/>
      <c r="I9" s="3077"/>
      <c r="M9" s="231">
        <v>28</v>
      </c>
    </row>
    <row customHeight="1" ht="24">
      <c r="D10" s="3077"/>
      <c r="E10" s="237" t="s">
        <v>2124</v>
      </c>
      <c r="F10" s="237" t="s">
        <v>2125</v>
      </c>
      <c r="G10" s="237" t="s">
        <v>2126</v>
      </c>
      <c r="H10" s="237" t="s">
        <v>475</v>
      </c>
      <c r="I10" s="3077"/>
      <c r="M10" s="231">
        <v>23</v>
      </c>
    </row>
    <row customHeight="1" ht="12" hidden="1">
      <c r="D11" s="198" t="s">
        <v>144</v>
      </c>
      <c r="E11" s="198" t="s">
        <v>91</v>
      </c>
      <c r="F11" s="198" t="s">
        <v>121</v>
      </c>
      <c r="G11" s="198" t="s">
        <v>92</v>
      </c>
      <c r="H11" s="198" t="s">
        <v>93</v>
      </c>
      <c r="I11" s="198" t="s">
        <v>136</v>
      </c>
      <c r="M11" s="231">
        <v>0</v>
      </c>
    </row>
    <row s="12963" customFormat="1" customHeight="1" ht="26.25">
      <c r="A12" s="253" t="s">
        <v>90</v>
      </c>
      <c r="B12" s="235" t="s">
        <v>22</v>
      </c>
      <c r="C12" s="236"/>
      <c r="D12" s="238" t="s">
        <v>144</v>
      </c>
      <c r="E12" s="488"/>
      <c r="F12" s="488"/>
      <c r="G12" s="1830" t="s">
        <v>22</v>
      </c>
      <c r="H12" s="489"/>
      <c r="I12" s="3032" t="s">
        <v>2127</v>
      </c>
      <c r="K12" s="380"/>
      <c r="L12" s="381"/>
      <c r="M12" s="227">
        <v>25</v>
      </c>
    </row>
    <row customHeight="1" ht="15.75">
      <c r="A13" s="231"/>
      <c r="B13" s="231"/>
      <c r="C13" s="231"/>
      <c r="D13" s="219"/>
      <c r="E13" s="240" t="s">
        <v>553</v>
      </c>
      <c r="F13" s="239"/>
      <c r="G13" s="239"/>
      <c r="H13" s="322"/>
      <c r="I13" s="3034"/>
      <c r="M13" s="231">
        <v>15</v>
      </c>
    </row>
    <row customHeight="1" ht="3">
      <c r="A14" s="231"/>
      <c r="B14" s="231"/>
      <c r="C14" s="231"/>
      <c r="M14" s="231">
        <v>3</v>
      </c>
    </row>
    <row customHeight="1" ht="29.25">
      <c r="E15" s="3337" t="s">
        <v>2128</v>
      </c>
      <c r="F15" s="3337"/>
      <c r="G15" s="3337"/>
      <c r="H15" s="3337"/>
      <c r="M15" s="231">
        <v>28</v>
      </c>
    </row>
    <row customHeight="1" ht="14.25" hidden="1">
      <c r="A16" s="228" t="s">
        <v>82</v>
      </c>
      <c r="B16" s="229">
        <v>0</v>
      </c>
      <c r="C16" s="230">
        <v>3</v>
      </c>
      <c r="D16" s="231">
        <v>6</v>
      </c>
      <c r="E16" s="231">
        <v>22</v>
      </c>
      <c r="F16" s="231">
        <v>15</v>
      </c>
      <c r="G16" s="231">
        <v>14</v>
      </c>
      <c r="H16" s="231">
        <v>47</v>
      </c>
      <c r="I16" s="231">
        <v>115</v>
      </c>
      <c r="J16" s="231">
        <v>3</v>
      </c>
      <c r="K16" s="231">
        <v>8</v>
      </c>
      <c r="L16" s="231">
        <v>8</v>
      </c>
      <c r="M16" s="23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797FD-B306-CE2F-9BA6-F7B516F01A1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264" width="9.140625" hidden="1"/>
    <col min="3" max="3" style="13265" width="3.00390625" customWidth="1"/>
    <col min="4" max="4" style="13264" width="6.00390625" customWidth="1"/>
    <col min="5" max="5" style="13264" width="94.00390625" customWidth="1"/>
    <col min="6" max="9" style="13264" width="8.00390625" customWidth="1"/>
    <col min="10" max="10" style="13264" width="9.140625" hidden="1"/>
  </cols>
  <sheetData>
    <row customHeight="1" ht="14.25" hidden="1">
      <c r="J1" s="180" t="s">
        <v>14</v>
      </c>
    </row>
    <row customHeight="1" ht="14.25" hidden="1">
      <c r="J2" s="180">
        <v>0</v>
      </c>
    </row>
    <row customHeight="1" ht="14.25" hidden="1">
      <c r="J3" s="180">
        <v>0</v>
      </c>
    </row>
    <row customHeight="1" ht="14.25" hidden="1">
      <c r="J4" s="180">
        <v>0</v>
      </c>
    </row>
    <row customHeight="1" ht="14.25" hidden="1">
      <c r="J5" s="180">
        <v>0</v>
      </c>
    </row>
    <row customHeight="1" ht="3">
      <c r="C6" s="203"/>
      <c r="D6" s="181"/>
      <c r="E6" s="181"/>
      <c r="J6" s="180">
        <v>3</v>
      </c>
    </row>
    <row customHeight="1" ht="23.25">
      <c r="C7" s="203"/>
      <c r="D7" s="3338" t="s">
        <v>2129</v>
      </c>
      <c r="E7" s="3339"/>
      <c r="F7" s="375"/>
      <c r="J7" s="180">
        <v>22</v>
      </c>
    </row>
    <row customHeight="1" ht="3">
      <c r="C8" s="203"/>
      <c r="D8" s="181"/>
      <c r="E8" s="181"/>
      <c r="J8" s="180">
        <v>3</v>
      </c>
    </row>
    <row customHeight="1" ht="16.8">
      <c r="C9" s="203"/>
      <c r="D9" s="215" t="s">
        <v>88</v>
      </c>
      <c r="E9" s="368" t="s">
        <v>2130</v>
      </c>
      <c r="J9" s="180">
        <v>16</v>
      </c>
    </row>
    <row customHeight="1" ht="1.05">
      <c r="C10" s="203"/>
      <c r="D10" s="198"/>
      <c r="E10" s="198"/>
      <c r="J10" s="180">
        <v>1</v>
      </c>
    </row>
    <row customHeight="1" ht="11.25" hidden="1">
      <c r="C11" s="203"/>
      <c r="D11" s="258">
        <v>0</v>
      </c>
      <c r="E11" s="369"/>
      <c r="J11" s="180">
        <v>0</v>
      </c>
    </row>
    <row customHeight="1" ht="15.75">
      <c r="C12" s="245"/>
      <c r="D12" s="223">
        <v>1</v>
      </c>
      <c r="E12" s="484"/>
      <c r="J12" s="180">
        <v>15</v>
      </c>
    </row>
    <row customHeight="1" ht="12.75">
      <c r="C13" s="203"/>
      <c r="D13" s="370"/>
      <c r="E13" s="371" t="s">
        <v>2131</v>
      </c>
      <c r="J13" s="180">
        <v>12</v>
      </c>
    </row>
    <row customHeight="1" ht="3">
      <c r="J14" s="180">
        <v>3</v>
      </c>
    </row>
    <row customHeight="1" ht="23.25">
      <c r="C15" s="246"/>
      <c r="D15" s="3337" t="s">
        <v>2132</v>
      </c>
      <c r="E15" s="3337"/>
      <c r="F15" s="247"/>
      <c r="G15" s="247"/>
      <c r="H15" s="247"/>
      <c r="I15" s="247"/>
      <c r="J15" s="180">
        <v>22</v>
      </c>
    </row>
    <row customHeight="1" ht="14.25" hidden="1">
      <c r="A16" s="180" t="s">
        <v>82</v>
      </c>
      <c r="B16" s="180">
        <v>0</v>
      </c>
      <c r="C16" s="202">
        <v>3</v>
      </c>
      <c r="D16" s="180">
        <v>6</v>
      </c>
      <c r="E16" s="180">
        <v>94</v>
      </c>
      <c r="F16" s="180">
        <v>8</v>
      </c>
      <c r="G16" s="180">
        <v>8</v>
      </c>
      <c r="H16" s="180">
        <v>8</v>
      </c>
      <c r="I16" s="180">
        <v>8</v>
      </c>
      <c r="J16" s="180">
        <v>14</v>
      </c>
    </row>
  </sheetData>
  <sheetProtection formatColumns="0" formatRows="0" autoFilter="0" sort="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A1798-B65F-7FF3-4602-B70EA2E09805}" mc:Ignorable="x14ac xr xr2 xr3">
  <sheetPr>
    <tabColor rgb="FFCCCCFF"/>
    <pageSetUpPr fitToPage="1"/>
  </sheetPr>
  <dimension ref="A1:M21"/>
  <sheetViews>
    <sheetView topLeftCell="C6" showGridLines="0" zoomScale="90" workbookViewId="0" tabSelected="1">
      <selection activeCell="J18" sqref="J18"/>
    </sheetView>
  </sheetViews>
  <sheetFormatPr defaultColWidth="9.140625" customHeight="1" defaultRowHeight="14.25"/>
  <cols>
    <col min="1" max="2" style="13264" width="9.140625" hidden="1"/>
    <col min="3" max="3" style="13265" width="3.00390625" customWidth="1"/>
    <col min="4" max="4" style="13264" width="6.00390625" customWidth="1"/>
    <col min="5" max="5" style="13264" width="94.00390625" customWidth="1"/>
    <col min="6" max="12" style="13264" width="8.00390625" customWidth="1"/>
    <col min="13" max="13" style="13264" width="9.140625" hidden="1"/>
  </cols>
  <sheetData>
    <row customHeight="1" ht="14.25" hidden="1">
      <c r="M1" s="180" t="s">
        <v>14</v>
      </c>
    </row>
    <row customHeight="1" ht="14.25" hidden="1">
      <c r="M2" s="180">
        <v>0</v>
      </c>
    </row>
    <row customHeight="1" ht="14.25" hidden="1">
      <c r="M3" s="180">
        <v>0</v>
      </c>
    </row>
    <row customHeight="1" ht="14.25" hidden="1">
      <c r="M4" s="180">
        <v>0</v>
      </c>
    </row>
    <row customHeight="1" ht="14.25" hidden="1">
      <c r="M5" s="180">
        <v>0</v>
      </c>
    </row>
    <row customHeight="1" ht="3">
      <c r="C6" s="203"/>
      <c r="D6" s="181"/>
      <c r="E6" s="181"/>
      <c r="M6" s="180">
        <v>3</v>
      </c>
    </row>
    <row customHeight="1" ht="23.25">
      <c r="C7" s="203"/>
      <c r="D7" s="2964" t="s">
        <v>2133</v>
      </c>
      <c r="E7" s="2964"/>
      <c r="F7" s="375"/>
      <c r="M7" s="180">
        <v>22</v>
      </c>
    </row>
    <row customHeight="1" ht="3">
      <c r="C8" s="203"/>
      <c r="D8" s="181"/>
      <c r="E8" s="181"/>
      <c r="M8" s="180">
        <v>3</v>
      </c>
    </row>
    <row customHeight="1" ht="16.8">
      <c r="C9" s="203"/>
      <c r="D9" s="215" t="s">
        <v>88</v>
      </c>
      <c r="E9" s="218" t="s">
        <v>372</v>
      </c>
      <c r="M9" s="180">
        <v>16</v>
      </c>
    </row>
    <row customHeight="1" ht="12.75">
      <c r="C10" s="203"/>
      <c r="D10" s="198" t="s">
        <v>144</v>
      </c>
      <c r="E10" s="198" t="s">
        <v>102</v>
      </c>
      <c r="M10" s="180">
        <v>12</v>
      </c>
    </row>
    <row customHeight="1" ht="15" hidden="1">
      <c r="C11" s="203"/>
      <c r="D11" s="223">
        <v>0</v>
      </c>
      <c r="E11" s="257"/>
      <c r="M11" s="180">
        <v>0</v>
      </c>
    </row>
    <row customHeight="1" ht="45.75">
      <c r="A12" s="6423"/>
      <c r="B12" s="6423"/>
      <c r="C12" s="1912" t="s">
        <v>103</v>
      </c>
      <c r="D12" s="223" t="s">
        <v>144</v>
      </c>
      <c r="E12" s="224" t="s">
        <v>2134</v>
      </c>
      <c r="F12" s="6423"/>
      <c r="G12" s="6423"/>
      <c r="H12" s="6423"/>
      <c r="I12" s="6423"/>
      <c r="J12" s="6423"/>
      <c r="K12" s="6423"/>
      <c r="L12" s="6423"/>
      <c r="M12" s="6423"/>
    </row>
    <row customHeight="1" ht="89.25">
      <c r="A13" s="6423"/>
      <c r="B13" s="6423"/>
      <c r="C13" s="1912" t="s">
        <v>103</v>
      </c>
      <c r="D13" s="223" t="s">
        <v>102</v>
      </c>
      <c r="E13" s="224" t="s">
        <v>2135</v>
      </c>
      <c r="F13" s="6423"/>
      <c r="G13" s="6423"/>
      <c r="H13" s="6423"/>
      <c r="I13" s="6423"/>
      <c r="J13" s="6423"/>
      <c r="K13" s="6423"/>
      <c r="L13" s="6423"/>
      <c r="M13" s="6423"/>
    </row>
    <row customHeight="1" ht="90">
      <c r="A14" s="6423"/>
      <c r="B14" s="6423"/>
      <c r="C14" s="1912" t="s">
        <v>103</v>
      </c>
      <c r="D14" s="223" t="s">
        <v>90</v>
      </c>
      <c r="E14" s="224" t="s">
        <v>2136</v>
      </c>
      <c r="F14" s="6423"/>
      <c r="G14" s="6423"/>
      <c r="H14" s="6423"/>
      <c r="I14" s="6423"/>
      <c r="J14" s="6423"/>
      <c r="K14" s="6423"/>
      <c r="L14" s="6423"/>
      <c r="M14" s="6423"/>
    </row>
    <row customHeight="1" ht="81.75">
      <c r="A15" s="6423"/>
      <c r="B15" s="6423"/>
      <c r="C15" s="1912" t="s">
        <v>103</v>
      </c>
      <c r="D15" s="223" t="s">
        <v>91</v>
      </c>
      <c r="E15" s="224" t="s">
        <v>2137</v>
      </c>
      <c r="F15" s="6423"/>
      <c r="G15" s="6423"/>
      <c r="H15" s="6423"/>
      <c r="I15" s="6423"/>
      <c r="J15" s="6423"/>
      <c r="K15" s="6423"/>
      <c r="L15" s="6423"/>
      <c r="M15" s="6423"/>
    </row>
    <row customHeight="1" ht="57">
      <c r="A16" s="6423"/>
      <c r="B16" s="6423"/>
      <c r="C16" s="1912" t="s">
        <v>103</v>
      </c>
      <c r="D16" s="223" t="s">
        <v>121</v>
      </c>
      <c r="E16" s="224" t="s">
        <v>2138</v>
      </c>
      <c r="F16" s="6423"/>
      <c r="G16" s="6423"/>
      <c r="H16" s="6423"/>
      <c r="I16" s="6423"/>
      <c r="J16" s="6423"/>
      <c r="K16" s="6423"/>
      <c r="L16" s="6423"/>
      <c r="M16" s="6423"/>
    </row>
    <row customHeight="1" ht="23.25">
      <c r="A17" s="6423"/>
      <c r="B17" s="6423"/>
      <c r="C17" s="1912" t="s">
        <v>103</v>
      </c>
      <c r="D17" s="223" t="s">
        <v>92</v>
      </c>
      <c r="E17" s="224" t="s">
        <v>2139</v>
      </c>
      <c r="F17" s="6423"/>
      <c r="G17" s="6423"/>
      <c r="H17" s="6423"/>
      <c r="I17" s="6423"/>
      <c r="J17" s="6423"/>
      <c r="K17" s="6423"/>
      <c r="L17" s="6423"/>
      <c r="M17" s="6423"/>
    </row>
    <row customHeight="1" ht="33">
      <c r="A18" s="6423"/>
      <c r="B18" s="6423"/>
      <c r="C18" s="1912" t="s">
        <v>103</v>
      </c>
      <c r="D18" s="223" t="s">
        <v>93</v>
      </c>
      <c r="E18" s="224" t="s">
        <v>2140</v>
      </c>
      <c r="F18" s="6423"/>
      <c r="G18" s="6423"/>
      <c r="H18" s="6423"/>
      <c r="I18" s="6423"/>
      <c r="J18" s="6423"/>
      <c r="K18" s="6423"/>
      <c r="L18" s="6423"/>
      <c r="M18" s="6423"/>
    </row>
    <row customHeight="1" ht="36.75">
      <c r="A19" s="6423"/>
      <c r="B19" s="6423"/>
      <c r="C19" s="1912" t="s">
        <v>103</v>
      </c>
      <c r="D19" s="223" t="s">
        <v>136</v>
      </c>
      <c r="E19" s="224" t="s">
        <v>2141</v>
      </c>
      <c r="F19" s="6423"/>
      <c r="G19" s="6423"/>
      <c r="H19" s="6423"/>
      <c r="I19" s="6423"/>
      <c r="J19" s="6423"/>
      <c r="K19" s="6423"/>
      <c r="L19" s="6423"/>
      <c r="M19" s="6423"/>
    </row>
    <row customHeight="1" ht="14.699999999999998">
      <c r="C20" s="203"/>
      <c r="D20" s="219"/>
      <c r="E20" s="217" t="s">
        <v>2131</v>
      </c>
      <c r="M20" s="180">
        <v>14</v>
      </c>
    </row>
    <row customHeight="1" ht="14.25" hidden="1">
      <c r="A21" s="180" t="s">
        <v>82</v>
      </c>
      <c r="B21" s="180">
        <v>0</v>
      </c>
      <c r="C21" s="202">
        <v>3</v>
      </c>
      <c r="D21" s="180">
        <v>6</v>
      </c>
      <c r="E21" s="180">
        <v>94</v>
      </c>
      <c r="F21" s="180">
        <v>8</v>
      </c>
      <c r="G21" s="180">
        <v>8</v>
      </c>
      <c r="H21" s="180">
        <v>8</v>
      </c>
      <c r="I21" s="180">
        <v>8</v>
      </c>
      <c r="J21" s="180">
        <v>8</v>
      </c>
      <c r="K21" s="180">
        <v>8</v>
      </c>
      <c r="L21" s="180">
        <v>8</v>
      </c>
      <c r="M21" s="180">
        <v>14</v>
      </c>
    </row>
  </sheetData>
  <sheetProtection formatColumns="0" formatRows="0" autoFilter="0" sort="0" insertRows="0" insertColumns="1" deleteRows="0" deleteColumns="0"/>
  <mergeCells count="1">
    <mergeCell ref="D7:E7"/>
  </mergeCells>
  <dataValidations count="9">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621FA-1AFC-A6A1-25A3-9EE0C2555FC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365" width="1.7109375" customWidth="1"/>
    <col min="2" max="2" style="10365" width="34.57421875" customWidth="1"/>
    <col min="3" max="3" style="10365" width="85.00390625" customWidth="1"/>
    <col min="4" max="4" style="10365" width="17.00390625" customWidth="1"/>
    <col min="5" max="5" style="10365" width="8.00390625" customWidth="1"/>
    <col min="6" max="6" style="10365" width="9.140625" hidden="1"/>
  </cols>
  <sheetData>
    <row customHeight="1" ht="3">
      <c r="F1" s="200" t="s">
        <v>14</v>
      </c>
    </row>
    <row customHeight="1" ht="22.5">
      <c r="B2" s="3340" t="s">
        <v>2142</v>
      </c>
      <c r="C2" s="3340"/>
      <c r="D2" s="3340"/>
      <c r="E2" s="376"/>
      <c r="F2" s="200">
        <v>22</v>
      </c>
    </row>
    <row customHeight="1" ht="3">
      <c r="F3" s="200">
        <v>3</v>
      </c>
    </row>
    <row customHeight="1" ht="23.25">
      <c r="B4" s="2200" t="s">
        <v>2143</v>
      </c>
      <c r="C4" s="490" t="s">
        <v>2144</v>
      </c>
      <c r="D4" s="490" t="s">
        <v>2145</v>
      </c>
      <c r="F4" s="200">
        <v>22</v>
      </c>
    </row>
    <row customHeight="1" ht="11.25" hidden="1">
      <c r="A5" s="200" t="s">
        <v>82</v>
      </c>
      <c r="B5" s="200">
        <v>34</v>
      </c>
      <c r="C5" s="200">
        <v>85</v>
      </c>
      <c r="D5" s="200">
        <v>17</v>
      </c>
      <c r="E5" s="200">
        <v>8</v>
      </c>
      <c r="F5" s="20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0994D-E996-531D-7867-225FAE0C8A5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365" width="26.57421875" customWidth="1"/>
    <col min="2" max="2" style="10365" width="10.00390625" customWidth="1"/>
    <col min="3" max="3" style="10365" width="9.140625"/>
    <col min="4" max="4" style="10365" width="11.140625" customWidth="1"/>
    <col min="5" max="5" style="10365" width="16.57421875" customWidth="1"/>
    <col min="6" max="6" style="10365" width="16.28125" customWidth="1"/>
    <col min="7" max="7" style="10365" width="19.140625" customWidth="1"/>
    <col min="8" max="11" style="10365" width="10.00390625" customWidth="1"/>
    <col min="12" max="12" style="10365" width="12.7109375" customWidth="1"/>
    <col min="13" max="13" style="10365" width="61.28125" customWidth="1"/>
    <col min="14" max="14" style="10365" width="10.00390625" customWidth="1"/>
    <col min="15" max="17" style="10365" width="23.7109375" customWidth="1"/>
    <col min="18" max="18" style="10365" width="11.7109375" customWidth="1"/>
    <col min="19" max="19" style="10365" width="8.57421875" customWidth="1"/>
    <col min="20" max="20" style="10365" width="11.7109375" customWidth="1"/>
    <col min="21" max="21" style="10365" width="8.57421875" customWidth="1"/>
    <col min="22" max="22" style="10365" width="4.7109375" customWidth="1"/>
    <col min="23" max="23" style="10365" width="115.7109375" customWidth="1"/>
    <col min="24" max="24" style="10365" width="115.28125" customWidth="1"/>
    <col min="25" max="27" style="10365" width="9.140625"/>
    <col min="28" max="28" style="10365" width="115.7109375" customWidth="1"/>
    <col min="29" max="29" style="10365" width="9.140625"/>
    <col min="30" max="90" style="10365" width="115.7109375" customWidth="1"/>
    <col min="91" max="184" style="10365" width="9.140625"/>
  </cols>
  <sheetData>
    <row r="2" s="13276" customFormat="1" customHeight="1" ht="17.25">
      <c r="A2" s="1910" t="s">
        <v>2146</v>
      </c>
    </row>
    <row r="4" s="13264" customFormat="1" customHeight="1" ht="15">
      <c r="C4" s="1911"/>
      <c r="D4" s="223"/>
      <c r="E4" s="484"/>
    </row>
    <row r="6" s="13276" customFormat="1" customHeight="1" ht="17.25">
      <c r="A6" s="1910" t="s">
        <v>2147</v>
      </c>
    </row>
    <row r="8" s="13264" customFormat="1" customHeight="1" ht="17.25">
      <c r="C8" s="1912"/>
      <c r="D8" s="223"/>
      <c r="E8" s="224"/>
    </row>
    <row r="11" s="13276" customFormat="1" customHeight="1" ht="17.25">
      <c r="A11" s="1910" t="s">
        <v>2148</v>
      </c>
    </row>
    <row r="13" s="10322" customFormat="1" customHeight="1" ht="15">
      <c r="A13" s="2963">
        <v>1</v>
      </c>
      <c r="B13" s="1256"/>
      <c r="C13" s="902" t="s">
        <v>103</v>
      </c>
      <c r="D13" s="1913"/>
      <c r="E13" s="1900">
        <f>A13</f>
        <v>1</v>
      </c>
      <c r="F13" s="905"/>
      <c r="G13" s="647" t="str">
        <f>"Территория "&amp;E13</f>
        <v>Территория 1</v>
      </c>
      <c r="H13" s="893"/>
      <c r="I13" s="893"/>
      <c r="J13" s="890"/>
      <c r="K13" s="1720"/>
      <c r="L13" s="1720"/>
      <c r="M13" s="1720"/>
      <c r="N13" s="334"/>
      <c r="O13" s="1720"/>
      <c r="P13" s="333"/>
      <c r="Q13" s="333"/>
      <c r="R13" s="333"/>
      <c r="S13" s="333"/>
    </row>
    <row s="10365" customFormat="1" customHeight="1" ht="15">
      <c r="A14" s="2963"/>
      <c r="B14" s="1256">
        <v>1</v>
      </c>
      <c r="C14" s="1256"/>
      <c r="D14" s="901"/>
      <c r="E14" s="1908" t="str">
        <f>A13&amp;"."&amp;B14</f>
        <v>1.1</v>
      </c>
      <c r="F14" s="904">
        <f>$F$20</f>
        <v>0</v>
      </c>
      <c r="G14" s="894"/>
      <c r="H14" s="894"/>
      <c r="I14" s="892"/>
      <c r="J14" s="1720"/>
      <c r="K14" s="1732"/>
      <c r="L14" s="1732"/>
      <c r="M14" s="1720" t="str">
        <f t="array" ref="M14:M14">IF(ISERROR(MATCH(MID(N14,1,250),MID(note_ter,1,250),0)),"n","y")</f>
        <v>n</v>
      </c>
      <c r="N14" s="1732"/>
      <c r="O14" s="1720" t="str">
        <f>H14&amp;"("&amp;I14&amp;")"</f>
        <v>()</v>
      </c>
      <c r="P14" s="1256"/>
      <c r="Q14" s="1256"/>
      <c r="R14" s="527"/>
      <c r="S14" s="1256"/>
      <c r="T14" s="1256"/>
      <c r="U14" s="1256"/>
      <c r="V14" s="529"/>
      <c r="W14" s="529"/>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9"/>
      <c r="BT14" s="529"/>
      <c r="BU14" s="529"/>
      <c r="BV14" s="529"/>
      <c r="BW14" s="529"/>
      <c r="BX14" s="529"/>
      <c r="BY14" s="529"/>
      <c r="BZ14" s="529"/>
      <c r="CA14" s="529"/>
      <c r="CB14" s="529"/>
    </row>
    <row s="10365" customFormat="1" customHeight="1" ht="15">
      <c r="A15" s="2963"/>
      <c r="B15" s="1256"/>
      <c r="C15" s="519"/>
      <c r="D15" s="902"/>
      <c r="E15" s="528"/>
      <c r="F15" s="285"/>
      <c r="G15" s="522" t="s">
        <v>107</v>
      </c>
      <c r="H15" s="295"/>
      <c r="I15" s="531"/>
      <c r="J15" s="1732"/>
      <c r="K15" s="1732"/>
      <c r="L15" s="1732"/>
      <c r="M15" s="1732"/>
      <c r="N15" s="1720"/>
      <c r="O15" s="1732"/>
      <c r="P15" s="1256"/>
      <c r="Q15" s="1256"/>
      <c r="R15" s="527"/>
      <c r="S15" s="1256"/>
      <c r="T15" s="1256"/>
      <c r="U15" s="1256"/>
      <c r="V15" s="529"/>
      <c r="W15" s="529"/>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9"/>
      <c r="BT15" s="529"/>
      <c r="BU15" s="529"/>
      <c r="BV15" s="529"/>
      <c r="BW15" s="529"/>
      <c r="BX15" s="529"/>
      <c r="BY15" s="529"/>
      <c r="BZ15" s="529"/>
      <c r="CA15" s="529"/>
      <c r="CB15" s="529"/>
    </row>
    <row r="17" s="13276" customFormat="1" customHeight="1" ht="17.25">
      <c r="A17" s="1910" t="s">
        <v>2149</v>
      </c>
    </row>
    <row r="19" s="10365" customFormat="1" customHeight="1" ht="15">
      <c r="A19" s="1976"/>
      <c r="B19" s="1462">
        <v>1</v>
      </c>
      <c r="C19" s="1462"/>
      <c r="D19" s="901" t="s">
        <v>103</v>
      </c>
      <c r="E19" s="1972"/>
      <c r="F19" s="1977">
        <f>$F$20</f>
        <v>0</v>
      </c>
      <c r="G19" s="1981"/>
      <c r="H19" s="1981"/>
      <c r="I19" s="1979"/>
      <c r="J19" s="1720"/>
      <c r="K19" s="1732"/>
      <c r="L19" s="1732"/>
      <c r="M19" s="1720" t="str">
        <f t="array" ref="M19:M19">IF(ISERROR(MATCH(MID(N19,1,250),MID(note_ter,1,250),0)),"n","y")</f>
        <v>n</v>
      </c>
      <c r="N19" s="1732"/>
      <c r="O19" s="1720" t="str">
        <f>H19&amp;"("&amp;I19&amp;")"</f>
        <v>()</v>
      </c>
      <c r="P19" s="1462"/>
      <c r="Q19" s="1462"/>
      <c r="R19" s="527"/>
      <c r="S19" s="1462"/>
      <c r="T19" s="1462"/>
      <c r="U19" s="1462"/>
      <c r="V19" s="934"/>
      <c r="W19" s="934"/>
      <c r="X19" s="734"/>
      <c r="Y19" s="734"/>
      <c r="Z19" s="734"/>
      <c r="AA19" s="734"/>
      <c r="AB19" s="734"/>
      <c r="AC19" s="734"/>
      <c r="AD19" s="734"/>
      <c r="AE19" s="734"/>
      <c r="AF19" s="734"/>
      <c r="AG19" s="734"/>
      <c r="AH19" s="734"/>
      <c r="AI19" s="734"/>
      <c r="AJ19" s="734"/>
      <c r="AK19" s="734"/>
      <c r="AL19" s="734"/>
      <c r="AM19" s="734"/>
      <c r="AN19" s="734"/>
      <c r="AO19" s="734"/>
      <c r="AP19" s="734"/>
      <c r="AQ19" s="734"/>
      <c r="AR19" s="734"/>
      <c r="AS19" s="734"/>
      <c r="AT19" s="734"/>
      <c r="AU19" s="734"/>
      <c r="AV19" s="734"/>
      <c r="AW19" s="734"/>
      <c r="AX19" s="734"/>
      <c r="AY19" s="734"/>
      <c r="AZ19" s="734"/>
      <c r="BA19" s="734"/>
      <c r="BB19" s="734"/>
      <c r="BC19" s="734"/>
      <c r="BD19" s="734"/>
      <c r="BE19" s="734"/>
      <c r="BF19" s="734"/>
      <c r="BG19" s="734"/>
      <c r="BH19" s="734"/>
      <c r="BI19" s="734"/>
      <c r="BJ19" s="734"/>
      <c r="BK19" s="734"/>
      <c r="BL19" s="734"/>
      <c r="BM19" s="734"/>
      <c r="BN19" s="734"/>
      <c r="BO19" s="734"/>
      <c r="BP19" s="734"/>
      <c r="BQ19" s="734"/>
      <c r="BR19" s="734"/>
      <c r="BS19" s="934"/>
      <c r="BT19" s="934"/>
      <c r="BU19" s="934"/>
      <c r="BV19" s="934"/>
      <c r="BW19" s="934"/>
      <c r="BX19" s="934"/>
      <c r="BY19" s="934"/>
      <c r="BZ19" s="934"/>
      <c r="CA19" s="934"/>
      <c r="CB19" s="934"/>
    </row>
    <row r="21" s="10365" customFormat="1" customHeight="1" ht="15">
      <c r="A21" s="1910" t="s">
        <v>2150</v>
      </c>
      <c r="B21" s="1910"/>
      <c r="C21" s="1910"/>
      <c r="D21" s="1910"/>
      <c r="E21" s="1910"/>
      <c r="F21" s="1910"/>
      <c r="G21" s="1910"/>
      <c r="H21" s="1910"/>
      <c r="I21" s="1910"/>
      <c r="J21" s="1910"/>
      <c r="K21" s="1910"/>
      <c r="L21" s="1910"/>
      <c r="M21" s="1910"/>
      <c r="N21" s="1910"/>
      <c r="O21" s="1910"/>
      <c r="P21" s="1910"/>
      <c r="Q21" s="1910"/>
      <c r="R21" s="1910"/>
      <c r="S21" s="1910"/>
      <c r="T21" s="1910"/>
      <c r="U21" s="292"/>
      <c r="V21" s="1910"/>
      <c r="W21" s="1910"/>
    </row>
    <row s="10365" customFormat="1" customHeight="1" ht="15">
      <c r="U22" s="293"/>
    </row>
    <row s="10446" customFormat="1" customHeight="1" ht="15">
      <c r="A23" s="530"/>
      <c r="B23" s="530"/>
      <c r="C23" s="1824" t="s">
        <v>103</v>
      </c>
      <c r="D23" s="2990" t="s">
        <v>144</v>
      </c>
      <c r="E23" s="2991"/>
      <c r="F23" s="2989" t="s">
        <v>19</v>
      </c>
      <c r="G23" s="2999"/>
      <c r="H23" s="2978">
        <v>1</v>
      </c>
      <c r="I23" s="3005" t="str">
        <f>IF(U23="","",INDEX(TERRITORY_MR_LIST,MATCH(U23,TERRITORY_LIST_ID,0)))</f>
        <v/>
      </c>
      <c r="J23" s="2989" t="s">
        <v>19</v>
      </c>
      <c r="K23" s="933"/>
      <c r="L23" s="1877" t="s">
        <v>144</v>
      </c>
      <c r="M23" s="710"/>
      <c r="N23" s="711"/>
      <c r="O23" s="711"/>
      <c r="P23" s="711"/>
      <c r="Q23" s="711"/>
      <c r="R23" s="711"/>
      <c r="S23" s="711"/>
      <c r="T23" s="711"/>
      <c r="U23" s="712"/>
      <c r="V23" s="711"/>
      <c r="W23" s="711"/>
      <c r="X23" s="702"/>
      <c r="Y23" s="702" t="s">
        <v>152</v>
      </c>
      <c r="Z23" s="702">
        <v>1705000</v>
      </c>
      <c r="AA23" s="702"/>
      <c r="AB23" s="702"/>
      <c r="AC23" s="702"/>
      <c r="AD23" s="702"/>
      <c r="AE23" s="702"/>
      <c r="AF23" s="702"/>
      <c r="AG23" s="702"/>
      <c r="AH23" s="702"/>
      <c r="AI23" s="702"/>
      <c r="AJ23" s="702"/>
      <c r="AK23" s="702"/>
      <c r="AL23" s="702"/>
    </row>
    <row s="10446" customFormat="1" customHeight="1" ht="15">
      <c r="A24" s="530"/>
      <c r="B24" s="530"/>
      <c r="C24" s="284"/>
      <c r="D24" s="2990"/>
      <c r="E24" s="2992"/>
      <c r="F24" s="2989"/>
      <c r="G24" s="3000"/>
      <c r="H24" s="2978"/>
      <c r="I24" s="3006"/>
      <c r="J24" s="2989"/>
      <c r="K24" s="528"/>
      <c r="L24" s="285"/>
      <c r="M24" s="714" t="s">
        <v>155</v>
      </c>
      <c r="N24" s="711"/>
      <c r="O24" s="711"/>
      <c r="P24" s="711"/>
      <c r="Q24" s="711"/>
      <c r="R24" s="711"/>
      <c r="S24" s="711"/>
      <c r="T24" s="711"/>
      <c r="U24" s="712"/>
      <c r="V24" s="711"/>
      <c r="W24" s="711"/>
      <c r="X24" s="702"/>
      <c r="Y24" s="702"/>
      <c r="Z24" s="702"/>
      <c r="AA24" s="702"/>
      <c r="AB24" s="702"/>
      <c r="AC24" s="702"/>
      <c r="AD24" s="702"/>
      <c r="AE24" s="702"/>
      <c r="AF24" s="702"/>
      <c r="AG24" s="702"/>
      <c r="AH24" s="702"/>
      <c r="AI24" s="702"/>
      <c r="AJ24" s="702"/>
      <c r="AK24" s="702"/>
      <c r="AL24" s="702"/>
    </row>
    <row s="10446" customFormat="1" customHeight="1" ht="15">
      <c r="A25" s="530"/>
      <c r="B25" s="530"/>
      <c r="C25" s="284"/>
      <c r="D25" s="2990"/>
      <c r="E25" s="2993"/>
      <c r="F25" s="2989"/>
      <c r="G25" s="528"/>
      <c r="H25" s="285"/>
      <c r="I25" s="687" t="s">
        <v>166</v>
      </c>
      <c r="J25" s="285"/>
      <c r="K25" s="285"/>
      <c r="L25" s="285"/>
      <c r="M25" s="715"/>
      <c r="N25" s="711"/>
      <c r="O25" s="711"/>
      <c r="P25" s="711"/>
      <c r="Q25" s="711"/>
      <c r="R25" s="711"/>
      <c r="S25" s="711"/>
      <c r="T25" s="711"/>
      <c r="U25" s="712"/>
      <c r="V25" s="711"/>
      <c r="W25" s="711"/>
      <c r="X25" s="702"/>
      <c r="Y25" s="702"/>
      <c r="Z25" s="702"/>
      <c r="AA25" s="702"/>
      <c r="AB25" s="702"/>
      <c r="AC25" s="702"/>
      <c r="AD25" s="702"/>
      <c r="AE25" s="702"/>
      <c r="AF25" s="702"/>
      <c r="AG25" s="702"/>
      <c r="AH25" s="702"/>
      <c r="AI25" s="702"/>
      <c r="AJ25" s="702"/>
      <c r="AK25" s="702"/>
      <c r="AL25" s="702"/>
    </row>
    <row s="10365" customFormat="1" customHeight="1" ht="15">
      <c r="U26" s="293"/>
    </row>
    <row s="10365" customFormat="1" customHeight="1" ht="15">
      <c r="A27" s="1910" t="s">
        <v>2151</v>
      </c>
      <c r="B27" s="1910"/>
      <c r="C27" s="1910"/>
      <c r="D27" s="1910"/>
      <c r="E27" s="1910"/>
      <c r="F27" s="1910"/>
      <c r="G27" s="1910"/>
      <c r="H27" s="1910"/>
      <c r="I27" s="1910"/>
      <c r="J27" s="1910"/>
      <c r="K27" s="1910"/>
      <c r="L27" s="1910"/>
      <c r="M27" s="1910"/>
      <c r="N27" s="1910"/>
      <c r="O27" s="1910"/>
      <c r="P27" s="1910"/>
      <c r="Q27" s="1910"/>
      <c r="R27" s="1910"/>
      <c r="S27" s="1910"/>
      <c r="T27" s="1910"/>
      <c r="U27" s="292"/>
      <c r="V27" s="1910"/>
      <c r="W27" s="1910"/>
    </row>
    <row s="10365" customFormat="1" customHeight="1" ht="15">
      <c r="U28" s="293"/>
    </row>
    <row s="10446" customFormat="1" customHeight="1" ht="15">
      <c r="A29" s="530"/>
      <c r="B29" s="530"/>
      <c r="C29" s="284"/>
      <c r="D29" s="1915"/>
      <c r="E29" s="1915"/>
      <c r="F29" s="1915"/>
      <c r="G29" s="2997" t="s">
        <v>103</v>
      </c>
      <c r="H29" s="2958">
        <v>1</v>
      </c>
      <c r="I29" s="2998" t="str">
        <f>IF(U29="","",INDEX(TERRITORY_MR_LIST,MATCH(U29,TERRITORY_LIST_ID,0)))</f>
        <v/>
      </c>
      <c r="J29" s="2989" t="s">
        <v>19</v>
      </c>
      <c r="K29" s="933"/>
      <c r="L29" s="1877" t="s">
        <v>144</v>
      </c>
      <c r="M29" s="710"/>
      <c r="N29" s="711"/>
      <c r="O29" s="711"/>
      <c r="P29" s="711"/>
      <c r="Q29" s="711"/>
      <c r="R29" s="711"/>
      <c r="S29" s="711"/>
      <c r="T29" s="711"/>
      <c r="U29" s="712"/>
      <c r="V29" s="711"/>
      <c r="W29" s="711"/>
      <c r="X29" s="702"/>
      <c r="Y29" s="702" t="s">
        <v>152</v>
      </c>
      <c r="Z29" s="702">
        <v>1705000</v>
      </c>
      <c r="AA29" s="702"/>
      <c r="AB29" s="702"/>
      <c r="AC29" s="702"/>
      <c r="AD29" s="702"/>
      <c r="AE29" s="702"/>
      <c r="AF29" s="702"/>
      <c r="AG29" s="702"/>
      <c r="AH29" s="702"/>
      <c r="AI29" s="702"/>
      <c r="AJ29" s="702"/>
      <c r="AK29" s="702"/>
      <c r="AL29" s="702"/>
    </row>
    <row s="10446" customFormat="1" customHeight="1" ht="15">
      <c r="A30" s="530"/>
      <c r="B30" s="530"/>
      <c r="C30" s="284"/>
      <c r="D30" s="1915"/>
      <c r="E30" s="1915"/>
      <c r="F30" s="1915"/>
      <c r="G30" s="2997"/>
      <c r="H30" s="2958"/>
      <c r="I30" s="2998"/>
      <c r="J30" s="2989"/>
      <c r="K30" s="528"/>
      <c r="L30" s="285"/>
      <c r="M30" s="714" t="s">
        <v>155</v>
      </c>
      <c r="N30" s="711"/>
      <c r="O30" s="711"/>
      <c r="P30" s="711"/>
      <c r="Q30" s="711"/>
      <c r="R30" s="711"/>
      <c r="S30" s="711"/>
      <c r="T30" s="711"/>
      <c r="U30" s="712"/>
      <c r="V30" s="711"/>
      <c r="W30" s="711"/>
      <c r="X30" s="702"/>
      <c r="Y30" s="702"/>
      <c r="Z30" s="702"/>
      <c r="AA30" s="702"/>
      <c r="AB30" s="702"/>
      <c r="AC30" s="702"/>
      <c r="AD30" s="702"/>
      <c r="AE30" s="702"/>
      <c r="AF30" s="702"/>
      <c r="AG30" s="702"/>
      <c r="AH30" s="702"/>
      <c r="AI30" s="702"/>
      <c r="AJ30" s="702"/>
      <c r="AK30" s="702"/>
      <c r="AL30" s="702"/>
    </row>
    <row s="10365" customFormat="1" customHeight="1" ht="15">
      <c r="U31" s="293"/>
    </row>
    <row s="10365" customFormat="1" customHeight="1" ht="15">
      <c r="A32" s="1910" t="s">
        <v>2152</v>
      </c>
      <c r="B32" s="1910"/>
      <c r="C32" s="1910"/>
      <c r="D32" s="1910"/>
      <c r="E32" s="1910"/>
      <c r="F32" s="1910"/>
      <c r="G32" s="1910"/>
      <c r="H32" s="1910"/>
      <c r="I32" s="1910"/>
      <c r="J32" s="1910"/>
      <c r="K32" s="1910"/>
      <c r="L32" s="1910"/>
      <c r="M32" s="1910"/>
      <c r="N32" s="1910"/>
      <c r="O32" s="1910"/>
      <c r="P32" s="1910"/>
      <c r="Q32" s="1910"/>
      <c r="R32" s="1910"/>
      <c r="S32" s="1910"/>
      <c r="T32" s="1910"/>
      <c r="U32" s="292"/>
      <c r="V32" s="1910"/>
      <c r="W32" s="1910"/>
    </row>
    <row s="10365" customFormat="1" customHeight="1" ht="15">
      <c r="U33" s="293"/>
    </row>
    <row s="10446" customFormat="1" customHeight="1" ht="15">
      <c r="A34" s="530"/>
      <c r="B34" s="530"/>
      <c r="C34" s="284"/>
      <c r="D34" s="1915"/>
      <c r="E34" s="1915"/>
      <c r="F34" s="1915"/>
      <c r="G34" s="1915"/>
      <c r="H34" s="1915"/>
      <c r="I34" s="1915"/>
      <c r="J34" s="1915"/>
      <c r="K34" s="1894" t="s">
        <v>103</v>
      </c>
      <c r="L34" s="1825" t="s">
        <v>144</v>
      </c>
      <c r="M34" s="912"/>
      <c r="N34" s="913"/>
      <c r="O34" s="711"/>
      <c r="P34" s="711"/>
      <c r="Q34" s="711"/>
      <c r="R34" s="711"/>
      <c r="S34" s="711"/>
      <c r="T34" s="711"/>
      <c r="U34" s="712"/>
      <c r="V34" s="711"/>
      <c r="W34" s="711"/>
      <c r="X34" s="702"/>
      <c r="Y34" s="702" t="s">
        <v>152</v>
      </c>
      <c r="Z34" s="702">
        <v>1705000</v>
      </c>
      <c r="AA34" s="702"/>
      <c r="AB34" s="702"/>
      <c r="AC34" s="702"/>
      <c r="AD34" s="702"/>
      <c r="AE34" s="702"/>
      <c r="AF34" s="702"/>
      <c r="AG34" s="702"/>
      <c r="AH34" s="702"/>
      <c r="AI34" s="702"/>
      <c r="AJ34" s="702"/>
      <c r="AK34" s="702"/>
      <c r="AL34" s="702"/>
    </row>
    <row s="10365" customFormat="1" customHeight="1" ht="15">
      <c r="U35" s="293"/>
    </row>
    <row s="10365" customFormat="1" customHeight="1" ht="15">
      <c r="U36" s="293"/>
    </row>
    <row s="13276" customFormat="1" customHeight="1" ht="11.25">
      <c r="A37" s="1910" t="s">
        <v>2153</v>
      </c>
    </row>
    <row customHeight="1" ht="11.25"/>
    <row s="10810" customFormat="1" customHeight="1" ht="22.5">
      <c r="A39" s="1886"/>
      <c r="B39" s="564"/>
      <c r="C39" s="960"/>
      <c r="D39" s="547"/>
      <c r="E39" s="961"/>
      <c r="F39" s="1907"/>
      <c r="G39" s="1916"/>
      <c r="H39" s="582"/>
    </row>
    <row customHeight="1" ht="11.25"/>
    <row s="13276" customFormat="1" customHeight="1" ht="11.25">
      <c r="A41" s="1910" t="s">
        <v>2154</v>
      </c>
    </row>
    <row customHeight="1" ht="11.25"/>
    <row s="10810" customFormat="1" customHeight="1" ht="22.5">
      <c r="A43" s="564"/>
      <c r="B43" s="564"/>
      <c r="C43" s="564"/>
      <c r="D43" s="547"/>
      <c r="E43" s="961"/>
      <c r="F43" s="962"/>
      <c r="G43" s="1916"/>
      <c r="H43" s="582"/>
    </row>
    <row customHeight="1" ht="11.25"/>
    <row s="13276" customFormat="1" customHeight="1" ht="11.25">
      <c r="A45" s="1910" t="s">
        <v>2155</v>
      </c>
    </row>
    <row customHeight="1" ht="11.25"/>
    <row s="10810" customFormat="1" customHeight="1" ht="24">
      <c r="A47" s="3070" t="s">
        <v>398</v>
      </c>
      <c r="B47" s="609"/>
      <c r="C47" s="3081"/>
      <c r="D47" s="552" t="str">
        <f>A47</f>
        <v>5.1</v>
      </c>
      <c r="E47" s="549" t="s">
        <v>399</v>
      </c>
      <c r="F47" s="2067" t="s">
        <v>391</v>
      </c>
      <c r="G47" s="551" t="s">
        <v>400</v>
      </c>
      <c r="H47" s="582"/>
      <c r="I47" s="953"/>
    </row>
    <row s="10810" customFormat="1" customHeight="1" ht="22.5">
      <c r="A48" s="3070"/>
      <c r="B48" s="609"/>
      <c r="C48" s="3081"/>
      <c r="D48" s="547" t="str">
        <f>D47&amp;".1"</f>
        <v>5.1.1</v>
      </c>
      <c r="E48" s="546" t="s">
        <v>401</v>
      </c>
      <c r="F48" s="2068" t="s">
        <v>22</v>
      </c>
      <c r="G48" s="581"/>
      <c r="H48" s="582"/>
      <c r="I48" s="953"/>
    </row>
    <row s="10810" customFormat="1" customHeight="1" ht="22.5">
      <c r="A49" s="3070"/>
      <c r="B49" s="609"/>
      <c r="C49" s="3081"/>
      <c r="D49" s="547" t="str">
        <f>D47&amp;".2"</f>
        <v>5.1.2</v>
      </c>
      <c r="E49" s="546" t="s">
        <v>402</v>
      </c>
      <c r="F49" s="1828" t="s">
        <v>22</v>
      </c>
      <c r="G49" s="551" t="s">
        <v>403</v>
      </c>
      <c r="H49" s="582"/>
      <c r="I49" s="953"/>
    </row>
    <row s="10810" customFormat="1" customHeight="1" ht="22.5">
      <c r="A50" s="3070"/>
      <c r="B50" s="609"/>
      <c r="C50" s="3081"/>
      <c r="D50" s="547" t="str">
        <f>D47&amp;".3"</f>
        <v>5.1.3</v>
      </c>
      <c r="E50" s="546" t="s">
        <v>404</v>
      </c>
      <c r="F50" s="2068" t="s">
        <v>22</v>
      </c>
      <c r="G50" s="581"/>
      <c r="H50" s="582"/>
      <c r="I50" s="953"/>
    </row>
    <row s="10810" customFormat="1" customHeight="1" ht="22.5">
      <c r="A51" s="3070"/>
      <c r="B51" s="609"/>
      <c r="C51" s="3081"/>
      <c r="D51" s="547" t="str">
        <f>D47&amp;".4"</f>
        <v>5.1.4</v>
      </c>
      <c r="E51" s="546" t="s">
        <v>405</v>
      </c>
      <c r="F51" s="2068" t="s">
        <v>22</v>
      </c>
      <c r="G51" s="551" t="s">
        <v>406</v>
      </c>
      <c r="H51" s="582"/>
      <c r="I51" s="953"/>
    </row>
    <row r="54" s="13276" customFormat="1" customHeight="1" ht="17.25">
      <c r="A54" s="1910" t="s">
        <v>2156</v>
      </c>
    </row>
    <row r="56" s="10207" customFormat="1" customHeight="1" ht="18.75">
      <c r="A56" s="200"/>
      <c r="B56" s="1917"/>
      <c r="C56" s="1917"/>
      <c r="D56" s="1918"/>
      <c r="E56" s="1904"/>
      <c r="F56" s="969">
        <v>13</v>
      </c>
      <c r="G56" s="968"/>
      <c r="H56" s="894"/>
      <c r="I56" s="892"/>
      <c r="J56" s="627" t="s">
        <v>62</v>
      </c>
      <c r="K56" s="1919" t="s">
        <v>22</v>
      </c>
      <c r="L56" s="200"/>
      <c r="M56" s="1732"/>
      <c r="N56" s="1732"/>
      <c r="O56" s="1732"/>
      <c r="P56" s="623" t="s">
        <v>477</v>
      </c>
      <c r="Q56" s="623" t="s">
        <v>478</v>
      </c>
      <c r="R56" s="624" t="s">
        <v>479</v>
      </c>
      <c r="S56" s="1732" t="s">
        <v>480</v>
      </c>
      <c r="T56" s="1732"/>
      <c r="U56" s="1732"/>
      <c r="V56" s="1732"/>
    </row>
    <row r="58" s="13276" customFormat="1" customHeight="1" ht="11.25">
      <c r="A58" s="1910" t="s">
        <v>2157</v>
      </c>
    </row>
    <row r="60" s="10232" customFormat="1" customHeight="1" ht="14.25">
      <c r="C60" s="1784"/>
      <c r="D60" s="1963"/>
      <c r="E60" s="1872" t="s">
        <v>22</v>
      </c>
      <c r="F60" s="1962"/>
      <c r="G60" s="957"/>
      <c r="H60" s="1873"/>
      <c r="I60" s="1873"/>
      <c r="J60" s="540"/>
      <c r="K60" s="1957"/>
      <c r="L60" s="539"/>
      <c r="M60" s="1957"/>
      <c r="N60" s="540"/>
      <c r="O60" s="1957"/>
      <c r="P60" s="540"/>
      <c r="Q60" s="1957"/>
      <c r="R60" s="540"/>
      <c r="S60" s="955"/>
      <c r="T60" s="1873"/>
      <c r="U60" s="540"/>
      <c r="V60" s="540"/>
      <c r="W60" s="1961"/>
      <c r="X60" s="1873"/>
      <c r="Y60" s="540"/>
      <c r="Z60" s="540"/>
      <c r="AA60" s="1961"/>
      <c r="AB60" s="1873"/>
      <c r="AC60" s="540"/>
      <c r="AD60" s="1961"/>
      <c r="AE60" s="200"/>
      <c r="AF60" s="200"/>
      <c r="AG60" s="200"/>
      <c r="AH60" s="200"/>
      <c r="AJ60" s="1732"/>
      <c r="AK60" s="1732"/>
      <c r="AL60" s="1732"/>
      <c r="AM60" s="1732"/>
      <c r="AN60" s="1732"/>
      <c r="AO60" s="1732"/>
      <c r="AP60" s="1720" t="s">
        <v>466</v>
      </c>
      <c r="AQ60" s="1720" t="s">
        <v>466</v>
      </c>
      <c r="AR60" s="1732"/>
      <c r="AS60" s="1732"/>
    </row>
    <row r="62" s="13276" customFormat="1" customHeight="1" ht="11.25">
      <c r="A62" s="1910" t="s">
        <v>2158</v>
      </c>
    </row>
    <row r="64" s="12963" customFormat="1" customHeight="1" ht="15">
      <c r="A64" s="253" t="s">
        <v>90</v>
      </c>
      <c r="B64" s="235" t="s">
        <v>22</v>
      </c>
      <c r="C64" s="1920"/>
      <c r="D64" s="238"/>
      <c r="E64" s="488"/>
      <c r="F64" s="488"/>
      <c r="G64" s="1898"/>
      <c r="H64" s="1919"/>
      <c r="I64" s="1899"/>
      <c r="K64" s="380"/>
      <c r="L64" s="381"/>
    </row>
    <row r="66" s="13276" customFormat="1" customHeight="1" ht="11.25">
      <c r="A66" s="1910" t="s">
        <v>2159</v>
      </c>
    </row>
    <row r="68" s="10232" customFormat="1" customHeight="1" ht="14.25">
      <c r="A68" s="451"/>
      <c r="B68" s="1256"/>
      <c r="C68" s="483"/>
      <c r="D68" s="1905"/>
      <c r="E68" s="986"/>
      <c r="F68" s="1919"/>
      <c r="G68" s="200"/>
      <c r="I68" s="1720"/>
      <c r="J68" s="1720"/>
    </row>
    <row r="70" s="13276" customFormat="1" customHeight="1" ht="11.25">
      <c r="A70" s="1910" t="s">
        <v>2160</v>
      </c>
    </row>
    <row r="72" s="10232" customFormat="1" customHeight="1" ht="27">
      <c r="A72" s="1262"/>
      <c r="B72" s="1262"/>
      <c r="C72" s="1262"/>
      <c r="D72" s="1256"/>
      <c r="E72" s="1921"/>
      <c r="F72" s="3238"/>
      <c r="G72" s="3239"/>
      <c r="H72" s="3240" t="s">
        <v>62</v>
      </c>
      <c r="I72" s="3242"/>
      <c r="J72" s="3244"/>
      <c r="K72" s="3246"/>
      <c r="L72" s="3247"/>
      <c r="M72" s="3247"/>
      <c r="N72" s="3251"/>
      <c r="O72" s="3251"/>
      <c r="P72" s="3252">
        <f>DATEDIF(DATEVALUE(N72),DATEVALUE(O72),"y")&amp;"г. "&amp;DATEDIF(DATEVALUE(N72),DATEVALUE(O72),"ym")&amp;"мес. "&amp;DATEVALUE(O72)-DATE(YEAR(DATEVALUE(O72)),MONTH(DATEVALUE(O72)),1)&amp;"дн. "</f>
      </c>
      <c r="Q72" s="3248"/>
      <c r="R72" s="3248"/>
      <c r="S72" s="3248"/>
      <c r="T72" s="3244"/>
      <c r="U72" s="3248"/>
      <c r="V72" s="3248"/>
      <c r="W72" s="3248"/>
      <c r="X72" s="3244"/>
      <c r="Y72" s="3249" t="s">
        <v>62</v>
      </c>
      <c r="Z72" s="1903"/>
      <c r="AA72" s="1887">
        <v>1</v>
      </c>
      <c r="AB72" s="1338"/>
      <c r="AD72" s="1732" t="s">
        <v>2161</v>
      </c>
    </row>
    <row s="10232" customFormat="1" customHeight="1" ht="10.5">
      <c r="A73" s="1262"/>
      <c r="B73" s="1262"/>
      <c r="C73" s="1262"/>
      <c r="D73" s="1256"/>
      <c r="E73" s="1047"/>
      <c r="F73" s="3238"/>
      <c r="G73" s="3239"/>
      <c r="H73" s="3241"/>
      <c r="I73" s="3243"/>
      <c r="J73" s="3245"/>
      <c r="K73" s="3246"/>
      <c r="L73" s="3247"/>
      <c r="M73" s="3247"/>
      <c r="N73" s="3251"/>
      <c r="O73" s="3251"/>
      <c r="P73" s="3252"/>
      <c r="Q73" s="3248"/>
      <c r="R73" s="3248"/>
      <c r="S73" s="3248"/>
      <c r="T73" s="3245"/>
      <c r="U73" s="3248"/>
      <c r="V73" s="3248"/>
      <c r="W73" s="3248"/>
      <c r="X73" s="3245"/>
      <c r="Y73" s="3250"/>
      <c r="Z73" s="455"/>
      <c r="AA73" s="679"/>
      <c r="AB73" s="759" t="s">
        <v>1162</v>
      </c>
    </row>
    <row r="75" s="13276" customFormat="1" customHeight="1" ht="11.25">
      <c r="A75" s="1910" t="s">
        <v>2162</v>
      </c>
    </row>
    <row r="77" s="10232" customFormat="1" customHeight="1" ht="27">
      <c r="A77" s="1262"/>
      <c r="B77" s="1262"/>
      <c r="C77" s="1262"/>
      <c r="D77" s="1256"/>
      <c r="E77" s="1921"/>
      <c r="F77" s="1892"/>
      <c r="G77" s="1843"/>
      <c r="H77" s="1844"/>
      <c r="I77" s="1845"/>
      <c r="J77" s="1846"/>
      <c r="K77" s="1847"/>
      <c r="L77" s="1848"/>
      <c r="M77" s="1848"/>
      <c r="N77" s="1849"/>
      <c r="O77" s="1849"/>
      <c r="P77" s="1850"/>
      <c r="Q77" s="1851"/>
      <c r="R77" s="1851"/>
      <c r="S77" s="1851"/>
      <c r="T77" s="1846"/>
      <c r="U77" s="1851"/>
      <c r="V77" s="1851"/>
      <c r="W77" s="1851"/>
      <c r="X77" s="1846"/>
      <c r="Y77" s="1844"/>
      <c r="Z77" s="1903"/>
      <c r="AA77" s="1887">
        <v>1</v>
      </c>
      <c r="AB77" s="1338"/>
      <c r="AD77" s="1732" t="s">
        <v>2161</v>
      </c>
    </row>
    <row r="79" s="13276" customFormat="1" customHeight="1" ht="11.25">
      <c r="A79" s="1910" t="s">
        <v>2163</v>
      </c>
    </row>
    <row customHeight="1" ht="17.25"/>
    <row s="10232" customFormat="1" customHeight="1" ht="21">
      <c r="A81" s="1263"/>
      <c r="B81" s="1262"/>
      <c r="C81" s="1262"/>
      <c r="D81" s="1256"/>
      <c r="E81" s="1266"/>
      <c r="F81" s="1219">
        <f>INDEX(IP_MAIN_LIST_NAME_IP,MATCH(A81,IP_MAIN_LIST_IP_ID,0))&amp;" ("&amp;INDEX(IP_MAIN_START_DATE,MATCH(A81,IP_MAIN_LIST_IP_ID,0))&amp;"-"&amp;INDEX(IP_MAIN_END_DATE,MATCH(A81,IP_MAIN_LIST_IP_ID,0))&amp;")"</f>
      </c>
      <c r="G81" s="1220"/>
      <c r="H81" s="1220"/>
      <c r="I81" s="1281"/>
      <c r="J81" s="1281"/>
      <c r="K81" s="1282"/>
      <c r="L81" s="1282"/>
      <c r="M81" s="1282"/>
      <c r="N81" s="1283"/>
      <c r="O81" s="1283"/>
      <c r="P81" s="1283"/>
      <c r="Q81" s="1283"/>
      <c r="R81" s="1283"/>
      <c r="S81" s="1283"/>
      <c r="T81" s="1283"/>
      <c r="U81" s="1283"/>
      <c r="V81" s="1283"/>
      <c r="W81" s="1283"/>
      <c r="X81" s="1283"/>
      <c r="Y81" s="1283"/>
      <c r="Z81" s="1283"/>
      <c r="AA81" s="1283"/>
      <c r="AB81" s="1283"/>
      <c r="AC81" s="1283"/>
      <c r="AD81" s="1283"/>
      <c r="AE81" s="1284"/>
      <c r="AF81" s="1282"/>
      <c r="AG81" s="1282"/>
      <c r="AH81" s="1282"/>
      <c r="AI81" s="1282"/>
      <c r="AJ81" s="1282"/>
      <c r="AK81" s="1282"/>
      <c r="AL81" s="2079"/>
      <c r="AM81" s="1917"/>
      <c r="AN81" s="1917"/>
      <c r="AO81" s="1917"/>
      <c r="AP81" s="1917"/>
      <c r="AQ81" s="1917"/>
      <c r="AR81" s="1917"/>
      <c r="AS81" s="1917"/>
      <c r="AT81" s="1917"/>
      <c r="AU81" s="1917"/>
      <c r="AV81" s="1917"/>
      <c r="AW81" s="1917"/>
      <c r="AX81" s="1917"/>
      <c r="AY81" s="1917"/>
      <c r="AZ81" s="1917"/>
      <c r="BA81" s="1917"/>
      <c r="BB81" s="1917"/>
      <c r="BC81" s="1917"/>
      <c r="BD81" s="1917"/>
      <c r="BE81" s="1917"/>
      <c r="BF81" s="1917"/>
    </row>
    <row s="10232" customFormat="1" customHeight="1" ht="0.75">
      <c r="A82" s="1262"/>
      <c r="B82" s="1262"/>
      <c r="C82" s="1262"/>
      <c r="D82" s="1256"/>
      <c r="E82" s="1266"/>
      <c r="F82" s="3266"/>
      <c r="G82" s="3263"/>
      <c r="H82" s="3269" t="s">
        <v>461</v>
      </c>
      <c r="I82" s="3270"/>
      <c r="J82" s="3262"/>
      <c r="K82" s="3262"/>
      <c r="L82" s="3264"/>
      <c r="M82" s="3112"/>
      <c r="N82" s="2127"/>
      <c r="O82" s="2126"/>
      <c r="P82" s="2127"/>
      <c r="Q82" s="2127"/>
      <c r="R82" s="2127"/>
      <c r="S82" s="2127"/>
      <c r="T82" s="2127"/>
      <c r="U82" s="2127"/>
      <c r="V82" s="2127"/>
      <c r="W82" s="2127"/>
      <c r="X82" s="2127"/>
      <c r="Y82" s="2127"/>
      <c r="Z82" s="2127"/>
      <c r="AA82" s="2127"/>
      <c r="AB82" s="2127"/>
      <c r="AC82" s="2127"/>
      <c r="AD82" s="2127"/>
      <c r="AE82" s="2127"/>
      <c r="AF82" s="3268"/>
      <c r="AG82" s="3264"/>
      <c r="AH82" s="3264"/>
      <c r="AI82" s="3268"/>
      <c r="AJ82" s="3264"/>
      <c r="AK82" s="3264"/>
      <c r="AL82" s="2079"/>
      <c r="AM82" s="1917"/>
      <c r="AN82" s="1917"/>
      <c r="AO82" s="1917"/>
      <c r="AP82" s="1917"/>
      <c r="AQ82" s="1917"/>
      <c r="AR82" s="1917"/>
      <c r="AS82" s="1917"/>
      <c r="AT82" s="1917"/>
      <c r="AU82" s="1917"/>
      <c r="AV82" s="1917"/>
      <c r="AW82" s="1917"/>
      <c r="AX82" s="1917"/>
      <c r="AY82" s="1917"/>
      <c r="AZ82" s="1917"/>
      <c r="BA82" s="1917"/>
      <c r="BB82" s="1917"/>
      <c r="BC82" s="1917"/>
      <c r="BD82" s="1917"/>
      <c r="BE82" s="1917"/>
      <c r="BF82" s="1917"/>
    </row>
    <row s="10232" customFormat="1" customHeight="1" ht="0.75">
      <c r="A83" s="1262"/>
      <c r="B83" s="1262"/>
      <c r="C83" s="1262"/>
      <c r="D83" s="1256"/>
      <c r="E83" s="1266"/>
      <c r="F83" s="3266"/>
      <c r="G83" s="3263"/>
      <c r="H83" s="3269"/>
      <c r="I83" s="3270"/>
      <c r="J83" s="3262"/>
      <c r="K83" s="3262"/>
      <c r="L83" s="3264"/>
      <c r="M83" s="3112"/>
      <c r="N83" s="3271"/>
      <c r="O83" s="3272"/>
      <c r="P83" s="3259"/>
      <c r="Q83" s="3262"/>
      <c r="R83" s="3262"/>
      <c r="S83" s="3262"/>
      <c r="T83" s="3262"/>
      <c r="U83" s="3262"/>
      <c r="V83" s="3262"/>
      <c r="W83" s="3262"/>
      <c r="X83" s="3262"/>
      <c r="Y83" s="3262"/>
      <c r="Z83" s="2128"/>
      <c r="AA83" s="2129"/>
      <c r="AB83" s="2129"/>
      <c r="AC83" s="2130"/>
      <c r="AD83" s="2130"/>
      <c r="AE83" s="2131"/>
      <c r="AF83" s="3268"/>
      <c r="AG83" s="3264"/>
      <c r="AH83" s="3264"/>
      <c r="AI83" s="3268"/>
      <c r="AJ83" s="3264"/>
      <c r="AK83" s="3264"/>
      <c r="AL83" s="2079"/>
      <c r="AM83" s="1917"/>
      <c r="AN83" s="1917"/>
      <c r="AO83" s="1917"/>
      <c r="AP83" s="1917"/>
      <c r="AQ83" s="1917"/>
      <c r="AR83" s="1917"/>
      <c r="AS83" s="1917"/>
      <c r="AT83" s="1917"/>
      <c r="AU83" s="1917"/>
      <c r="AV83" s="1917"/>
      <c r="AW83" s="1917"/>
      <c r="AX83" s="1917"/>
      <c r="AY83" s="1917"/>
      <c r="AZ83" s="1917"/>
      <c r="BA83" s="1917"/>
      <c r="BB83" s="1917"/>
      <c r="BC83" s="1917"/>
      <c r="BD83" s="1917"/>
      <c r="BE83" s="1917"/>
      <c r="BF83" s="1917"/>
    </row>
    <row s="10232" customFormat="1" customHeight="1" ht="0.75">
      <c r="A84" s="1262"/>
      <c r="B84" s="1262"/>
      <c r="C84" s="1262"/>
      <c r="D84" s="1256"/>
      <c r="E84" s="1266"/>
      <c r="F84" s="3266"/>
      <c r="G84" s="3263"/>
      <c r="H84" s="3269"/>
      <c r="I84" s="3270"/>
      <c r="J84" s="3262"/>
      <c r="K84" s="3262"/>
      <c r="L84" s="3264"/>
      <c r="M84" s="3112"/>
      <c r="N84" s="3271"/>
      <c r="O84" s="3272"/>
      <c r="P84" s="3260"/>
      <c r="Q84" s="3262"/>
      <c r="R84" s="3262"/>
      <c r="S84" s="3262"/>
      <c r="T84" s="3262"/>
      <c r="U84" s="3262"/>
      <c r="V84" s="3262"/>
      <c r="W84" s="3262"/>
      <c r="X84" s="3262"/>
      <c r="Y84" s="3262"/>
      <c r="Z84" s="2132"/>
      <c r="AA84" s="2133"/>
      <c r="AB84" s="2134"/>
      <c r="AC84" s="2135"/>
      <c r="AD84" s="2134"/>
      <c r="AE84" s="2135"/>
      <c r="AF84" s="3268"/>
      <c r="AG84" s="3264"/>
      <c r="AH84" s="3264"/>
      <c r="AI84" s="3268"/>
      <c r="AJ84" s="3264"/>
      <c r="AK84" s="3264"/>
      <c r="AL84" s="2079"/>
      <c r="AM84" s="1917"/>
      <c r="AN84" s="1917"/>
      <c r="AO84" s="1917"/>
      <c r="AP84" s="1917"/>
      <c r="AQ84" s="1917"/>
      <c r="AR84" s="1917"/>
      <c r="AS84" s="1917"/>
      <c r="AT84" s="1917"/>
      <c r="AU84" s="1917"/>
      <c r="AV84" s="1917"/>
      <c r="AW84" s="1917"/>
      <c r="AX84" s="1917"/>
      <c r="AY84" s="1917"/>
      <c r="AZ84" s="1917"/>
      <c r="BA84" s="1917"/>
      <c r="BB84" s="1917"/>
      <c r="BC84" s="1917"/>
      <c r="BD84" s="1917"/>
      <c r="BE84" s="1917"/>
      <c r="BF84" s="1917"/>
    </row>
    <row s="10232" customFormat="1" customHeight="1" ht="0.75">
      <c r="A85" s="1262"/>
      <c r="B85" s="1262"/>
      <c r="C85" s="1262"/>
      <c r="D85" s="1256"/>
      <c r="E85" s="1266"/>
      <c r="F85" s="3266"/>
      <c r="G85" s="3263"/>
      <c r="H85" s="3269"/>
      <c r="I85" s="3270"/>
      <c r="J85" s="3262"/>
      <c r="K85" s="3262"/>
      <c r="L85" s="3264"/>
      <c r="M85" s="3112"/>
      <c r="N85" s="3271"/>
      <c r="O85" s="3272"/>
      <c r="P85" s="3261"/>
      <c r="Q85" s="3262"/>
      <c r="R85" s="3262"/>
      <c r="S85" s="3262"/>
      <c r="T85" s="3262"/>
      <c r="U85" s="3262"/>
      <c r="V85" s="3262"/>
      <c r="W85" s="3262"/>
      <c r="X85" s="3262"/>
      <c r="Y85" s="3262"/>
      <c r="Z85" s="2128"/>
      <c r="AA85" s="2129"/>
      <c r="AB85" s="2136"/>
      <c r="AC85" s="2130"/>
      <c r="AD85" s="2130"/>
      <c r="AE85" s="2137"/>
      <c r="AF85" s="3268"/>
      <c r="AG85" s="3264"/>
      <c r="AH85" s="3264"/>
      <c r="AI85" s="3268"/>
      <c r="AJ85" s="3264"/>
      <c r="AK85" s="3264"/>
      <c r="AL85" s="2079"/>
      <c r="AM85" s="1917"/>
      <c r="AN85" s="1917"/>
      <c r="AO85" s="1917"/>
      <c r="AP85" s="1917"/>
      <c r="AQ85" s="1917"/>
      <c r="AR85" s="1917"/>
      <c r="AS85" s="1917"/>
      <c r="AT85" s="1917"/>
      <c r="AU85" s="1917"/>
      <c r="AV85" s="1917"/>
      <c r="AW85" s="1917"/>
      <c r="AX85" s="1917"/>
      <c r="AY85" s="1917"/>
      <c r="AZ85" s="1917"/>
      <c r="BA85" s="1917"/>
      <c r="BB85" s="1917"/>
      <c r="BC85" s="1917"/>
      <c r="BD85" s="1917"/>
      <c r="BE85" s="1917"/>
      <c r="BF85" s="1917"/>
    </row>
    <row s="10232" customFormat="1" customHeight="1" ht="0.75">
      <c r="A86" s="1262"/>
      <c r="B86" s="1262"/>
      <c r="C86" s="1262"/>
      <c r="D86" s="1256"/>
      <c r="E86" s="1266"/>
      <c r="F86" s="3266"/>
      <c r="G86" s="3263"/>
      <c r="H86" s="3269"/>
      <c r="I86" s="3270"/>
      <c r="J86" s="3262"/>
      <c r="K86" s="3262"/>
      <c r="L86" s="3264"/>
      <c r="M86" s="3112"/>
      <c r="N86" s="2129"/>
      <c r="O86" s="2129"/>
      <c r="P86" s="2136"/>
      <c r="Q86" s="2129"/>
      <c r="R86" s="2129"/>
      <c r="S86" s="2129"/>
      <c r="T86" s="2129"/>
      <c r="U86" s="2129"/>
      <c r="V86" s="2129"/>
      <c r="W86" s="2129"/>
      <c r="X86" s="2129"/>
      <c r="Y86" s="2129"/>
      <c r="Z86" s="2129"/>
      <c r="AA86" s="2129"/>
      <c r="AB86" s="2129"/>
      <c r="AC86" s="2129"/>
      <c r="AD86" s="2129"/>
      <c r="AE86" s="2138"/>
      <c r="AF86" s="3268"/>
      <c r="AG86" s="3264"/>
      <c r="AH86" s="3264"/>
      <c r="AI86" s="3268"/>
      <c r="AJ86" s="3264"/>
      <c r="AK86" s="3264"/>
      <c r="AL86" s="2079"/>
      <c r="AM86" s="1917"/>
      <c r="AN86" s="1917"/>
      <c r="AO86" s="1917"/>
      <c r="AP86" s="1917"/>
      <c r="AQ86" s="1917"/>
      <c r="AR86" s="1917"/>
      <c r="AS86" s="1917"/>
      <c r="AT86" s="1917"/>
      <c r="AU86" s="1917"/>
      <c r="AV86" s="1917"/>
      <c r="AW86" s="1917"/>
      <c r="AX86" s="1917"/>
      <c r="AY86" s="1917"/>
      <c r="AZ86" s="1917"/>
      <c r="BA86" s="1917"/>
      <c r="BB86" s="1917"/>
      <c r="BC86" s="1917"/>
      <c r="BD86" s="1917"/>
      <c r="BE86" s="1917"/>
      <c r="BF86" s="1917"/>
    </row>
    <row s="10232" customFormat="1" customHeight="1" ht="12">
      <c r="A87" s="1262"/>
      <c r="B87" s="1262"/>
      <c r="C87" s="1262"/>
      <c r="D87" s="1256"/>
      <c r="E87" s="1266"/>
      <c r="F87" s="3267"/>
      <c r="G87" s="1286"/>
      <c r="H87" s="1286"/>
      <c r="I87" s="3265" t="s">
        <v>1193</v>
      </c>
      <c r="J87" s="3265"/>
      <c r="K87" s="3265"/>
      <c r="L87" s="1269"/>
      <c r="M87" s="1269"/>
      <c r="N87" s="1270"/>
      <c r="O87" s="1270"/>
      <c r="P87" s="1270"/>
      <c r="Q87" s="1270"/>
      <c r="R87" s="1270"/>
      <c r="S87" s="1270"/>
      <c r="T87" s="1270"/>
      <c r="U87" s="1270"/>
      <c r="V87" s="1270"/>
      <c r="W87" s="1270"/>
      <c r="X87" s="1270"/>
      <c r="Y87" s="1270"/>
      <c r="Z87" s="1270"/>
      <c r="AA87" s="1270"/>
      <c r="AB87" s="1270"/>
      <c r="AC87" s="1270"/>
      <c r="AD87" s="1270"/>
      <c r="AE87" s="1270"/>
      <c r="AF87" s="1270"/>
      <c r="AG87" s="1269"/>
      <c r="AH87" s="1269"/>
      <c r="AI87" s="1270"/>
      <c r="AJ87" s="1269"/>
      <c r="AK87" s="1270"/>
      <c r="AL87" s="2079"/>
      <c r="AM87" s="1917"/>
      <c r="AN87" s="1917"/>
      <c r="AO87" s="1917"/>
      <c r="AP87" s="1917"/>
      <c r="AQ87" s="1917"/>
      <c r="AR87" s="1917"/>
      <c r="AS87" s="1917"/>
      <c r="AT87" s="1917"/>
      <c r="AU87" s="1917"/>
      <c r="AV87" s="1917"/>
      <c r="AW87" s="1917"/>
      <c r="AX87" s="1917"/>
      <c r="AY87" s="1917"/>
      <c r="AZ87" s="1917"/>
      <c r="BA87" s="1917"/>
      <c r="BB87" s="1917"/>
      <c r="BC87" s="1917"/>
      <c r="BD87" s="1917"/>
      <c r="BE87" s="1917"/>
      <c r="BF87" s="1917"/>
    </row>
    <row r="89" s="13276" customFormat="1" customHeight="1" ht="11.25">
      <c r="A89" s="1910" t="s">
        <v>2164</v>
      </c>
    </row>
    <row r="91" s="10232" customFormat="1" customHeight="1" ht="11.25">
      <c r="A91" s="1262"/>
      <c r="B91" s="1262"/>
      <c r="C91" s="1262"/>
      <c r="D91" s="1256"/>
      <c r="E91" s="1266"/>
      <c r="F91" s="1923"/>
      <c r="G91" s="1924"/>
      <c r="H91" s="1924"/>
      <c r="I91" s="1860"/>
      <c r="J91" s="1860"/>
      <c r="K91" s="1925"/>
      <c r="L91" s="1860"/>
      <c r="M91" s="1924"/>
      <c r="N91" s="3341"/>
      <c r="O91" s="3342">
        <v>1</v>
      </c>
      <c r="P91" s="3343" t="s">
        <v>19</v>
      </c>
      <c r="Q91" s="3236" t="s">
        <v>22</v>
      </c>
      <c r="R91" s="3236" t="s">
        <v>22</v>
      </c>
      <c r="S91" s="3236" t="s">
        <v>22</v>
      </c>
      <c r="T91" s="3236" t="s">
        <v>22</v>
      </c>
      <c r="U91" s="3236" t="s">
        <v>22</v>
      </c>
      <c r="V91" s="3236" t="s">
        <v>22</v>
      </c>
      <c r="W91" s="3236" t="s">
        <v>22</v>
      </c>
      <c r="X91" s="3236" t="s">
        <v>22</v>
      </c>
      <c r="Y91" s="3236"/>
      <c r="Z91" s="1271"/>
      <c r="AA91" s="1272"/>
      <c r="AB91" s="1272"/>
      <c r="AC91" s="1276"/>
      <c r="AD91" s="1276"/>
      <c r="AE91" s="1276"/>
      <c r="AF91" s="1926"/>
      <c r="AG91" s="1855"/>
      <c r="AH91" s="1855"/>
      <c r="AI91" s="1926"/>
      <c r="AJ91" s="1855"/>
      <c r="AK91" s="2078"/>
      <c r="AL91" s="2079"/>
      <c r="AM91" s="1917"/>
      <c r="AN91" s="1917"/>
      <c r="AO91" s="1917"/>
      <c r="AP91" s="1917"/>
      <c r="AQ91" s="1917"/>
      <c r="AR91" s="1917"/>
      <c r="AS91" s="1917"/>
      <c r="AT91" s="1917"/>
      <c r="AU91" s="1917"/>
      <c r="AV91" s="1917"/>
      <c r="AW91" s="1917"/>
      <c r="AX91" s="1917"/>
      <c r="AY91" s="1917"/>
      <c r="AZ91" s="1917"/>
      <c r="BA91" s="1917"/>
      <c r="BB91" s="1917"/>
      <c r="BC91" s="1917"/>
      <c r="BD91" s="1917"/>
      <c r="BE91" s="1917"/>
      <c r="BF91" s="1917"/>
    </row>
    <row s="10232" customFormat="1" customHeight="1" ht="11.25">
      <c r="A92" s="1262"/>
      <c r="B92" s="1262"/>
      <c r="C92" s="1262"/>
      <c r="D92" s="1256"/>
      <c r="E92" s="1266"/>
      <c r="F92" s="1923"/>
      <c r="G92" s="1924"/>
      <c r="H92" s="1924"/>
      <c r="I92" s="1861"/>
      <c r="J92" s="1861"/>
      <c r="K92" s="1925"/>
      <c r="L92" s="1861"/>
      <c r="M92" s="1924"/>
      <c r="N92" s="3341"/>
      <c r="O92" s="3342"/>
      <c r="P92" s="3344"/>
      <c r="Q92" s="3236"/>
      <c r="R92" s="3236"/>
      <c r="S92" s="3346"/>
      <c r="T92" s="3236"/>
      <c r="U92" s="3236"/>
      <c r="V92" s="3236"/>
      <c r="W92" s="3236"/>
      <c r="X92" s="3236"/>
      <c r="Y92" s="3236"/>
      <c r="Z92" s="1922"/>
      <c r="AA92" s="1889">
        <v>1</v>
      </c>
      <c r="AB92" s="1275"/>
      <c r="AC92" s="1265"/>
      <c r="AD92" s="1275">
        <f>AB92</f>
        <v>0</v>
      </c>
      <c r="AE92" s="831"/>
      <c r="AF92" s="1925"/>
      <c r="AG92" s="1855"/>
      <c r="AH92" s="1855"/>
      <c r="AI92" s="1925"/>
      <c r="AJ92" s="1855"/>
      <c r="AK92" s="2078"/>
      <c r="AL92" s="2079"/>
      <c r="AM92" s="1917"/>
      <c r="AN92" s="1917"/>
      <c r="AO92" s="1917"/>
      <c r="AP92" s="1917"/>
      <c r="AQ92" s="1917"/>
      <c r="AR92" s="1917"/>
      <c r="AS92" s="1917"/>
      <c r="AT92" s="1917"/>
      <c r="AU92" s="1917"/>
      <c r="AV92" s="1917"/>
      <c r="AW92" s="1917"/>
      <c r="AX92" s="1917"/>
      <c r="AY92" s="1917"/>
      <c r="AZ92" s="1917"/>
      <c r="BA92" s="1917"/>
      <c r="BB92" s="1917"/>
      <c r="BC92" s="1917"/>
      <c r="BD92" s="1917"/>
      <c r="BE92" s="1917"/>
      <c r="BF92" s="1917"/>
    </row>
    <row s="10232" customFormat="1" customHeight="1" ht="11.25">
      <c r="A93" s="1262"/>
      <c r="B93" s="1262"/>
      <c r="C93" s="1262"/>
      <c r="D93" s="1256"/>
      <c r="E93" s="1266"/>
      <c r="F93" s="1923"/>
      <c r="G93" s="1924"/>
      <c r="H93" s="1924"/>
      <c r="I93" s="1862"/>
      <c r="J93" s="1862"/>
      <c r="K93" s="1925"/>
      <c r="L93" s="1862"/>
      <c r="M93" s="1924"/>
      <c r="N93" s="3341"/>
      <c r="O93" s="3342"/>
      <c r="P93" s="3345"/>
      <c r="Q93" s="3236"/>
      <c r="R93" s="3236"/>
      <c r="S93" s="3346"/>
      <c r="T93" s="3236"/>
      <c r="U93" s="3236"/>
      <c r="V93" s="3236"/>
      <c r="W93" s="3236"/>
      <c r="X93" s="3236"/>
      <c r="Y93" s="3236"/>
      <c r="Z93" s="1271"/>
      <c r="AA93" s="1272"/>
      <c r="AB93" s="1337" t="s">
        <v>1203</v>
      </c>
      <c r="AC93" s="1276"/>
      <c r="AD93" s="1276"/>
      <c r="AE93" s="1276"/>
      <c r="AF93" s="1927"/>
      <c r="AG93" s="1855"/>
      <c r="AH93" s="1855"/>
      <c r="AI93" s="1927"/>
      <c r="AJ93" s="1855"/>
      <c r="AK93" s="2078"/>
      <c r="AL93" s="2079"/>
      <c r="AM93" s="1917"/>
      <c r="AN93" s="1917"/>
      <c r="AO93" s="1917"/>
      <c r="AP93" s="1917"/>
      <c r="AQ93" s="1917"/>
      <c r="AR93" s="1917"/>
      <c r="AS93" s="1917"/>
      <c r="AT93" s="1917"/>
      <c r="AU93" s="1917"/>
      <c r="AV93" s="1917"/>
      <c r="AW93" s="1917"/>
      <c r="AX93" s="1917"/>
      <c r="AY93" s="1917"/>
      <c r="AZ93" s="1917"/>
      <c r="BA93" s="1917"/>
      <c r="BB93" s="1917"/>
      <c r="BC93" s="1917"/>
      <c r="BD93" s="1917"/>
      <c r="BE93" s="1917"/>
      <c r="BF93" s="1917"/>
    </row>
    <row r="95" s="13276" customFormat="1" customHeight="1" ht="11.25">
      <c r="A95" s="1910" t="s">
        <v>2165</v>
      </c>
    </row>
    <row r="97" s="10232" customFormat="1" customHeight="1" ht="11.25">
      <c r="A97" s="1262"/>
      <c r="B97" s="1262"/>
      <c r="C97" s="1262"/>
      <c r="D97" s="1256"/>
      <c r="E97" s="1266"/>
      <c r="F97" s="1924"/>
      <c r="G97" s="1924"/>
      <c r="H97" s="1924"/>
      <c r="I97" s="1924"/>
      <c r="J97" s="1924"/>
      <c r="K97" s="1924"/>
      <c r="L97" s="1924"/>
      <c r="M97" s="1924"/>
      <c r="N97" s="1924"/>
      <c r="O97" s="1924"/>
      <c r="P97" s="1924"/>
      <c r="Q97" s="1924"/>
      <c r="R97" s="1924"/>
      <c r="S97" s="1924"/>
      <c r="T97" s="1924"/>
      <c r="U97" s="1924"/>
      <c r="V97" s="1924"/>
      <c r="W97" s="1924"/>
      <c r="X97" s="1924"/>
      <c r="Y97" s="1924"/>
      <c r="Z97" s="1928"/>
      <c r="AA97" s="1909">
        <v>1</v>
      </c>
      <c r="AB97" s="1275"/>
      <c r="AC97" s="1265"/>
      <c r="AD97" s="1275">
        <f>AB97</f>
        <v>0</v>
      </c>
      <c r="AE97" s="1265"/>
      <c r="AF97" s="1925"/>
      <c r="AG97" s="1855"/>
      <c r="AH97" s="1855"/>
      <c r="AI97" s="1925"/>
      <c r="AJ97" s="1855"/>
      <c r="AK97" s="2078"/>
      <c r="AL97" s="2079"/>
      <c r="AM97" s="1917"/>
      <c r="AN97" s="1917"/>
      <c r="AO97" s="1917"/>
      <c r="AP97" s="1917"/>
      <c r="AQ97" s="1917"/>
      <c r="AR97" s="1917"/>
      <c r="AS97" s="1917"/>
      <c r="AT97" s="1917"/>
      <c r="AU97" s="1917"/>
      <c r="AV97" s="1917"/>
      <c r="AW97" s="1917"/>
      <c r="AX97" s="1917"/>
      <c r="AY97" s="1917"/>
      <c r="AZ97" s="1917"/>
      <c r="BA97" s="1917"/>
      <c r="BB97" s="1917"/>
      <c r="BC97" s="1917"/>
      <c r="BD97" s="1917"/>
      <c r="BE97" s="1917"/>
      <c r="BF97" s="1917"/>
    </row>
    <row r="99" s="13276" customFormat="1" customHeight="1" ht="11.25">
      <c r="A99" s="1910" t="s">
        <v>2166</v>
      </c>
    </row>
    <row r="101" s="10232" customFormat="1" customHeight="1" ht="11.25">
      <c r="A101" s="1262"/>
      <c r="B101" s="1262"/>
      <c r="C101" s="1262"/>
      <c r="D101" s="1256"/>
      <c r="E101" s="1266"/>
      <c r="F101" s="1923"/>
      <c r="G101" s="1924"/>
      <c r="H101" s="3263" t="s">
        <v>144</v>
      </c>
      <c r="I101" s="3374"/>
      <c r="J101" s="3334"/>
      <c r="K101" s="3372"/>
      <c r="L101" s="2989" t="s">
        <v>19</v>
      </c>
      <c r="M101" s="2990"/>
      <c r="N101" s="2077"/>
      <c r="O101" s="1273" t="s">
        <v>461</v>
      </c>
      <c r="P101" s="1274"/>
      <c r="Q101" s="1274"/>
      <c r="R101" s="1274"/>
      <c r="S101" s="1274"/>
      <c r="T101" s="1274"/>
      <c r="U101" s="1274"/>
      <c r="V101" s="1274"/>
      <c r="W101" s="1274"/>
      <c r="X101" s="1274"/>
      <c r="Y101" s="1274"/>
      <c r="Z101" s="1274"/>
      <c r="AA101" s="1274"/>
      <c r="AB101" s="1274"/>
      <c r="AC101" s="1274"/>
      <c r="AD101" s="1274"/>
      <c r="AE101" s="1274"/>
      <c r="AF101" s="3375"/>
      <c r="AG101" s="3376"/>
      <c r="AH101" s="3376"/>
      <c r="AI101" s="3375"/>
      <c r="AJ101" s="3376"/>
      <c r="AK101" s="3376"/>
      <c r="AL101" s="2079"/>
      <c r="AM101" s="1917"/>
      <c r="AN101" s="1917"/>
      <c r="AO101" s="1917"/>
      <c r="AP101" s="1917"/>
      <c r="AQ101" s="1917"/>
      <c r="AR101" s="1917"/>
      <c r="AS101" s="1917"/>
      <c r="AT101" s="1917"/>
      <c r="AU101" s="1917"/>
      <c r="AV101" s="1917"/>
      <c r="AW101" s="1917"/>
      <c r="AX101" s="1917"/>
      <c r="AY101" s="1917"/>
      <c r="AZ101" s="1917"/>
      <c r="BA101" s="1917"/>
      <c r="BB101" s="1917"/>
      <c r="BC101" s="1917"/>
      <c r="BD101" s="1917"/>
      <c r="BE101" s="1917"/>
      <c r="BF101" s="1917"/>
    </row>
    <row s="10232" customFormat="1" customHeight="1" ht="11.25">
      <c r="A102" s="1262"/>
      <c r="B102" s="1262"/>
      <c r="C102" s="1262"/>
      <c r="D102" s="1256"/>
      <c r="E102" s="1266"/>
      <c r="F102" s="1923"/>
      <c r="G102" s="1924"/>
      <c r="H102" s="3263"/>
      <c r="I102" s="3374"/>
      <c r="J102" s="3334"/>
      <c r="K102" s="3372"/>
      <c r="L102" s="2989"/>
      <c r="M102" s="2990"/>
      <c r="N102" s="3341"/>
      <c r="O102" s="3377">
        <v>1</v>
      </c>
      <c r="P102" s="3343" t="s">
        <v>19</v>
      </c>
      <c r="Q102" s="3236" t="s">
        <v>22</v>
      </c>
      <c r="R102" s="3236" t="s">
        <v>22</v>
      </c>
      <c r="S102" s="3236" t="s">
        <v>22</v>
      </c>
      <c r="T102" s="3236" t="s">
        <v>22</v>
      </c>
      <c r="U102" s="3236" t="s">
        <v>22</v>
      </c>
      <c r="V102" s="3236" t="s">
        <v>22</v>
      </c>
      <c r="W102" s="3236" t="s">
        <v>22</v>
      </c>
      <c r="X102" s="3236" t="s">
        <v>22</v>
      </c>
      <c r="Y102" s="3236"/>
      <c r="Z102" s="1271"/>
      <c r="AA102" s="1272"/>
      <c r="AB102" s="1272"/>
      <c r="AC102" s="1276"/>
      <c r="AD102" s="1276"/>
      <c r="AE102" s="1277"/>
      <c r="AF102" s="3375"/>
      <c r="AG102" s="3376"/>
      <c r="AH102" s="3376"/>
      <c r="AI102" s="3375"/>
      <c r="AJ102" s="3376"/>
      <c r="AK102" s="3376"/>
      <c r="AL102" s="2079"/>
      <c r="AM102" s="1917"/>
      <c r="AN102" s="1917"/>
      <c r="AO102" s="1917"/>
      <c r="AP102" s="1917"/>
      <c r="AQ102" s="1917"/>
      <c r="AR102" s="1917"/>
      <c r="AS102" s="1917"/>
      <c r="AT102" s="1917"/>
      <c r="AU102" s="1917"/>
      <c r="AV102" s="1917"/>
      <c r="AW102" s="1917"/>
      <c r="AX102" s="1917"/>
      <c r="AY102" s="1917"/>
      <c r="AZ102" s="1917"/>
      <c r="BA102" s="1917"/>
      <c r="BB102" s="1917"/>
      <c r="BC102" s="1917"/>
      <c r="BD102" s="1917"/>
      <c r="BE102" s="1917"/>
      <c r="BF102" s="1917"/>
    </row>
    <row s="10232" customFormat="1" customHeight="1" ht="11.25">
      <c r="A103" s="1262"/>
      <c r="B103" s="1262"/>
      <c r="C103" s="1262"/>
      <c r="D103" s="1256"/>
      <c r="E103" s="1266"/>
      <c r="F103" s="1923"/>
      <c r="G103" s="1924"/>
      <c r="H103" s="3263"/>
      <c r="I103" s="3374"/>
      <c r="J103" s="3334"/>
      <c r="K103" s="3372"/>
      <c r="L103" s="2989"/>
      <c r="M103" s="2990"/>
      <c r="N103" s="3341"/>
      <c r="O103" s="3377"/>
      <c r="P103" s="3344"/>
      <c r="Q103" s="3236"/>
      <c r="R103" s="3236"/>
      <c r="S103" s="3346"/>
      <c r="T103" s="3236"/>
      <c r="U103" s="3236"/>
      <c r="V103" s="3236"/>
      <c r="W103" s="3236"/>
      <c r="X103" s="3236"/>
      <c r="Y103" s="3236"/>
      <c r="Z103" s="1922"/>
      <c r="AA103" s="1889">
        <v>1</v>
      </c>
      <c r="AB103" s="1275"/>
      <c r="AC103" s="1265"/>
      <c r="AD103" s="1275">
        <f>AB103</f>
        <v>0</v>
      </c>
      <c r="AE103" s="1265"/>
      <c r="AF103" s="3375"/>
      <c r="AG103" s="3376"/>
      <c r="AH103" s="3376"/>
      <c r="AI103" s="3375"/>
      <c r="AJ103" s="3376"/>
      <c r="AK103" s="3376"/>
      <c r="AL103" s="2079"/>
      <c r="AM103" s="1917"/>
      <c r="AN103" s="1917"/>
      <c r="AO103" s="1917"/>
      <c r="AP103" s="1917"/>
      <c r="AQ103" s="1917"/>
      <c r="AR103" s="1917"/>
      <c r="AS103" s="1917"/>
      <c r="AT103" s="1917"/>
      <c r="AU103" s="1917"/>
      <c r="AV103" s="1917"/>
      <c r="AW103" s="1917"/>
      <c r="AX103" s="1917"/>
      <c r="AY103" s="1917"/>
      <c r="AZ103" s="1917"/>
      <c r="BA103" s="1917"/>
      <c r="BB103" s="1917"/>
      <c r="BC103" s="1917"/>
      <c r="BD103" s="1917"/>
      <c r="BE103" s="1917"/>
      <c r="BF103" s="1917"/>
    </row>
    <row s="10232" customFormat="1" customHeight="1" ht="11.25">
      <c r="A104" s="1262"/>
      <c r="B104" s="1262"/>
      <c r="C104" s="1262"/>
      <c r="D104" s="1256"/>
      <c r="E104" s="1266"/>
      <c r="F104" s="1923"/>
      <c r="G104" s="1924"/>
      <c r="H104" s="3263"/>
      <c r="I104" s="3374"/>
      <c r="J104" s="3334"/>
      <c r="K104" s="3372"/>
      <c r="L104" s="2989"/>
      <c r="M104" s="2990"/>
      <c r="N104" s="3341"/>
      <c r="O104" s="3377"/>
      <c r="P104" s="3345"/>
      <c r="Q104" s="3236"/>
      <c r="R104" s="3236"/>
      <c r="S104" s="3346"/>
      <c r="T104" s="3236"/>
      <c r="U104" s="3236"/>
      <c r="V104" s="3236"/>
      <c r="W104" s="3236"/>
      <c r="X104" s="3236"/>
      <c r="Y104" s="3236"/>
      <c r="Z104" s="1271"/>
      <c r="AA104" s="1272"/>
      <c r="AB104" s="1337" t="s">
        <v>1203</v>
      </c>
      <c r="AC104" s="1276"/>
      <c r="AD104" s="1276"/>
      <c r="AE104" s="1278"/>
      <c r="AF104" s="3375"/>
      <c r="AG104" s="3376"/>
      <c r="AH104" s="3376"/>
      <c r="AI104" s="3375"/>
      <c r="AJ104" s="3376"/>
      <c r="AK104" s="3376"/>
      <c r="AL104" s="2079"/>
      <c r="AM104" s="1917"/>
      <c r="AN104" s="1917"/>
      <c r="AO104" s="1917"/>
      <c r="AP104" s="1917"/>
      <c r="AQ104" s="1917"/>
      <c r="AR104" s="1917"/>
      <c r="AS104" s="1917"/>
      <c r="AT104" s="1917"/>
      <c r="AU104" s="1917"/>
      <c r="AV104" s="1917"/>
      <c r="AW104" s="1917"/>
      <c r="AX104" s="1917"/>
      <c r="AY104" s="1917"/>
      <c r="AZ104" s="1917"/>
      <c r="BA104" s="1917"/>
      <c r="BB104" s="1917"/>
      <c r="BC104" s="1917"/>
      <c r="BD104" s="1917"/>
      <c r="BE104" s="1917"/>
      <c r="BF104" s="1917"/>
    </row>
    <row s="10232" customFormat="1" customHeight="1" ht="11.25">
      <c r="A105" s="1262"/>
      <c r="B105" s="1262"/>
      <c r="C105" s="1262"/>
      <c r="D105" s="1256"/>
      <c r="E105" s="1266"/>
      <c r="F105" s="1923"/>
      <c r="G105" s="1924"/>
      <c r="H105" s="3263"/>
      <c r="I105" s="3374"/>
      <c r="J105" s="3334"/>
      <c r="K105" s="3372"/>
      <c r="L105" s="2989"/>
      <c r="M105" s="2990"/>
      <c r="N105" s="1271"/>
      <c r="O105" s="1272"/>
      <c r="P105" s="1264" t="s">
        <v>1204</v>
      </c>
      <c r="Q105" s="1272"/>
      <c r="R105" s="1272"/>
      <c r="S105" s="1272"/>
      <c r="T105" s="1272"/>
      <c r="U105" s="1272"/>
      <c r="V105" s="1272"/>
      <c r="W105" s="1272"/>
      <c r="X105" s="1272"/>
      <c r="Y105" s="1272"/>
      <c r="Z105" s="1272"/>
      <c r="AA105" s="1272"/>
      <c r="AB105" s="1272"/>
      <c r="AC105" s="1272"/>
      <c r="AD105" s="1272"/>
      <c r="AE105" s="1279"/>
      <c r="AF105" s="3375"/>
      <c r="AG105" s="3376"/>
      <c r="AH105" s="3376"/>
      <c r="AI105" s="3375"/>
      <c r="AJ105" s="3376"/>
      <c r="AK105" s="3376"/>
      <c r="AL105" s="2079"/>
      <c r="AM105" s="1917"/>
      <c r="AN105" s="1917"/>
      <c r="AO105" s="1917"/>
      <c r="AP105" s="1917"/>
      <c r="AQ105" s="1917"/>
      <c r="AR105" s="1917"/>
      <c r="AS105" s="1917"/>
      <c r="AT105" s="1917"/>
      <c r="AU105" s="1917"/>
      <c r="AV105" s="1917"/>
      <c r="AW105" s="1917"/>
      <c r="AX105" s="1917"/>
      <c r="AY105" s="1917"/>
      <c r="AZ105" s="1917"/>
      <c r="BA105" s="1917"/>
      <c r="BB105" s="1917"/>
      <c r="BC105" s="1917"/>
      <c r="BD105" s="1917"/>
      <c r="BE105" s="1917"/>
      <c r="BF105" s="1917"/>
    </row>
    <row r="107" s="13276" customFormat="1" customHeight="1" ht="11.25">
      <c r="A107" s="1910" t="s">
        <v>2167</v>
      </c>
    </row>
    <row customHeight="1" ht="17.25"/>
    <row s="12581" customFormat="1" customHeight="1" ht="21">
      <c r="A109" s="1263"/>
      <c r="B109" s="1040"/>
      <c r="D109" s="1024"/>
      <c r="E109" s="1039" t="s">
        <v>22</v>
      </c>
      <c r="F109" s="1218">
        <f>INDEX(IP_MAIN_LIST_NAME_IP,MATCH(A109,IP_MAIN_LIST_IP_ID,0))&amp;" ("&amp;INDEX(IP_MAIN_START_DATE,MATCH(A109,IP_MAIN_LIST_IP_ID,0))&amp;"-"&amp;INDEX(IP_MAIN_END_DATE,MATCH(A109,IP_MAIN_LIST_IP_ID,0))&amp;")"</f>
      </c>
      <c r="G109" s="1299"/>
      <c r="H109" s="1300"/>
      <c r="I109" s="1300"/>
      <c r="J109" s="1300"/>
      <c r="K109" s="1300"/>
      <c r="L109" s="1300"/>
      <c r="M109" s="1300"/>
      <c r="N109" s="1300"/>
      <c r="O109" s="1299"/>
      <c r="P109" s="1299"/>
      <c r="Q109" s="1299"/>
      <c r="R109" s="1299"/>
      <c r="S109" s="1299"/>
      <c r="T109" s="1299"/>
      <c r="U109" s="1301"/>
      <c r="V109" s="1301"/>
      <c r="W109" s="1301"/>
      <c r="X109" s="1301"/>
      <c r="Y109" s="1301"/>
      <c r="Z109" s="1301"/>
      <c r="AA109" s="1301"/>
      <c r="AB109" s="1299"/>
      <c r="AC109" s="1300"/>
      <c r="AD109" s="1300"/>
      <c r="AE109" s="1300"/>
      <c r="AF109" s="1300"/>
      <c r="AG109" s="1300"/>
      <c r="AH109" s="1300"/>
      <c r="AI109" s="1300"/>
      <c r="AJ109" s="1300"/>
      <c r="AK109" s="1300"/>
      <c r="AL109" s="1300"/>
      <c r="AM109" s="1300"/>
      <c r="AN109" s="1300"/>
      <c r="AO109" s="1300"/>
      <c r="AP109" s="1300"/>
      <c r="AQ109" s="1300"/>
      <c r="AR109" s="1300"/>
      <c r="AS109" s="1300"/>
      <c r="AT109" s="1300"/>
      <c r="AU109" s="1300"/>
      <c r="AV109" s="1300"/>
      <c r="AW109" s="1300"/>
      <c r="AX109" s="1300"/>
      <c r="AY109" s="1300"/>
      <c r="AZ109" s="1300"/>
      <c r="BA109" s="1300"/>
      <c r="BB109" s="1300"/>
      <c r="BC109" s="1300"/>
      <c r="BD109" s="1300"/>
      <c r="BE109" s="1300"/>
      <c r="BF109" s="1300"/>
      <c r="BG109" s="1300"/>
      <c r="BH109" s="1300"/>
      <c r="BI109" s="1300"/>
      <c r="BJ109" s="1300"/>
      <c r="BK109" s="1300"/>
      <c r="BL109" s="1300"/>
      <c r="BM109" s="1300"/>
      <c r="BN109" s="1300"/>
      <c r="BO109" s="1300"/>
      <c r="BP109" s="1300"/>
      <c r="BQ109" s="1300"/>
      <c r="BR109" s="1300"/>
      <c r="BS109" s="1300"/>
      <c r="BT109" s="1300"/>
      <c r="BU109" s="1300"/>
      <c r="BV109" s="1300"/>
      <c r="BW109" s="1300"/>
      <c r="BX109" s="1300"/>
      <c r="BY109" s="1300"/>
      <c r="BZ109" s="1300"/>
      <c r="CA109" s="1300"/>
      <c r="CB109" s="1300"/>
      <c r="CC109" s="1300"/>
      <c r="CD109" s="1300"/>
      <c r="CE109" s="1300"/>
      <c r="CF109" s="1300"/>
      <c r="CG109" s="1300"/>
      <c r="CH109" s="1300"/>
      <c r="CI109" s="1300"/>
      <c r="CJ109" s="1300"/>
      <c r="CK109" s="1300"/>
      <c r="CL109" s="1302"/>
      <c r="CM109" s="1302"/>
      <c r="CN109" s="1302"/>
      <c r="CO109" s="1302"/>
      <c r="CP109" s="1302"/>
      <c r="CQ109" s="1302"/>
      <c r="CR109" s="1302"/>
      <c r="CS109" s="1302"/>
      <c r="CT109" s="1302"/>
      <c r="CU109" s="1302"/>
      <c r="CV109" s="1302"/>
      <c r="CW109" s="1302"/>
      <c r="CX109" s="1302"/>
      <c r="CY109" s="1302"/>
      <c r="CZ109" s="1302"/>
      <c r="DA109" s="1302"/>
      <c r="DB109" s="1302"/>
      <c r="DC109" s="1302"/>
      <c r="DD109" s="1302"/>
      <c r="DE109" s="1302"/>
      <c r="DF109" s="1302"/>
      <c r="DG109" s="1302"/>
      <c r="DH109" s="1302"/>
      <c r="DI109" s="1302"/>
      <c r="DJ109" s="1302"/>
      <c r="DK109" s="1302"/>
      <c r="DL109" s="1302"/>
      <c r="DM109" s="1302"/>
      <c r="DN109" s="1302"/>
      <c r="DO109" s="1302"/>
      <c r="DP109" s="1302"/>
      <c r="DQ109" s="1302"/>
      <c r="DR109" s="1302"/>
      <c r="DS109" s="1302"/>
      <c r="DT109" s="1302"/>
      <c r="DU109" s="1302"/>
      <c r="DV109" s="1302"/>
      <c r="DW109" s="1302"/>
      <c r="DX109" s="1302"/>
      <c r="DY109" s="1302"/>
      <c r="DZ109" s="1302"/>
      <c r="EA109" s="1302"/>
      <c r="EB109" s="1302"/>
      <c r="EC109" s="1302"/>
      <c r="ED109" s="1302"/>
      <c r="EE109" s="1302"/>
      <c r="EF109" s="1302"/>
      <c r="EG109" s="1302"/>
      <c r="EH109" s="1302"/>
      <c r="EI109" s="1302"/>
      <c r="EJ109" s="1302"/>
      <c r="EK109" s="1302"/>
      <c r="EL109" s="1302"/>
      <c r="EM109" s="1302"/>
      <c r="EN109" s="1302"/>
      <c r="EO109" s="1302"/>
      <c r="EP109" s="1302"/>
      <c r="EQ109" s="1302"/>
      <c r="ER109" s="1302"/>
      <c r="ES109" s="1302"/>
      <c r="ET109" s="1302"/>
      <c r="EU109" s="1302"/>
      <c r="EV109" s="1302"/>
      <c r="EW109" s="1302"/>
      <c r="EX109" s="1302"/>
      <c r="EY109" s="1302"/>
      <c r="EZ109" s="1302"/>
      <c r="FA109" s="1302"/>
      <c r="FB109" s="1302"/>
      <c r="FC109" s="1302"/>
      <c r="FD109" s="1302"/>
      <c r="FE109" s="1302"/>
      <c r="FF109" s="1302"/>
      <c r="FG109" s="1302"/>
      <c r="FH109" s="1302"/>
      <c r="FI109" s="1302"/>
      <c r="FJ109" s="1302"/>
      <c r="FK109" s="1302"/>
      <c r="FL109" s="1302"/>
      <c r="FM109" s="1302"/>
      <c r="FN109" s="1302"/>
      <c r="FO109" s="1302"/>
      <c r="FP109" s="1302"/>
      <c r="FQ109" s="1302"/>
      <c r="FR109" s="1302"/>
      <c r="FS109" s="1302"/>
      <c r="FT109" s="1302"/>
      <c r="FU109" s="1302"/>
      <c r="FV109" s="1303"/>
      <c r="FW109" s="1297"/>
      <c r="FX109" s="1298"/>
    </row>
    <row s="12581" customFormat="1" customHeight="1" ht="24.75">
      <c r="B110" s="1023"/>
      <c r="C110" s="1024"/>
      <c r="D110" s="1024"/>
      <c r="E110" s="1929"/>
      <c r="F110" s="1304">
        <v>1</v>
      </c>
      <c r="G110" s="1305"/>
      <c r="H110" s="1306"/>
      <c r="I110" s="2073"/>
      <c r="J110" s="1307"/>
      <c r="K110" s="1307"/>
      <c r="L110" s="1307"/>
      <c r="M110" s="1307"/>
      <c r="N110" s="1307"/>
      <c r="O110" s="1308"/>
      <c r="P110" s="1308"/>
      <c r="Q110" s="1308"/>
      <c r="R110" s="1308"/>
      <c r="S110" s="1308"/>
      <c r="T110" s="1308"/>
      <c r="U110" s="1308"/>
      <c r="V110" s="1308"/>
      <c r="W110" s="1308"/>
      <c r="X110" s="1308"/>
      <c r="Y110" s="1308"/>
      <c r="Z110" s="1308"/>
      <c r="AA110" s="1308"/>
      <c r="AB110" s="1308"/>
      <c r="AC110" s="1307"/>
      <c r="AD110" s="1307"/>
      <c r="AE110" s="1307"/>
      <c r="AF110" s="1307"/>
      <c r="AG110" s="1307"/>
      <c r="AH110" s="1307"/>
      <c r="AI110" s="1307"/>
      <c r="AJ110" s="1307"/>
      <c r="AK110" s="1307"/>
      <c r="AL110" s="1307"/>
      <c r="AM110" s="1307"/>
      <c r="AN110" s="1307"/>
      <c r="AO110" s="1307"/>
      <c r="AP110" s="1307"/>
      <c r="AQ110" s="1307"/>
      <c r="AR110" s="1307"/>
      <c r="AS110" s="1307"/>
      <c r="AT110" s="1307"/>
      <c r="AU110" s="1307"/>
      <c r="AV110" s="1307"/>
      <c r="AW110" s="1307"/>
      <c r="AX110" s="1307"/>
      <c r="AY110" s="1307"/>
      <c r="AZ110" s="1307"/>
      <c r="BA110" s="1307"/>
      <c r="BB110" s="1307"/>
      <c r="BC110" s="1307"/>
      <c r="BD110" s="1307"/>
      <c r="BE110" s="1307"/>
      <c r="BF110" s="1307"/>
      <c r="BG110" s="1307"/>
      <c r="BH110" s="1307"/>
      <c r="BI110" s="1307"/>
      <c r="BJ110" s="1307"/>
      <c r="BK110" s="1307"/>
      <c r="BL110" s="1307"/>
      <c r="BM110" s="1307"/>
      <c r="BN110" s="1307"/>
      <c r="BO110" s="1307"/>
      <c r="BP110" s="1307"/>
      <c r="BQ110" s="1307"/>
      <c r="BR110" s="1307"/>
      <c r="BS110" s="1307"/>
      <c r="BT110" s="1308"/>
      <c r="BU110" s="1308"/>
      <c r="BV110" s="1308"/>
      <c r="BW110" s="1308"/>
      <c r="BX110" s="1308"/>
      <c r="BY110" s="1308"/>
      <c r="BZ110" s="1308"/>
      <c r="CA110" s="1308"/>
      <c r="CB110" s="1308"/>
      <c r="CC110" s="1308"/>
      <c r="CD110" s="1308"/>
      <c r="CE110" s="1308"/>
      <c r="CF110" s="1308"/>
      <c r="CG110" s="1308"/>
      <c r="CH110" s="1308"/>
      <c r="CI110" s="1308"/>
      <c r="CJ110" s="1308"/>
      <c r="CK110" s="1308"/>
      <c r="CL110" s="1307"/>
      <c r="CM110" s="1307"/>
      <c r="CN110" s="1307"/>
      <c r="CO110" s="1307"/>
      <c r="CP110" s="1307"/>
      <c r="CQ110" s="1307"/>
      <c r="CR110" s="1307"/>
      <c r="CS110" s="1307"/>
      <c r="CT110" s="1307"/>
      <c r="CU110" s="1307"/>
      <c r="CV110" s="1307"/>
      <c r="CW110" s="1307"/>
      <c r="CX110" s="1307"/>
      <c r="CY110" s="1308"/>
      <c r="CZ110" s="1308"/>
      <c r="DA110" s="1308"/>
      <c r="DB110" s="1308"/>
      <c r="DC110" s="1308"/>
      <c r="DD110" s="1308"/>
      <c r="DE110" s="1308"/>
      <c r="DF110" s="1308"/>
      <c r="DG110" s="1308"/>
      <c r="DH110" s="1308"/>
      <c r="DI110" s="1308"/>
      <c r="DJ110" s="1308"/>
      <c r="DK110" s="1307"/>
      <c r="DL110" s="1307"/>
      <c r="DM110" s="1307"/>
      <c r="DN110" s="1307"/>
      <c r="DO110" s="1307"/>
      <c r="DP110" s="1307"/>
      <c r="DQ110" s="1307"/>
      <c r="DR110" s="1307"/>
      <c r="DS110" s="1307"/>
      <c r="DT110" s="1307"/>
      <c r="DU110" s="1307"/>
      <c r="DV110" s="1307"/>
      <c r="DW110" s="1307"/>
      <c r="DX110" s="1307"/>
      <c r="DY110" s="1307"/>
      <c r="DZ110" s="1307"/>
      <c r="EA110" s="1307"/>
      <c r="EB110" s="1307"/>
      <c r="EC110" s="1307"/>
      <c r="ED110" s="1307"/>
      <c r="EE110" s="1307"/>
      <c r="EF110" s="1307"/>
      <c r="EG110" s="1307"/>
      <c r="EH110" s="1307"/>
      <c r="EI110" s="1307"/>
      <c r="EJ110" s="1307"/>
      <c r="EK110" s="1307"/>
      <c r="EL110" s="1307"/>
      <c r="EM110" s="1307"/>
      <c r="EN110" s="1307"/>
      <c r="EO110" s="1307"/>
      <c r="EP110" s="1307"/>
      <c r="EQ110" s="1307"/>
      <c r="ER110" s="1307"/>
      <c r="ES110" s="1307"/>
      <c r="ET110" s="1307"/>
      <c r="EU110" s="1307"/>
      <c r="EV110" s="1307"/>
      <c r="EW110" s="1307"/>
      <c r="EX110" s="1307"/>
      <c r="EY110" s="1307"/>
      <c r="EZ110" s="1307"/>
      <c r="FA110" s="1307"/>
      <c r="FB110" s="1307"/>
      <c r="FC110" s="1307"/>
      <c r="FD110" s="1307"/>
      <c r="FE110" s="1307"/>
      <c r="FF110" s="1307"/>
      <c r="FG110" s="1307"/>
      <c r="FH110" s="1307"/>
      <c r="FI110" s="1307"/>
      <c r="FJ110" s="1307"/>
      <c r="FK110" s="1307"/>
      <c r="FL110" s="1307"/>
      <c r="FM110" s="1307"/>
      <c r="FN110" s="1307"/>
      <c r="FO110" s="1307"/>
      <c r="FP110" s="1307"/>
      <c r="FQ110" s="1307"/>
      <c r="FR110" s="1307"/>
      <c r="FS110" s="1307"/>
      <c r="FT110" s="1307"/>
      <c r="FU110" s="1307"/>
      <c r="FV110" s="1307"/>
      <c r="FW110" s="1307"/>
      <c r="FX110" s="1298"/>
    </row>
    <row s="12581" customFormat="1" customHeight="1" ht="12">
      <c r="A111" s="1024"/>
      <c r="B111" s="1023"/>
      <c r="C111" s="1024"/>
      <c r="D111" s="1024"/>
      <c r="E111" s="1024"/>
      <c r="F111" s="1309"/>
      <c r="G111" s="1895" t="s">
        <v>1406</v>
      </c>
      <c r="H111" s="1310"/>
      <c r="I111" s="1310"/>
      <c r="J111" s="1310"/>
      <c r="K111" s="1310"/>
      <c r="L111" s="1310"/>
      <c r="M111" s="1310"/>
      <c r="N111" s="1310"/>
      <c r="O111" s="1310"/>
      <c r="P111" s="1310"/>
      <c r="Q111" s="1310"/>
      <c r="R111" s="1310"/>
      <c r="S111" s="1310"/>
      <c r="T111" s="1310"/>
      <c r="U111" s="1310"/>
      <c r="V111" s="1310"/>
      <c r="W111" s="1310"/>
      <c r="X111" s="1310"/>
      <c r="Y111" s="1310"/>
      <c r="Z111" s="1310"/>
      <c r="AA111" s="1310"/>
      <c r="AB111" s="1310"/>
      <c r="AC111" s="1310"/>
      <c r="AD111" s="1310"/>
      <c r="AE111" s="1310"/>
      <c r="AF111" s="1310"/>
      <c r="AG111" s="1310"/>
      <c r="AH111" s="1310"/>
      <c r="AI111" s="1310"/>
      <c r="AJ111" s="1310"/>
      <c r="AK111" s="1310"/>
      <c r="AL111" s="1310"/>
      <c r="AM111" s="1310"/>
      <c r="AN111" s="1310"/>
      <c r="AO111" s="1310"/>
      <c r="AP111" s="1310"/>
      <c r="AQ111" s="1310"/>
      <c r="AR111" s="1310"/>
      <c r="AS111" s="1310"/>
      <c r="AT111" s="1310"/>
      <c r="AU111" s="1310"/>
      <c r="AV111" s="1310"/>
      <c r="AW111" s="1310"/>
      <c r="AX111" s="1310"/>
      <c r="AY111" s="1310"/>
      <c r="AZ111" s="1310"/>
      <c r="BA111" s="1310"/>
      <c r="BB111" s="1310"/>
      <c r="BC111" s="1310"/>
      <c r="BD111" s="1310"/>
      <c r="BE111" s="1310"/>
      <c r="BF111" s="1310"/>
      <c r="BG111" s="1310"/>
      <c r="BH111" s="1310"/>
      <c r="BI111" s="1310"/>
      <c r="BJ111" s="1310"/>
      <c r="BK111" s="1310"/>
      <c r="BL111" s="1310"/>
      <c r="BM111" s="1310"/>
      <c r="BN111" s="1310"/>
      <c r="BO111" s="1310"/>
      <c r="BP111" s="1310"/>
      <c r="BQ111" s="1310"/>
      <c r="BR111" s="1310"/>
      <c r="BS111" s="1310"/>
      <c r="BT111" s="1310"/>
      <c r="BU111" s="1310"/>
      <c r="BV111" s="1310"/>
      <c r="BW111" s="1310"/>
      <c r="BX111" s="1310"/>
      <c r="BY111" s="1310"/>
      <c r="BZ111" s="1310"/>
      <c r="CA111" s="1310"/>
      <c r="CB111" s="1310"/>
      <c r="CC111" s="1310"/>
      <c r="CD111" s="1310"/>
      <c r="CE111" s="1310"/>
      <c r="CF111" s="1310"/>
      <c r="CG111" s="1310"/>
      <c r="CH111" s="1310"/>
      <c r="CI111" s="1310"/>
      <c r="CJ111" s="1310"/>
      <c r="CK111" s="1310"/>
      <c r="CL111" s="1310"/>
      <c r="CM111" s="1310"/>
      <c r="CN111" s="1310"/>
      <c r="CO111" s="1310"/>
      <c r="CP111" s="1310"/>
      <c r="CQ111" s="1310"/>
      <c r="CR111" s="1310"/>
      <c r="CS111" s="1310"/>
      <c r="CT111" s="1310"/>
      <c r="CU111" s="1310"/>
      <c r="CV111" s="1310"/>
      <c r="CW111" s="1310"/>
      <c r="CX111" s="1310"/>
      <c r="CY111" s="1310"/>
      <c r="CZ111" s="1310"/>
      <c r="DA111" s="1310"/>
      <c r="DB111" s="1310"/>
      <c r="DC111" s="1310"/>
      <c r="DD111" s="1310"/>
      <c r="DE111" s="1310"/>
      <c r="DF111" s="1310"/>
      <c r="DG111" s="1310"/>
      <c r="DH111" s="1310"/>
      <c r="DI111" s="1310"/>
      <c r="DJ111" s="1310"/>
      <c r="DK111" s="1310"/>
      <c r="DL111" s="1310"/>
      <c r="DM111" s="1310"/>
      <c r="DN111" s="1310"/>
      <c r="DO111" s="1310"/>
      <c r="DP111" s="1310"/>
      <c r="DQ111" s="1310"/>
      <c r="DR111" s="1310"/>
      <c r="DS111" s="1310"/>
      <c r="DT111" s="1310"/>
      <c r="DU111" s="1310"/>
      <c r="DV111" s="1310"/>
      <c r="DW111" s="1310"/>
      <c r="DX111" s="1310"/>
      <c r="DY111" s="1310"/>
      <c r="DZ111" s="1310"/>
      <c r="EA111" s="1310"/>
      <c r="EB111" s="1310"/>
      <c r="EC111" s="1310"/>
      <c r="ED111" s="1310"/>
      <c r="EE111" s="1310"/>
      <c r="EF111" s="1310"/>
      <c r="EG111" s="1310"/>
      <c r="EH111" s="1310"/>
      <c r="EI111" s="1310"/>
      <c r="EJ111" s="1310"/>
      <c r="EK111" s="1310"/>
      <c r="EL111" s="1310"/>
      <c r="EM111" s="1310"/>
      <c r="EN111" s="1310"/>
      <c r="EO111" s="1310"/>
      <c r="EP111" s="1310"/>
      <c r="EQ111" s="1310"/>
      <c r="ER111" s="1310"/>
      <c r="ES111" s="1310"/>
      <c r="ET111" s="1310"/>
      <c r="EU111" s="1310"/>
      <c r="EV111" s="1310"/>
      <c r="EW111" s="1310"/>
      <c r="EX111" s="1310"/>
      <c r="EY111" s="1310"/>
      <c r="EZ111" s="1310"/>
      <c r="FA111" s="1310"/>
      <c r="FB111" s="1310"/>
      <c r="FC111" s="1310"/>
      <c r="FD111" s="1310"/>
      <c r="FE111" s="1310"/>
      <c r="FF111" s="1310"/>
      <c r="FG111" s="1310"/>
      <c r="FH111" s="1310"/>
      <c r="FI111" s="1310"/>
      <c r="FJ111" s="1310"/>
      <c r="FK111" s="1310"/>
      <c r="FL111" s="1310"/>
      <c r="FM111" s="1310"/>
      <c r="FN111" s="1310"/>
      <c r="FO111" s="1310"/>
      <c r="FP111" s="1310"/>
      <c r="FQ111" s="1310"/>
      <c r="FR111" s="1310"/>
      <c r="FS111" s="1310"/>
      <c r="FT111" s="1310"/>
      <c r="FU111" s="1310"/>
      <c r="FV111" s="1310"/>
      <c r="FW111" s="1311"/>
      <c r="FX111" s="1312"/>
      <c r="FY111" s="1041"/>
      <c r="FZ111" s="1041"/>
      <c r="GA111" s="1041"/>
      <c r="GB111" s="1041"/>
    </row>
    <row r="113" s="13276" customFormat="1" customHeight="1" ht="11.25">
      <c r="A113" s="1910" t="s">
        <v>2168</v>
      </c>
    </row>
    <row r="115" s="10365" customFormat="1" customHeight="1" ht="15">
      <c r="A115" s="730"/>
      <c r="B115" s="731"/>
      <c r="C115" s="731"/>
      <c r="D115" s="3218" t="s">
        <v>144</v>
      </c>
      <c r="E115" s="3215" t="s">
        <v>140</v>
      </c>
      <c r="F115" s="3216"/>
      <c r="G115" s="3217"/>
      <c r="H115" s="3211" t="str">
        <f>IF(A115="","",INDEX(DIFFERENTIATION_UNMERGE_VD,MATCH(A115,DIFFERENTIATION_ID_DIFF,0)))</f>
        <v/>
      </c>
      <c r="I115" s="3211"/>
      <c r="J115" s="3211"/>
      <c r="K115" s="3211"/>
      <c r="L115" s="3211"/>
      <c r="M115" s="3211"/>
      <c r="N115" s="3211"/>
      <c r="O115" s="3211"/>
      <c r="P115" s="3211"/>
      <c r="Q115" s="3211"/>
      <c r="R115" s="3211"/>
      <c r="S115" s="826"/>
      <c r="T115" s="823"/>
      <c r="U115" s="732"/>
      <c r="V115" s="732"/>
      <c r="W115" s="733"/>
      <c r="X115" s="733"/>
      <c r="Y115" s="733"/>
      <c r="Z115" s="733"/>
      <c r="AA115" s="734"/>
      <c r="AB115" s="735"/>
      <c r="AC115" s="3214"/>
      <c r="AD115" s="736"/>
      <c r="AE115" s="737" t="s">
        <v>22</v>
      </c>
      <c r="AF115" s="737"/>
      <c r="AG115" s="738" t="s">
        <v>704</v>
      </c>
      <c r="AH115" s="739">
        <v>3</v>
      </c>
      <c r="AI115" s="732"/>
      <c r="AJ115" s="732"/>
      <c r="AK115" s="732"/>
      <c r="AL115" s="732"/>
      <c r="AM115" s="732"/>
      <c r="AN115" s="732"/>
      <c r="AO115" s="732"/>
      <c r="AP115" s="732"/>
      <c r="AQ115" s="732"/>
      <c r="AR115" s="732"/>
      <c r="AS115" s="732"/>
      <c r="AT115" s="732"/>
      <c r="AU115" s="732"/>
      <c r="AV115" s="732"/>
      <c r="AW115" s="732"/>
      <c r="AX115" s="732"/>
      <c r="AY115" s="732"/>
      <c r="AZ115" s="732"/>
      <c r="BA115" s="732"/>
      <c r="BB115" s="732"/>
      <c r="BC115" s="732"/>
      <c r="BD115" s="732"/>
      <c r="BE115" s="732"/>
      <c r="BF115" s="732"/>
      <c r="BG115" s="732"/>
      <c r="BH115" s="732"/>
      <c r="BI115" s="732"/>
      <c r="BJ115" s="732"/>
      <c r="BK115" s="732"/>
      <c r="BL115" s="732"/>
      <c r="BM115" s="732"/>
      <c r="BN115" s="732"/>
      <c r="BO115" s="732"/>
      <c r="BP115" s="732"/>
      <c r="BQ115" s="732"/>
      <c r="BR115" s="732"/>
      <c r="BS115" s="732"/>
      <c r="BT115" s="732"/>
      <c r="BU115" s="732"/>
      <c r="BV115" s="733"/>
      <c r="BW115" s="733"/>
      <c r="BX115" s="733"/>
      <c r="BY115" s="733"/>
      <c r="BZ115" s="733"/>
      <c r="CA115" s="733"/>
      <c r="CB115" s="733"/>
      <c r="CC115" s="733"/>
      <c r="CD115" s="733"/>
      <c r="CE115" s="733"/>
    </row>
    <row s="10365" customFormat="1" customHeight="1" ht="15">
      <c r="A116" s="730"/>
      <c r="B116" s="731"/>
      <c r="C116" s="731"/>
      <c r="D116" s="3219"/>
      <c r="E116" s="3215" t="s">
        <v>649</v>
      </c>
      <c r="F116" s="3216"/>
      <c r="G116" s="3217"/>
      <c r="H116" s="3211" t="str">
        <f>IF(A115="","",INDEX(DIFFERENTIATION_UNMERGE_AREA,MATCH(A115,DIFFERENTIATION_ID_DIFF,0)))</f>
        <v/>
      </c>
      <c r="I116" s="3211"/>
      <c r="J116" s="3211"/>
      <c r="K116" s="3211"/>
      <c r="L116" s="3211"/>
      <c r="M116" s="3211"/>
      <c r="N116" s="3211"/>
      <c r="O116" s="3211"/>
      <c r="P116" s="3211"/>
      <c r="Q116" s="3211"/>
      <c r="R116" s="3211"/>
      <c r="S116" s="826"/>
      <c r="T116" s="823"/>
      <c r="U116" s="732"/>
      <c r="V116" s="732"/>
      <c r="W116" s="733"/>
      <c r="X116" s="733"/>
      <c r="Y116" s="733"/>
      <c r="Z116" s="733"/>
      <c r="AA116" s="734"/>
      <c r="AB116" s="735"/>
      <c r="AC116" s="3214"/>
      <c r="AD116" s="736"/>
      <c r="AE116" s="737"/>
      <c r="AF116" s="737"/>
      <c r="AG116" s="738"/>
      <c r="AH116" s="739"/>
      <c r="AI116" s="732"/>
      <c r="AJ116" s="732"/>
      <c r="AK116" s="732"/>
      <c r="AL116" s="732"/>
      <c r="AM116" s="732"/>
      <c r="AN116" s="732"/>
      <c r="AO116" s="732"/>
      <c r="AP116" s="732"/>
      <c r="AQ116" s="732"/>
      <c r="AR116" s="732"/>
      <c r="AS116" s="732"/>
      <c r="AT116" s="732"/>
      <c r="AU116" s="732"/>
      <c r="AV116" s="732"/>
      <c r="AW116" s="732"/>
      <c r="AX116" s="732"/>
      <c r="AY116" s="732"/>
      <c r="AZ116" s="732"/>
      <c r="BA116" s="732"/>
      <c r="BB116" s="732"/>
      <c r="BC116" s="732"/>
      <c r="BD116" s="732"/>
      <c r="BE116" s="732"/>
      <c r="BF116" s="732"/>
      <c r="BG116" s="732"/>
      <c r="BH116" s="732"/>
      <c r="BI116" s="732"/>
      <c r="BJ116" s="732"/>
      <c r="BK116" s="732"/>
      <c r="BL116" s="732"/>
      <c r="BM116" s="732"/>
      <c r="BN116" s="732"/>
      <c r="BO116" s="732"/>
      <c r="BP116" s="732"/>
      <c r="BQ116" s="732"/>
      <c r="BR116" s="732"/>
      <c r="BS116" s="732"/>
      <c r="BT116" s="732"/>
      <c r="BU116" s="732"/>
      <c r="BV116" s="733"/>
      <c r="BW116" s="733"/>
      <c r="BX116" s="733"/>
      <c r="BY116" s="733"/>
      <c r="BZ116" s="733"/>
      <c r="CA116" s="733"/>
      <c r="CB116" s="733"/>
      <c r="CC116" s="733"/>
      <c r="CD116" s="733"/>
      <c r="CE116" s="733"/>
    </row>
    <row s="10365" customFormat="1" customHeight="1" ht="15">
      <c r="A117" s="730"/>
      <c r="B117" s="731"/>
      <c r="C117" s="731"/>
      <c r="D117" s="3219"/>
      <c r="E117" s="3215" t="s">
        <v>650</v>
      </c>
      <c r="F117" s="3216"/>
      <c r="G117" s="3217"/>
      <c r="H117" s="3211" t="str">
        <f>IF(A115="","",INDEX(DIFFERENTIATION_UNMERGE_SYSTEM,MATCH(A115,DIFFERENTIATION_ID_DIFF,0)))</f>
        <v/>
      </c>
      <c r="I117" s="3211"/>
      <c r="J117" s="3211"/>
      <c r="K117" s="3211"/>
      <c r="L117" s="3211"/>
      <c r="M117" s="3211"/>
      <c r="N117" s="3211"/>
      <c r="O117" s="3211"/>
      <c r="P117" s="3211"/>
      <c r="Q117" s="3211"/>
      <c r="R117" s="3211"/>
      <c r="S117" s="826"/>
      <c r="T117" s="823"/>
      <c r="U117" s="732"/>
      <c r="V117" s="732"/>
      <c r="W117" s="733"/>
      <c r="X117" s="733"/>
      <c r="Y117" s="733"/>
      <c r="Z117" s="733"/>
      <c r="AA117" s="734"/>
      <c r="AB117" s="735"/>
      <c r="AC117" s="3214"/>
      <c r="AD117" s="736"/>
      <c r="AE117" s="737"/>
      <c r="AF117" s="737"/>
      <c r="AG117" s="738"/>
      <c r="AH117" s="739"/>
      <c r="AI117" s="732"/>
      <c r="AJ117" s="732"/>
      <c r="AK117" s="732"/>
      <c r="AL117" s="732"/>
      <c r="AM117" s="732"/>
      <c r="AN117" s="732"/>
      <c r="AO117" s="732"/>
      <c r="AP117" s="732"/>
      <c r="AQ117" s="732"/>
      <c r="AR117" s="732"/>
      <c r="AS117" s="732"/>
      <c r="AT117" s="732"/>
      <c r="AU117" s="732"/>
      <c r="AV117" s="732"/>
      <c r="AW117" s="732"/>
      <c r="AX117" s="732"/>
      <c r="AY117" s="732"/>
      <c r="AZ117" s="732"/>
      <c r="BA117" s="732"/>
      <c r="BB117" s="732"/>
      <c r="BC117" s="732"/>
      <c r="BD117" s="732"/>
      <c r="BE117" s="732"/>
      <c r="BF117" s="732"/>
      <c r="BG117" s="732"/>
      <c r="BH117" s="732"/>
      <c r="BI117" s="732"/>
      <c r="BJ117" s="732"/>
      <c r="BK117" s="732"/>
      <c r="BL117" s="732"/>
      <c r="BM117" s="732"/>
      <c r="BN117" s="732"/>
      <c r="BO117" s="732"/>
      <c r="BP117" s="732"/>
      <c r="BQ117" s="732"/>
      <c r="BR117" s="732"/>
      <c r="BS117" s="732"/>
      <c r="BT117" s="732"/>
      <c r="BU117" s="732"/>
      <c r="BV117" s="733"/>
      <c r="BW117" s="733"/>
      <c r="BX117" s="733"/>
      <c r="BY117" s="733"/>
      <c r="BZ117" s="733"/>
      <c r="CA117" s="733"/>
      <c r="CB117" s="733"/>
      <c r="CC117" s="733"/>
      <c r="CD117" s="733"/>
      <c r="CE117" s="733"/>
    </row>
    <row s="10365" customFormat="1" customHeight="1" ht="24.75">
      <c r="A118" s="1901"/>
      <c r="B118" s="1256"/>
      <c r="C118" s="519"/>
      <c r="D118" s="3219"/>
      <c r="E118" s="3213" t="s">
        <v>705</v>
      </c>
      <c r="F118" s="3213"/>
      <c r="G118" s="3213"/>
      <c r="H118" s="3213"/>
      <c r="I118" s="3213"/>
      <c r="J118" s="3213"/>
      <c r="K118" s="3213"/>
      <c r="L118" s="3213"/>
      <c r="M118" s="3213"/>
      <c r="N118" s="3213"/>
      <c r="O118" s="3213"/>
      <c r="P118" s="3213"/>
      <c r="Q118" s="665">
        <f>SUMIF(T119:T120,"i",Q119:Q120)</f>
        <v>0</v>
      </c>
      <c r="R118" s="1117"/>
      <c r="S118" s="1893" t="s">
        <v>706</v>
      </c>
      <c r="T118" s="824" t="s">
        <v>707</v>
      </c>
      <c r="U118" s="3119">
        <v>1</v>
      </c>
      <c r="V118" s="3119">
        <f>INDEX(B_FHD_FLAG_INDEX_1,1,MATCH(A115,B_FHD_FLAG_DIFFERENTIATION,0))</f>
      </c>
      <c r="W118" s="1256"/>
      <c r="X118" s="1256"/>
      <c r="Y118" s="1256"/>
      <c r="Z118" s="1256"/>
      <c r="AA118" s="1732"/>
      <c r="AB118" s="1256"/>
      <c r="AC118" s="3214"/>
      <c r="AD118" s="736"/>
      <c r="AE118" s="1256"/>
      <c r="AF118" s="1256"/>
      <c r="AG118" s="1732"/>
      <c r="AH118" s="1732"/>
      <c r="AI118" s="1732"/>
      <c r="AJ118" s="1732"/>
      <c r="AK118" s="1732"/>
      <c r="AL118" s="1732"/>
      <c r="AM118" s="1732"/>
      <c r="AN118" s="1732"/>
      <c r="AO118" s="1732"/>
      <c r="AP118" s="1732"/>
      <c r="AQ118" s="1732"/>
      <c r="AR118" s="1732"/>
      <c r="AS118" s="1732"/>
      <c r="AT118" s="1732"/>
      <c r="AU118" s="1732"/>
      <c r="AV118" s="1732"/>
      <c r="AW118" s="1732"/>
      <c r="AX118" s="1732"/>
      <c r="AY118" s="1732"/>
      <c r="AZ118" s="1732"/>
      <c r="BA118" s="1732"/>
      <c r="BB118" s="1732"/>
      <c r="BC118" s="1732"/>
      <c r="BD118" s="1732"/>
      <c r="BE118" s="1732"/>
      <c r="BF118" s="1732"/>
      <c r="BG118" s="1732"/>
      <c r="BH118" s="1732"/>
      <c r="BI118" s="1732"/>
      <c r="BJ118" s="1732"/>
      <c r="BK118" s="1732"/>
      <c r="BL118" s="1732"/>
      <c r="BM118" s="1732"/>
      <c r="BN118" s="1732"/>
      <c r="BO118" s="1732"/>
      <c r="BP118" s="1732"/>
      <c r="BQ118" s="1732"/>
      <c r="BR118" s="1732"/>
      <c r="BS118" s="1732"/>
      <c r="BT118" s="1732"/>
      <c r="BU118" s="1732"/>
      <c r="BV118" s="1256"/>
      <c r="BW118" s="1256"/>
      <c r="BX118" s="1256"/>
      <c r="BY118" s="1256"/>
      <c r="BZ118" s="1256"/>
      <c r="CA118" s="1256"/>
      <c r="CB118" s="1256"/>
      <c r="CC118" s="1256"/>
      <c r="CD118" s="1256"/>
      <c r="CE118" s="1256"/>
    </row>
    <row s="10365" customFormat="1" customHeight="1" ht="11.25" hidden="1">
      <c r="A119" s="1888"/>
      <c r="B119" s="1732"/>
      <c r="C119" s="1732"/>
      <c r="D119" s="3219"/>
      <c r="E119" s="742"/>
      <c r="F119" s="742">
        <v>0</v>
      </c>
      <c r="G119" s="742"/>
      <c r="H119" s="742"/>
      <c r="I119" s="742"/>
      <c r="J119" s="742"/>
      <c r="K119" s="742"/>
      <c r="L119" s="742"/>
      <c r="M119" s="742"/>
      <c r="N119" s="742"/>
      <c r="O119" s="742"/>
      <c r="P119" s="742"/>
      <c r="Q119" s="742"/>
      <c r="R119" s="742"/>
      <c r="S119" s="743"/>
      <c r="T119" s="825"/>
      <c r="U119" s="3119"/>
      <c r="V119" s="3119"/>
      <c r="W119" s="1732"/>
      <c r="X119" s="1732"/>
      <c r="Y119" s="1732"/>
      <c r="Z119" s="1732"/>
      <c r="AA119" s="1732"/>
      <c r="AB119" s="1256"/>
      <c r="AC119" s="3214"/>
      <c r="AD119" s="736"/>
      <c r="AE119" s="1256"/>
      <c r="AF119" s="1256"/>
      <c r="AG119" s="1732"/>
      <c r="AH119" s="1732"/>
      <c r="AI119" s="1732"/>
      <c r="AJ119" s="1732"/>
      <c r="AK119" s="1732"/>
      <c r="AL119" s="1732"/>
      <c r="AM119" s="1732"/>
      <c r="AN119" s="1732"/>
      <c r="AO119" s="1732"/>
      <c r="AP119" s="1732"/>
      <c r="AQ119" s="1732"/>
      <c r="AR119" s="1732"/>
      <c r="AS119" s="1732"/>
      <c r="AT119" s="1732"/>
      <c r="AU119" s="1732"/>
      <c r="AV119" s="1732"/>
      <c r="AW119" s="1732"/>
      <c r="AX119" s="1732"/>
      <c r="AY119" s="1732"/>
      <c r="AZ119" s="1732"/>
      <c r="BA119" s="1732"/>
      <c r="BB119" s="1732"/>
      <c r="BC119" s="1732"/>
      <c r="BD119" s="1732"/>
      <c r="BE119" s="1732"/>
      <c r="BF119" s="1732"/>
      <c r="BG119" s="1732"/>
      <c r="BH119" s="1732"/>
      <c r="BI119" s="1732"/>
      <c r="BJ119" s="1732"/>
      <c r="BK119" s="1732"/>
      <c r="BL119" s="1732"/>
      <c r="BM119" s="1732"/>
      <c r="BN119" s="1732"/>
      <c r="BO119" s="1732"/>
      <c r="BP119" s="1732"/>
      <c r="BQ119" s="1732"/>
      <c r="BR119" s="1732"/>
      <c r="BS119" s="1732"/>
      <c r="BT119" s="1732"/>
      <c r="BU119" s="1732"/>
      <c r="BV119" s="1732"/>
      <c r="BW119" s="1732"/>
      <c r="BX119" s="1732"/>
      <c r="BY119" s="1732"/>
      <c r="BZ119" s="1732"/>
      <c r="CA119" s="1732"/>
      <c r="CB119" s="1732"/>
      <c r="CC119" s="1732"/>
      <c r="CD119" s="1732"/>
      <c r="CE119" s="1732"/>
    </row>
    <row s="10365" customFormat="1" customHeight="1" ht="11.25">
      <c r="A120" s="1901"/>
      <c r="B120" s="1256"/>
      <c r="C120" s="519"/>
      <c r="D120" s="3219"/>
      <c r="E120" s="756" t="s">
        <v>22</v>
      </c>
      <c r="F120" s="1264" t="s">
        <v>22</v>
      </c>
      <c r="G120" s="1264" t="s">
        <v>711</v>
      </c>
      <c r="H120" s="758" t="s">
        <v>22</v>
      </c>
      <c r="I120" s="758"/>
      <c r="J120" s="758"/>
      <c r="K120" s="758"/>
      <c r="L120" s="758"/>
      <c r="M120" s="758"/>
      <c r="N120" s="758"/>
      <c r="O120" s="758"/>
      <c r="P120" s="758"/>
      <c r="Q120" s="758"/>
      <c r="R120" s="759"/>
      <c r="S120" s="760"/>
      <c r="T120" s="825"/>
      <c r="U120" s="3119"/>
      <c r="V120" s="3119"/>
      <c r="W120" s="1256"/>
      <c r="X120" s="1256"/>
      <c r="Y120" s="1256"/>
      <c r="Z120" s="1256"/>
      <c r="AA120" s="1732"/>
      <c r="AB120" s="1256"/>
      <c r="AC120" s="3214"/>
      <c r="AD120" s="736"/>
      <c r="AE120" s="1256"/>
      <c r="AF120" s="1256"/>
      <c r="AG120" s="1732"/>
      <c r="AH120" s="1732"/>
      <c r="AI120" s="1732"/>
      <c r="AJ120" s="1732"/>
      <c r="AK120" s="1732"/>
      <c r="AL120" s="1732"/>
      <c r="AM120" s="1732"/>
      <c r="AN120" s="1732"/>
      <c r="AO120" s="1732"/>
      <c r="AP120" s="1732"/>
      <c r="AQ120" s="1732"/>
      <c r="AR120" s="1732"/>
      <c r="AS120" s="1732"/>
      <c r="AT120" s="1732"/>
      <c r="AU120" s="1732"/>
      <c r="AV120" s="1732"/>
      <c r="AW120" s="1732"/>
      <c r="AX120" s="1732"/>
      <c r="AY120" s="1732"/>
      <c r="AZ120" s="1732"/>
      <c r="BA120" s="1732"/>
      <c r="BB120" s="1732"/>
      <c r="BC120" s="1732"/>
      <c r="BD120" s="1732"/>
      <c r="BE120" s="1732"/>
      <c r="BF120" s="1732"/>
      <c r="BG120" s="1732"/>
      <c r="BH120" s="1732"/>
      <c r="BI120" s="1732"/>
      <c r="BJ120" s="1732"/>
      <c r="BK120" s="1732"/>
      <c r="BL120" s="1732"/>
      <c r="BM120" s="1732"/>
      <c r="BN120" s="1732"/>
      <c r="BO120" s="1732"/>
      <c r="BP120" s="1732"/>
      <c r="BQ120" s="1732"/>
      <c r="BR120" s="1732"/>
      <c r="BS120" s="1732"/>
      <c r="BT120" s="1732"/>
      <c r="BU120" s="1732"/>
      <c r="BV120" s="1256"/>
      <c r="BW120" s="1256"/>
      <c r="BX120" s="1256"/>
      <c r="BY120" s="1256"/>
      <c r="BZ120" s="1256"/>
      <c r="CA120" s="1256"/>
      <c r="CB120" s="1256"/>
      <c r="CC120" s="1256"/>
      <c r="CD120" s="1256"/>
      <c r="CE120" s="1256"/>
    </row>
    <row s="10365" customFormat="1" customHeight="1" ht="24.75">
      <c r="A121" s="1901"/>
      <c r="B121" s="1256"/>
      <c r="C121" s="519"/>
      <c r="D121" s="3219"/>
      <c r="E121" s="3213" t="s">
        <v>708</v>
      </c>
      <c r="F121" s="3213"/>
      <c r="G121" s="3213"/>
      <c r="H121" s="3213"/>
      <c r="I121" s="3213"/>
      <c r="J121" s="3213"/>
      <c r="K121" s="3213"/>
      <c r="L121" s="3213"/>
      <c r="M121" s="3213"/>
      <c r="N121" s="3213"/>
      <c r="O121" s="3213"/>
      <c r="P121" s="3213"/>
      <c r="Q121" s="665">
        <f>SUMIF(T122:T123,"i",Q122:Q123)</f>
        <v>0</v>
      </c>
      <c r="R121" s="1117"/>
      <c r="S121" s="1893" t="s">
        <v>709</v>
      </c>
      <c r="T121" s="824" t="s">
        <v>707</v>
      </c>
      <c r="U121" s="3119">
        <v>1</v>
      </c>
      <c r="V121" s="3119">
        <f>INDEX(B_FHD_FLAG_INDEX_2,1,MATCH(A115,B_FHD_FLAG_DIFFERENTIATION,0))</f>
      </c>
      <c r="W121" s="1256"/>
      <c r="X121" s="1256"/>
      <c r="Y121" s="1256"/>
      <c r="Z121" s="1256"/>
      <c r="AA121" s="1732"/>
      <c r="AB121" s="1256"/>
      <c r="AC121" s="1891"/>
      <c r="AD121" s="736"/>
      <c r="AE121" s="1256"/>
      <c r="AF121" s="1256"/>
      <c r="AG121" s="1732"/>
      <c r="AH121" s="1732"/>
      <c r="AI121" s="1732"/>
      <c r="AJ121" s="1732"/>
      <c r="AK121" s="1732"/>
      <c r="AL121" s="1732"/>
      <c r="AM121" s="1732"/>
      <c r="AN121" s="1732"/>
      <c r="AO121" s="1732"/>
      <c r="AP121" s="1732"/>
      <c r="AQ121" s="1732"/>
      <c r="AR121" s="1732"/>
      <c r="AS121" s="1732"/>
      <c r="AT121" s="1732"/>
      <c r="AU121" s="1732"/>
      <c r="AV121" s="1732"/>
      <c r="AW121" s="1732"/>
      <c r="AX121" s="1732"/>
      <c r="AY121" s="1732"/>
      <c r="AZ121" s="1732"/>
      <c r="BA121" s="1732"/>
      <c r="BB121" s="1732"/>
      <c r="BC121" s="1732"/>
      <c r="BD121" s="1732"/>
      <c r="BE121" s="1732"/>
      <c r="BF121" s="1732"/>
      <c r="BG121" s="1732"/>
      <c r="BH121" s="1732"/>
      <c r="BI121" s="1732"/>
      <c r="BJ121" s="1732"/>
      <c r="BK121" s="1732"/>
      <c r="BL121" s="1732"/>
      <c r="BM121" s="1732"/>
      <c r="BN121" s="1732"/>
      <c r="BO121" s="1732"/>
      <c r="BP121" s="1732"/>
      <c r="BQ121" s="1732"/>
      <c r="BR121" s="1732"/>
      <c r="BS121" s="1732"/>
      <c r="BT121" s="1732"/>
      <c r="BU121" s="1732"/>
      <c r="BV121" s="1256"/>
      <c r="BW121" s="1256"/>
      <c r="BX121" s="1256"/>
      <c r="BY121" s="1256"/>
      <c r="BZ121" s="1256"/>
      <c r="CA121" s="1256"/>
      <c r="CB121" s="1256"/>
      <c r="CC121" s="1256"/>
      <c r="CD121" s="1256"/>
      <c r="CE121" s="1256"/>
    </row>
    <row s="10365" customFormat="1" customHeight="1" ht="11.25" hidden="1">
      <c r="A122" s="1888"/>
      <c r="B122" s="1732"/>
      <c r="C122" s="1732"/>
      <c r="D122" s="3219"/>
      <c r="E122" s="742"/>
      <c r="F122" s="742">
        <v>0</v>
      </c>
      <c r="G122" s="742"/>
      <c r="H122" s="742"/>
      <c r="I122" s="742"/>
      <c r="J122" s="742"/>
      <c r="K122" s="742"/>
      <c r="L122" s="742"/>
      <c r="M122" s="742"/>
      <c r="N122" s="742"/>
      <c r="O122" s="742"/>
      <c r="P122" s="742"/>
      <c r="Q122" s="742"/>
      <c r="R122" s="742"/>
      <c r="S122" s="743"/>
      <c r="T122" s="825"/>
      <c r="U122" s="3119"/>
      <c r="V122" s="3119"/>
      <c r="W122" s="1732"/>
      <c r="X122" s="1732"/>
      <c r="Y122" s="1732"/>
      <c r="Z122" s="1732"/>
      <c r="AA122" s="1732"/>
      <c r="AB122" s="1256"/>
      <c r="AC122" s="1891"/>
      <c r="AD122" s="736"/>
      <c r="AE122" s="1256"/>
      <c r="AF122" s="1256"/>
      <c r="AG122" s="1732"/>
      <c r="AH122" s="1732"/>
      <c r="AI122" s="1732"/>
      <c r="AJ122" s="1732"/>
      <c r="AK122" s="1732"/>
      <c r="AL122" s="1732"/>
      <c r="AM122" s="1732"/>
      <c r="AN122" s="1732"/>
      <c r="AO122" s="1732"/>
      <c r="AP122" s="1732"/>
      <c r="AQ122" s="1732"/>
      <c r="AR122" s="1732"/>
      <c r="AS122" s="1732"/>
      <c r="AT122" s="1732"/>
      <c r="AU122" s="1732"/>
      <c r="AV122" s="1732"/>
      <c r="AW122" s="1732"/>
      <c r="AX122" s="1732"/>
      <c r="AY122" s="1732"/>
      <c r="AZ122" s="1732"/>
      <c r="BA122" s="1732"/>
      <c r="BB122" s="1732"/>
      <c r="BC122" s="1732"/>
      <c r="BD122" s="1732"/>
      <c r="BE122" s="1732"/>
      <c r="BF122" s="1732"/>
      <c r="BG122" s="1732"/>
      <c r="BH122" s="1732"/>
      <c r="BI122" s="1732"/>
      <c r="BJ122" s="1732"/>
      <c r="BK122" s="1732"/>
      <c r="BL122" s="1732"/>
      <c r="BM122" s="1732"/>
      <c r="BN122" s="1732"/>
      <c r="BO122" s="1732"/>
      <c r="BP122" s="1732"/>
      <c r="BQ122" s="1732"/>
      <c r="BR122" s="1732"/>
      <c r="BS122" s="1732"/>
      <c r="BT122" s="1732"/>
      <c r="BU122" s="1732"/>
      <c r="BV122" s="1732"/>
      <c r="BW122" s="1732"/>
      <c r="BX122" s="1732"/>
      <c r="BY122" s="1732"/>
      <c r="BZ122" s="1732"/>
      <c r="CA122" s="1732"/>
      <c r="CB122" s="1732"/>
      <c r="CC122" s="1732"/>
      <c r="CD122" s="1732"/>
      <c r="CE122" s="1732"/>
    </row>
    <row s="10365" customFormat="1" customHeight="1" ht="11.25">
      <c r="A123" s="1901"/>
      <c r="B123" s="1256"/>
      <c r="C123" s="519"/>
      <c r="D123" s="3220"/>
      <c r="E123" s="756" t="s">
        <v>22</v>
      </c>
      <c r="F123" s="1264" t="s">
        <v>22</v>
      </c>
      <c r="G123" s="1264" t="s">
        <v>711</v>
      </c>
      <c r="H123" s="758" t="s">
        <v>22</v>
      </c>
      <c r="I123" s="758"/>
      <c r="J123" s="758"/>
      <c r="K123" s="758"/>
      <c r="L123" s="758"/>
      <c r="M123" s="758"/>
      <c r="N123" s="758"/>
      <c r="O123" s="758"/>
      <c r="P123" s="758"/>
      <c r="Q123" s="758"/>
      <c r="R123" s="759"/>
      <c r="S123" s="760"/>
      <c r="T123" s="825"/>
      <c r="U123" s="3119"/>
      <c r="V123" s="3119"/>
      <c r="W123" s="1256"/>
      <c r="X123" s="1256"/>
      <c r="Y123" s="1256"/>
      <c r="Z123" s="1256"/>
      <c r="AA123" s="1732"/>
      <c r="AB123" s="1256"/>
      <c r="AC123" s="1891"/>
      <c r="AD123" s="736"/>
      <c r="AE123" s="1256"/>
      <c r="AF123" s="1256"/>
      <c r="AG123" s="1732"/>
      <c r="AH123" s="1732"/>
      <c r="AI123" s="1732"/>
      <c r="AJ123" s="1732"/>
      <c r="AK123" s="1732"/>
      <c r="AL123" s="1732"/>
      <c r="AM123" s="1732"/>
      <c r="AN123" s="1732"/>
      <c r="AO123" s="1732"/>
      <c r="AP123" s="1732"/>
      <c r="AQ123" s="1732"/>
      <c r="AR123" s="1732"/>
      <c r="AS123" s="1732"/>
      <c r="AT123" s="1732"/>
      <c r="AU123" s="1732"/>
      <c r="AV123" s="1732"/>
      <c r="AW123" s="1732"/>
      <c r="AX123" s="1732"/>
      <c r="AY123" s="1732"/>
      <c r="AZ123" s="1732"/>
      <c r="BA123" s="1732"/>
      <c r="BB123" s="1732"/>
      <c r="BC123" s="1732"/>
      <c r="BD123" s="1732"/>
      <c r="BE123" s="1732"/>
      <c r="BF123" s="1732"/>
      <c r="BG123" s="1732"/>
      <c r="BH123" s="1732"/>
      <c r="BI123" s="1732"/>
      <c r="BJ123" s="1732"/>
      <c r="BK123" s="1732"/>
      <c r="BL123" s="1732"/>
      <c r="BM123" s="1732"/>
      <c r="BN123" s="1732"/>
      <c r="BO123" s="1732"/>
      <c r="BP123" s="1732"/>
      <c r="BQ123" s="1732"/>
      <c r="BR123" s="1732"/>
      <c r="BS123" s="1732"/>
      <c r="BT123" s="1732"/>
      <c r="BU123" s="1732"/>
      <c r="BV123" s="1256"/>
      <c r="BW123" s="1256"/>
      <c r="BX123" s="1256"/>
      <c r="BY123" s="1256"/>
      <c r="BZ123" s="1256"/>
      <c r="CA123" s="1256"/>
      <c r="CB123" s="1256"/>
      <c r="CC123" s="1256"/>
      <c r="CD123" s="1256"/>
      <c r="CE123" s="1256"/>
    </row>
    <row r="125" s="13276" customFormat="1" customHeight="1" ht="11.25">
      <c r="A125" s="1910" t="s">
        <v>2169</v>
      </c>
    </row>
    <row r="127" s="10365" customFormat="1" customHeight="1" ht="15" hidden="1">
      <c r="A127" s="730"/>
      <c r="B127" s="731"/>
      <c r="C127" s="731"/>
      <c r="D127" s="3218" t="s">
        <v>144</v>
      </c>
      <c r="E127" s="3215" t="s">
        <v>140</v>
      </c>
      <c r="F127" s="3216"/>
      <c r="G127" s="3217"/>
      <c r="H127" s="3211" t="str">
        <f>IF(A127="","",INDEX(DIFFERENTIATION_UNMERGE_VD,MATCH(A127,DIFFERENTIATION_ID_DIFF,0)))</f>
        <v/>
      </c>
      <c r="I127" s="3211"/>
      <c r="J127" s="3211"/>
      <c r="K127" s="3211"/>
      <c r="L127" s="3211"/>
      <c r="M127" s="3211"/>
      <c r="N127" s="3211"/>
      <c r="O127" s="3211"/>
      <c r="P127" s="3211"/>
      <c r="Q127" s="3211"/>
      <c r="R127" s="3211"/>
      <c r="S127" s="826"/>
      <c r="T127" s="823"/>
      <c r="U127" s="732"/>
      <c r="V127" s="732"/>
      <c r="W127" s="733"/>
      <c r="X127" s="733"/>
      <c r="Y127" s="733"/>
      <c r="Z127" s="733"/>
      <c r="AA127" s="734"/>
      <c r="AB127" s="735"/>
      <c r="AC127" s="3214"/>
      <c r="AD127" s="736"/>
      <c r="AE127" s="737" t="s">
        <v>22</v>
      </c>
      <c r="AF127" s="737"/>
      <c r="AG127" s="738" t="s">
        <v>704</v>
      </c>
      <c r="AH127" s="739">
        <v>3</v>
      </c>
      <c r="AI127" s="732"/>
      <c r="AJ127" s="732"/>
      <c r="AK127" s="732"/>
      <c r="AL127" s="732"/>
      <c r="AM127" s="732"/>
      <c r="AN127" s="732"/>
      <c r="AO127" s="732"/>
      <c r="AP127" s="732"/>
      <c r="AQ127" s="732"/>
      <c r="AR127" s="732"/>
      <c r="AS127" s="732"/>
      <c r="AT127" s="732"/>
      <c r="AU127" s="732"/>
      <c r="AV127" s="732"/>
      <c r="AW127" s="732"/>
      <c r="AX127" s="732"/>
      <c r="AY127" s="732"/>
      <c r="AZ127" s="732"/>
      <c r="BA127" s="732"/>
      <c r="BB127" s="732"/>
      <c r="BC127" s="732"/>
      <c r="BD127" s="732"/>
      <c r="BE127" s="732"/>
      <c r="BF127" s="732"/>
      <c r="BG127" s="732"/>
      <c r="BH127" s="732"/>
      <c r="BI127" s="732"/>
      <c r="BJ127" s="732"/>
      <c r="BK127" s="732"/>
      <c r="BL127" s="732"/>
      <c r="BM127" s="732"/>
      <c r="BN127" s="732"/>
      <c r="BO127" s="732"/>
      <c r="BP127" s="732"/>
      <c r="BQ127" s="732"/>
      <c r="BR127" s="732"/>
      <c r="BS127" s="732"/>
      <c r="BT127" s="732"/>
      <c r="BU127" s="732"/>
      <c r="BV127" s="733"/>
      <c r="BW127" s="733"/>
      <c r="BX127" s="733"/>
      <c r="BY127" s="733"/>
      <c r="BZ127" s="733"/>
      <c r="CA127" s="733"/>
      <c r="CB127" s="733"/>
      <c r="CC127" s="733"/>
      <c r="CD127" s="733"/>
      <c r="CE127" s="733"/>
    </row>
    <row s="10365" customFormat="1" customHeight="1" ht="15" hidden="1">
      <c r="A128" s="730"/>
      <c r="B128" s="731"/>
      <c r="C128" s="731"/>
      <c r="D128" s="3219"/>
      <c r="E128" s="3215" t="s">
        <v>649</v>
      </c>
      <c r="F128" s="3216"/>
      <c r="G128" s="3217"/>
      <c r="H128" s="3211" t="str">
        <f>IF(A127="","",INDEX(DIFFERENTIATION_UNMERGE_AREA,MATCH(A127,DIFFERENTIATION_ID_DIFF,0)))</f>
        <v/>
      </c>
      <c r="I128" s="3211"/>
      <c r="J128" s="3211"/>
      <c r="K128" s="3211"/>
      <c r="L128" s="3211"/>
      <c r="M128" s="3211"/>
      <c r="N128" s="3211"/>
      <c r="O128" s="3211"/>
      <c r="P128" s="3211"/>
      <c r="Q128" s="3211"/>
      <c r="R128" s="3211"/>
      <c r="S128" s="826"/>
      <c r="T128" s="823"/>
      <c r="U128" s="732"/>
      <c r="V128" s="732"/>
      <c r="W128" s="733"/>
      <c r="X128" s="733"/>
      <c r="Y128" s="733"/>
      <c r="Z128" s="733"/>
      <c r="AA128" s="734"/>
      <c r="AB128" s="735"/>
      <c r="AC128" s="3214"/>
      <c r="AD128" s="736"/>
      <c r="AE128" s="737"/>
      <c r="AF128" s="737"/>
      <c r="AG128" s="738"/>
      <c r="AH128" s="739"/>
      <c r="AI128" s="732"/>
      <c r="AJ128" s="732"/>
      <c r="AK128" s="732"/>
      <c r="AL128" s="732"/>
      <c r="AM128" s="732"/>
      <c r="AN128" s="732"/>
      <c r="AO128" s="732"/>
      <c r="AP128" s="732"/>
      <c r="AQ128" s="732"/>
      <c r="AR128" s="732"/>
      <c r="AS128" s="732"/>
      <c r="AT128" s="732"/>
      <c r="AU128" s="732"/>
      <c r="AV128" s="732"/>
      <c r="AW128" s="732"/>
      <c r="AX128" s="732"/>
      <c r="AY128" s="732"/>
      <c r="AZ128" s="732"/>
      <c r="BA128" s="732"/>
      <c r="BB128" s="732"/>
      <c r="BC128" s="732"/>
      <c r="BD128" s="732"/>
      <c r="BE128" s="732"/>
      <c r="BF128" s="732"/>
      <c r="BG128" s="732"/>
      <c r="BH128" s="732"/>
      <c r="BI128" s="732"/>
      <c r="BJ128" s="732"/>
      <c r="BK128" s="732"/>
      <c r="BL128" s="732"/>
      <c r="BM128" s="732"/>
      <c r="BN128" s="732"/>
      <c r="BO128" s="732"/>
      <c r="BP128" s="732"/>
      <c r="BQ128" s="732"/>
      <c r="BR128" s="732"/>
      <c r="BS128" s="732"/>
      <c r="BT128" s="732"/>
      <c r="BU128" s="732"/>
      <c r="BV128" s="733"/>
      <c r="BW128" s="733"/>
      <c r="BX128" s="733"/>
      <c r="BY128" s="733"/>
      <c r="BZ128" s="733"/>
      <c r="CA128" s="733"/>
      <c r="CB128" s="733"/>
      <c r="CC128" s="733"/>
      <c r="CD128" s="733"/>
      <c r="CE128" s="733"/>
    </row>
    <row s="10365" customFormat="1" customHeight="1" ht="15" hidden="1">
      <c r="A129" s="730"/>
      <c r="B129" s="731"/>
      <c r="C129" s="731"/>
      <c r="D129" s="3219"/>
      <c r="E129" s="3215" t="s">
        <v>650</v>
      </c>
      <c r="F129" s="3216"/>
      <c r="G129" s="3217"/>
      <c r="H129" s="3211" t="str">
        <f>IF(A127="","",INDEX(DIFFERENTIATION_UNMERGE_SYSTEM,MATCH(A127,DIFFERENTIATION_ID_DIFF,0)))</f>
        <v/>
      </c>
      <c r="I129" s="3211"/>
      <c r="J129" s="3211"/>
      <c r="K129" s="3211"/>
      <c r="L129" s="3211"/>
      <c r="M129" s="3211"/>
      <c r="N129" s="3211"/>
      <c r="O129" s="3211"/>
      <c r="P129" s="3211"/>
      <c r="Q129" s="3211"/>
      <c r="R129" s="3211"/>
      <c r="S129" s="826"/>
      <c r="T129" s="823"/>
      <c r="U129" s="732"/>
      <c r="V129" s="732"/>
      <c r="W129" s="733"/>
      <c r="X129" s="733"/>
      <c r="Y129" s="733"/>
      <c r="Z129" s="733"/>
      <c r="AA129" s="734"/>
      <c r="AB129" s="735"/>
      <c r="AC129" s="3214"/>
      <c r="AD129" s="736"/>
      <c r="AE129" s="737"/>
      <c r="AF129" s="737"/>
      <c r="AG129" s="738"/>
      <c r="AH129" s="739"/>
      <c r="AI129" s="732"/>
      <c r="AJ129" s="732"/>
      <c r="AK129" s="732"/>
      <c r="AL129" s="732"/>
      <c r="AM129" s="732"/>
      <c r="AN129" s="732"/>
      <c r="AO129" s="732"/>
      <c r="AP129" s="732"/>
      <c r="AQ129" s="732"/>
      <c r="AR129" s="732"/>
      <c r="AS129" s="732"/>
      <c r="AT129" s="732"/>
      <c r="AU129" s="732"/>
      <c r="AV129" s="732"/>
      <c r="AW129" s="732"/>
      <c r="AX129" s="732"/>
      <c r="AY129" s="732"/>
      <c r="AZ129" s="732"/>
      <c r="BA129" s="732"/>
      <c r="BB129" s="732"/>
      <c r="BC129" s="732"/>
      <c r="BD129" s="732"/>
      <c r="BE129" s="732"/>
      <c r="BF129" s="732"/>
      <c r="BG129" s="732"/>
      <c r="BH129" s="732"/>
      <c r="BI129" s="732"/>
      <c r="BJ129" s="732"/>
      <c r="BK129" s="732"/>
      <c r="BL129" s="732"/>
      <c r="BM129" s="732"/>
      <c r="BN129" s="732"/>
      <c r="BO129" s="732"/>
      <c r="BP129" s="732"/>
      <c r="BQ129" s="732"/>
      <c r="BR129" s="732"/>
      <c r="BS129" s="732"/>
      <c r="BT129" s="732"/>
      <c r="BU129" s="732"/>
      <c r="BV129" s="733"/>
      <c r="BW129" s="733"/>
      <c r="BX129" s="733"/>
      <c r="BY129" s="733"/>
      <c r="BZ129" s="733"/>
      <c r="CA129" s="733"/>
      <c r="CB129" s="733"/>
      <c r="CC129" s="733"/>
      <c r="CD129" s="733"/>
      <c r="CE129" s="733"/>
    </row>
    <row s="10365" customFormat="1" customHeight="1" ht="24.75" hidden="1">
      <c r="A130" s="1901"/>
      <c r="B130" s="1256"/>
      <c r="C130" s="519"/>
      <c r="D130" s="3219"/>
      <c r="E130" s="3213" t="s">
        <v>705</v>
      </c>
      <c r="F130" s="3213"/>
      <c r="G130" s="3213"/>
      <c r="H130" s="3213"/>
      <c r="I130" s="3213"/>
      <c r="J130" s="3213"/>
      <c r="K130" s="3213"/>
      <c r="L130" s="3213"/>
      <c r="M130" s="3213"/>
      <c r="N130" s="3213"/>
      <c r="O130" s="3213"/>
      <c r="P130" s="3213"/>
      <c r="Q130" s="665">
        <f>SUMIF(T131:T132,"i",Q131:Q132)</f>
        <v>0</v>
      </c>
      <c r="R130" s="1117"/>
      <c r="S130" s="1893" t="s">
        <v>706</v>
      </c>
      <c r="T130" s="824" t="s">
        <v>707</v>
      </c>
      <c r="U130" s="3119">
        <v>1</v>
      </c>
      <c r="V130" s="3119">
        <f>INDEX(B_FHD_FLAG_INDEX_1,1,MATCH(A127,B_FHD_FLAG_DIFFERENTIATION,0))</f>
      </c>
      <c r="W130" s="1256"/>
      <c r="X130" s="1256"/>
      <c r="Y130" s="1256"/>
      <c r="Z130" s="1256"/>
      <c r="AA130" s="1732"/>
      <c r="AB130" s="1256"/>
      <c r="AC130" s="3214"/>
      <c r="AD130" s="736"/>
      <c r="AE130" s="1256"/>
      <c r="AF130" s="1256"/>
      <c r="AG130" s="1732"/>
      <c r="AH130" s="1732"/>
      <c r="AI130" s="1732"/>
      <c r="AJ130" s="1732"/>
      <c r="AK130" s="1732"/>
      <c r="AL130" s="1732"/>
      <c r="AM130" s="1732"/>
      <c r="AN130" s="1732"/>
      <c r="AO130" s="1732"/>
      <c r="AP130" s="1732"/>
      <c r="AQ130" s="1732"/>
      <c r="AR130" s="1732"/>
      <c r="AS130" s="1732"/>
      <c r="AT130" s="1732"/>
      <c r="AU130" s="1732"/>
      <c r="AV130" s="1732"/>
      <c r="AW130" s="1732"/>
      <c r="AX130" s="1732"/>
      <c r="AY130" s="1732"/>
      <c r="AZ130" s="1732"/>
      <c r="BA130" s="1732"/>
      <c r="BB130" s="1732"/>
      <c r="BC130" s="1732"/>
      <c r="BD130" s="1732"/>
      <c r="BE130" s="1732"/>
      <c r="BF130" s="1732"/>
      <c r="BG130" s="1732"/>
      <c r="BH130" s="1732"/>
      <c r="BI130" s="1732"/>
      <c r="BJ130" s="1732"/>
      <c r="BK130" s="1732"/>
      <c r="BL130" s="1732"/>
      <c r="BM130" s="1732"/>
      <c r="BN130" s="1732"/>
      <c r="BO130" s="1732"/>
      <c r="BP130" s="1732"/>
      <c r="BQ130" s="1732"/>
      <c r="BR130" s="1732"/>
      <c r="BS130" s="1732"/>
      <c r="BT130" s="1732"/>
      <c r="BU130" s="1732"/>
      <c r="BV130" s="1256"/>
      <c r="BW130" s="1256"/>
      <c r="BX130" s="1256"/>
      <c r="BY130" s="1256"/>
      <c r="BZ130" s="1256"/>
      <c r="CA130" s="1256"/>
      <c r="CB130" s="1256"/>
      <c r="CC130" s="1256"/>
      <c r="CD130" s="1256"/>
      <c r="CE130" s="1256"/>
    </row>
    <row s="10365" customFormat="1" customHeight="1" ht="11.25" hidden="1">
      <c r="A131" s="1888"/>
      <c r="B131" s="1732"/>
      <c r="C131" s="1732"/>
      <c r="D131" s="3219"/>
      <c r="E131" s="742"/>
      <c r="F131" s="742">
        <v>0</v>
      </c>
      <c r="G131" s="742"/>
      <c r="H131" s="742"/>
      <c r="I131" s="742"/>
      <c r="J131" s="742"/>
      <c r="K131" s="742"/>
      <c r="L131" s="742"/>
      <c r="M131" s="742"/>
      <c r="N131" s="742"/>
      <c r="O131" s="742"/>
      <c r="P131" s="742"/>
      <c r="Q131" s="742"/>
      <c r="R131" s="742"/>
      <c r="S131" s="743"/>
      <c r="T131" s="825"/>
      <c r="U131" s="3119"/>
      <c r="V131" s="3119"/>
      <c r="W131" s="1732"/>
      <c r="X131" s="1732"/>
      <c r="Y131" s="1732"/>
      <c r="Z131" s="1732"/>
      <c r="AA131" s="1732"/>
      <c r="AB131" s="1256"/>
      <c r="AC131" s="3214"/>
      <c r="AD131" s="736"/>
      <c r="AE131" s="1256"/>
      <c r="AF131" s="1256"/>
      <c r="AG131" s="1732"/>
      <c r="AH131" s="1732"/>
      <c r="AI131" s="1732"/>
      <c r="AJ131" s="1732"/>
      <c r="AK131" s="1732"/>
      <c r="AL131" s="1732"/>
      <c r="AM131" s="1732"/>
      <c r="AN131" s="1732"/>
      <c r="AO131" s="1732"/>
      <c r="AP131" s="1732"/>
      <c r="AQ131" s="1732"/>
      <c r="AR131" s="1732"/>
      <c r="AS131" s="1732"/>
      <c r="AT131" s="1732"/>
      <c r="AU131" s="1732"/>
      <c r="AV131" s="1732"/>
      <c r="AW131" s="1732"/>
      <c r="AX131" s="1732"/>
      <c r="AY131" s="1732"/>
      <c r="AZ131" s="1732"/>
      <c r="BA131" s="1732"/>
      <c r="BB131" s="1732"/>
      <c r="BC131" s="1732"/>
      <c r="BD131" s="1732"/>
      <c r="BE131" s="1732"/>
      <c r="BF131" s="1732"/>
      <c r="BG131" s="1732"/>
      <c r="BH131" s="1732"/>
      <c r="BI131" s="1732"/>
      <c r="BJ131" s="1732"/>
      <c r="BK131" s="1732"/>
      <c r="BL131" s="1732"/>
      <c r="BM131" s="1732"/>
      <c r="BN131" s="1732"/>
      <c r="BO131" s="1732"/>
      <c r="BP131" s="1732"/>
      <c r="BQ131" s="1732"/>
      <c r="BR131" s="1732"/>
      <c r="BS131" s="1732"/>
      <c r="BT131" s="1732"/>
      <c r="BU131" s="1732"/>
      <c r="BV131" s="1732"/>
      <c r="BW131" s="1732"/>
      <c r="BX131" s="1732"/>
      <c r="BY131" s="1732"/>
      <c r="BZ131" s="1732"/>
      <c r="CA131" s="1732"/>
      <c r="CB131" s="1732"/>
      <c r="CC131" s="1732"/>
      <c r="CD131" s="1732"/>
      <c r="CE131" s="1732"/>
    </row>
    <row s="10365" customFormat="1" customHeight="1" ht="11.25" hidden="1">
      <c r="A132" s="1901"/>
      <c r="B132" s="1256"/>
      <c r="C132" s="519"/>
      <c r="D132" s="3219"/>
      <c r="E132" s="756" t="s">
        <v>22</v>
      </c>
      <c r="F132" s="1264" t="s">
        <v>22</v>
      </c>
      <c r="G132" s="1264" t="s">
        <v>711</v>
      </c>
      <c r="H132" s="758" t="s">
        <v>22</v>
      </c>
      <c r="I132" s="758"/>
      <c r="J132" s="758"/>
      <c r="K132" s="758"/>
      <c r="L132" s="758"/>
      <c r="M132" s="758"/>
      <c r="N132" s="758"/>
      <c r="O132" s="758"/>
      <c r="P132" s="758"/>
      <c r="Q132" s="758"/>
      <c r="R132" s="759"/>
      <c r="S132" s="760"/>
      <c r="T132" s="825"/>
      <c r="U132" s="3119"/>
      <c r="V132" s="3119"/>
      <c r="W132" s="1256"/>
      <c r="X132" s="1256"/>
      <c r="Y132" s="1256"/>
      <c r="Z132" s="1256"/>
      <c r="AA132" s="1732"/>
      <c r="AB132" s="1256"/>
      <c r="AC132" s="3214"/>
      <c r="AD132" s="736"/>
      <c r="AE132" s="1256"/>
      <c r="AF132" s="1256"/>
      <c r="AG132" s="1732"/>
      <c r="AH132" s="1732"/>
      <c r="AI132" s="1732"/>
      <c r="AJ132" s="1732"/>
      <c r="AK132" s="1732"/>
      <c r="AL132" s="1732"/>
      <c r="AM132" s="1732"/>
      <c r="AN132" s="1732"/>
      <c r="AO132" s="1732"/>
      <c r="AP132" s="1732"/>
      <c r="AQ132" s="1732"/>
      <c r="AR132" s="1732"/>
      <c r="AS132" s="1732"/>
      <c r="AT132" s="1732"/>
      <c r="AU132" s="1732"/>
      <c r="AV132" s="1732"/>
      <c r="AW132" s="1732"/>
      <c r="AX132" s="1732"/>
      <c r="AY132" s="1732"/>
      <c r="AZ132" s="1732"/>
      <c r="BA132" s="1732"/>
      <c r="BB132" s="1732"/>
      <c r="BC132" s="1732"/>
      <c r="BD132" s="1732"/>
      <c r="BE132" s="1732"/>
      <c r="BF132" s="1732"/>
      <c r="BG132" s="1732"/>
      <c r="BH132" s="1732"/>
      <c r="BI132" s="1732"/>
      <c r="BJ132" s="1732"/>
      <c r="BK132" s="1732"/>
      <c r="BL132" s="1732"/>
      <c r="BM132" s="1732"/>
      <c r="BN132" s="1732"/>
      <c r="BO132" s="1732"/>
      <c r="BP132" s="1732"/>
      <c r="BQ132" s="1732"/>
      <c r="BR132" s="1732"/>
      <c r="BS132" s="1732"/>
      <c r="BT132" s="1732"/>
      <c r="BU132" s="1732"/>
      <c r="BV132" s="1256"/>
      <c r="BW132" s="1256"/>
      <c r="BX132" s="1256"/>
      <c r="BY132" s="1256"/>
      <c r="BZ132" s="1256"/>
      <c r="CA132" s="1256"/>
      <c r="CB132" s="1256"/>
      <c r="CC132" s="1256"/>
      <c r="CD132" s="1256"/>
      <c r="CE132" s="1256"/>
    </row>
    <row s="10649" customFormat="1" customHeight="1" ht="5.25" hidden="1">
      <c r="A133" s="1888"/>
      <c r="B133" s="1732"/>
      <c r="C133" s="1732"/>
      <c r="D133" s="3219"/>
      <c r="E133" s="1139"/>
      <c r="F133" s="1139"/>
      <c r="G133" s="1139"/>
      <c r="H133" s="1139"/>
      <c r="I133" s="1139"/>
      <c r="J133" s="1139"/>
      <c r="K133" s="1139"/>
      <c r="L133" s="1139"/>
      <c r="M133" s="1139"/>
      <c r="N133" s="1139"/>
      <c r="O133" s="1139"/>
      <c r="P133" s="1139"/>
      <c r="Q133" s="1140"/>
      <c r="R133" s="1141"/>
      <c r="S133" s="1142"/>
      <c r="T133" s="824" t="s">
        <v>707</v>
      </c>
      <c r="U133" s="3119">
        <v>1</v>
      </c>
      <c r="V133" s="3119" t="s">
        <v>669</v>
      </c>
      <c r="W133" s="1732"/>
      <c r="X133" s="1732"/>
      <c r="Y133" s="1732"/>
      <c r="Z133" s="1732"/>
      <c r="AA133" s="1732"/>
      <c r="AB133" s="1732"/>
      <c r="AC133" s="1137"/>
      <c r="AD133" s="1138"/>
      <c r="AE133" s="1732"/>
      <c r="AF133" s="1732"/>
      <c r="AG133" s="1732"/>
      <c r="AH133" s="1732"/>
      <c r="AI133" s="1732"/>
      <c r="AJ133" s="1732"/>
      <c r="AK133" s="1732"/>
      <c r="AL133" s="1732"/>
      <c r="AM133" s="1732"/>
      <c r="AN133" s="1732"/>
      <c r="AO133" s="1732"/>
      <c r="AP133" s="1732"/>
      <c r="AQ133" s="1732"/>
      <c r="AR133" s="1732"/>
      <c r="AS133" s="1732"/>
      <c r="AT133" s="1732"/>
      <c r="AU133" s="1732"/>
      <c r="AV133" s="1732"/>
      <c r="AW133" s="1732"/>
      <c r="AX133" s="1732"/>
      <c r="AY133" s="1732"/>
      <c r="AZ133" s="1732"/>
      <c r="BA133" s="1732"/>
      <c r="BB133" s="1732"/>
      <c r="BC133" s="1732"/>
      <c r="BD133" s="1732"/>
      <c r="BE133" s="1732"/>
      <c r="BF133" s="1732"/>
      <c r="BG133" s="1732"/>
      <c r="BH133" s="1732"/>
      <c r="BI133" s="1732"/>
      <c r="BJ133" s="1732"/>
      <c r="BK133" s="1732"/>
      <c r="BL133" s="1732"/>
      <c r="BM133" s="1732"/>
      <c r="BN133" s="1732"/>
      <c r="BO133" s="1732"/>
      <c r="BP133" s="1732"/>
      <c r="BQ133" s="1732"/>
      <c r="BR133" s="1732"/>
      <c r="BS133" s="1732"/>
      <c r="BT133" s="1732"/>
      <c r="BU133" s="1732"/>
      <c r="BV133" s="1732"/>
      <c r="BW133" s="1732"/>
      <c r="BX133" s="1732"/>
      <c r="BY133" s="1732"/>
      <c r="BZ133" s="1732"/>
      <c r="CA133" s="1732"/>
      <c r="CB133" s="1732"/>
      <c r="CC133" s="1732"/>
      <c r="CD133" s="1732"/>
      <c r="CE133" s="1732"/>
    </row>
    <row s="10649" customFormat="1" customHeight="1" ht="5.25" hidden="1">
      <c r="A134" s="1888"/>
      <c r="B134" s="1732"/>
      <c r="C134" s="1732"/>
      <c r="D134" s="3219"/>
      <c r="E134" s="742"/>
      <c r="F134" s="742"/>
      <c r="G134" s="742"/>
      <c r="H134" s="742"/>
      <c r="I134" s="742"/>
      <c r="J134" s="742"/>
      <c r="K134" s="742"/>
      <c r="L134" s="742"/>
      <c r="M134" s="742"/>
      <c r="N134" s="742"/>
      <c r="O134" s="742"/>
      <c r="P134" s="742"/>
      <c r="Q134" s="742"/>
      <c r="R134" s="742"/>
      <c r="S134" s="743"/>
      <c r="T134" s="825"/>
      <c r="U134" s="3119"/>
      <c r="V134" s="3119"/>
      <c r="W134" s="1732"/>
      <c r="X134" s="1732"/>
      <c r="Y134" s="1732"/>
      <c r="Z134" s="1732"/>
      <c r="AA134" s="1732"/>
      <c r="AB134" s="1732"/>
      <c r="AC134" s="1137"/>
      <c r="AD134" s="1138"/>
      <c r="AE134" s="1732"/>
      <c r="AF134" s="1732"/>
      <c r="AG134" s="1732"/>
      <c r="AH134" s="1732"/>
      <c r="AI134" s="1732"/>
      <c r="AJ134" s="1732"/>
      <c r="AK134" s="1732"/>
      <c r="AL134" s="1732"/>
      <c r="AM134" s="1732"/>
      <c r="AN134" s="1732"/>
      <c r="AO134" s="1732"/>
      <c r="AP134" s="1732"/>
      <c r="AQ134" s="1732"/>
      <c r="AR134" s="1732"/>
      <c r="AS134" s="1732"/>
      <c r="AT134" s="1732"/>
      <c r="AU134" s="1732"/>
      <c r="AV134" s="1732"/>
      <c r="AW134" s="1732"/>
      <c r="AX134" s="1732"/>
      <c r="AY134" s="1732"/>
      <c r="AZ134" s="1732"/>
      <c r="BA134" s="1732"/>
      <c r="BB134" s="1732"/>
      <c r="BC134" s="1732"/>
      <c r="BD134" s="1732"/>
      <c r="BE134" s="1732"/>
      <c r="BF134" s="1732"/>
      <c r="BG134" s="1732"/>
      <c r="BH134" s="1732"/>
      <c r="BI134" s="1732"/>
      <c r="BJ134" s="1732"/>
      <c r="BK134" s="1732"/>
      <c r="BL134" s="1732"/>
      <c r="BM134" s="1732"/>
      <c r="BN134" s="1732"/>
      <c r="BO134" s="1732"/>
      <c r="BP134" s="1732"/>
      <c r="BQ134" s="1732"/>
      <c r="BR134" s="1732"/>
      <c r="BS134" s="1732"/>
      <c r="BT134" s="1732"/>
      <c r="BU134" s="1732"/>
      <c r="BV134" s="1732"/>
      <c r="BW134" s="1732"/>
      <c r="BX134" s="1732"/>
      <c r="BY134" s="1732"/>
      <c r="BZ134" s="1732"/>
      <c r="CA134" s="1732"/>
      <c r="CB134" s="1732"/>
      <c r="CC134" s="1732"/>
      <c r="CD134" s="1732"/>
      <c r="CE134" s="1732"/>
    </row>
    <row s="10649" customFormat="1" customHeight="1" ht="5.25" hidden="1">
      <c r="A135" s="1888"/>
      <c r="B135" s="1732"/>
      <c r="C135" s="1732"/>
      <c r="D135" s="3220"/>
      <c r="E135" s="1143"/>
      <c r="F135" s="1144"/>
      <c r="G135" s="1144"/>
      <c r="H135" s="1145"/>
      <c r="I135" s="1145"/>
      <c r="J135" s="1145"/>
      <c r="K135" s="1145"/>
      <c r="L135" s="1145"/>
      <c r="M135" s="1145"/>
      <c r="N135" s="1145"/>
      <c r="O135" s="1145"/>
      <c r="P135" s="1145"/>
      <c r="Q135" s="1145"/>
      <c r="R135" s="1046"/>
      <c r="S135" s="1146"/>
      <c r="T135" s="825"/>
      <c r="U135" s="3119"/>
      <c r="V135" s="3119"/>
      <c r="W135" s="1732"/>
      <c r="X135" s="1732"/>
      <c r="Y135" s="1732"/>
      <c r="Z135" s="1732"/>
      <c r="AA135" s="1732"/>
      <c r="AB135" s="1732"/>
      <c r="AC135" s="1137"/>
      <c r="AD135" s="1138"/>
      <c r="AE135" s="1732"/>
      <c r="AF135" s="1732"/>
      <c r="AG135" s="1732"/>
      <c r="AH135" s="1732"/>
      <c r="AI135" s="1732"/>
      <c r="AJ135" s="1732"/>
      <c r="AK135" s="1732"/>
      <c r="AL135" s="1732"/>
      <c r="AM135" s="1732"/>
      <c r="AN135" s="1732"/>
      <c r="AO135" s="1732"/>
      <c r="AP135" s="1732"/>
      <c r="AQ135" s="1732"/>
      <c r="AR135" s="1732"/>
      <c r="AS135" s="1732"/>
      <c r="AT135" s="1732"/>
      <c r="AU135" s="1732"/>
      <c r="AV135" s="1732"/>
      <c r="AW135" s="1732"/>
      <c r="AX135" s="1732"/>
      <c r="AY135" s="1732"/>
      <c r="AZ135" s="1732"/>
      <c r="BA135" s="1732"/>
      <c r="BB135" s="1732"/>
      <c r="BC135" s="1732"/>
      <c r="BD135" s="1732"/>
      <c r="BE135" s="1732"/>
      <c r="BF135" s="1732"/>
      <c r="BG135" s="1732"/>
      <c r="BH135" s="1732"/>
      <c r="BI135" s="1732"/>
      <c r="BJ135" s="1732"/>
      <c r="BK135" s="1732"/>
      <c r="BL135" s="1732"/>
      <c r="BM135" s="1732"/>
      <c r="BN135" s="1732"/>
      <c r="BO135" s="1732"/>
      <c r="BP135" s="1732"/>
      <c r="BQ135" s="1732"/>
      <c r="BR135" s="1732"/>
      <c r="BS135" s="1732"/>
      <c r="BT135" s="1732"/>
      <c r="BU135" s="1732"/>
      <c r="BV135" s="1732"/>
      <c r="BW135" s="1732"/>
      <c r="BX135" s="1732"/>
      <c r="BY135" s="1732"/>
      <c r="BZ135" s="1732"/>
      <c r="CA135" s="1732"/>
      <c r="CB135" s="1732"/>
      <c r="CC135" s="1732"/>
      <c r="CD135" s="1732"/>
      <c r="CE135" s="1732"/>
    </row>
    <row customHeight="1" ht="17.25">
      <c r="D136" s="1930"/>
    </row>
    <row s="13276" customFormat="1" customHeight="1" ht="11.25">
      <c r="A137" s="1910" t="s">
        <v>2170</v>
      </c>
    </row>
    <row r="139" s="10365" customFormat="1" customHeight="1" ht="45">
      <c r="A139" s="1901"/>
      <c r="B139" s="1256"/>
      <c r="C139" s="519"/>
      <c r="D139" s="200"/>
      <c r="E139" s="3353"/>
      <c r="F139" s="2990" t="s">
        <v>144</v>
      </c>
      <c r="G139" s="3356" t="s">
        <v>22</v>
      </c>
      <c r="H139" s="397"/>
      <c r="I139" s="744" t="s">
        <v>144</v>
      </c>
      <c r="J139" s="1902" t="s">
        <v>2171</v>
      </c>
      <c r="K139" s="745" t="s">
        <v>631</v>
      </c>
      <c r="L139" s="3083" t="s">
        <v>631</v>
      </c>
      <c r="M139" s="3045"/>
      <c r="N139" s="745" t="s">
        <v>631</v>
      </c>
      <c r="O139" s="745" t="s">
        <v>631</v>
      </c>
      <c r="P139" s="745" t="s">
        <v>631</v>
      </c>
      <c r="Q139" s="746">
        <f>SUM(Q140:Q142)</f>
        <v>0</v>
      </c>
      <c r="R139" s="746">
        <f>IF(R136=0,0,(Q136/R136)*100)</f>
        <v>0</v>
      </c>
      <c r="S139" s="3057"/>
      <c r="T139" s="824" t="s">
        <v>707</v>
      </c>
      <c r="U139" s="200"/>
      <c r="V139" s="200"/>
      <c r="AC139" s="200"/>
    </row>
    <row s="10365" customFormat="1" customHeight="1" ht="11.25">
      <c r="A140" s="1901"/>
      <c r="B140" s="1256"/>
      <c r="C140" s="519"/>
      <c r="D140" s="200"/>
      <c r="E140" s="3354"/>
      <c r="F140" s="2990"/>
      <c r="G140" s="3356"/>
      <c r="H140" s="2978"/>
      <c r="I140" s="3263" t="s">
        <v>1311</v>
      </c>
      <c r="J140" s="3351"/>
      <c r="K140" s="3352"/>
      <c r="L140" s="747"/>
      <c r="M140" s="748" t="s">
        <v>144</v>
      </c>
      <c r="N140" s="1890"/>
      <c r="O140" s="749"/>
      <c r="P140" s="750"/>
      <c r="Q140" s="749"/>
      <c r="R140" s="751">
        <v>0</v>
      </c>
      <c r="S140" s="3057"/>
      <c r="T140" s="824"/>
      <c r="U140" s="200"/>
      <c r="V140" s="200"/>
      <c r="AC140" s="200"/>
    </row>
    <row s="10365" customFormat="1" customHeight="1" ht="11.25">
      <c r="A141" s="1901"/>
      <c r="B141" s="1256"/>
      <c r="C141" s="519"/>
      <c r="D141" s="200"/>
      <c r="E141" s="3354"/>
      <c r="F141" s="2990"/>
      <c r="G141" s="3356"/>
      <c r="H141" s="2978"/>
      <c r="I141" s="3263"/>
      <c r="J141" s="3351"/>
      <c r="K141" s="3348"/>
      <c r="L141" s="752"/>
      <c r="M141" s="753"/>
      <c r="N141" s="754" t="s">
        <v>2172</v>
      </c>
      <c r="O141" s="754"/>
      <c r="P141" s="754"/>
      <c r="Q141" s="754"/>
      <c r="R141" s="755"/>
      <c r="S141" s="3057"/>
      <c r="T141" s="824"/>
      <c r="U141" s="200"/>
      <c r="V141" s="200"/>
      <c r="AC141" s="200"/>
    </row>
    <row s="10365" customFormat="1" customHeight="1" ht="11.25">
      <c r="A142" s="1901"/>
      <c r="B142" s="1256"/>
      <c r="C142" s="519"/>
      <c r="D142" s="200"/>
      <c r="E142" s="3355"/>
      <c r="F142" s="2990"/>
      <c r="G142" s="3357"/>
      <c r="H142" s="752" t="s">
        <v>22</v>
      </c>
      <c r="I142" s="753"/>
      <c r="J142" s="754" t="s">
        <v>2173</v>
      </c>
      <c r="K142" s="754"/>
      <c r="L142" s="754"/>
      <c r="M142" s="754"/>
      <c r="N142" s="754"/>
      <c r="O142" s="754"/>
      <c r="P142" s="754"/>
      <c r="Q142" s="754"/>
      <c r="R142" s="755"/>
      <c r="S142" s="3057"/>
      <c r="T142" s="824"/>
      <c r="U142" s="200"/>
      <c r="V142" s="200"/>
      <c r="AC142" s="200"/>
    </row>
    <row r="147" s="10365" customFormat="1" customHeight="1" ht="11.25">
      <c r="A147" s="1901"/>
      <c r="B147" s="1256"/>
      <c r="C147" s="519"/>
      <c r="D147" s="200"/>
      <c r="E147" s="1924"/>
      <c r="F147" s="1924"/>
      <c r="G147" s="1924"/>
      <c r="H147" s="2978"/>
      <c r="I147" s="3263" t="s">
        <v>1311</v>
      </c>
      <c r="J147" s="3351"/>
      <c r="K147" s="3352"/>
      <c r="L147" s="747"/>
      <c r="M147" s="748" t="s">
        <v>144</v>
      </c>
      <c r="N147" s="1890"/>
      <c r="O147" s="749"/>
      <c r="P147" s="750"/>
      <c r="Q147" s="749"/>
      <c r="R147" s="751">
        <v>0</v>
      </c>
      <c r="S147" s="200"/>
      <c r="T147" s="824"/>
      <c r="U147" s="200"/>
      <c r="V147" s="200"/>
      <c r="AC147" s="200"/>
    </row>
    <row s="10365" customFormat="1" customHeight="1" ht="11.25">
      <c r="A148" s="1901"/>
      <c r="B148" s="1256"/>
      <c r="C148" s="519"/>
      <c r="D148" s="200"/>
      <c r="E148" s="1924"/>
      <c r="F148" s="1924"/>
      <c r="G148" s="1924"/>
      <c r="H148" s="2978"/>
      <c r="I148" s="3263"/>
      <c r="J148" s="3351"/>
      <c r="K148" s="3348"/>
      <c r="L148" s="752"/>
      <c r="M148" s="753"/>
      <c r="N148" s="754" t="s">
        <v>2172</v>
      </c>
      <c r="O148" s="754"/>
      <c r="P148" s="754"/>
      <c r="Q148" s="754"/>
      <c r="R148" s="755"/>
      <c r="S148" s="200"/>
      <c r="T148" s="824"/>
      <c r="U148" s="200"/>
      <c r="V148" s="200"/>
      <c r="AC148" s="200"/>
    </row>
    <row r="150" s="10365" customFormat="1" customHeight="1" ht="11.25">
      <c r="A150" s="1901"/>
      <c r="B150" s="1256"/>
      <c r="C150" s="519"/>
      <c r="D150" s="200"/>
      <c r="E150" s="1931"/>
      <c r="F150" s="1929"/>
      <c r="G150" s="1929"/>
      <c r="H150" s="1932"/>
      <c r="I150" s="1924"/>
      <c r="J150" s="1925"/>
      <c r="K150" s="1925"/>
      <c r="L150" s="747"/>
      <c r="M150" s="748" t="s">
        <v>144</v>
      </c>
      <c r="N150" s="1890"/>
      <c r="O150" s="749"/>
      <c r="P150" s="750"/>
      <c r="Q150" s="749"/>
      <c r="R150" s="751">
        <v>0</v>
      </c>
      <c r="S150" s="200"/>
      <c r="T150" s="824"/>
      <c r="U150" s="200"/>
      <c r="V150" s="200"/>
      <c r="AC150" s="200"/>
    </row>
    <row r="152" s="13276" customFormat="1" customHeight="1" ht="17.25">
      <c r="A152" s="1910" t="s">
        <v>2174</v>
      </c>
    </row>
    <row customHeight="1" ht="17.25">
      <c r="G153" s="1933"/>
      <c r="H153" s="1933"/>
      <c r="I153" s="1933"/>
      <c r="M153" s="1929"/>
    </row>
    <row s="10446" customFormat="1" customHeight="1" ht="17.25">
      <c r="A154" s="1934"/>
      <c r="C154" s="1936"/>
      <c r="D154" s="3347"/>
      <c r="E154" s="3011"/>
      <c r="F154" s="3023"/>
      <c r="G154" s="3349"/>
      <c r="H154" s="3347"/>
      <c r="I154" s="3347">
        <v>1</v>
      </c>
      <c r="J154" s="3360"/>
      <c r="K154" s="3060" t="s">
        <v>62</v>
      </c>
      <c r="L154" s="2990"/>
      <c r="M154" s="2990" t="s">
        <v>144</v>
      </c>
      <c r="N154" s="3358" t="str">
        <f>IF(Z154="","",INDEX(TERRITORY_MR_LIST,MATCH(Z154,TERRITORY_LIST_ID,0)))</f>
        <v/>
      </c>
      <c r="O154" s="3060" t="s">
        <v>62</v>
      </c>
      <c r="P154" s="2990"/>
      <c r="Q154" s="2990" t="s">
        <v>144</v>
      </c>
      <c r="R154" s="3348" t="s">
        <v>22</v>
      </c>
      <c r="S154" s="2989" t="s">
        <v>62</v>
      </c>
      <c r="T154" s="1906"/>
      <c r="U154" s="1906" t="s">
        <v>144</v>
      </c>
      <c r="V154" s="1937" t="s">
        <v>22</v>
      </c>
      <c r="W154" s="1896"/>
      <c r="Y154" s="1363"/>
      <c r="Z154" s="1363"/>
      <c r="AA154" s="1363"/>
      <c r="AB154" s="1363"/>
      <c r="AC154" s="1363"/>
      <c r="AD154" s="1363"/>
      <c r="AE154" s="1363"/>
      <c r="AF154" s="1363"/>
      <c r="AG154" s="1363"/>
      <c r="AH154" s="1363"/>
      <c r="AI154" s="1363"/>
      <c r="AJ154" s="1363"/>
      <c r="AK154" s="1363"/>
      <c r="AL154" s="1938"/>
      <c r="AM154" s="1938"/>
      <c r="AN154" s="1363"/>
      <c r="AO154" s="1363"/>
      <c r="AP154" s="1363"/>
      <c r="AQ154" s="1363"/>
    </row>
    <row s="10446" customFormat="1" customHeight="1" ht="17.25">
      <c r="A155" s="1934"/>
      <c r="C155" s="1939"/>
      <c r="D155" s="3347"/>
      <c r="E155" s="3011"/>
      <c r="F155" s="3024"/>
      <c r="G155" s="3349"/>
      <c r="H155" s="3347"/>
      <c r="I155" s="3347"/>
      <c r="J155" s="3360"/>
      <c r="K155" s="3061"/>
      <c r="L155" s="2990"/>
      <c r="M155" s="2990"/>
      <c r="N155" s="3358"/>
      <c r="O155" s="3061"/>
      <c r="P155" s="2990"/>
      <c r="Q155" s="2990"/>
      <c r="R155" s="3348"/>
      <c r="S155" s="2989"/>
      <c r="T155" s="425"/>
      <c r="U155" s="426"/>
      <c r="V155" s="426" t="s">
        <v>499</v>
      </c>
      <c r="W155" s="427"/>
      <c r="Y155" s="1355"/>
      <c r="Z155" s="1355"/>
      <c r="AA155" s="1355"/>
      <c r="AB155" s="1355"/>
      <c r="AC155" s="1355"/>
      <c r="AD155" s="1355"/>
      <c r="AE155" s="1355"/>
      <c r="AF155" s="1355"/>
      <c r="AG155" s="1355"/>
      <c r="AH155" s="1355"/>
      <c r="AI155" s="1355"/>
      <c r="AJ155" s="1355"/>
      <c r="AK155" s="1355"/>
    </row>
    <row s="10446" customFormat="1" customHeight="1" ht="17.25">
      <c r="A156" s="1934"/>
      <c r="C156" s="1939"/>
      <c r="D156" s="2987"/>
      <c r="E156" s="3012"/>
      <c r="F156" s="3024"/>
      <c r="G156" s="3350"/>
      <c r="H156" s="2987"/>
      <c r="I156" s="2987"/>
      <c r="J156" s="3361"/>
      <c r="K156" s="3061"/>
      <c r="L156" s="2987"/>
      <c r="M156" s="2987"/>
      <c r="N156" s="3359"/>
      <c r="O156" s="2994"/>
      <c r="P156" s="425"/>
      <c r="Q156" s="426"/>
      <c r="R156" s="426" t="s">
        <v>500</v>
      </c>
      <c r="S156" s="1940"/>
      <c r="T156" s="1940"/>
      <c r="U156" s="1940"/>
      <c r="V156" s="1940"/>
      <c r="W156" s="427"/>
      <c r="Y156" s="1355"/>
      <c r="Z156" s="1355"/>
      <c r="AA156" s="1355"/>
      <c r="AB156" s="1355"/>
      <c r="AC156" s="1355"/>
      <c r="AD156" s="1355"/>
      <c r="AE156" s="1355"/>
      <c r="AF156" s="1355"/>
      <c r="AG156" s="1355"/>
      <c r="AH156" s="1355"/>
      <c r="AI156" s="1355"/>
      <c r="AJ156" s="1355"/>
      <c r="AK156" s="1355"/>
    </row>
    <row s="10446" customFormat="1" customHeight="1" ht="17.25">
      <c r="A157" s="1934"/>
      <c r="C157" s="1939"/>
      <c r="D157" s="2987"/>
      <c r="E157" s="3012"/>
      <c r="F157" s="3024"/>
      <c r="G157" s="3350"/>
      <c r="H157" s="2987"/>
      <c r="I157" s="2987"/>
      <c r="J157" s="3361"/>
      <c r="K157" s="2994"/>
      <c r="L157" s="425"/>
      <c r="M157" s="426"/>
      <c r="N157" s="426" t="s">
        <v>501</v>
      </c>
      <c r="O157" s="426"/>
      <c r="P157" s="426"/>
      <c r="Q157" s="426"/>
      <c r="R157" s="426"/>
      <c r="S157" s="1940"/>
      <c r="T157" s="1940"/>
      <c r="U157" s="1940"/>
      <c r="V157" s="1940"/>
      <c r="W157" s="427"/>
      <c r="Y157" s="1355"/>
      <c r="Z157" s="1355"/>
      <c r="AA157" s="1355"/>
      <c r="AB157" s="1355"/>
      <c r="AC157" s="1355"/>
      <c r="AD157" s="1355"/>
      <c r="AE157" s="1355"/>
      <c r="AF157" s="1355"/>
      <c r="AG157" s="1355"/>
      <c r="AH157" s="1355"/>
      <c r="AI157" s="1355"/>
      <c r="AJ157" s="1355"/>
      <c r="AK157" s="1355"/>
    </row>
    <row s="10446" customFormat="1" customHeight="1" ht="17.25">
      <c r="A158" s="1934"/>
      <c r="C158" s="1939"/>
      <c r="D158" s="2987"/>
      <c r="E158" s="3012"/>
      <c r="F158" s="3025"/>
      <c r="G158" s="3350"/>
      <c r="H158" s="425"/>
      <c r="I158" s="426"/>
      <c r="J158" s="426" t="s">
        <v>533</v>
      </c>
      <c r="K158" s="426"/>
      <c r="L158" s="426"/>
      <c r="M158" s="426"/>
      <c r="N158" s="426"/>
      <c r="O158" s="426"/>
      <c r="P158" s="426"/>
      <c r="Q158" s="426"/>
      <c r="R158" s="426"/>
      <c r="S158" s="1940"/>
      <c r="T158" s="1940"/>
      <c r="U158" s="1940"/>
      <c r="V158" s="1940"/>
      <c r="W158" s="427"/>
      <c r="Y158" s="1355"/>
      <c r="Z158" s="1355"/>
      <c r="AA158" s="1355"/>
      <c r="AB158" s="1355"/>
      <c r="AC158" s="1355"/>
      <c r="AD158" s="1355"/>
      <c r="AE158" s="1355"/>
      <c r="AF158" s="1355"/>
      <c r="AG158" s="1355"/>
      <c r="AH158" s="1355"/>
      <c r="AI158" s="1355"/>
      <c r="AJ158" s="1355"/>
      <c r="AK158" s="1355"/>
    </row>
    <row customHeight="1" ht="17.25">
      <c r="G159" s="1933"/>
      <c r="H159" s="1933"/>
      <c r="I159" s="1933"/>
      <c r="M159" s="1929"/>
    </row>
    <row s="10446" customFormat="1" customHeight="1" ht="17.25">
      <c r="A160" s="1934"/>
      <c r="C160" s="1936"/>
      <c r="D160" s="1924"/>
      <c r="E160" s="1941"/>
      <c r="F160" s="1879"/>
      <c r="G160" s="1942"/>
      <c r="H160" s="3347"/>
      <c r="I160" s="3347">
        <v>1</v>
      </c>
      <c r="J160" s="3360"/>
      <c r="K160" s="3060" t="s">
        <v>62</v>
      </c>
      <c r="L160" s="2990"/>
      <c r="M160" s="2990" t="s">
        <v>144</v>
      </c>
      <c r="N160" s="3358" t="str">
        <f>IF(Z160="","",INDEX(TERRITORY_MR_LIST,MATCH(Z160,TERRITORY_LIST_ID,0)))</f>
        <v/>
      </c>
      <c r="O160" s="3060" t="s">
        <v>62</v>
      </c>
      <c r="P160" s="2990"/>
      <c r="Q160" s="2990" t="s">
        <v>144</v>
      </c>
      <c r="R160" s="3348" t="s">
        <v>22</v>
      </c>
      <c r="S160" s="2989" t="s">
        <v>62</v>
      </c>
      <c r="T160" s="1906"/>
      <c r="U160" s="1906" t="s">
        <v>144</v>
      </c>
      <c r="V160" s="1937" t="s">
        <v>22</v>
      </c>
      <c r="W160" s="1896"/>
      <c r="Y160" s="1363"/>
      <c r="Z160" s="1363"/>
      <c r="AA160" s="1363"/>
      <c r="AB160" s="1363"/>
      <c r="AC160" s="1363"/>
      <c r="AD160" s="1363"/>
      <c r="AE160" s="1363"/>
      <c r="AF160" s="1363"/>
      <c r="AG160" s="1363"/>
      <c r="AH160" s="1363"/>
      <c r="AI160" s="1363"/>
      <c r="AJ160" s="1363"/>
      <c r="AK160" s="1363"/>
      <c r="AL160" s="1938"/>
      <c r="AM160" s="1938"/>
      <c r="AN160" s="1363"/>
      <c r="AO160" s="1363"/>
      <c r="AP160" s="1363"/>
      <c r="AQ160" s="1363"/>
    </row>
    <row s="10446" customFormat="1" customHeight="1" ht="17.25">
      <c r="A161" s="1934"/>
      <c r="C161" s="1939"/>
      <c r="D161" s="1924"/>
      <c r="E161" s="1941"/>
      <c r="F161" s="1879"/>
      <c r="G161" s="1942"/>
      <c r="H161" s="3347"/>
      <c r="I161" s="3347"/>
      <c r="J161" s="3360"/>
      <c r="K161" s="3061"/>
      <c r="L161" s="2990"/>
      <c r="M161" s="2990"/>
      <c r="N161" s="3358"/>
      <c r="O161" s="3061"/>
      <c r="P161" s="2990"/>
      <c r="Q161" s="2990"/>
      <c r="R161" s="3348"/>
      <c r="S161" s="2989"/>
      <c r="T161" s="425"/>
      <c r="U161" s="426"/>
      <c r="V161" s="426" t="s">
        <v>499</v>
      </c>
      <c r="W161" s="427"/>
      <c r="Y161" s="1355"/>
      <c r="Z161" s="1355"/>
      <c r="AA161" s="1355"/>
      <c r="AB161" s="1355"/>
      <c r="AC161" s="1355"/>
      <c r="AD161" s="1355"/>
      <c r="AE161" s="1355"/>
      <c r="AF161" s="1355"/>
      <c r="AG161" s="1355"/>
      <c r="AH161" s="1355"/>
      <c r="AI161" s="1355"/>
      <c r="AJ161" s="1355"/>
      <c r="AK161" s="1355"/>
    </row>
    <row s="10446" customFormat="1" customHeight="1" ht="17.25">
      <c r="A162" s="1934"/>
      <c r="C162" s="1939"/>
      <c r="D162" s="1924"/>
      <c r="E162" s="1941"/>
      <c r="F162" s="1879"/>
      <c r="G162" s="1942"/>
      <c r="H162" s="2987"/>
      <c r="I162" s="2987"/>
      <c r="J162" s="3361"/>
      <c r="K162" s="3061"/>
      <c r="L162" s="2987"/>
      <c r="M162" s="2987"/>
      <c r="N162" s="3359"/>
      <c r="O162" s="2994"/>
      <c r="P162" s="425"/>
      <c r="Q162" s="426"/>
      <c r="R162" s="426" t="s">
        <v>500</v>
      </c>
      <c r="S162" s="1940"/>
      <c r="T162" s="1940"/>
      <c r="U162" s="1940"/>
      <c r="V162" s="1940"/>
      <c r="W162" s="427"/>
      <c r="Y162" s="1355"/>
      <c r="Z162" s="1355"/>
      <c r="AA162" s="1355"/>
      <c r="AB162" s="1355"/>
      <c r="AC162" s="1355"/>
      <c r="AD162" s="1355"/>
      <c r="AE162" s="1355"/>
      <c r="AF162" s="1355"/>
      <c r="AG162" s="1355"/>
      <c r="AH162" s="1355"/>
      <c r="AI162" s="1355"/>
      <c r="AJ162" s="1355"/>
      <c r="AK162" s="1355"/>
    </row>
    <row s="10446" customFormat="1" customHeight="1" ht="17.25">
      <c r="A163" s="1934"/>
      <c r="C163" s="1939"/>
      <c r="D163" s="1924"/>
      <c r="E163" s="1941"/>
      <c r="F163" s="1879"/>
      <c r="G163" s="1942"/>
      <c r="H163" s="2987"/>
      <c r="I163" s="2987"/>
      <c r="J163" s="3361"/>
      <c r="K163" s="2994"/>
      <c r="L163" s="425"/>
      <c r="M163" s="426"/>
      <c r="N163" s="426" t="s">
        <v>501</v>
      </c>
      <c r="O163" s="426"/>
      <c r="P163" s="426"/>
      <c r="Q163" s="426"/>
      <c r="R163" s="426"/>
      <c r="S163" s="1940"/>
      <c r="T163" s="1940"/>
      <c r="U163" s="1940"/>
      <c r="V163" s="1940"/>
      <c r="W163" s="427"/>
      <c r="Y163" s="1355"/>
      <c r="Z163" s="1355"/>
      <c r="AA163" s="1355"/>
      <c r="AB163" s="1355"/>
      <c r="AC163" s="1355"/>
      <c r="AD163" s="1355"/>
      <c r="AE163" s="1355"/>
      <c r="AF163" s="1355"/>
      <c r="AG163" s="1355"/>
      <c r="AH163" s="1355"/>
      <c r="AI163" s="1355"/>
      <c r="AJ163" s="1355"/>
      <c r="AK163" s="1355"/>
    </row>
    <row customHeight="1" ht="17.25">
      <c r="G164" s="1933"/>
      <c r="H164" s="1933"/>
      <c r="I164" s="1933"/>
      <c r="M164" s="1929"/>
    </row>
    <row s="10446" customFormat="1" customHeight="1" ht="17.25">
      <c r="A165" s="1934"/>
      <c r="C165" s="1936"/>
      <c r="D165" s="1924"/>
      <c r="E165" s="1941"/>
      <c r="F165" s="1879"/>
      <c r="G165" s="1942"/>
      <c r="H165" s="1924"/>
      <c r="I165" s="1924"/>
      <c r="J165" s="1943"/>
      <c r="K165" s="1856"/>
      <c r="L165" s="2990"/>
      <c r="M165" s="2990" t="s">
        <v>144</v>
      </c>
      <c r="N165" s="3358" t="str">
        <f>IF(Z165="","",INDEX(TERRITORY_MR_LIST,MATCH(Z165,TERRITORY_LIST_ID,0)))</f>
        <v/>
      </c>
      <c r="O165" s="3060" t="s">
        <v>62</v>
      </c>
      <c r="P165" s="2990"/>
      <c r="Q165" s="2990" t="s">
        <v>144</v>
      </c>
      <c r="R165" s="3348" t="s">
        <v>22</v>
      </c>
      <c r="S165" s="2989" t="s">
        <v>62</v>
      </c>
      <c r="T165" s="1906"/>
      <c r="U165" s="1906" t="s">
        <v>144</v>
      </c>
      <c r="V165" s="1937" t="s">
        <v>22</v>
      </c>
      <c r="W165" s="1896"/>
      <c r="Y165" s="1363"/>
      <c r="Z165" s="1363"/>
      <c r="AA165" s="1363"/>
      <c r="AB165" s="1363"/>
      <c r="AC165" s="1363"/>
      <c r="AD165" s="1363"/>
      <c r="AE165" s="1363"/>
      <c r="AF165" s="1363"/>
      <c r="AG165" s="1363"/>
      <c r="AH165" s="1363"/>
      <c r="AI165" s="1363"/>
      <c r="AJ165" s="1363"/>
      <c r="AK165" s="1363"/>
      <c r="AL165" s="1938"/>
      <c r="AM165" s="1938"/>
      <c r="AN165" s="1363"/>
      <c r="AO165" s="1363"/>
      <c r="AP165" s="1363"/>
      <c r="AQ165" s="1363"/>
    </row>
    <row s="10446" customFormat="1" customHeight="1" ht="17.25">
      <c r="A166" s="1934"/>
      <c r="C166" s="1939"/>
      <c r="D166" s="1924"/>
      <c r="E166" s="1941"/>
      <c r="F166" s="1879"/>
      <c r="G166" s="1942"/>
      <c r="H166" s="1924"/>
      <c r="I166" s="1924"/>
      <c r="J166" s="1943"/>
      <c r="K166" s="1856"/>
      <c r="L166" s="2990"/>
      <c r="M166" s="2990"/>
      <c r="N166" s="3358"/>
      <c r="O166" s="3061"/>
      <c r="P166" s="2990"/>
      <c r="Q166" s="2990"/>
      <c r="R166" s="3348"/>
      <c r="S166" s="2989"/>
      <c r="T166" s="425"/>
      <c r="U166" s="426"/>
      <c r="V166" s="426" t="s">
        <v>499</v>
      </c>
      <c r="W166" s="427"/>
      <c r="Y166" s="1355"/>
      <c r="Z166" s="1355"/>
      <c r="AA166" s="1355"/>
      <c r="AB166" s="1355"/>
      <c r="AC166" s="1355"/>
      <c r="AD166" s="1355"/>
      <c r="AE166" s="1355"/>
      <c r="AF166" s="1355"/>
      <c r="AG166" s="1355"/>
      <c r="AH166" s="1355"/>
      <c r="AI166" s="1355"/>
      <c r="AJ166" s="1355"/>
      <c r="AK166" s="1355"/>
    </row>
    <row s="10446" customFormat="1" customHeight="1" ht="17.25">
      <c r="A167" s="1934"/>
      <c r="C167" s="1939"/>
      <c r="D167" s="1924"/>
      <c r="E167" s="1941"/>
      <c r="F167" s="1879"/>
      <c r="G167" s="1942"/>
      <c r="H167" s="1924"/>
      <c r="I167" s="1924"/>
      <c r="J167" s="1943"/>
      <c r="K167" s="1856"/>
      <c r="L167" s="2987"/>
      <c r="M167" s="2987"/>
      <c r="N167" s="3359"/>
      <c r="O167" s="2994"/>
      <c r="P167" s="425"/>
      <c r="Q167" s="426"/>
      <c r="R167" s="426" t="s">
        <v>500</v>
      </c>
      <c r="S167" s="1940"/>
      <c r="T167" s="1940"/>
      <c r="U167" s="1940"/>
      <c r="V167" s="1940"/>
      <c r="W167" s="427"/>
      <c r="Y167" s="1355"/>
      <c r="Z167" s="1355"/>
      <c r="AA167" s="1355"/>
      <c r="AB167" s="1355"/>
      <c r="AC167" s="1355"/>
      <c r="AD167" s="1355"/>
      <c r="AE167" s="1355"/>
      <c r="AF167" s="1355"/>
      <c r="AG167" s="1355"/>
      <c r="AH167" s="1355"/>
      <c r="AI167" s="1355"/>
      <c r="AJ167" s="1355"/>
      <c r="AK167" s="1355"/>
    </row>
    <row customHeight="1" ht="17.25">
      <c r="G168" s="1933"/>
      <c r="H168" s="1933"/>
      <c r="I168" s="1933"/>
      <c r="M168" s="1929"/>
    </row>
    <row s="10446" customFormat="1" customHeight="1" ht="17.25">
      <c r="A169" s="1934"/>
      <c r="C169" s="1936"/>
      <c r="D169" s="1924"/>
      <c r="E169" s="1941"/>
      <c r="F169" s="1879"/>
      <c r="G169" s="1942"/>
      <c r="H169" s="1924"/>
      <c r="I169" s="1924"/>
      <c r="J169" s="1943"/>
      <c r="K169" s="1856"/>
      <c r="L169" s="1852"/>
      <c r="M169" s="1852"/>
      <c r="N169" s="2139"/>
      <c r="O169" s="1882"/>
      <c r="P169" s="2990"/>
      <c r="Q169" s="2990" t="s">
        <v>144</v>
      </c>
      <c r="R169" s="3348" t="s">
        <v>22</v>
      </c>
      <c r="S169" s="2989" t="s">
        <v>62</v>
      </c>
      <c r="T169" s="1906"/>
      <c r="U169" s="1906" t="s">
        <v>144</v>
      </c>
      <c r="V169" s="1937" t="s">
        <v>22</v>
      </c>
      <c r="W169" s="1896"/>
      <c r="Y169" s="1363"/>
      <c r="Z169" s="1363"/>
      <c r="AA169" s="1363"/>
      <c r="AB169" s="1363"/>
      <c r="AC169" s="1363"/>
      <c r="AD169" s="1363"/>
      <c r="AE169" s="1363"/>
      <c r="AF169" s="1363"/>
      <c r="AG169" s="1363"/>
      <c r="AH169" s="1363"/>
      <c r="AI169" s="1363"/>
      <c r="AJ169" s="1363"/>
      <c r="AK169" s="1363"/>
      <c r="AL169" s="1938"/>
      <c r="AM169" s="1938"/>
      <c r="AN169" s="1363"/>
      <c r="AO169" s="1363"/>
      <c r="AP169" s="1363"/>
      <c r="AQ169" s="1363"/>
    </row>
    <row s="10446" customFormat="1" customHeight="1" ht="17.25">
      <c r="A170" s="1934"/>
      <c r="C170" s="1939"/>
      <c r="D170" s="1924"/>
      <c r="E170" s="1941"/>
      <c r="F170" s="1879"/>
      <c r="G170" s="1942"/>
      <c r="H170" s="1924"/>
      <c r="I170" s="1924"/>
      <c r="J170" s="1943"/>
      <c r="K170" s="1856"/>
      <c r="L170" s="1852"/>
      <c r="M170" s="1852"/>
      <c r="N170" s="2139"/>
      <c r="O170" s="1882"/>
      <c r="P170" s="2990"/>
      <c r="Q170" s="2990"/>
      <c r="R170" s="3348"/>
      <c r="S170" s="2989"/>
      <c r="T170" s="425"/>
      <c r="U170" s="426"/>
      <c r="V170" s="426" t="s">
        <v>499</v>
      </c>
      <c r="W170" s="427"/>
      <c r="Y170" s="1355"/>
      <c r="Z170" s="1355"/>
      <c r="AA170" s="1355"/>
      <c r="AB170" s="1355"/>
      <c r="AC170" s="1355"/>
      <c r="AD170" s="1355"/>
      <c r="AE170" s="1355"/>
      <c r="AF170" s="1355"/>
      <c r="AG170" s="1355"/>
      <c r="AH170" s="1355"/>
      <c r="AI170" s="1355"/>
      <c r="AJ170" s="1355"/>
      <c r="AK170" s="1355"/>
    </row>
    <row customHeight="1" ht="17.25">
      <c r="G171" s="1933"/>
      <c r="H171" s="1933"/>
      <c r="I171" s="1933"/>
      <c r="M171" s="1929"/>
    </row>
    <row s="10446" customFormat="1" customHeight="1" ht="17.25">
      <c r="A172" s="1934"/>
      <c r="C172" s="1936"/>
      <c r="D172" s="1924"/>
      <c r="E172" s="1941"/>
      <c r="F172" s="1879"/>
      <c r="G172" s="1942"/>
      <c r="H172" s="1852"/>
      <c r="I172" s="1852"/>
      <c r="J172" s="1853"/>
      <c r="K172" s="1942"/>
      <c r="L172" s="1852"/>
      <c r="M172" s="1852"/>
      <c r="N172" s="1942"/>
      <c r="O172" s="1942"/>
      <c r="P172" s="1852"/>
      <c r="Q172" s="1852"/>
      <c r="R172" s="1854"/>
      <c r="S172" s="1942"/>
      <c r="T172" s="1906"/>
      <c r="U172" s="1906" t="s">
        <v>144</v>
      </c>
      <c r="V172" s="1937" t="s">
        <v>22</v>
      </c>
      <c r="W172" s="1896"/>
      <c r="Y172" s="1363"/>
      <c r="Z172" s="1363"/>
      <c r="AA172" s="1363"/>
      <c r="AB172" s="1363"/>
      <c r="AC172" s="1363"/>
      <c r="AD172" s="1363"/>
      <c r="AE172" s="1363"/>
      <c r="AF172" s="1363"/>
      <c r="AG172" s="1363"/>
      <c r="AH172" s="1363"/>
      <c r="AI172" s="1363"/>
      <c r="AJ172" s="1363"/>
      <c r="AK172" s="1363"/>
      <c r="AL172" s="1938"/>
      <c r="AM172" s="1938"/>
      <c r="AN172" s="1363"/>
      <c r="AO172" s="1363"/>
      <c r="AP172" s="1363"/>
      <c r="AQ172" s="1363"/>
    </row>
    <row r="174" s="13276" customFormat="1" customHeight="1" ht="17.25">
      <c r="A174" s="1910" t="s">
        <v>2175</v>
      </c>
    </row>
    <row customHeight="1" ht="17.25">
      <c r="G175" s="1933"/>
      <c r="H175" s="1933"/>
      <c r="I175" s="1933"/>
      <c r="M175" s="1929"/>
    </row>
    <row s="10446" customFormat="1" customHeight="1" ht="17.25">
      <c r="A176" s="1934"/>
      <c r="C176" s="1936"/>
      <c r="D176" s="3347"/>
      <c r="E176" s="3011"/>
      <c r="F176" s="3023"/>
      <c r="G176" s="3349"/>
      <c r="H176" s="3347"/>
      <c r="I176" s="3347">
        <v>1</v>
      </c>
      <c r="J176" s="3360"/>
      <c r="K176" s="3060" t="s">
        <v>62</v>
      </c>
      <c r="L176" s="2990"/>
      <c r="M176" s="2990" t="s">
        <v>144</v>
      </c>
      <c r="N176" s="3358" t="str">
        <f>IF(Z176="","",INDEX(TERRITORY_MR_LIST,MATCH(Z176,TERRITORY_LIST_ID,0)))</f>
        <v/>
      </c>
      <c r="O176" s="3060" t="s">
        <v>62</v>
      </c>
      <c r="P176" s="2990"/>
      <c r="Q176" s="2990" t="s">
        <v>144</v>
      </c>
      <c r="R176" s="3348" t="s">
        <v>22</v>
      </c>
      <c r="S176" s="3235" t="s">
        <v>19</v>
      </c>
      <c r="T176" s="1897"/>
      <c r="U176" s="1897" t="s">
        <v>144</v>
      </c>
      <c r="V176" s="1530"/>
      <c r="W176" s="3360"/>
      <c r="Y176" s="1363"/>
      <c r="Z176" s="1363"/>
      <c r="AA176" s="1363"/>
      <c r="AB176" s="1363"/>
      <c r="AC176" s="1363"/>
      <c r="AD176" s="1363"/>
      <c r="AE176" s="1363"/>
      <c r="AF176" s="1363"/>
      <c r="AG176" s="1363"/>
      <c r="AH176" s="1363"/>
      <c r="AI176" s="1363"/>
      <c r="AJ176" s="1363"/>
      <c r="AK176" s="1363"/>
      <c r="AL176" s="1938"/>
      <c r="AM176" s="1938"/>
      <c r="AN176" s="1363"/>
      <c r="AO176" s="1363"/>
      <c r="AP176" s="1363"/>
      <c r="AQ176" s="1363"/>
    </row>
    <row s="10446" customFormat="1" customHeight="1" ht="17.25">
      <c r="A177" s="1934"/>
      <c r="C177" s="1939"/>
      <c r="D177" s="3347"/>
      <c r="E177" s="3011"/>
      <c r="F177" s="3024"/>
      <c r="G177" s="3349"/>
      <c r="H177" s="3347"/>
      <c r="I177" s="3347"/>
      <c r="J177" s="3360"/>
      <c r="K177" s="3061"/>
      <c r="L177" s="2990"/>
      <c r="M177" s="2990"/>
      <c r="N177" s="3358"/>
      <c r="O177" s="3061"/>
      <c r="P177" s="2990"/>
      <c r="Q177" s="2990"/>
      <c r="R177" s="3348"/>
      <c r="S177" s="3235"/>
      <c r="T177" s="1531"/>
      <c r="U177" s="1532"/>
      <c r="V177" s="1532"/>
      <c r="W177" s="3360"/>
      <c r="Y177" s="1355"/>
      <c r="Z177" s="1355"/>
      <c r="AA177" s="1355"/>
      <c r="AB177" s="1355"/>
      <c r="AC177" s="1355"/>
      <c r="AD177" s="1355"/>
      <c r="AE177" s="1355"/>
      <c r="AF177" s="1355"/>
      <c r="AG177" s="1355"/>
      <c r="AH177" s="1355"/>
      <c r="AI177" s="1355"/>
      <c r="AJ177" s="1355"/>
      <c r="AK177" s="1355"/>
    </row>
    <row s="10446" customFormat="1" customHeight="1" ht="17.25">
      <c r="A178" s="1934"/>
      <c r="C178" s="1939"/>
      <c r="D178" s="2987"/>
      <c r="E178" s="3012"/>
      <c r="F178" s="3024"/>
      <c r="G178" s="3350"/>
      <c r="H178" s="2987"/>
      <c r="I178" s="2987"/>
      <c r="J178" s="3361"/>
      <c r="K178" s="3061"/>
      <c r="L178" s="2987"/>
      <c r="M178" s="2987"/>
      <c r="N178" s="3359"/>
      <c r="O178" s="2994"/>
      <c r="P178" s="425"/>
      <c r="Q178" s="426"/>
      <c r="R178" s="426" t="s">
        <v>500</v>
      </c>
      <c r="S178" s="1940"/>
      <c r="T178" s="1940"/>
      <c r="U178" s="1940"/>
      <c r="V178" s="1940"/>
      <c r="W178" s="1529"/>
      <c r="Y178" s="1355"/>
      <c r="Z178" s="1355"/>
      <c r="AA178" s="1355"/>
      <c r="AB178" s="1355"/>
      <c r="AC178" s="1355"/>
      <c r="AD178" s="1355"/>
      <c r="AE178" s="1355"/>
      <c r="AF178" s="1355"/>
      <c r="AG178" s="1355"/>
      <c r="AH178" s="1355"/>
      <c r="AI178" s="1355"/>
      <c r="AJ178" s="1355"/>
      <c r="AK178" s="1355"/>
    </row>
    <row s="10446" customFormat="1" customHeight="1" ht="17.25">
      <c r="A179" s="1934"/>
      <c r="C179" s="1939"/>
      <c r="D179" s="2987"/>
      <c r="E179" s="3012"/>
      <c r="F179" s="3024"/>
      <c r="G179" s="3350"/>
      <c r="H179" s="2987"/>
      <c r="I179" s="2987"/>
      <c r="J179" s="3361"/>
      <c r="K179" s="2994"/>
      <c r="L179" s="425"/>
      <c r="M179" s="426"/>
      <c r="N179" s="426" t="s">
        <v>501</v>
      </c>
      <c r="O179" s="426"/>
      <c r="P179" s="426"/>
      <c r="Q179" s="426"/>
      <c r="R179" s="426"/>
      <c r="S179" s="1940"/>
      <c r="T179" s="1940"/>
      <c r="U179" s="1940"/>
      <c r="V179" s="1940"/>
      <c r="W179" s="427"/>
      <c r="Y179" s="1355"/>
      <c r="Z179" s="1355"/>
      <c r="AA179" s="1355"/>
      <c r="AB179" s="1355"/>
      <c r="AC179" s="1355"/>
      <c r="AD179" s="1355"/>
      <c r="AE179" s="1355"/>
      <c r="AF179" s="1355"/>
      <c r="AG179" s="1355"/>
      <c r="AH179" s="1355"/>
      <c r="AI179" s="1355"/>
      <c r="AJ179" s="1355"/>
      <c r="AK179" s="1355"/>
    </row>
    <row s="10446" customFormat="1" customHeight="1" ht="17.25">
      <c r="A180" s="1934"/>
      <c r="C180" s="1939"/>
      <c r="D180" s="2987"/>
      <c r="E180" s="3012"/>
      <c r="F180" s="3025"/>
      <c r="G180" s="3350"/>
      <c r="H180" s="425"/>
      <c r="I180" s="426"/>
      <c r="J180" s="426" t="s">
        <v>533</v>
      </c>
      <c r="K180" s="426"/>
      <c r="L180" s="426"/>
      <c r="M180" s="426"/>
      <c r="N180" s="426"/>
      <c r="O180" s="426"/>
      <c r="P180" s="426"/>
      <c r="Q180" s="426"/>
      <c r="R180" s="426"/>
      <c r="S180" s="1940"/>
      <c r="T180" s="1940"/>
      <c r="U180" s="1940"/>
      <c r="V180" s="1940"/>
      <c r="W180" s="427"/>
      <c r="Y180" s="1355"/>
      <c r="Z180" s="1355"/>
      <c r="AA180" s="1355"/>
      <c r="AB180" s="1355"/>
      <c r="AC180" s="1355"/>
      <c r="AD180" s="1355"/>
      <c r="AE180" s="1355"/>
      <c r="AF180" s="1355"/>
      <c r="AG180" s="1355"/>
      <c r="AH180" s="1355"/>
      <c r="AI180" s="1355"/>
      <c r="AJ180" s="1355"/>
      <c r="AK180" s="1355"/>
    </row>
    <row customHeight="1" ht="17.25"/>
    <row s="10446" customFormat="1" customHeight="1" ht="17.25">
      <c r="A182" s="1934"/>
      <c r="C182" s="1936"/>
      <c r="D182" s="1924"/>
      <c r="E182" s="1941"/>
      <c r="F182" s="1879"/>
      <c r="G182" s="1942"/>
      <c r="H182" s="3347"/>
      <c r="I182" s="3347">
        <v>1</v>
      </c>
      <c r="J182" s="3360"/>
      <c r="K182" s="3060" t="s">
        <v>62</v>
      </c>
      <c r="L182" s="2990"/>
      <c r="M182" s="2990" t="s">
        <v>144</v>
      </c>
      <c r="N182" s="3358" t="str">
        <f>IF(Z182="","",INDEX(TERRITORY_MR_LIST,MATCH(Z182,TERRITORY_LIST_ID,0)))</f>
        <v/>
      </c>
      <c r="O182" s="3060" t="s">
        <v>62</v>
      </c>
      <c r="P182" s="2990"/>
      <c r="Q182" s="2990" t="s">
        <v>144</v>
      </c>
      <c r="R182" s="3348" t="s">
        <v>22</v>
      </c>
      <c r="S182" s="3235" t="s">
        <v>19</v>
      </c>
      <c r="T182" s="1897"/>
      <c r="U182" s="1897" t="s">
        <v>144</v>
      </c>
      <c r="V182" s="1530"/>
      <c r="W182" s="3360"/>
      <c r="Y182" s="1363"/>
      <c r="Z182" s="1363"/>
      <c r="AA182" s="1363"/>
      <c r="AB182" s="1363"/>
      <c r="AC182" s="1363"/>
      <c r="AD182" s="1363"/>
      <c r="AE182" s="1363"/>
      <c r="AF182" s="1363"/>
      <c r="AG182" s="1363"/>
      <c r="AH182" s="1363"/>
      <c r="AI182" s="1363"/>
      <c r="AJ182" s="1363"/>
      <c r="AK182" s="1363"/>
      <c r="AL182" s="1938"/>
      <c r="AM182" s="1938"/>
      <c r="AN182" s="1363"/>
      <c r="AO182" s="1363"/>
      <c r="AP182" s="1363"/>
      <c r="AQ182" s="1363"/>
    </row>
    <row s="10446" customFormat="1" customHeight="1" ht="17.25">
      <c r="A183" s="1934"/>
      <c r="C183" s="1939"/>
      <c r="D183" s="1924"/>
      <c r="E183" s="1941"/>
      <c r="F183" s="1879"/>
      <c r="G183" s="1942"/>
      <c r="H183" s="3347"/>
      <c r="I183" s="3347"/>
      <c r="J183" s="3360"/>
      <c r="K183" s="3061"/>
      <c r="L183" s="2990"/>
      <c r="M183" s="2990"/>
      <c r="N183" s="3358"/>
      <c r="O183" s="3061"/>
      <c r="P183" s="2990"/>
      <c r="Q183" s="2990"/>
      <c r="R183" s="3348"/>
      <c r="S183" s="3235"/>
      <c r="T183" s="1531"/>
      <c r="U183" s="1532"/>
      <c r="V183" s="1532"/>
      <c r="W183" s="3360"/>
      <c r="Y183" s="1355"/>
      <c r="Z183" s="1355"/>
      <c r="AA183" s="1355"/>
      <c r="AB183" s="1355"/>
      <c r="AC183" s="1355"/>
      <c r="AD183" s="1355"/>
      <c r="AE183" s="1355"/>
      <c r="AF183" s="1355"/>
      <c r="AG183" s="1355"/>
      <c r="AH183" s="1355"/>
      <c r="AI183" s="1355"/>
      <c r="AJ183" s="1355"/>
      <c r="AK183" s="1355"/>
    </row>
    <row s="10446" customFormat="1" customHeight="1" ht="17.25">
      <c r="A184" s="1934"/>
      <c r="C184" s="1939"/>
      <c r="D184" s="1924"/>
      <c r="E184" s="1941"/>
      <c r="F184" s="1879"/>
      <c r="G184" s="1942"/>
      <c r="H184" s="2987"/>
      <c r="I184" s="2987"/>
      <c r="J184" s="3361"/>
      <c r="K184" s="3061"/>
      <c r="L184" s="2987"/>
      <c r="M184" s="2987"/>
      <c r="N184" s="3359"/>
      <c r="O184" s="2994"/>
      <c r="P184" s="425"/>
      <c r="Q184" s="426"/>
      <c r="R184" s="426" t="s">
        <v>500</v>
      </c>
      <c r="S184" s="1940"/>
      <c r="T184" s="1940"/>
      <c r="U184" s="1940"/>
      <c r="V184" s="1940"/>
      <c r="W184" s="1529"/>
      <c r="Y184" s="1355"/>
      <c r="Z184" s="1355"/>
      <c r="AA184" s="1355"/>
      <c r="AB184" s="1355"/>
      <c r="AC184" s="1355"/>
      <c r="AD184" s="1355"/>
      <c r="AE184" s="1355"/>
      <c r="AF184" s="1355"/>
      <c r="AG184" s="1355"/>
      <c r="AH184" s="1355"/>
      <c r="AI184" s="1355"/>
      <c r="AJ184" s="1355"/>
      <c r="AK184" s="1355"/>
    </row>
    <row s="10446" customFormat="1" customHeight="1" ht="17.25">
      <c r="A185" s="1934"/>
      <c r="C185" s="1939"/>
      <c r="D185" s="1924"/>
      <c r="E185" s="1941"/>
      <c r="F185" s="1879"/>
      <c r="G185" s="1942"/>
      <c r="H185" s="2987"/>
      <c r="I185" s="2987"/>
      <c r="J185" s="3361"/>
      <c r="K185" s="2994"/>
      <c r="L185" s="425"/>
      <c r="M185" s="426"/>
      <c r="N185" s="426" t="s">
        <v>501</v>
      </c>
      <c r="O185" s="426"/>
      <c r="P185" s="426"/>
      <c r="Q185" s="426"/>
      <c r="R185" s="426"/>
      <c r="S185" s="1940"/>
      <c r="T185" s="1940"/>
      <c r="U185" s="1940"/>
      <c r="V185" s="1940"/>
      <c r="W185" s="427"/>
      <c r="Y185" s="1355"/>
      <c r="Z185" s="1355"/>
      <c r="AA185" s="1355"/>
      <c r="AB185" s="1355"/>
      <c r="AC185" s="1355"/>
      <c r="AD185" s="1355"/>
      <c r="AE185" s="1355"/>
      <c r="AF185" s="1355"/>
      <c r="AG185" s="1355"/>
      <c r="AH185" s="1355"/>
      <c r="AI185" s="1355"/>
      <c r="AJ185" s="1355"/>
      <c r="AK185" s="1355"/>
    </row>
    <row customHeight="1" ht="17.25"/>
    <row s="10446" customFormat="1" customHeight="1" ht="17.25">
      <c r="A187" s="1934"/>
      <c r="C187" s="1936"/>
      <c r="D187" s="1924"/>
      <c r="E187" s="1941"/>
      <c r="F187" s="1879"/>
      <c r="G187" s="1942"/>
      <c r="H187" s="1924"/>
      <c r="I187" s="1924"/>
      <c r="J187" s="1945"/>
      <c r="K187" s="1942"/>
      <c r="L187" s="2990"/>
      <c r="M187" s="2990" t="s">
        <v>144</v>
      </c>
      <c r="N187" s="3358" t="str">
        <f>IF(Z187="","",INDEX(TERRITORY_MR_LIST,MATCH(Z187,TERRITORY_LIST_ID,0)))</f>
        <v/>
      </c>
      <c r="O187" s="3060" t="s">
        <v>62</v>
      </c>
      <c r="P187" s="2990"/>
      <c r="Q187" s="2990" t="s">
        <v>144</v>
      </c>
      <c r="R187" s="3348" t="s">
        <v>22</v>
      </c>
      <c r="S187" s="3235" t="s">
        <v>19</v>
      </c>
      <c r="T187" s="1897"/>
      <c r="U187" s="1897" t="s">
        <v>144</v>
      </c>
      <c r="V187" s="1530"/>
      <c r="W187" s="3360"/>
      <c r="Y187" s="1363"/>
      <c r="Z187" s="1363"/>
      <c r="AA187" s="1363"/>
      <c r="AB187" s="1363"/>
      <c r="AC187" s="1363"/>
      <c r="AD187" s="1363"/>
      <c r="AE187" s="1363"/>
      <c r="AF187" s="1363"/>
      <c r="AG187" s="1363"/>
      <c r="AH187" s="1363"/>
      <c r="AI187" s="1363"/>
      <c r="AJ187" s="1363"/>
      <c r="AK187" s="1363"/>
      <c r="AL187" s="1938"/>
      <c r="AM187" s="1938"/>
      <c r="AN187" s="1363"/>
      <c r="AO187" s="1363"/>
      <c r="AP187" s="1363"/>
      <c r="AQ187" s="1363"/>
    </row>
    <row s="10446" customFormat="1" customHeight="1" ht="17.25">
      <c r="A188" s="1934"/>
      <c r="C188" s="1939"/>
      <c r="D188" s="1924"/>
      <c r="E188" s="1941"/>
      <c r="F188" s="1879"/>
      <c r="G188" s="1942"/>
      <c r="H188" s="1924"/>
      <c r="I188" s="1924"/>
      <c r="J188" s="1945"/>
      <c r="K188" s="1942"/>
      <c r="L188" s="2990"/>
      <c r="M188" s="2990"/>
      <c r="N188" s="3358"/>
      <c r="O188" s="3061"/>
      <c r="P188" s="2990"/>
      <c r="Q188" s="2990"/>
      <c r="R188" s="3348"/>
      <c r="S188" s="3235"/>
      <c r="T188" s="1531"/>
      <c r="U188" s="1532"/>
      <c r="V188" s="1532"/>
      <c r="W188" s="3360"/>
      <c r="Y188" s="1355"/>
      <c r="Z188" s="1355"/>
      <c r="AA188" s="1355"/>
      <c r="AB188" s="1355"/>
      <c r="AC188" s="1355"/>
      <c r="AD188" s="1355"/>
      <c r="AE188" s="1355"/>
      <c r="AF188" s="1355"/>
      <c r="AG188" s="1355"/>
      <c r="AH188" s="1355"/>
      <c r="AI188" s="1355"/>
      <c r="AJ188" s="1355"/>
      <c r="AK188" s="1355"/>
    </row>
    <row s="10446" customFormat="1" customHeight="1" ht="17.25">
      <c r="A189" s="1934"/>
      <c r="C189" s="1939"/>
      <c r="D189" s="1924"/>
      <c r="E189" s="1941"/>
      <c r="F189" s="1879"/>
      <c r="G189" s="1942"/>
      <c r="H189" s="1924"/>
      <c r="I189" s="1924"/>
      <c r="J189" s="1945"/>
      <c r="K189" s="1942"/>
      <c r="L189" s="2987"/>
      <c r="M189" s="2987"/>
      <c r="N189" s="3359"/>
      <c r="O189" s="2994"/>
      <c r="P189" s="425"/>
      <c r="Q189" s="426"/>
      <c r="R189" s="426" t="s">
        <v>500</v>
      </c>
      <c r="S189" s="1940"/>
      <c r="T189" s="1940"/>
      <c r="U189" s="1940"/>
      <c r="V189" s="1940"/>
      <c r="W189" s="1529"/>
      <c r="Y189" s="1355"/>
      <c r="Z189" s="1355"/>
      <c r="AA189" s="1355"/>
      <c r="AB189" s="1355"/>
      <c r="AC189" s="1355"/>
      <c r="AD189" s="1355"/>
      <c r="AE189" s="1355"/>
      <c r="AF189" s="1355"/>
      <c r="AG189" s="1355"/>
      <c r="AH189" s="1355"/>
      <c r="AI189" s="1355"/>
      <c r="AJ189" s="1355"/>
      <c r="AK189" s="1355"/>
    </row>
    <row customHeight="1" ht="17.25"/>
    <row s="10446" customFormat="1" customHeight="1" ht="17.25">
      <c r="A191" s="1934"/>
      <c r="C191" s="1936"/>
      <c r="D191" s="1924"/>
      <c r="E191" s="1941"/>
      <c r="F191" s="1879"/>
      <c r="G191" s="1942"/>
      <c r="H191" s="1924"/>
      <c r="I191" s="1924"/>
      <c r="J191" s="1945"/>
      <c r="K191" s="1942"/>
      <c r="L191" s="1924"/>
      <c r="M191" s="1924"/>
      <c r="N191" s="2139"/>
      <c r="O191" s="1882"/>
      <c r="P191" s="2990"/>
      <c r="Q191" s="2990" t="s">
        <v>144</v>
      </c>
      <c r="R191" s="3348" t="s">
        <v>22</v>
      </c>
      <c r="S191" s="3235" t="s">
        <v>19</v>
      </c>
      <c r="T191" s="1897"/>
      <c r="U191" s="1897" t="s">
        <v>144</v>
      </c>
      <c r="V191" s="1530"/>
      <c r="W191" s="3360"/>
      <c r="Y191" s="1363"/>
      <c r="Z191" s="1363"/>
      <c r="AA191" s="1363"/>
      <c r="AB191" s="1363"/>
      <c r="AC191" s="1363"/>
      <c r="AD191" s="1363"/>
      <c r="AE191" s="1363"/>
      <c r="AF191" s="1363"/>
      <c r="AG191" s="1363"/>
      <c r="AH191" s="1363"/>
      <c r="AI191" s="1363"/>
      <c r="AJ191" s="1363"/>
      <c r="AK191" s="1363"/>
      <c r="AL191" s="1938"/>
      <c r="AM191" s="1938"/>
      <c r="AN191" s="1363"/>
      <c r="AO191" s="1363"/>
      <c r="AP191" s="1363"/>
      <c r="AQ191" s="1363"/>
    </row>
    <row s="10446" customFormat="1" customHeight="1" ht="17.25">
      <c r="A192" s="1934"/>
      <c r="C192" s="1939"/>
      <c r="D192" s="1924"/>
      <c r="E192" s="1941"/>
      <c r="F192" s="1879"/>
      <c r="G192" s="1942"/>
      <c r="H192" s="1924"/>
      <c r="I192" s="1924"/>
      <c r="J192" s="1945"/>
      <c r="K192" s="1942"/>
      <c r="L192" s="1924"/>
      <c r="M192" s="1924"/>
      <c r="N192" s="2139"/>
      <c r="O192" s="1882"/>
      <c r="P192" s="2990"/>
      <c r="Q192" s="2990"/>
      <c r="R192" s="3348"/>
      <c r="S192" s="3235"/>
      <c r="T192" s="1531"/>
      <c r="U192" s="1532"/>
      <c r="V192" s="1532"/>
      <c r="W192" s="3360"/>
      <c r="Y192" s="1355"/>
      <c r="Z192" s="1355"/>
      <c r="AA192" s="1355"/>
      <c r="AB192" s="1355"/>
      <c r="AC192" s="1355"/>
      <c r="AD192" s="1355"/>
      <c r="AE192" s="1355"/>
      <c r="AF192" s="1355"/>
      <c r="AG192" s="1355"/>
      <c r="AH192" s="1355"/>
      <c r="AI192" s="1355"/>
      <c r="AJ192" s="1355"/>
      <c r="AK192" s="1355"/>
    </row>
    <row customHeight="1" ht="17.25"/>
    <row customHeight="1" ht="16.5">
      <c r="A194" s="1934"/>
      <c r="B194" s="1935"/>
      <c r="C194" s="1939"/>
      <c r="D194" s="3347"/>
      <c r="E194" s="3057"/>
      <c r="F194" s="3057"/>
      <c r="G194" s="2978"/>
      <c r="H194" s="3013"/>
      <c r="I194" s="3015"/>
      <c r="J194" s="3017"/>
      <c r="K194" s="3009"/>
      <c r="L194" s="3009"/>
      <c r="M194" s="3009"/>
      <c r="N194" s="3020"/>
      <c r="O194" s="3009"/>
      <c r="P194" s="3009"/>
      <c r="Q194" s="3009"/>
      <c r="R194" s="3007"/>
      <c r="S194" s="3009"/>
      <c r="T194" s="1878"/>
      <c r="U194" s="1878"/>
      <c r="V194" s="1946"/>
      <c r="W194" s="1392"/>
    </row>
    <row customHeight="1" ht="16.5">
      <c r="A195" s="1934"/>
      <c r="B195" s="1935"/>
      <c r="C195" s="1939"/>
      <c r="D195" s="3347"/>
      <c r="E195" s="3057"/>
      <c r="F195" s="3057"/>
      <c r="G195" s="2978"/>
      <c r="H195" s="3014"/>
      <c r="I195" s="3016"/>
      <c r="J195" s="3018"/>
      <c r="K195" s="3010"/>
      <c r="L195" s="3010"/>
      <c r="M195" s="3010"/>
      <c r="N195" s="3021"/>
      <c r="O195" s="3010"/>
      <c r="P195" s="3010"/>
      <c r="Q195" s="3010"/>
      <c r="R195" s="3008"/>
      <c r="S195" s="3010"/>
      <c r="T195" s="1393"/>
      <c r="U195" s="1393"/>
      <c r="V195" s="1393"/>
      <c r="W195" s="1394"/>
    </row>
    <row customHeight="1" ht="17.25">
      <c r="A196" s="1934"/>
      <c r="B196" s="1935"/>
      <c r="C196" s="1939"/>
      <c r="D196" s="3347"/>
      <c r="E196" s="3057"/>
      <c r="F196" s="3057"/>
      <c r="G196" s="2978"/>
      <c r="H196" s="3014"/>
      <c r="I196" s="3016"/>
      <c r="J196" s="3019"/>
      <c r="K196" s="3010"/>
      <c r="L196" s="3010"/>
      <c r="M196" s="3010"/>
      <c r="N196" s="3008"/>
      <c r="O196" s="3010"/>
      <c r="P196" s="1881"/>
      <c r="Q196" s="1393"/>
      <c r="R196" s="1393"/>
      <c r="S196" s="1947"/>
      <c r="T196" s="1947"/>
      <c r="U196" s="1947"/>
      <c r="V196" s="1947"/>
      <c r="W196" s="1394"/>
    </row>
    <row customHeight="1" ht="17.25">
      <c r="A197" s="1934"/>
      <c r="B197" s="1935"/>
      <c r="C197" s="1939"/>
      <c r="D197" s="3347"/>
      <c r="E197" s="3057"/>
      <c r="F197" s="3057"/>
      <c r="G197" s="2978"/>
      <c r="H197" s="3014"/>
      <c r="I197" s="3016"/>
      <c r="J197" s="3019"/>
      <c r="K197" s="3010"/>
      <c r="L197" s="1393"/>
      <c r="M197" s="1393"/>
      <c r="N197" s="1393"/>
      <c r="O197" s="1393"/>
      <c r="P197" s="1393"/>
      <c r="Q197" s="1393"/>
      <c r="R197" s="1393"/>
      <c r="S197" s="1947"/>
      <c r="T197" s="1947"/>
      <c r="U197" s="1947"/>
      <c r="V197" s="1947"/>
      <c r="W197" s="1394"/>
    </row>
    <row customHeight="1" ht="17.25">
      <c r="A198" s="1934"/>
      <c r="B198" s="1935"/>
      <c r="C198" s="1939"/>
      <c r="D198" s="3347"/>
      <c r="E198" s="3057"/>
      <c r="F198" s="3057"/>
      <c r="G198" s="2978"/>
      <c r="H198" s="1395"/>
      <c r="I198" s="1396"/>
      <c r="J198" s="1396"/>
      <c r="K198" s="1396"/>
      <c r="L198" s="1396"/>
      <c r="M198" s="1396"/>
      <c r="N198" s="1396"/>
      <c r="O198" s="1396"/>
      <c r="P198" s="1396"/>
      <c r="Q198" s="1396"/>
      <c r="R198" s="1396"/>
      <c r="S198" s="1948"/>
      <c r="T198" s="1948"/>
      <c r="U198" s="1948"/>
      <c r="V198" s="1948"/>
      <c r="W198" s="1398"/>
    </row>
    <row r="200" s="13276" customFormat="1" customHeight="1" ht="17.25">
      <c r="A200" s="1910" t="s">
        <v>2176</v>
      </c>
    </row>
    <row customHeight="1" ht="17.25">
      <c r="G201" s="1933"/>
      <c r="H201" s="1933"/>
      <c r="I201" s="1933"/>
      <c r="M201" s="1929"/>
    </row>
    <row s="10365" customFormat="1" customHeight="1" ht="15">
      <c r="D202" s="3365"/>
      <c r="E202" s="3052"/>
      <c r="F202" s="3052"/>
      <c r="G202" s="3060"/>
      <c r="H202" s="1660"/>
      <c r="I202" s="3366">
        <v>1</v>
      </c>
      <c r="J202" s="3360"/>
      <c r="K202" s="1675"/>
      <c r="L202" s="3060" t="s">
        <v>62</v>
      </c>
      <c r="M202" s="3060" t="s">
        <v>62</v>
      </c>
      <c r="N202" s="1660"/>
      <c r="O202" s="2990" t="s">
        <v>144</v>
      </c>
      <c r="P202" s="3372"/>
      <c r="Q202" s="1676"/>
      <c r="R202" s="3060" t="s">
        <v>62</v>
      </c>
      <c r="S202" s="3060" t="s">
        <v>62</v>
      </c>
      <c r="T202" s="1949"/>
      <c r="U202" s="2990" t="s">
        <v>144</v>
      </c>
      <c r="V202" s="3362" t="str">
        <f>IF(AK202="","",INDEX(TERRITORY_MR_LIST,MATCH(AK202,TERRITORY_LIST_ID,0)))</f>
        <v/>
      </c>
      <c r="W202" s="1677"/>
      <c r="X202" s="3060" t="s">
        <v>62</v>
      </c>
      <c r="Y202" s="3060" t="s">
        <v>19</v>
      </c>
      <c r="Z202" s="1660"/>
      <c r="AA202" s="2990" t="s">
        <v>144</v>
      </c>
      <c r="AB202" s="3364"/>
      <c r="AC202" s="1678"/>
      <c r="AD202" s="3060" t="s">
        <v>62</v>
      </c>
      <c r="AE202" s="3060" t="s">
        <v>19</v>
      </c>
      <c r="AF202" s="1658"/>
      <c r="AG202" s="1906" t="s">
        <v>144</v>
      </c>
      <c r="AH202" s="1668"/>
      <c r="AI202" s="1896"/>
    </row>
    <row s="10365" customFormat="1" customHeight="1" ht="15">
      <c r="D203" s="3365"/>
      <c r="E203" s="3052"/>
      <c r="F203" s="3052"/>
      <c r="G203" s="3061"/>
      <c r="H203" s="1660"/>
      <c r="I203" s="3366"/>
      <c r="J203" s="3360"/>
      <c r="K203" s="1659"/>
      <c r="L203" s="3061"/>
      <c r="M203" s="3061"/>
      <c r="N203" s="1660"/>
      <c r="O203" s="2990"/>
      <c r="P203" s="3372"/>
      <c r="Q203" s="1656"/>
      <c r="R203" s="3061"/>
      <c r="S203" s="3061"/>
      <c r="T203" s="1949"/>
      <c r="U203" s="2990"/>
      <c r="V203" s="3363"/>
      <c r="W203" s="1657"/>
      <c r="X203" s="3061"/>
      <c r="Y203" s="3061"/>
      <c r="Z203" s="1660"/>
      <c r="AA203" s="2990"/>
      <c r="AB203" s="3331"/>
      <c r="AC203" s="1661"/>
      <c r="AD203" s="2994"/>
      <c r="AE203" s="2994"/>
      <c r="AF203" s="1662"/>
      <c r="AG203" s="1663"/>
      <c r="AH203" s="3368" t="s">
        <v>2177</v>
      </c>
      <c r="AI203" s="3369"/>
    </row>
    <row s="10365" customFormat="1" customHeight="1" ht="15">
      <c r="D204" s="3365"/>
      <c r="E204" s="3052"/>
      <c r="F204" s="3052"/>
      <c r="G204" s="3061"/>
      <c r="H204" s="1660"/>
      <c r="I204" s="3366"/>
      <c r="J204" s="3360"/>
      <c r="K204" s="1659"/>
      <c r="L204" s="3061"/>
      <c r="M204" s="3061"/>
      <c r="N204" s="1660"/>
      <c r="O204" s="2990"/>
      <c r="P204" s="3372"/>
      <c r="Q204" s="1656"/>
      <c r="R204" s="3061"/>
      <c r="S204" s="3061"/>
      <c r="T204" s="1949"/>
      <c r="U204" s="2990"/>
      <c r="V204" s="3363"/>
      <c r="W204" s="1657"/>
      <c r="X204" s="3061"/>
      <c r="Y204" s="3061"/>
      <c r="Z204" s="1699"/>
      <c r="AA204" s="1665"/>
      <c r="AB204" s="3370" t="s">
        <v>2178</v>
      </c>
      <c r="AC204" s="3370"/>
      <c r="AD204" s="3370"/>
      <c r="AE204" s="3370"/>
      <c r="AF204" s="3370"/>
      <c r="AG204" s="3370"/>
      <c r="AH204" s="3370"/>
      <c r="AI204" s="3371"/>
    </row>
    <row s="10365" customFormat="1" customHeight="1" ht="15">
      <c r="D205" s="3365"/>
      <c r="E205" s="3052"/>
      <c r="F205" s="3052"/>
      <c r="G205" s="3061"/>
      <c r="H205" s="1660"/>
      <c r="I205" s="3366"/>
      <c r="J205" s="3360"/>
      <c r="K205" s="1659"/>
      <c r="L205" s="3061"/>
      <c r="M205" s="3061"/>
      <c r="N205" s="1660"/>
      <c r="O205" s="2990"/>
      <c r="P205" s="3373"/>
      <c r="Q205" s="1656"/>
      <c r="R205" s="3061"/>
      <c r="S205" s="3061"/>
      <c r="T205" s="1950"/>
      <c r="U205" s="1700"/>
      <c r="V205" s="3368" t="s">
        <v>138</v>
      </c>
      <c r="W205" s="3368"/>
      <c r="X205" s="3368"/>
      <c r="Y205" s="3368"/>
      <c r="Z205" s="3368"/>
      <c r="AA205" s="3368"/>
      <c r="AB205" s="3368"/>
      <c r="AC205" s="3368"/>
      <c r="AD205" s="3368"/>
      <c r="AE205" s="3368"/>
      <c r="AF205" s="3368"/>
      <c r="AG205" s="3368"/>
      <c r="AH205" s="3368"/>
      <c r="AI205" s="3369"/>
    </row>
    <row s="10365" customFormat="1" customHeight="1" ht="11.25">
      <c r="D206" s="3365"/>
      <c r="E206" s="3052"/>
      <c r="F206" s="3052"/>
      <c r="G206" s="3061"/>
      <c r="H206" s="1664"/>
      <c r="I206" s="3366"/>
      <c r="J206" s="3367"/>
      <c r="K206" s="1659"/>
      <c r="L206" s="3061"/>
      <c r="M206" s="3061"/>
      <c r="N206" s="1664"/>
      <c r="O206" s="1665"/>
      <c r="P206" s="3368" t="s">
        <v>2179</v>
      </c>
      <c r="Q206" s="3368"/>
      <c r="R206" s="3368"/>
      <c r="S206" s="3368"/>
      <c r="T206" s="3368"/>
      <c r="U206" s="3368"/>
      <c r="V206" s="3368"/>
      <c r="W206" s="3368"/>
      <c r="X206" s="3368"/>
      <c r="Y206" s="3368"/>
      <c r="Z206" s="3368"/>
      <c r="AA206" s="3368"/>
      <c r="AB206" s="3368"/>
      <c r="AC206" s="3368"/>
      <c r="AD206" s="3368"/>
      <c r="AE206" s="3368"/>
      <c r="AF206" s="3368"/>
      <c r="AG206" s="3368"/>
      <c r="AH206" s="3368"/>
      <c r="AI206" s="3369"/>
    </row>
    <row s="10653" customFormat="1" customHeight="1" ht="11.25">
      <c r="D207" s="3365"/>
      <c r="E207" s="3052"/>
      <c r="F207" s="3052"/>
      <c r="G207" s="2994"/>
      <c r="H207" s="1666"/>
      <c r="I207" s="1667"/>
      <c r="J207" s="3368" t="s">
        <v>533</v>
      </c>
      <c r="K207" s="3368"/>
      <c r="L207" s="3368"/>
      <c r="M207" s="3368"/>
      <c r="N207" s="3368"/>
      <c r="O207" s="3368"/>
      <c r="P207" s="3368"/>
      <c r="Q207" s="3368"/>
      <c r="R207" s="3368"/>
      <c r="S207" s="3368"/>
      <c r="T207" s="3368"/>
      <c r="U207" s="3368"/>
      <c r="V207" s="3368"/>
      <c r="W207" s="3368"/>
      <c r="X207" s="3368"/>
      <c r="Y207" s="3368"/>
      <c r="Z207" s="3368"/>
      <c r="AA207" s="3368"/>
      <c r="AB207" s="3368"/>
      <c r="AC207" s="3368"/>
      <c r="AD207" s="3368"/>
      <c r="AE207" s="3368"/>
      <c r="AF207" s="3368"/>
      <c r="AG207" s="3368"/>
      <c r="AH207" s="3368"/>
      <c r="AI207" s="3369"/>
      <c r="BK207" s="1670"/>
    </row>
    <row customHeight="1" ht="17.25">
      <c r="G208" s="1933"/>
      <c r="I208" s="1933"/>
      <c r="J208" s="1933"/>
      <c r="N208" s="1929"/>
    </row>
    <row s="10365" customFormat="1" customHeight="1" ht="15">
      <c r="D209" s="3365"/>
      <c r="E209" s="3052"/>
      <c r="F209" s="3052"/>
      <c r="G209" s="3057"/>
      <c r="H209" s="1695"/>
      <c r="I209" s="3062"/>
      <c r="J209" s="3017"/>
      <c r="K209" s="1880"/>
      <c r="L209" s="3009"/>
      <c r="M209" s="3009"/>
      <c r="N209" s="1680"/>
      <c r="O209" s="3009"/>
      <c r="P209" s="3017"/>
      <c r="Q209" s="1884"/>
      <c r="R209" s="3009"/>
      <c r="S209" s="3009"/>
      <c r="T209" s="1951"/>
      <c r="U209" s="3009"/>
      <c r="V209" s="3017"/>
      <c r="W209" s="1683"/>
      <c r="X209" s="3009"/>
      <c r="Y209" s="3009"/>
      <c r="Z209" s="1680"/>
      <c r="AA209" s="3009"/>
      <c r="AB209" s="3017"/>
      <c r="AC209" s="1684"/>
      <c r="AD209" s="3009"/>
      <c r="AE209" s="3009"/>
      <c r="AF209" s="1878"/>
      <c r="AG209" s="1878"/>
      <c r="AH209" s="1685"/>
      <c r="AI209" s="1392"/>
    </row>
    <row s="10365" customFormat="1" customHeight="1" ht="15">
      <c r="D210" s="3365"/>
      <c r="E210" s="3052"/>
      <c r="F210" s="3052"/>
      <c r="G210" s="3057"/>
      <c r="H210" s="1696"/>
      <c r="I210" s="3063"/>
      <c r="J210" s="3018"/>
      <c r="K210" s="1706"/>
      <c r="L210" s="3010"/>
      <c r="M210" s="3010"/>
      <c r="N210" s="1686"/>
      <c r="O210" s="3010"/>
      <c r="P210" s="3018"/>
      <c r="Q210" s="1885"/>
      <c r="R210" s="3010"/>
      <c r="S210" s="3010"/>
      <c r="T210" s="1952"/>
      <c r="U210" s="3010"/>
      <c r="V210" s="3018"/>
      <c r="W210" s="1689"/>
      <c r="X210" s="3010"/>
      <c r="Y210" s="3010"/>
      <c r="Z210" s="1686"/>
      <c r="AA210" s="3010"/>
      <c r="AB210" s="3018"/>
      <c r="AC210" s="1690"/>
      <c r="AD210" s="3010"/>
      <c r="AE210" s="3010"/>
      <c r="AF210" s="1883"/>
      <c r="AG210" s="1883"/>
      <c r="AH210" s="3066"/>
      <c r="AI210" s="3067"/>
    </row>
    <row s="10365" customFormat="1" customHeight="1" ht="15">
      <c r="D211" s="3365"/>
      <c r="E211" s="3052"/>
      <c r="F211" s="3052"/>
      <c r="G211" s="3057"/>
      <c r="H211" s="1696"/>
      <c r="I211" s="3063"/>
      <c r="J211" s="3018"/>
      <c r="K211" s="1706"/>
      <c r="L211" s="3010"/>
      <c r="M211" s="3010"/>
      <c r="N211" s="1686"/>
      <c r="O211" s="3010"/>
      <c r="P211" s="3018"/>
      <c r="Q211" s="1885"/>
      <c r="R211" s="3010"/>
      <c r="S211" s="3010"/>
      <c r="T211" s="1952"/>
      <c r="U211" s="3010"/>
      <c r="V211" s="3018"/>
      <c r="W211" s="1689"/>
      <c r="X211" s="3010"/>
      <c r="Y211" s="3010"/>
      <c r="Z211" s="1881"/>
      <c r="AA211" s="1883"/>
      <c r="AB211" s="3066"/>
      <c r="AC211" s="3066"/>
      <c r="AD211" s="3066"/>
      <c r="AE211" s="3066"/>
      <c r="AF211" s="3066"/>
      <c r="AG211" s="3066"/>
      <c r="AH211" s="3066"/>
      <c r="AI211" s="3067"/>
    </row>
    <row s="10365" customFormat="1" customHeight="1" ht="15">
      <c r="D212" s="3365"/>
      <c r="E212" s="3052"/>
      <c r="F212" s="3052"/>
      <c r="G212" s="3057"/>
      <c r="H212" s="1696"/>
      <c r="I212" s="3063"/>
      <c r="J212" s="3018"/>
      <c r="K212" s="1706"/>
      <c r="L212" s="3010"/>
      <c r="M212" s="3010"/>
      <c r="N212" s="1686"/>
      <c r="O212" s="3010"/>
      <c r="P212" s="3018"/>
      <c r="Q212" s="1885"/>
      <c r="R212" s="3010"/>
      <c r="S212" s="3010"/>
      <c r="T212" s="1953"/>
      <c r="U212" s="1693"/>
      <c r="V212" s="3066"/>
      <c r="W212" s="3066"/>
      <c r="X212" s="3066"/>
      <c r="Y212" s="3066"/>
      <c r="Z212" s="3066"/>
      <c r="AA212" s="3066"/>
      <c r="AB212" s="3066"/>
      <c r="AC212" s="3066"/>
      <c r="AD212" s="3066"/>
      <c r="AE212" s="3066"/>
      <c r="AF212" s="3066"/>
      <c r="AG212" s="3066"/>
      <c r="AH212" s="3066"/>
      <c r="AI212" s="3067"/>
    </row>
    <row s="10365" customFormat="1" customHeight="1" ht="11.25">
      <c r="D213" s="3365"/>
      <c r="E213" s="3052"/>
      <c r="F213" s="3052"/>
      <c r="G213" s="3057"/>
      <c r="H213" s="1697"/>
      <c r="I213" s="3063"/>
      <c r="J213" s="3018"/>
      <c r="K213" s="1706"/>
      <c r="L213" s="3010"/>
      <c r="M213" s="3010"/>
      <c r="N213" s="1883"/>
      <c r="O213" s="1883"/>
      <c r="P213" s="3066"/>
      <c r="Q213" s="3066"/>
      <c r="R213" s="3066"/>
      <c r="S213" s="3066"/>
      <c r="T213" s="3066"/>
      <c r="U213" s="3066"/>
      <c r="V213" s="3066"/>
      <c r="W213" s="3066"/>
      <c r="X213" s="3066"/>
      <c r="Y213" s="3066"/>
      <c r="Z213" s="3066"/>
      <c r="AA213" s="3066"/>
      <c r="AB213" s="3066"/>
      <c r="AC213" s="3066"/>
      <c r="AD213" s="3066"/>
      <c r="AE213" s="3066"/>
      <c r="AF213" s="3066"/>
      <c r="AG213" s="3066"/>
      <c r="AH213" s="3066"/>
      <c r="AI213" s="3067"/>
    </row>
    <row s="10653" customFormat="1" customHeight="1" ht="11.25">
      <c r="D214" s="3365"/>
      <c r="E214" s="3052"/>
      <c r="F214" s="3052"/>
      <c r="G214" s="3068"/>
      <c r="H214" s="1694"/>
      <c r="I214" s="1698"/>
      <c r="J214" s="3064"/>
      <c r="K214" s="3064"/>
      <c r="L214" s="3064"/>
      <c r="M214" s="3064"/>
      <c r="N214" s="3064"/>
      <c r="O214" s="3064"/>
      <c r="P214" s="3064"/>
      <c r="Q214" s="3064"/>
      <c r="R214" s="3064"/>
      <c r="S214" s="3064"/>
      <c r="T214" s="3064"/>
      <c r="U214" s="3064"/>
      <c r="V214" s="3064"/>
      <c r="W214" s="3064"/>
      <c r="X214" s="3064"/>
      <c r="Y214" s="3064"/>
      <c r="Z214" s="3064"/>
      <c r="AA214" s="3064"/>
      <c r="AB214" s="3064"/>
      <c r="AC214" s="3064"/>
      <c r="AD214" s="3064"/>
      <c r="AE214" s="3064"/>
      <c r="AF214" s="3064"/>
      <c r="AG214" s="3064"/>
      <c r="AH214" s="3064"/>
      <c r="AI214" s="3065"/>
      <c r="BK214" s="1670"/>
    </row>
    <row customHeight="1" ht="17.25"/>
  </sheetData>
  <sheetProtection formatColumns="0" formatRows="0" autoFilter="0" sort="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4F8EA-D175-7FC5-FEE3-02A80B58C29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48" width="43.140625"/>
    <col min="2" max="2" style="13448" width="43.140625" hidden="1"/>
    <col min="3" max="3" style="13448" width="43.140625"/>
    <col min="4" max="5" style="13448" width="36.421875" customWidth="1"/>
    <col min="6" max="8" style="13449" width="36.421875" customWidth="1"/>
  </cols>
  <sheetData>
    <row customHeight="1" ht="9">
      <c r="A1" s="947" t="s">
        <v>2180</v>
      </c>
      <c r="B1" s="947"/>
      <c r="C1" s="1082" t="s">
        <v>2181</v>
      </c>
      <c r="D1" s="1080" t="s">
        <v>966</v>
      </c>
      <c r="E1" s="1080" t="s">
        <v>1018</v>
      </c>
      <c r="F1" s="1080" t="s">
        <v>1071</v>
      </c>
      <c r="G1" s="1080" t="s">
        <v>1058</v>
      </c>
      <c r="H1" s="1080" t="s">
        <v>1871</v>
      </c>
    </row>
    <row customHeight="1" ht="9">
      <c r="A2" s="1083" t="s">
        <v>2182</v>
      </c>
      <c r="B2" s="1083"/>
      <c r="C2" s="1084" t="str">
        <f>INDEX(TEMPLATE_NUMBER_FORM_LIST,MATCH(TEMPLATE_SPHERE,TEMPLATE_SPHERE_LIST,0))</f>
        <v>16</v>
      </c>
      <c r="D2" s="1083" t="s">
        <v>1230</v>
      </c>
      <c r="E2" s="1083" t="s">
        <v>236</v>
      </c>
      <c r="F2" s="1085" t="s">
        <v>236</v>
      </c>
      <c r="G2" s="1083" t="s">
        <v>236</v>
      </c>
      <c r="H2" s="1086"/>
    </row>
    <row customHeight="1" ht="63">
      <c r="A3" s="947"/>
      <c r="B3" s="947" t="s">
        <v>144</v>
      </c>
      <c r="C3" s="10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84" t="s">
        <v>2183</v>
      </c>
      <c r="E3" s="10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85"/>
      <c r="G3" s="1086"/>
      <c r="H3" s="947"/>
    </row>
    <row customHeight="1" ht="243">
      <c r="A4" s="947" t="s">
        <v>2184</v>
      </c>
      <c r="B4" s="947" t="s">
        <v>102</v>
      </c>
      <c r="C4" s="10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83" t="s">
        <v>2185</v>
      </c>
      <c r="E4" s="10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83"/>
      <c r="G4" s="1083"/>
      <c r="H4" s="947" t="s">
        <v>2186</v>
      </c>
    </row>
    <row customHeight="1" ht="117">
      <c r="A5" s="947" t="s">
        <v>2187</v>
      </c>
      <c r="B5" s="947" t="s">
        <v>90</v>
      </c>
      <c r="C5" s="10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47" t="s">
        <v>2188</v>
      </c>
      <c r="E5" s="9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86"/>
      <c r="G5" s="1086"/>
      <c r="H5" s="947" t="s">
        <v>2189</v>
      </c>
    </row>
    <row customHeight="1" ht="90">
      <c r="A6" s="947" t="s">
        <v>2190</v>
      </c>
      <c r="B6" s="947" t="s">
        <v>91</v>
      </c>
      <c r="C6" s="10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47"/>
      <c r="G6" s="947"/>
      <c r="H6" s="1086"/>
    </row>
    <row customHeight="1" ht="45">
      <c r="A7" s="947" t="s">
        <v>2191</v>
      </c>
      <c r="B7" s="947" t="s">
        <v>121</v>
      </c>
      <c r="C7" s="1084" t="str">
        <f>IF(TEMPLATE_SPHERE="HEAT",D7,E7)</f>
        <v>Форма 11. Информация о расходах на капитальный и текущий ремонт основных средств</v>
      </c>
      <c r="D7" s="947" t="s">
        <v>2192</v>
      </c>
      <c r="E7" s="947" t="s">
        <v>2193</v>
      </c>
      <c r="F7" s="1086"/>
      <c r="G7" s="1086"/>
      <c r="H7" s="1086"/>
    </row>
    <row customHeight="1" ht="108">
      <c r="A8" s="947" t="s">
        <v>2194</v>
      </c>
      <c r="B8" s="947" t="s">
        <v>92</v>
      </c>
      <c r="C8" s="10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47" t="s">
        <v>1450</v>
      </c>
      <c r="E8" s="947" t="s">
        <v>2195</v>
      </c>
      <c r="F8" s="1086"/>
      <c r="G8" s="1086"/>
      <c r="H8" s="1086"/>
    </row>
    <row customHeight="1" ht="99">
      <c r="A9" s="947" t="s">
        <v>2196</v>
      </c>
      <c r="B9" s="947"/>
      <c r="C9" s="947" t="s">
        <v>2197</v>
      </c>
      <c r="D9" s="947"/>
      <c r="E9" s="947"/>
      <c r="F9" s="1086"/>
      <c r="G9" s="1086"/>
      <c r="H9" s="1086"/>
    </row>
    <row customHeight="1" ht="126">
      <c r="A10" s="947" t="s">
        <v>2198</v>
      </c>
      <c r="B10" s="947"/>
      <c r="C10" s="947" t="s">
        <v>2199</v>
      </c>
      <c r="D10" s="947"/>
      <c r="E10" s="947"/>
      <c r="F10" s="1086"/>
      <c r="G10" s="1086"/>
      <c r="H10" s="1086"/>
    </row>
    <row customHeight="1" ht="108">
      <c r="A11" s="947" t="s">
        <v>2200</v>
      </c>
      <c r="B11" s="947"/>
      <c r="C11" s="947" t="s">
        <v>2201</v>
      </c>
      <c r="D11" s="947"/>
      <c r="E11" s="947"/>
      <c r="F11" s="1086"/>
      <c r="G11" s="1086"/>
      <c r="H11" s="1086"/>
    </row>
    <row customHeight="1" ht="54">
      <c r="A12" s="947" t="s">
        <v>2202</v>
      </c>
      <c r="B12" s="947"/>
      <c r="C12" s="947" t="s">
        <v>2203</v>
      </c>
      <c r="D12" s="947"/>
      <c r="E12" s="947"/>
      <c r="F12" s="1086"/>
      <c r="G12" s="1086"/>
      <c r="H12" s="1086"/>
    </row>
    <row customHeight="1" ht="45">
      <c r="A13" s="947" t="s">
        <v>2204</v>
      </c>
      <c r="B13" s="947"/>
      <c r="C13" s="947" t="s">
        <v>2205</v>
      </c>
      <c r="D13" s="947"/>
      <c r="E13" s="947"/>
      <c r="F13" s="1086"/>
      <c r="G13" s="1086"/>
      <c r="H13" s="1086"/>
    </row>
    <row customHeight="1" ht="117">
      <c r="A14" s="947" t="s">
        <v>2206</v>
      </c>
      <c r="B14" s="947"/>
      <c r="C14" s="947" t="s">
        <v>2207</v>
      </c>
      <c r="D14" s="947"/>
      <c r="E14" s="947"/>
      <c r="F14" s="1086"/>
      <c r="G14" s="1086"/>
      <c r="H14" s="1086"/>
    </row>
    <row customHeight="1" ht="117">
      <c r="A15" s="947" t="s">
        <v>2208</v>
      </c>
      <c r="B15" s="947"/>
      <c r="C15" s="947" t="s">
        <v>2209</v>
      </c>
      <c r="D15" s="947"/>
      <c r="E15" s="947"/>
      <c r="F15" s="1086"/>
      <c r="G15" s="1086"/>
      <c r="H15" s="1086"/>
    </row>
    <row customHeight="1" ht="63">
      <c r="A16" s="947" t="s">
        <v>2210</v>
      </c>
      <c r="B16" s="947"/>
      <c r="C16" s="947" t="s">
        <v>2211</v>
      </c>
      <c r="D16" s="947"/>
      <c r="E16" s="947"/>
      <c r="F16" s="1086"/>
      <c r="G16" s="1086"/>
      <c r="H16" s="1086"/>
    </row>
    <row customHeight="1" ht="54">
      <c r="A17" s="947" t="s">
        <v>2212</v>
      </c>
      <c r="B17" s="947"/>
      <c r="C17" s="1084" t="s">
        <v>2213</v>
      </c>
      <c r="D17" s="947"/>
      <c r="E17" s="947"/>
      <c r="F17" s="1086"/>
      <c r="G17" s="1086"/>
      <c r="H17" s="1086"/>
    </row>
    <row customHeight="1" ht="27">
      <c r="A18" s="947" t="s">
        <v>2214</v>
      </c>
      <c r="B18" s="947"/>
      <c r="C18" s="1084" t="s">
        <v>2215</v>
      </c>
      <c r="D18" s="947"/>
      <c r="E18" s="947"/>
      <c r="F18" s="1086"/>
      <c r="G18" s="1086"/>
      <c r="H18" s="1086"/>
    </row>
    <row customHeight="1" ht="54">
      <c r="A19" s="947" t="s">
        <v>2216</v>
      </c>
      <c r="B19" s="947"/>
      <c r="C19" s="1084" t="s">
        <v>2217</v>
      </c>
      <c r="D19" s="947"/>
      <c r="E19" s="947"/>
      <c r="F19" s="1086"/>
      <c r="G19" s="1086"/>
      <c r="H19" s="1086"/>
    </row>
    <row customHeight="1" ht="36">
      <c r="A20" s="947" t="s">
        <v>2218</v>
      </c>
      <c r="B20" s="947"/>
      <c r="C20" s="1084" t="s">
        <v>2219</v>
      </c>
      <c r="D20" s="947"/>
      <c r="E20" s="947"/>
      <c r="F20" s="1086"/>
      <c r="G20" s="1086"/>
      <c r="H20" s="1086"/>
    </row>
    <row customHeight="1" ht="36">
      <c r="A21" s="947" t="s">
        <v>2220</v>
      </c>
      <c r="B21" s="947"/>
      <c r="C21" s="1084" t="s">
        <v>2221</v>
      </c>
      <c r="D21" s="947"/>
      <c r="E21" s="947"/>
      <c r="F21" s="1086"/>
      <c r="G21" s="1086"/>
      <c r="H21" s="1086"/>
    </row>
    <row customHeight="1" ht="27">
      <c r="A22" s="947" t="s">
        <v>2222</v>
      </c>
      <c r="B22" s="947"/>
      <c r="C22" s="1084" t="s">
        <v>2223</v>
      </c>
      <c r="D22" s="947"/>
      <c r="E22" s="947"/>
      <c r="F22" s="1086"/>
      <c r="G22" s="1086"/>
      <c r="H22" s="1086"/>
    </row>
    <row customHeight="1" ht="36">
      <c r="A23" s="947" t="s">
        <v>2224</v>
      </c>
      <c r="B23" s="947"/>
      <c r="C23" s="1084" t="s">
        <v>2225</v>
      </c>
      <c r="D23" s="947"/>
      <c r="E23" s="947"/>
      <c r="F23" s="1086"/>
      <c r="G23" s="1086"/>
      <c r="H23" s="1086"/>
    </row>
    <row customHeight="1" ht="28.5">
      <c r="A24" s="947" t="s">
        <v>2226</v>
      </c>
      <c r="B24" s="947"/>
      <c r="C24" s="1084" t="s">
        <v>2227</v>
      </c>
      <c r="D24" s="947"/>
      <c r="E24" s="947"/>
      <c r="F24" s="1086"/>
      <c r="G24" s="1086"/>
      <c r="H24" s="1086"/>
    </row>
    <row customHeight="1" ht="36">
      <c r="A25" s="947" t="s">
        <v>2228</v>
      </c>
      <c r="B25" s="947"/>
      <c r="C25" s="1084" t="s">
        <v>2229</v>
      </c>
      <c r="D25" s="947"/>
      <c r="E25" s="947"/>
      <c r="F25" s="1086"/>
      <c r="G25" s="1086"/>
      <c r="H25" s="1086"/>
    </row>
    <row customHeight="1" ht="27">
      <c r="A26" s="947" t="s">
        <v>2230</v>
      </c>
      <c r="B26" s="947"/>
      <c r="C26" s="1084" t="s">
        <v>2231</v>
      </c>
      <c r="D26" s="947"/>
      <c r="E26" s="947"/>
      <c r="F26" s="1086"/>
      <c r="G26" s="1086"/>
      <c r="H26" s="1086"/>
    </row>
    <row customHeight="1" ht="36">
      <c r="A27" s="947" t="s">
        <v>2232</v>
      </c>
      <c r="B27" s="947"/>
      <c r="C27" s="1084" t="s">
        <v>2233</v>
      </c>
      <c r="D27" s="947"/>
      <c r="E27" s="947"/>
      <c r="F27" s="1086"/>
      <c r="G27" s="1086"/>
      <c r="H27" s="1086"/>
    </row>
    <row customHeight="1" ht="28.5">
      <c r="A28" s="947" t="s">
        <v>2234</v>
      </c>
      <c r="B28" s="947"/>
      <c r="C28" s="1084" t="s">
        <v>2235</v>
      </c>
      <c r="D28" s="947"/>
      <c r="E28" s="947"/>
      <c r="F28" s="1086"/>
      <c r="G28" s="1086"/>
      <c r="H28" s="1086"/>
    </row>
    <row customHeight="1" ht="126">
      <c r="A29" s="947" t="s">
        <v>2236</v>
      </c>
      <c r="B29" s="947" t="s">
        <v>1256</v>
      </c>
      <c r="C29" s="10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47" t="s">
        <v>2237</v>
      </c>
      <c r="E29" s="9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86"/>
      <c r="G29" s="1086"/>
      <c r="H29" s="947" t="s">
        <v>2238</v>
      </c>
    </row>
    <row customHeight="1" ht="36">
      <c r="A30" s="947" t="s">
        <v>2239</v>
      </c>
      <c r="B30" s="947"/>
      <c r="C30" s="10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47" t="s">
        <v>2240</v>
      </c>
      <c r="E30" s="9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86"/>
      <c r="G30" s="1086"/>
      <c r="H30" s="1086"/>
    </row>
    <row customHeight="1" ht="54">
      <c r="A31" s="947" t="s">
        <v>2241</v>
      </c>
      <c r="B31" s="947"/>
      <c r="C31" s="10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47" t="s">
        <v>2242</v>
      </c>
      <c r="E31" s="9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86"/>
      <c r="G31" s="1086"/>
      <c r="H31" s="1086"/>
    </row>
    <row customHeight="1" ht="198">
      <c r="A32" s="947" t="s">
        <v>2243</v>
      </c>
      <c r="B32" s="947"/>
      <c r="C32" s="10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47" t="s">
        <v>2244</v>
      </c>
      <c r="E32" s="9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86"/>
      <c r="G32" s="1086"/>
      <c r="H32" s="947" t="s">
        <v>2245</v>
      </c>
    </row>
    <row customHeight="1" ht="9">
      <c r="A33" s="947"/>
      <c r="B33" s="947"/>
      <c r="C33" s="1084"/>
      <c r="D33" s="947"/>
      <c r="E33" s="947"/>
      <c r="F33" s="1086"/>
      <c r="G33" s="1086"/>
      <c r="H33" s="1086"/>
    </row>
    <row customHeight="1" ht="9">
      <c r="A34" s="947"/>
      <c r="B34" s="947" t="s">
        <v>1237</v>
      </c>
      <c r="C34" s="1084">
        <f>INDEX(TEMPLATE_NAME_FORM_LIST,B34,MATCH(TEMPLATE_SPHERE,TEMPLATE_SPHERE_LIST,0))</f>
        <v>0</v>
      </c>
      <c r="D34" s="947"/>
      <c r="E34" s="947"/>
      <c r="F34" s="1086"/>
      <c r="G34" s="1086"/>
      <c r="H34" s="1086"/>
    </row>
  </sheetData>
  <sheetProtection autoFilter="0" sort="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399CA5-025F-1F08-FCD5-28D6EA44831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48" width="9.140625"/>
    <col min="3" max="7" style="13492" width="8.00390625" customWidth="1"/>
    <col min="8" max="12" style="13492" width="8.57421875" customWidth="1"/>
    <col min="13" max="14" style="13492" width="27.7109375" customWidth="1"/>
    <col min="15" max="19" style="13492" width="5.140625" customWidth="1"/>
    <col min="20" max="24" style="13492" width="27.7109375" customWidth="1"/>
    <col min="25" max="25" style="13493" width="1.8515625" customWidth="1"/>
    <col min="26" max="26" style="13448" width="27.7109375" customWidth="1"/>
    <col min="27" max="27" style="13494" width="27.7109375" customWidth="1"/>
    <col min="28" max="29" style="13448" width="27.7109375" customWidth="1"/>
    <col min="30" max="30" style="13448" width="3.8515625" customWidth="1"/>
    <col min="31" max="34" style="13448" width="9.140625"/>
  </cols>
  <sheetData>
    <row s="13450" customFormat="1" customHeight="1" ht="18">
      <c r="A1" s="998"/>
      <c r="B1" s="998"/>
      <c r="C1" s="998" t="s">
        <v>2246</v>
      </c>
      <c r="D1" s="998"/>
      <c r="E1" s="998"/>
      <c r="F1" s="998"/>
      <c r="G1" s="998"/>
      <c r="H1" s="998" t="s">
        <v>2247</v>
      </c>
      <c r="I1" s="998"/>
      <c r="J1" s="998"/>
      <c r="K1" s="998"/>
      <c r="L1" s="998"/>
      <c r="M1" s="998" t="s">
        <v>2248</v>
      </c>
      <c r="N1" s="998" t="s">
        <v>2249</v>
      </c>
      <c r="O1" s="3378" t="s">
        <v>2250</v>
      </c>
      <c r="P1" s="3378"/>
      <c r="Q1" s="3378"/>
      <c r="R1" s="3378"/>
      <c r="S1" s="3378"/>
      <c r="T1" s="3378" t="s">
        <v>2248</v>
      </c>
      <c r="U1" s="3378"/>
      <c r="V1" s="3378"/>
      <c r="W1" s="3378"/>
      <c r="X1" s="3378"/>
      <c r="Y1" s="1099"/>
      <c r="Z1" s="3378" t="s">
        <v>2251</v>
      </c>
      <c r="AA1" s="3378"/>
      <c r="AB1" s="3378"/>
      <c r="AC1" s="3378"/>
      <c r="AD1" s="3378"/>
    </row>
    <row customHeight="1" ht="18">
      <c r="A2" s="947"/>
      <c r="B2" s="947"/>
      <c r="C2" s="942" t="s">
        <v>966</v>
      </c>
      <c r="D2" s="942" t="s">
        <v>1018</v>
      </c>
      <c r="E2" s="942" t="s">
        <v>1071</v>
      </c>
      <c r="F2" s="942" t="s">
        <v>1058</v>
      </c>
      <c r="G2" s="942" t="s">
        <v>1871</v>
      </c>
      <c r="H2" s="944"/>
      <c r="I2" s="944"/>
      <c r="J2" s="944"/>
      <c r="K2" s="944"/>
      <c r="L2" s="944"/>
      <c r="M2" s="944"/>
      <c r="N2" s="944"/>
      <c r="O2" s="942" t="s">
        <v>966</v>
      </c>
      <c r="P2" s="942" t="s">
        <v>1018</v>
      </c>
      <c r="Q2" s="942" t="s">
        <v>1058</v>
      </c>
      <c r="R2" s="942" t="s">
        <v>1071</v>
      </c>
      <c r="S2" s="942" t="s">
        <v>1871</v>
      </c>
      <c r="T2" s="942" t="s">
        <v>966</v>
      </c>
      <c r="U2" s="942" t="s">
        <v>1018</v>
      </c>
      <c r="V2" s="942" t="s">
        <v>1058</v>
      </c>
      <c r="W2" s="942" t="s">
        <v>1071</v>
      </c>
      <c r="X2" s="942" t="s">
        <v>1871</v>
      </c>
      <c r="Y2" s="942"/>
      <c r="Z2" s="942" t="s">
        <v>966</v>
      </c>
      <c r="AA2" s="951" t="s">
        <v>1018</v>
      </c>
      <c r="AB2" s="942" t="s">
        <v>1058</v>
      </c>
      <c r="AC2" s="942" t="s">
        <v>1071</v>
      </c>
      <c r="AD2" s="942" t="s">
        <v>1871</v>
      </c>
    </row>
    <row customHeight="1" ht="162">
      <c r="A3" s="946" t="s">
        <v>27</v>
      </c>
      <c r="B3" s="946"/>
      <c r="C3" s="3382" t="s">
        <v>2252</v>
      </c>
      <c r="D3" s="3383"/>
      <c r="E3" s="3383"/>
      <c r="F3" s="3384"/>
      <c r="G3" s="944"/>
      <c r="H3" s="944"/>
      <c r="I3" s="944"/>
      <c r="J3" s="944"/>
      <c r="K3" s="944"/>
      <c r="L3" s="944"/>
      <c r="M3" s="944"/>
      <c r="N3" s="9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44"/>
      <c r="P3" s="944"/>
      <c r="Q3" s="944"/>
      <c r="R3" s="944"/>
      <c r="S3" s="944"/>
      <c r="T3" s="944"/>
      <c r="U3" s="944"/>
      <c r="V3" s="944"/>
      <c r="W3" s="944"/>
      <c r="X3" s="944"/>
      <c r="Y3" s="1100"/>
      <c r="Z3" s="947" t="s">
        <v>2253</v>
      </c>
      <c r="AA3" s="944" t="s">
        <v>2254</v>
      </c>
      <c r="AB3" s="947" t="s">
        <v>2255</v>
      </c>
      <c r="AC3" s="947" t="s">
        <v>2256</v>
      </c>
      <c r="AD3" s="947"/>
      <c r="AG3" s="947"/>
      <c r="AH3" s="947"/>
    </row>
    <row customHeight="1" ht="9">
      <c r="A4" s="946"/>
      <c r="B4" s="946"/>
      <c r="C4" s="944"/>
      <c r="D4" s="944"/>
      <c r="E4" s="944"/>
      <c r="F4" s="944"/>
      <c r="G4" s="944"/>
      <c r="H4" s="944"/>
      <c r="I4" s="944"/>
      <c r="J4" s="944"/>
      <c r="K4" s="944"/>
      <c r="L4" s="944"/>
      <c r="M4" s="944"/>
      <c r="N4" s="944"/>
      <c r="O4" s="944"/>
      <c r="P4" s="944"/>
      <c r="Q4" s="944"/>
      <c r="R4" s="944"/>
      <c r="S4" s="944"/>
      <c r="T4" s="944"/>
      <c r="U4" s="944"/>
      <c r="V4" s="944"/>
      <c r="W4" s="944"/>
      <c r="X4" s="944"/>
      <c r="Y4" s="1100"/>
      <c r="Z4" s="947"/>
      <c r="AA4" s="950"/>
      <c r="AB4" s="947"/>
      <c r="AC4" s="947"/>
      <c r="AD4" s="947"/>
    </row>
    <row customHeight="1" ht="9">
      <c r="A5" s="946"/>
      <c r="B5" s="946"/>
      <c r="C5" s="944"/>
      <c r="D5" s="944"/>
      <c r="E5" s="944"/>
      <c r="F5" s="944"/>
      <c r="G5" s="944"/>
      <c r="H5" s="944"/>
      <c r="I5" s="944"/>
      <c r="J5" s="944"/>
      <c r="K5" s="944"/>
      <c r="L5" s="944"/>
      <c r="M5" s="944"/>
      <c r="N5" s="944"/>
      <c r="O5" s="944"/>
      <c r="P5" s="944"/>
      <c r="Q5" s="944"/>
      <c r="R5" s="944"/>
      <c r="S5" s="944"/>
      <c r="T5" s="944"/>
      <c r="U5" s="944"/>
      <c r="V5" s="944"/>
      <c r="W5" s="944"/>
      <c r="X5" s="944"/>
      <c r="Y5" s="1100"/>
      <c r="Z5" s="947"/>
      <c r="AA5" s="950"/>
      <c r="AB5" s="947"/>
      <c r="AC5" s="947"/>
      <c r="AD5" s="947"/>
    </row>
    <row customHeight="1" ht="9">
      <c r="A6" s="946"/>
      <c r="B6" s="946"/>
      <c r="C6" s="944"/>
      <c r="D6" s="944"/>
      <c r="E6" s="944"/>
      <c r="F6" s="944"/>
      <c r="G6" s="944"/>
      <c r="H6" s="944"/>
      <c r="I6" s="944"/>
      <c r="J6" s="944"/>
      <c r="K6" s="944"/>
      <c r="L6" s="944"/>
      <c r="M6" s="944"/>
      <c r="N6" s="944"/>
      <c r="O6" s="944"/>
      <c r="P6" s="944"/>
      <c r="Q6" s="944"/>
      <c r="R6" s="944"/>
      <c r="S6" s="944"/>
      <c r="T6" s="944"/>
      <c r="U6" s="944"/>
      <c r="V6" s="944"/>
      <c r="W6" s="944"/>
      <c r="X6" s="944"/>
      <c r="Y6" s="1100"/>
      <c r="Z6" s="947"/>
      <c r="AA6" s="950"/>
      <c r="AB6" s="947"/>
      <c r="AC6" s="947"/>
      <c r="AD6" s="947"/>
    </row>
    <row customHeight="1" ht="9">
      <c r="A7" s="946"/>
      <c r="B7" s="946"/>
      <c r="C7" s="944"/>
      <c r="D7" s="944"/>
      <c r="E7" s="944"/>
      <c r="F7" s="944"/>
      <c r="G7" s="944"/>
      <c r="H7" s="944"/>
      <c r="I7" s="944"/>
      <c r="J7" s="944"/>
      <c r="K7" s="944"/>
      <c r="L7" s="944"/>
      <c r="M7" s="944"/>
      <c r="N7" s="944"/>
      <c r="O7" s="944"/>
      <c r="P7" s="944"/>
      <c r="Q7" s="944"/>
      <c r="R7" s="944"/>
      <c r="S7" s="944"/>
      <c r="T7" s="944"/>
      <c r="U7" s="944"/>
      <c r="V7" s="944"/>
      <c r="W7" s="944"/>
      <c r="X7" s="944"/>
      <c r="Y7" s="1100"/>
      <c r="Z7" s="947"/>
      <c r="AA7" s="950"/>
      <c r="AB7" s="947"/>
      <c r="AC7" s="947"/>
      <c r="AD7" s="947"/>
    </row>
    <row customHeight="1" ht="9">
      <c r="A8" s="946"/>
      <c r="B8" s="946"/>
      <c r="C8" s="944"/>
      <c r="D8" s="944"/>
      <c r="E8" s="944"/>
      <c r="F8" s="944"/>
      <c r="G8" s="944"/>
      <c r="H8" s="944"/>
      <c r="I8" s="944"/>
      <c r="J8" s="944"/>
      <c r="K8" s="944"/>
      <c r="L8" s="944"/>
      <c r="M8" s="944"/>
      <c r="N8" s="944"/>
      <c r="O8" s="944"/>
      <c r="P8" s="944"/>
      <c r="Q8" s="944"/>
      <c r="R8" s="944"/>
      <c r="S8" s="944"/>
      <c r="T8" s="944"/>
      <c r="U8" s="944"/>
      <c r="V8" s="944"/>
      <c r="W8" s="944"/>
      <c r="X8" s="944"/>
      <c r="Y8" s="1100"/>
      <c r="Z8" s="947"/>
      <c r="AA8" s="950"/>
      <c r="AB8" s="947"/>
      <c r="AC8" s="947"/>
      <c r="AD8" s="947"/>
    </row>
    <row customHeight="1" ht="9">
      <c r="A9" s="946"/>
      <c r="B9" s="946"/>
      <c r="C9" s="944"/>
      <c r="D9" s="944"/>
      <c r="E9" s="944"/>
      <c r="F9" s="944"/>
      <c r="G9" s="944"/>
      <c r="H9" s="944"/>
      <c r="I9" s="944"/>
      <c r="J9" s="944"/>
      <c r="K9" s="944"/>
      <c r="L9" s="944"/>
      <c r="M9" s="944"/>
      <c r="N9" s="944"/>
      <c r="O9" s="944"/>
      <c r="P9" s="944"/>
      <c r="Q9" s="944"/>
      <c r="R9" s="944"/>
      <c r="S9" s="944"/>
      <c r="T9" s="944"/>
      <c r="U9" s="944"/>
      <c r="V9" s="944"/>
      <c r="W9" s="944"/>
      <c r="X9" s="944"/>
      <c r="Y9" s="1100"/>
      <c r="Z9" s="947"/>
      <c r="AA9" s="950"/>
      <c r="AB9" s="947"/>
      <c r="AC9" s="947"/>
      <c r="AD9" s="947"/>
    </row>
    <row customHeight="1" ht="9">
      <c r="A10" s="999"/>
      <c r="B10" s="999"/>
      <c r="C10" s="999"/>
      <c r="D10" s="999"/>
      <c r="E10" s="999"/>
      <c r="F10" s="999"/>
      <c r="G10" s="999"/>
      <c r="H10" s="999"/>
      <c r="I10" s="999"/>
      <c r="J10" s="999"/>
      <c r="K10" s="999"/>
      <c r="L10" s="999"/>
      <c r="M10" s="999"/>
      <c r="N10" s="999"/>
      <c r="O10" s="999"/>
      <c r="P10" s="999"/>
      <c r="Q10" s="999"/>
      <c r="R10" s="999"/>
      <c r="S10" s="999"/>
      <c r="T10" s="999"/>
      <c r="U10" s="999"/>
      <c r="V10" s="999"/>
      <c r="W10" s="999"/>
      <c r="X10" s="999"/>
      <c r="Y10" s="999"/>
      <c r="Z10" s="999"/>
      <c r="AA10" s="999"/>
      <c r="AB10" s="999"/>
      <c r="AC10" s="999"/>
      <c r="AD10" s="999"/>
    </row>
    <row customHeight="1" ht="45">
      <c r="A11" s="3379" t="s">
        <v>33</v>
      </c>
      <c r="B11" s="999">
        <v>1</v>
      </c>
      <c r="C11" s="3385" t="s">
        <v>1252</v>
      </c>
      <c r="D11" s="3385" t="s">
        <v>1250</v>
      </c>
      <c r="E11" s="3385" t="s">
        <v>128</v>
      </c>
      <c r="F11" s="3385" t="s">
        <v>2257</v>
      </c>
      <c r="G11" s="3385"/>
      <c r="H11" s="998" t="s">
        <v>2258</v>
      </c>
      <c r="I11" s="998"/>
      <c r="J11" s="998"/>
      <c r="K11" s="998"/>
      <c r="L11" s="998"/>
      <c r="M11" s="945" t="str">
        <f>IF(TEMPLATE_SPHERE="HEAT",T11,U11)</f>
        <v>Количество поданных заявок</v>
      </c>
      <c r="N11" s="9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44"/>
      <c r="P11" s="944"/>
      <c r="Q11" s="944"/>
      <c r="R11" s="944"/>
      <c r="S11" s="944"/>
      <c r="T11" s="944" t="s">
        <v>2259</v>
      </c>
      <c r="U11" s="944" t="s">
        <v>2260</v>
      </c>
      <c r="V11" s="944"/>
      <c r="W11" s="944"/>
      <c r="X11" s="944"/>
      <c r="Y11" s="1100"/>
      <c r="Z11" s="947" t="s">
        <v>2261</v>
      </c>
      <c r="AA11" s="9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47"/>
      <c r="AC11" s="947"/>
      <c r="AD11" s="947"/>
    </row>
    <row customHeight="1" ht="45">
      <c r="A12" s="3379"/>
      <c r="B12" s="999">
        <v>2</v>
      </c>
      <c r="C12" s="3386"/>
      <c r="D12" s="3386"/>
      <c r="E12" s="3386"/>
      <c r="F12" s="3386"/>
      <c r="G12" s="3386"/>
      <c r="H12" s="998" t="s">
        <v>2262</v>
      </c>
      <c r="I12" s="998"/>
      <c r="J12" s="998"/>
      <c r="K12" s="998"/>
      <c r="L12" s="998"/>
      <c r="M12" s="945" t="str">
        <f>IF(TEMPLATE_SPHERE="HEAT",T12,U12)</f>
        <v>Количество рассмотренных заявок</v>
      </c>
      <c r="N12" s="9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44"/>
      <c r="P12" s="944"/>
      <c r="Q12" s="944"/>
      <c r="R12" s="944"/>
      <c r="S12" s="944"/>
      <c r="T12" s="944" t="s">
        <v>2263</v>
      </c>
      <c r="U12" s="944" t="s">
        <v>2264</v>
      </c>
      <c r="V12" s="944"/>
      <c r="W12" s="944"/>
      <c r="X12" s="944"/>
      <c r="Y12" s="1100"/>
      <c r="Z12" s="947" t="s">
        <v>2265</v>
      </c>
      <c r="AA12" s="9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47"/>
      <c r="AC12" s="947"/>
      <c r="AD12" s="947"/>
    </row>
    <row customHeight="1" ht="72">
      <c r="A13" s="3379"/>
      <c r="B13" s="999">
        <v>3</v>
      </c>
      <c r="C13" s="3386"/>
      <c r="D13" s="3386"/>
      <c r="E13" s="3386"/>
      <c r="F13" s="3386"/>
      <c r="G13" s="3386"/>
      <c r="H13" s="3378" t="s">
        <v>2266</v>
      </c>
      <c r="I13" s="998"/>
      <c r="J13" s="998"/>
      <c r="K13" s="998"/>
      <c r="L13" s="998"/>
      <c r="M13" s="9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45" t="str">
        <f>IF(TEMPLATE_SPHERE="HEAT",Z13,AA13)</f>
        <v>Указывается количество заявок с решением об отказе в течение отчетного квартала.</v>
      </c>
      <c r="O13" s="944"/>
      <c r="P13" s="945"/>
      <c r="Q13" s="945"/>
      <c r="R13" s="945"/>
      <c r="S13" s="944"/>
      <c r="T13" s="944" t="s">
        <v>2267</v>
      </c>
      <c r="U13" s="945" t="s">
        <v>2268</v>
      </c>
      <c r="V13" s="945"/>
      <c r="W13" s="945"/>
      <c r="X13" s="944"/>
      <c r="Y13" s="1100"/>
      <c r="Z13" s="947" t="s">
        <v>2269</v>
      </c>
      <c r="AA13" s="9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47"/>
      <c r="AC13" s="947"/>
      <c r="AD13" s="947"/>
    </row>
    <row customHeight="1" ht="45">
      <c r="A14" s="3379"/>
      <c r="B14" s="999">
        <v>4</v>
      </c>
      <c r="C14" s="3386"/>
      <c r="D14" s="3386"/>
      <c r="E14" s="3386"/>
      <c r="F14" s="3386"/>
      <c r="G14" s="3386"/>
      <c r="H14" s="3378"/>
      <c r="I14" s="1001"/>
      <c r="J14" s="1001"/>
      <c r="K14" s="1001"/>
      <c r="L14" s="1001"/>
      <c r="M14" s="948" t="str">
        <f>IF(TEMPLATE_SPHERE="HEAT",T14,U14)</f>
        <v>Причины отказа в заключении договора о подключении (технологическом присоединении) к системе теплоснабжения</v>
      </c>
      <c r="N14" s="9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44"/>
      <c r="P14" s="945"/>
      <c r="Q14" s="945"/>
      <c r="R14" s="945"/>
      <c r="S14" s="944"/>
      <c r="T14" s="944" t="s">
        <v>2270</v>
      </c>
      <c r="U14" s="9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45"/>
      <c r="W14" s="945"/>
      <c r="X14" s="944"/>
      <c r="Y14" s="1100"/>
      <c r="Z14" s="947" t="s">
        <v>2271</v>
      </c>
      <c r="AA14" s="950" t="s">
        <v>2271</v>
      </c>
      <c r="AB14" s="947"/>
      <c r="AC14" s="947"/>
      <c r="AD14" s="947"/>
    </row>
    <row customHeight="1" ht="108">
      <c r="A15" s="3379"/>
      <c r="B15" s="999">
        <v>5</v>
      </c>
      <c r="C15" s="3386"/>
      <c r="D15" s="3386"/>
      <c r="E15" s="3386"/>
      <c r="F15" s="3386"/>
      <c r="G15" s="3386"/>
      <c r="H15" s="3380" t="s">
        <v>2272</v>
      </c>
      <c r="I15" s="1000"/>
      <c r="J15" s="1000"/>
      <c r="K15" s="1000"/>
      <c r="L15" s="1000"/>
      <c r="M15" s="950" t="str">
        <f>IF(TEMPLATE_SPHERE="HEAT",T15,U15)</f>
        <v>Резерв мощности источников тепловой энергии, входящих в систему теплоснабжения, в течение одного квартала, в том числе:</v>
      </c>
      <c r="N15" s="9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44"/>
      <c r="P15" s="945"/>
      <c r="Q15" s="945"/>
      <c r="R15" s="945"/>
      <c r="S15" s="944"/>
      <c r="T15" s="944" t="s">
        <v>2273</v>
      </c>
      <c r="U15" s="9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45"/>
      <c r="W15" s="945"/>
      <c r="X15" s="944"/>
      <c r="Y15" s="1100"/>
      <c r="Z15" s="947" t="s">
        <v>2274</v>
      </c>
      <c r="AA15" s="9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47"/>
      <c r="AC15" s="947"/>
      <c r="AD15" s="947"/>
    </row>
    <row customHeight="1" ht="108">
      <c r="A16" s="999"/>
      <c r="B16" s="999">
        <v>6</v>
      </c>
      <c r="C16" s="3387"/>
      <c r="D16" s="3387"/>
      <c r="E16" s="3387"/>
      <c r="F16" s="3387"/>
      <c r="G16" s="3387"/>
      <c r="H16" s="3381"/>
      <c r="I16" s="1062"/>
      <c r="J16" s="1062"/>
      <c r="K16" s="1062"/>
      <c r="L16" s="1062"/>
      <c r="M16" s="992"/>
      <c r="N16" s="9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44"/>
      <c r="P16" s="945"/>
      <c r="Q16" s="945"/>
      <c r="R16" s="945"/>
      <c r="S16" s="944"/>
      <c r="T16" s="944"/>
      <c r="U16" s="945"/>
      <c r="V16" s="945"/>
      <c r="W16" s="945"/>
      <c r="X16" s="944"/>
      <c r="Y16" s="1100"/>
      <c r="Z16" s="947" t="s">
        <v>2274</v>
      </c>
      <c r="AA16" s="9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47"/>
      <c r="AC16" s="947"/>
      <c r="AD16" s="947"/>
    </row>
    <row customHeight="1" ht="9">
      <c r="A17" s="999"/>
      <c r="B17" s="999"/>
      <c r="C17" s="999">
        <v>22</v>
      </c>
      <c r="D17" s="999">
        <v>21</v>
      </c>
      <c r="E17" s="999">
        <v>42</v>
      </c>
      <c r="F17" s="999">
        <v>63</v>
      </c>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999"/>
    </row>
    <row customHeight="1" ht="27">
      <c r="A18" s="946" t="s">
        <v>1900</v>
      </c>
      <c r="B18" s="999">
        <v>1</v>
      </c>
      <c r="C18" s="944" t="s">
        <v>2258</v>
      </c>
      <c r="D18" s="1067" t="s">
        <v>2258</v>
      </c>
      <c r="E18" s="944" t="s">
        <v>2258</v>
      </c>
      <c r="F18" s="944" t="s">
        <v>2258</v>
      </c>
      <c r="G18" s="944"/>
      <c r="H18" s="1102"/>
      <c r="I18" s="1105">
        <f>INDEX(TEMPLATE_NUMBER_POINT_FHD,B18,MATCH(TEMPLATE_SPHERE,TEMPLATE_SPHERE_LIST_FOR_NOTE,0))</f>
        <v>1</v>
      </c>
      <c r="J18" s="1105" t="str">
        <f>INDEX(TEMPLATE_DATA_POINT_FHD,B18,MATCH(TEMPLATE_SPHERE,TEMPLATE_SPHERE_LIST_FOR_NOTE,0))</f>
        <v>Выручка от регулируемого вида деятельности с распределением по видам деятельности</v>
      </c>
      <c r="K18" s="11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45">
        <f>IF(I18=0,"",I18)</f>
        <v>1</v>
      </c>
      <c r="M18" s="945" t="str">
        <f>IF(J18=0,"",J18)</f>
        <v>Выручка от регулируемого вида деятельности с распределением по видам деятельности</v>
      </c>
      <c r="N18" s="945" t="str">
        <f>IF(K18=0,"",K18)</f>
        <v>Указывается выручка от регулируемого вида деятельности с распределением по видам деятельности.</v>
      </c>
      <c r="O18" s="1057">
        <v>1</v>
      </c>
      <c r="P18" s="1057">
        <v>1</v>
      </c>
      <c r="Q18" s="1057">
        <v>1</v>
      </c>
      <c r="R18" s="1057">
        <v>1</v>
      </c>
      <c r="S18" s="1057"/>
      <c r="T18" s="1064" t="s">
        <v>2275</v>
      </c>
      <c r="U18" s="947" t="s">
        <v>2276</v>
      </c>
      <c r="V18" s="947" t="s">
        <v>2277</v>
      </c>
      <c r="W18" s="947" t="s">
        <v>2278</v>
      </c>
      <c r="X18" s="944"/>
      <c r="Y18" s="1100"/>
      <c r="Z18" s="947" t="s">
        <v>2279</v>
      </c>
      <c r="AA18" s="950" t="s">
        <v>2280</v>
      </c>
      <c r="AB18" s="950" t="s">
        <v>2280</v>
      </c>
      <c r="AC18" s="950" t="s">
        <v>2280</v>
      </c>
      <c r="AD18" s="947"/>
    </row>
    <row customHeight="1" ht="36">
      <c r="A19" s="946"/>
      <c r="B19" s="999">
        <v>2</v>
      </c>
      <c r="C19" s="944" t="s">
        <v>2262</v>
      </c>
      <c r="D19" s="1067" t="s">
        <v>2262</v>
      </c>
      <c r="E19" s="944" t="s">
        <v>2262</v>
      </c>
      <c r="F19" s="944" t="s">
        <v>2262</v>
      </c>
      <c r="G19" s="944"/>
      <c r="H19" s="1102"/>
      <c r="I19" s="1105">
        <f>INDEX(TEMPLATE_NUMBER_POINT_FHD,B19,MATCH(TEMPLATE_SPHERE,TEMPLATE_SPHERE_LIST_FOR_NOTE,0))</f>
        <v>2</v>
      </c>
      <c r="J19" s="11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05" t="str">
        <f>INDEX(TEMPLATE_NOTE_POINT_FHD,B19,MATCH(TEMPLATE_SPHERE,TEMPLATE_SPHERE_LIST_FOR_NOTE,0))</f>
        <v>Указывается суммарная себестоимость производимых товаров.</v>
      </c>
      <c r="L19" s="945">
        <f>IF(I19=0,"",I19)</f>
        <v>2</v>
      </c>
      <c r="M19" s="945" t="str">
        <f>IF(J19=0,"",J19)</f>
        <v>Себестоимость производимых товаров (оказываемых услуг) по регулируемому виду деятельности, включая:</v>
      </c>
      <c r="N19" s="945" t="str">
        <f>IF(K19=0,"",K19)</f>
        <v>Указывается суммарная себестоимость производимых товаров.</v>
      </c>
      <c r="O19" s="1057">
        <v>2</v>
      </c>
      <c r="P19" s="1057">
        <v>2</v>
      </c>
      <c r="Q19" s="1057">
        <v>2</v>
      </c>
      <c r="R19" s="1057">
        <v>2</v>
      </c>
      <c r="S19" s="1057"/>
      <c r="T19" s="1064" t="s">
        <v>2281</v>
      </c>
      <c r="U19" s="947" t="s">
        <v>2282</v>
      </c>
      <c r="V19" s="947" t="s">
        <v>2283</v>
      </c>
      <c r="W19" s="947" t="s">
        <v>2284</v>
      </c>
      <c r="X19" s="944"/>
      <c r="Y19" s="1100"/>
      <c r="Z19" s="947" t="s">
        <v>2285</v>
      </c>
      <c r="AA19" s="950" t="s">
        <v>2285</v>
      </c>
      <c r="AB19" s="950" t="s">
        <v>2285</v>
      </c>
      <c r="AC19" s="950" t="s">
        <v>2285</v>
      </c>
      <c r="AD19" s="947"/>
    </row>
    <row customHeight="1" ht="27">
      <c r="A20" s="946"/>
      <c r="B20" s="999">
        <v>3</v>
      </c>
      <c r="C20" s="944">
        <v>1</v>
      </c>
      <c r="D20" s="1067"/>
      <c r="E20" s="944"/>
      <c r="F20" s="944"/>
      <c r="G20" s="944"/>
      <c r="H20" s="1102"/>
      <c r="I20" s="1105" t="str">
        <f>INDEX(TEMPLATE_NUMBER_POINT_FHD,B20,MATCH(TEMPLATE_SPHERE,TEMPLATE_SPHERE_LIST_FOR_NOTE,0))</f>
        <v>2.1</v>
      </c>
      <c r="J20" s="1105" t="str">
        <f>INDEX(TEMPLATE_DATA_POINT_FHD,B20,MATCH(TEMPLATE_SPHERE,TEMPLATE_SPHERE_LIST_FOR_NOTE,0))</f>
        <v>Расходы на приобретаемую тепловую энергию (мощность), теплоноситель</v>
      </c>
      <c r="K20" s="1105">
        <f>INDEX(TEMPLATE_NOTE_POINT_FHD,B20,MATCH(TEMPLATE_SPHERE,TEMPLATE_SPHERE_LIST_FOR_NOTE,0))</f>
        <v>0</v>
      </c>
      <c r="L20" s="945" t="str">
        <f>IF(I20=0,"",I20)</f>
        <v>2.1</v>
      </c>
      <c r="M20" s="945" t="str">
        <f>IF(J20=0,"",J20)</f>
        <v>Расходы на приобретаемую тепловую энергию (мощность), теплоноситель</v>
      </c>
      <c r="N20" s="945" t="str">
        <f>IF(K20=0,"",K20)</f>
        <v/>
      </c>
      <c r="O20" s="1057" t="s">
        <v>848</v>
      </c>
      <c r="P20" s="1057" t="s">
        <v>848</v>
      </c>
      <c r="Q20" s="1057" t="s">
        <v>848</v>
      </c>
      <c r="R20" s="1057" t="s">
        <v>848</v>
      </c>
      <c r="S20" s="1057"/>
      <c r="T20" s="1064" t="s">
        <v>2286</v>
      </c>
      <c r="U20" s="947" t="s">
        <v>2287</v>
      </c>
      <c r="V20" s="947" t="s">
        <v>2288</v>
      </c>
      <c r="W20" s="947" t="s">
        <v>2289</v>
      </c>
      <c r="X20" s="944"/>
      <c r="Y20" s="1100"/>
      <c r="Z20" s="947"/>
      <c r="AA20" s="950"/>
      <c r="AB20" s="947"/>
      <c r="AC20" s="947"/>
      <c r="AD20" s="947"/>
    </row>
    <row customHeight="1" ht="36">
      <c r="A21" s="946"/>
      <c r="B21" s="999">
        <v>4</v>
      </c>
      <c r="C21" s="944">
        <v>2</v>
      </c>
      <c r="D21" s="1067"/>
      <c r="E21" s="944"/>
      <c r="F21" s="944"/>
      <c r="G21" s="944"/>
      <c r="H21" s="1102"/>
      <c r="I21" s="1105" t="str">
        <f>INDEX(TEMPLATE_NUMBER_POINT_FHD,B21,MATCH(TEMPLATE_SPHERE,TEMPLATE_SPHERE_LIST_FOR_NOTE,0))</f>
        <v>2.2</v>
      </c>
      <c r="J21" s="11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05" t="str">
        <f>INDEX(TEMPLATE_NOTE_POINT_FHD,B21,MATCH(TEMPLATE_SPHERE,TEMPLATE_SPHERE_LIST_FOR_NOTE,0))</f>
        <v>Указываются суммарные расходы на приобретение топлива всех видов.</v>
      </c>
      <c r="L21" s="945" t="str">
        <f>IF(I21=0,"",I21)</f>
        <v>2.2</v>
      </c>
      <c r="M21" s="9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45" t="str">
        <f>IF(K21=0,"",K21)</f>
        <v>Указываются суммарные расходы на приобретение топлива всех видов.</v>
      </c>
      <c r="O21" s="1057" t="s">
        <v>392</v>
      </c>
      <c r="P21" s="1057"/>
      <c r="Q21" s="1057"/>
      <c r="R21" s="1057"/>
      <c r="S21" s="1057"/>
      <c r="T21" s="1064" t="s">
        <v>2290</v>
      </c>
      <c r="U21" s="947"/>
      <c r="V21" s="947"/>
      <c r="W21" s="947"/>
      <c r="X21" s="944"/>
      <c r="Y21" s="1100"/>
      <c r="Z21" s="947" t="s">
        <v>2291</v>
      </c>
      <c r="AA21" s="950"/>
      <c r="AB21" s="947"/>
      <c r="AC21" s="947"/>
      <c r="AD21" s="947"/>
    </row>
    <row customHeight="1" ht="36">
      <c r="A22" s="946"/>
      <c r="B22" s="999">
        <v>5</v>
      </c>
      <c r="C22" s="944">
        <v>3</v>
      </c>
      <c r="D22" s="1067"/>
      <c r="E22" s="944"/>
      <c r="F22" s="944"/>
      <c r="G22" s="991"/>
      <c r="H22" s="1058"/>
      <c r="I22" s="1105">
        <f>INDEX(TEMPLATE_NUMBER_POINT_FHD,B22,MATCH(TEMPLATE_SPHERE,TEMPLATE_SPHERE_LIST_FOR_NOTE,0))</f>
        <v>0</v>
      </c>
      <c r="J22" s="1105">
        <f>INDEX(TEMPLATE_DATA_POINT_FHD,B22,MATCH(TEMPLATE_SPHERE,TEMPLATE_SPHERE_LIST_FOR_NOTE,0))</f>
        <v>0</v>
      </c>
      <c r="K22" s="1105">
        <f>INDEX(TEMPLATE_NOTE_POINT_FHD,B22,MATCH(TEMPLATE_SPHERE,TEMPLATE_SPHERE_LIST_FOR_NOTE,0))</f>
        <v>0</v>
      </c>
      <c r="L22" s="945" t="str">
        <f>IF(I22=0,"",I22)</f>
        <v/>
      </c>
      <c r="M22" s="945" t="str">
        <f>IF(J22=0,"",J22)</f>
        <v/>
      </c>
      <c r="N22" s="945" t="str">
        <f>IF(K22=0,"",K22)</f>
        <v/>
      </c>
      <c r="O22" s="1057"/>
      <c r="P22" s="1057"/>
      <c r="Q22" s="1057" t="s">
        <v>392</v>
      </c>
      <c r="R22" s="1057"/>
      <c r="S22" s="1057"/>
      <c r="T22" s="1064"/>
      <c r="U22" s="947"/>
      <c r="V22" s="947" t="s">
        <v>2292</v>
      </c>
      <c r="W22" s="947"/>
      <c r="X22" s="944"/>
      <c r="Y22" s="1100"/>
      <c r="Z22" s="947"/>
      <c r="AA22" s="950"/>
      <c r="AB22" s="947"/>
      <c r="AC22" s="947"/>
      <c r="AD22" s="947"/>
    </row>
    <row customHeight="1" ht="27">
      <c r="A23" s="946"/>
      <c r="B23" s="999">
        <v>6</v>
      </c>
      <c r="C23" s="944">
        <v>4</v>
      </c>
      <c r="D23" s="1067"/>
      <c r="E23" s="944"/>
      <c r="F23" s="944"/>
      <c r="G23" s="991"/>
      <c r="H23" s="1058"/>
      <c r="I23" s="1105">
        <f>INDEX(TEMPLATE_NUMBER_POINT_FHD,B23,MATCH(TEMPLATE_SPHERE,TEMPLATE_SPHERE_LIST_FOR_NOTE,0))</f>
        <v>0</v>
      </c>
      <c r="J23" s="1105">
        <f>INDEX(TEMPLATE_DATA_POINT_FHD,B23,MATCH(TEMPLATE_SPHERE,TEMPLATE_SPHERE_LIST_FOR_NOTE,0))</f>
        <v>0</v>
      </c>
      <c r="K23" s="1105">
        <f>INDEX(TEMPLATE_NOTE_POINT_FHD,B23,MATCH(TEMPLATE_SPHERE,TEMPLATE_SPHERE_LIST_FOR_NOTE,0))</f>
        <v>0</v>
      </c>
      <c r="L23" s="945" t="str">
        <f>IF(I23=0,"",I23)</f>
        <v/>
      </c>
      <c r="M23" s="945" t="str">
        <f>IF(J23=0,"",J23)</f>
        <v/>
      </c>
      <c r="N23" s="945" t="str">
        <f>IF(K23=0,"",K23)</f>
        <v/>
      </c>
      <c r="O23" s="1057"/>
      <c r="P23" s="1057"/>
      <c r="Q23" s="1057" t="s">
        <v>395</v>
      </c>
      <c r="R23" s="1057"/>
      <c r="S23" s="1057"/>
      <c r="T23" s="1064"/>
      <c r="U23" s="947"/>
      <c r="V23" s="947" t="s">
        <v>2293</v>
      </c>
      <c r="W23" s="947"/>
      <c r="X23" s="944"/>
      <c r="Y23" s="1100"/>
      <c r="Z23" s="947"/>
      <c r="AA23" s="950"/>
      <c r="AB23" s="947"/>
      <c r="AC23" s="947"/>
      <c r="AD23" s="947"/>
    </row>
    <row customHeight="1" ht="36">
      <c r="A24" s="946"/>
      <c r="B24" s="999">
        <v>7</v>
      </c>
      <c r="C24" s="944">
        <v>5</v>
      </c>
      <c r="D24" s="1067"/>
      <c r="E24" s="944"/>
      <c r="F24" s="944"/>
      <c r="G24" s="991"/>
      <c r="H24" s="1058"/>
      <c r="I24" s="1105">
        <f>INDEX(TEMPLATE_NUMBER_POINT_FHD,B24,MATCH(TEMPLATE_SPHERE,TEMPLATE_SPHERE_LIST_FOR_NOTE,0))</f>
        <v>0</v>
      </c>
      <c r="J24" s="1105">
        <f>INDEX(TEMPLATE_DATA_POINT_FHD,B24,MATCH(TEMPLATE_SPHERE,TEMPLATE_SPHERE_LIST_FOR_NOTE,0))</f>
        <v>0</v>
      </c>
      <c r="K24" s="1105">
        <f>INDEX(TEMPLATE_NOTE_POINT_FHD,B24,MATCH(TEMPLATE_SPHERE,TEMPLATE_SPHERE_LIST_FOR_NOTE,0))</f>
        <v>0</v>
      </c>
      <c r="L24" s="945" t="str">
        <f>IF(I24=0,"",I24)</f>
        <v/>
      </c>
      <c r="M24" s="945" t="str">
        <f>IF(J24=0,"",J24)</f>
        <v/>
      </c>
      <c r="N24" s="945" t="str">
        <f>IF(K24=0,"",K24)</f>
        <v/>
      </c>
      <c r="O24" s="1057"/>
      <c r="P24" s="1057"/>
      <c r="Q24" s="1057" t="s">
        <v>868</v>
      </c>
      <c r="R24" s="1057"/>
      <c r="S24" s="1057"/>
      <c r="T24" s="1064"/>
      <c r="U24" s="947"/>
      <c r="V24" s="947" t="s">
        <v>2294</v>
      </c>
      <c r="W24" s="947"/>
      <c r="X24" s="944"/>
      <c r="Y24" s="1100"/>
      <c r="Z24" s="947"/>
      <c r="AA24" s="950"/>
      <c r="AB24" s="947"/>
      <c r="AC24" s="947"/>
      <c r="AD24" s="947"/>
    </row>
    <row customHeight="1" ht="36">
      <c r="A25" s="946"/>
      <c r="B25" s="999">
        <v>8</v>
      </c>
      <c r="C25" s="944">
        <v>6</v>
      </c>
      <c r="D25" s="1067"/>
      <c r="E25" s="944"/>
      <c r="F25" s="944"/>
      <c r="G25" s="991"/>
      <c r="H25" s="1058"/>
      <c r="I25" s="1105" t="str">
        <f>INDEX(TEMPLATE_NUMBER_POINT_FHD,B25,MATCH(TEMPLATE_SPHERE,TEMPLATE_SPHERE_LIST_FOR_NOTE,0))</f>
        <v>2.3</v>
      </c>
      <c r="J25" s="11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05">
        <f>INDEX(TEMPLATE_NOTE_POINT_FHD,B25,MATCH(TEMPLATE_SPHERE,TEMPLATE_SPHERE_LIST_FOR_NOTE,0))</f>
        <v>0</v>
      </c>
      <c r="L25" s="945" t="str">
        <f>IF(I25=0,"",I25)</f>
        <v>2.3</v>
      </c>
      <c r="M25" s="945" t="str">
        <f>IF(J25=0,"",J25)</f>
        <v>Расходы на приобретаемую электрическую энергию (мощность), используемую в технологическом процессе</v>
      </c>
      <c r="N25" s="945" t="str">
        <f>IF(K25=0,"",K25)</f>
        <v/>
      </c>
      <c r="O25" s="1057" t="s">
        <v>395</v>
      </c>
      <c r="P25" s="1057" t="s">
        <v>392</v>
      </c>
      <c r="Q25" s="1057" t="s">
        <v>875</v>
      </c>
      <c r="R25" s="1057" t="s">
        <v>392</v>
      </c>
      <c r="S25" s="1057"/>
      <c r="T25" s="1064" t="s">
        <v>2295</v>
      </c>
      <c r="U25" s="947" t="s">
        <v>2295</v>
      </c>
      <c r="V25" s="947" t="s">
        <v>2295</v>
      </c>
      <c r="W25" s="947" t="s">
        <v>2295</v>
      </c>
      <c r="X25" s="944"/>
      <c r="Y25" s="1100"/>
      <c r="Z25" s="947"/>
      <c r="AA25" s="950"/>
      <c r="AB25" s="947"/>
      <c r="AC25" s="947"/>
      <c r="AD25" s="947"/>
    </row>
    <row customHeight="1" ht="18">
      <c r="A26" s="946"/>
      <c r="B26" s="999">
        <v>9</v>
      </c>
      <c r="C26" s="944" t="s">
        <v>792</v>
      </c>
      <c r="D26" s="1067"/>
      <c r="E26" s="944"/>
      <c r="F26" s="944"/>
      <c r="G26" s="991"/>
      <c r="H26" s="1058"/>
      <c r="I26" s="1105" t="str">
        <f>INDEX(TEMPLATE_NUMBER_POINT_FHD,B26,MATCH(TEMPLATE_SPHERE,TEMPLATE_SPHERE_LIST_FOR_NOTE,0))</f>
        <v>2.3.1</v>
      </c>
      <c r="J26" s="1105" t="str">
        <f>INDEX(TEMPLATE_DATA_POINT_FHD,B26,MATCH(TEMPLATE_SPHERE,TEMPLATE_SPHERE_LIST_FOR_NOTE,0))</f>
        <v>Средневзвешенная стоимость 1 кВт.ч (с учетом мощности)</v>
      </c>
      <c r="K26" s="1105">
        <f>INDEX(TEMPLATE_NOTE_POINT_FHD,B26,MATCH(TEMPLATE_SPHERE,TEMPLATE_SPHERE_LIST_FOR_NOTE,0))</f>
        <v>0</v>
      </c>
      <c r="L26" s="945" t="str">
        <f>IF(I26=0,"",I26)</f>
        <v>2.3.1</v>
      </c>
      <c r="M26" s="945" t="str">
        <f>IF(J26=0,"",J26)</f>
        <v>Средневзвешенная стоимость 1 кВт.ч (с учетом мощности)</v>
      </c>
      <c r="N26" s="945" t="str">
        <f>IF(K26=0,"",K26)</f>
        <v/>
      </c>
      <c r="O26" s="1057" t="s">
        <v>864</v>
      </c>
      <c r="P26" s="1057" t="s">
        <v>858</v>
      </c>
      <c r="Q26" s="1057" t="s">
        <v>2296</v>
      </c>
      <c r="R26" s="1057" t="s">
        <v>858</v>
      </c>
      <c r="S26" s="1057"/>
      <c r="T26" s="10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64" t="s">
        <v>2297</v>
      </c>
      <c r="V26" s="1064" t="s">
        <v>2297</v>
      </c>
      <c r="W26" s="1064" t="s">
        <v>2297</v>
      </c>
      <c r="X26" s="944"/>
      <c r="Y26" s="1100"/>
      <c r="Z26" s="947"/>
      <c r="AA26" s="950"/>
      <c r="AB26" s="947"/>
      <c r="AC26" s="947"/>
      <c r="AD26" s="947"/>
    </row>
    <row customHeight="1" ht="18">
      <c r="A27" s="946"/>
      <c r="B27" s="999">
        <v>10</v>
      </c>
      <c r="C27" s="944" t="s">
        <v>796</v>
      </c>
      <c r="D27" s="1067"/>
      <c r="E27" s="944"/>
      <c r="F27" s="944"/>
      <c r="G27" s="991"/>
      <c r="H27" s="1058"/>
      <c r="I27" s="1105" t="str">
        <f>INDEX(TEMPLATE_NUMBER_POINT_FHD,B27,MATCH(TEMPLATE_SPHERE,TEMPLATE_SPHERE_LIST_FOR_NOTE,0))</f>
        <v>2.3.2</v>
      </c>
      <c r="J27" s="1105" t="str">
        <f>INDEX(TEMPLATE_DATA_POINT_FHD,B27,MATCH(TEMPLATE_SPHERE,TEMPLATE_SPHERE_LIST_FOR_NOTE,0))</f>
        <v>Объём приобретения электрической энергии</v>
      </c>
      <c r="K27" s="1105">
        <f>INDEX(TEMPLATE_NOTE_POINT_FHD,B27,MATCH(TEMPLATE_SPHERE,TEMPLATE_SPHERE_LIST_FOR_NOTE,0))</f>
        <v>0</v>
      </c>
      <c r="L27" s="945" t="str">
        <f>IF(I27=0,"",I27)</f>
        <v>2.3.2</v>
      </c>
      <c r="M27" s="945" t="str">
        <f>IF(J27=0,"",J27)</f>
        <v>Объём приобретения электрической энергии</v>
      </c>
      <c r="N27" s="945" t="str">
        <f>IF(K27=0,"",K27)</f>
        <v/>
      </c>
      <c r="O27" s="1057" t="s">
        <v>866</v>
      </c>
      <c r="P27" s="1057" t="s">
        <v>860</v>
      </c>
      <c r="Q27" s="1057" t="s">
        <v>2298</v>
      </c>
      <c r="R27" s="1057" t="s">
        <v>860</v>
      </c>
      <c r="S27" s="1057"/>
      <c r="T27" s="1064" t="s">
        <v>2299</v>
      </c>
      <c r="U27" s="1064" t="s">
        <v>2299</v>
      </c>
      <c r="V27" s="1064" t="s">
        <v>2299</v>
      </c>
      <c r="W27" s="1064" t="s">
        <v>2299</v>
      </c>
      <c r="X27" s="944"/>
      <c r="Y27" s="1100"/>
      <c r="Z27" s="947"/>
      <c r="AA27" s="950"/>
      <c r="AB27" s="947"/>
      <c r="AC27" s="947"/>
      <c r="AD27" s="947"/>
    </row>
    <row customHeight="1" ht="27">
      <c r="A28" s="946"/>
      <c r="B28" s="999">
        <v>11</v>
      </c>
      <c r="C28" s="944">
        <v>7</v>
      </c>
      <c r="D28" s="1067"/>
      <c r="E28" s="944"/>
      <c r="F28" s="944"/>
      <c r="G28" s="991"/>
      <c r="H28" s="1058"/>
      <c r="I28" s="1105" t="str">
        <f>INDEX(TEMPLATE_NUMBER_POINT_FHD,B28,MATCH(TEMPLATE_SPHERE,TEMPLATE_SPHERE_LIST_FOR_NOTE,0))</f>
        <v>2.4</v>
      </c>
      <c r="J28" s="1105" t="str">
        <f>INDEX(TEMPLATE_DATA_POINT_FHD,B28,MATCH(TEMPLATE_SPHERE,TEMPLATE_SPHERE_LIST_FOR_NOTE,0))</f>
        <v>Расходы на приобретение холодной воды, используемой в технологическом процессе</v>
      </c>
      <c r="K28" s="1105">
        <f>INDEX(TEMPLATE_NOTE_POINT_FHD,B28,MATCH(TEMPLATE_SPHERE,TEMPLATE_SPHERE_LIST_FOR_NOTE,0))</f>
        <v>0</v>
      </c>
      <c r="L28" s="945" t="str">
        <f>IF(I28=0,"",I28)</f>
        <v>2.4</v>
      </c>
      <c r="M28" s="945" t="str">
        <f>IF(J28=0,"",J28)</f>
        <v>Расходы на приобретение холодной воды, используемой в технологическом процессе</v>
      </c>
      <c r="N28" s="945" t="str">
        <f>IF(K28=0,"",K28)</f>
        <v/>
      </c>
      <c r="O28" s="1057" t="s">
        <v>868</v>
      </c>
      <c r="P28" s="1057"/>
      <c r="Q28" s="1057"/>
      <c r="R28" s="1057"/>
      <c r="S28" s="1057"/>
      <c r="T28" s="1064" t="s">
        <v>2300</v>
      </c>
      <c r="U28" s="947"/>
      <c r="V28" s="947"/>
      <c r="W28" s="947"/>
      <c r="X28" s="944"/>
      <c r="Y28" s="1100"/>
      <c r="Z28" s="947"/>
      <c r="AA28" s="950"/>
      <c r="AB28" s="947"/>
      <c r="AC28" s="947"/>
      <c r="AD28" s="947"/>
    </row>
    <row customHeight="1" ht="27">
      <c r="A29" s="946"/>
      <c r="B29" s="999">
        <v>12</v>
      </c>
      <c r="C29" s="944">
        <v>8</v>
      </c>
      <c r="D29" s="1067"/>
      <c r="E29" s="944"/>
      <c r="F29" s="944"/>
      <c r="G29" s="991"/>
      <c r="H29" s="1058"/>
      <c r="I29" s="1105" t="str">
        <f>INDEX(TEMPLATE_NUMBER_POINT_FHD,B29,MATCH(TEMPLATE_SPHERE,TEMPLATE_SPHERE_LIST_FOR_NOTE,0))</f>
        <v>2.5</v>
      </c>
      <c r="J29" s="1105" t="str">
        <f>INDEX(TEMPLATE_DATA_POINT_FHD,B29,MATCH(TEMPLATE_SPHERE,TEMPLATE_SPHERE_LIST_FOR_NOTE,0))</f>
        <v>Расходы на  химические реагенты, используемые в технологическом процессе</v>
      </c>
      <c r="K29" s="1105">
        <f>INDEX(TEMPLATE_NOTE_POINT_FHD,B29,MATCH(TEMPLATE_SPHERE,TEMPLATE_SPHERE_LIST_FOR_NOTE,0))</f>
        <v>0</v>
      </c>
      <c r="L29" s="945" t="str">
        <f>IF(I29=0,"",I29)</f>
        <v>2.5</v>
      </c>
      <c r="M29" s="945" t="str">
        <f>IF(J29=0,"",J29)</f>
        <v>Расходы на  химические реагенты, используемые в технологическом процессе</v>
      </c>
      <c r="N29" s="945" t="str">
        <f>IF(K29=0,"",K29)</f>
        <v/>
      </c>
      <c r="O29" s="1057" t="s">
        <v>875</v>
      </c>
      <c r="P29" s="1057" t="s">
        <v>395</v>
      </c>
      <c r="Q29" s="1057"/>
      <c r="R29" s="1057" t="s">
        <v>395</v>
      </c>
      <c r="S29" s="1057"/>
      <c r="T29" s="10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47" t="s">
        <v>2301</v>
      </c>
      <c r="V29" s="947"/>
      <c r="W29" s="947" t="s">
        <v>2301</v>
      </c>
      <c r="X29" s="944"/>
      <c r="Y29" s="1100"/>
      <c r="Z29" s="947"/>
      <c r="AA29" s="950"/>
      <c r="AB29" s="947"/>
      <c r="AC29" s="947"/>
      <c r="AD29" s="947"/>
    </row>
    <row customHeight="1" ht="54">
      <c r="A30" s="946"/>
      <c r="B30" s="999">
        <v>13</v>
      </c>
      <c r="C30" s="944">
        <v>9</v>
      </c>
      <c r="D30" s="1067"/>
      <c r="E30" s="944"/>
      <c r="F30" s="944"/>
      <c r="G30" s="991"/>
      <c r="H30" s="1058"/>
      <c r="I30" s="1105" t="str">
        <f>INDEX(TEMPLATE_NUMBER_POINT_FHD,B30,MATCH(TEMPLATE_SPHERE,TEMPLATE_SPHERE_LIST_FOR_NOTE,0))</f>
        <v>2.6</v>
      </c>
      <c r="J30" s="11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05">
        <f>INDEX(TEMPLATE_NOTE_POINT_FHD,B30,MATCH(TEMPLATE_SPHERE,TEMPLATE_SPHERE_LIST_FOR_NOTE,0))</f>
        <v>0</v>
      </c>
      <c r="L30" s="945" t="str">
        <f>IF(I30=0,"",I30)</f>
        <v>2.6</v>
      </c>
      <c r="M30" s="9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45" t="str">
        <f>IF(K30=0,"",K30)</f>
        <v/>
      </c>
      <c r="O30" s="1057" t="s">
        <v>877</v>
      </c>
      <c r="P30" s="1057" t="s">
        <v>868</v>
      </c>
      <c r="Q30" s="1057" t="s">
        <v>877</v>
      </c>
      <c r="R30" s="1057" t="s">
        <v>868</v>
      </c>
      <c r="S30" s="1057"/>
      <c r="T30" s="1064" t="s">
        <v>2302</v>
      </c>
      <c r="U30" s="947" t="s">
        <v>2302</v>
      </c>
      <c r="V30" s="947" t="s">
        <v>2302</v>
      </c>
      <c r="W30" s="947" t="s">
        <v>2302</v>
      </c>
      <c r="X30" s="944"/>
      <c r="Y30" s="1100"/>
      <c r="Z30" s="947"/>
      <c r="AA30" s="950" t="s">
        <v>2303</v>
      </c>
      <c r="AB30" s="950" t="s">
        <v>2303</v>
      </c>
      <c r="AC30" s="950" t="s">
        <v>2303</v>
      </c>
      <c r="AD30" s="947"/>
    </row>
    <row customHeight="1" ht="18">
      <c r="A31" s="946"/>
      <c r="B31" s="999">
        <v>14</v>
      </c>
      <c r="C31" s="944" t="s">
        <v>2304</v>
      </c>
      <c r="D31" s="1067"/>
      <c r="E31" s="944"/>
      <c r="F31" s="944"/>
      <c r="G31" s="991"/>
      <c r="H31" s="1058"/>
      <c r="I31" s="1105" t="str">
        <f>INDEX(TEMPLATE_NUMBER_POINT_FHD,B31,MATCH(TEMPLATE_SPHERE,TEMPLATE_SPHERE_LIST_FOR_NOTE,0))</f>
        <v>2.6.1</v>
      </c>
      <c r="J31" s="1105" t="str">
        <f>INDEX(TEMPLATE_DATA_POINT_FHD,B31,MATCH(TEMPLATE_SPHERE,TEMPLATE_SPHERE_LIST_FOR_NOTE,0))</f>
        <v>Расходы на оплату труда основного производственного персонала</v>
      </c>
      <c r="K31" s="1105">
        <f>INDEX(TEMPLATE_NOTE_POINT_FHD,B31,MATCH(TEMPLATE_SPHERE,TEMPLATE_SPHERE_LIST_FOR_NOTE,0))</f>
        <v>0</v>
      </c>
      <c r="L31" s="945" t="str">
        <f>IF(I31=0,"",I31)</f>
        <v>2.6.1</v>
      </c>
      <c r="M31" s="945" t="str">
        <f>IF(J31=0,"",J31)</f>
        <v>Расходы на оплату труда основного производственного персонала</v>
      </c>
      <c r="N31" s="945" t="str">
        <f>IF(K31=0,"",K31)</f>
        <v/>
      </c>
      <c r="O31" s="1057" t="s">
        <v>2305</v>
      </c>
      <c r="P31" s="1057" t="s">
        <v>871</v>
      </c>
      <c r="Q31" s="1057" t="s">
        <v>2305</v>
      </c>
      <c r="R31" s="1057" t="s">
        <v>871</v>
      </c>
      <c r="S31" s="1057"/>
      <c r="T31" s="1065" t="s">
        <v>2306</v>
      </c>
      <c r="U31" s="947" t="s">
        <v>2306</v>
      </c>
      <c r="V31" s="947" t="s">
        <v>2306</v>
      </c>
      <c r="W31" s="947" t="s">
        <v>2306</v>
      </c>
      <c r="X31" s="944"/>
      <c r="Y31" s="1100"/>
      <c r="Z31" s="947"/>
      <c r="AA31" s="950"/>
      <c r="AB31" s="950"/>
      <c r="AC31" s="950"/>
      <c r="AD31" s="947"/>
    </row>
    <row customHeight="1" ht="36">
      <c r="A32" s="946"/>
      <c r="B32" s="999">
        <v>15</v>
      </c>
      <c r="C32" s="944" t="s">
        <v>2307</v>
      </c>
      <c r="D32" s="1067"/>
      <c r="E32" s="944"/>
      <c r="F32" s="944"/>
      <c r="G32" s="991"/>
      <c r="H32" s="1058"/>
      <c r="I32" s="1105" t="str">
        <f>INDEX(TEMPLATE_NUMBER_POINT_FHD,B32,MATCH(TEMPLATE_SPHERE,TEMPLATE_SPHERE_LIST_FOR_NOTE,0))</f>
        <v>2.6.2</v>
      </c>
      <c r="J32" s="11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05">
        <f>INDEX(TEMPLATE_NOTE_POINT_FHD,B32,MATCH(TEMPLATE_SPHERE,TEMPLATE_SPHERE_LIST_FOR_NOTE,0))</f>
        <v>0</v>
      </c>
      <c r="L32" s="945" t="str">
        <f>IF(I32=0,"",I32)</f>
        <v>2.6.2</v>
      </c>
      <c r="M32" s="945" t="str">
        <f>IF(J32=0,"",J32)</f>
        <v>Страховые взносы на обязательное социальное страхование, выплачиваемые из фонда оплаты труда основного производственного персонала</v>
      </c>
      <c r="N32" s="945" t="str">
        <f>IF(K32=0,"",K32)</f>
        <v/>
      </c>
      <c r="O32" s="1057" t="s">
        <v>2308</v>
      </c>
      <c r="P32" s="1057" t="s">
        <v>873</v>
      </c>
      <c r="Q32" s="1057" t="s">
        <v>2308</v>
      </c>
      <c r="R32" s="1057" t="s">
        <v>873</v>
      </c>
      <c r="S32" s="1057"/>
      <c r="T32" s="10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47" t="s">
        <v>2309</v>
      </c>
      <c r="V32" s="947" t="s">
        <v>2309</v>
      </c>
      <c r="W32" s="947" t="s">
        <v>2309</v>
      </c>
      <c r="X32" s="944"/>
      <c r="Y32" s="1100"/>
      <c r="Z32" s="947"/>
      <c r="AA32" s="950"/>
      <c r="AB32" s="950"/>
      <c r="AC32" s="950"/>
      <c r="AD32" s="947"/>
    </row>
    <row customHeight="1" ht="45">
      <c r="A33" s="946"/>
      <c r="B33" s="999">
        <v>16</v>
      </c>
      <c r="C33" s="944">
        <v>10</v>
      </c>
      <c r="D33" s="1067"/>
      <c r="E33" s="944"/>
      <c r="F33" s="944"/>
      <c r="G33" s="991"/>
      <c r="H33" s="1058"/>
      <c r="I33" s="1105" t="str">
        <f>INDEX(TEMPLATE_NUMBER_POINT_FHD,B33,MATCH(TEMPLATE_SPHERE,TEMPLATE_SPHERE_LIST_FOR_NOTE,0))</f>
        <v>2.7</v>
      </c>
      <c r="J33" s="11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05">
        <f>INDEX(TEMPLATE_NOTE_POINT_FHD,B33,MATCH(TEMPLATE_SPHERE,TEMPLATE_SPHERE_LIST_FOR_NOTE,0))</f>
        <v>0</v>
      </c>
      <c r="L33" s="945" t="str">
        <f>IF(I33=0,"",I33)</f>
        <v>2.7</v>
      </c>
      <c r="M33" s="9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45" t="str">
        <f>IF(K33=0,"",K33)</f>
        <v/>
      </c>
      <c r="O33" s="1057" t="s">
        <v>879</v>
      </c>
      <c r="P33" s="1057" t="s">
        <v>875</v>
      </c>
      <c r="Q33" s="1057" t="s">
        <v>879</v>
      </c>
      <c r="R33" s="1057" t="s">
        <v>875</v>
      </c>
      <c r="S33" s="1057"/>
      <c r="T33" s="10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47" t="s">
        <v>2310</v>
      </c>
      <c r="V33" s="947" t="s">
        <v>2310</v>
      </c>
      <c r="W33" s="947" t="s">
        <v>2311</v>
      </c>
      <c r="X33" s="944"/>
      <c r="Y33" s="1100"/>
      <c r="Z33" s="947"/>
      <c r="AA33" s="950" t="s">
        <v>2312</v>
      </c>
      <c r="AB33" s="950" t="s">
        <v>2312</v>
      </c>
      <c r="AC33" s="950" t="s">
        <v>2312</v>
      </c>
      <c r="AD33" s="947"/>
    </row>
    <row customHeight="1" ht="27">
      <c r="A34" s="946"/>
      <c r="B34" s="999">
        <v>17</v>
      </c>
      <c r="C34" s="944" t="s">
        <v>2313</v>
      </c>
      <c r="D34" s="1067"/>
      <c r="E34" s="944"/>
      <c r="F34" s="944"/>
      <c r="G34" s="991"/>
      <c r="H34" s="1058"/>
      <c r="I34" s="1105" t="str">
        <f>INDEX(TEMPLATE_NUMBER_POINT_FHD,B34,MATCH(TEMPLATE_SPHERE,TEMPLATE_SPHERE_LIST_FOR_NOTE,0))</f>
        <v>2.7.1</v>
      </c>
      <c r="J34" s="1105" t="str">
        <f>INDEX(TEMPLATE_DATA_POINT_FHD,B34,MATCH(TEMPLATE_SPHERE,TEMPLATE_SPHERE_LIST_FOR_NOTE,0))</f>
        <v>Расходы на оплату труда административно-управленческого персонала</v>
      </c>
      <c r="K34" s="1105">
        <f>INDEX(TEMPLATE_NOTE_POINT_FHD,B34,MATCH(TEMPLATE_SPHERE,TEMPLATE_SPHERE_LIST_FOR_NOTE,0))</f>
        <v>0</v>
      </c>
      <c r="L34" s="945" t="str">
        <f>IF(I34=0,"",I34)</f>
        <v>2.7.1</v>
      </c>
      <c r="M34" s="945" t="str">
        <f>IF(J34=0,"",J34)</f>
        <v>Расходы на оплату труда административно-управленческого персонала</v>
      </c>
      <c r="N34" s="945" t="str">
        <f>IF(K34=0,"",K34)</f>
        <v/>
      </c>
      <c r="O34" s="1057" t="s">
        <v>2314</v>
      </c>
      <c r="P34" s="1057" t="s">
        <v>2296</v>
      </c>
      <c r="Q34" s="1057" t="s">
        <v>2314</v>
      </c>
      <c r="R34" s="1057" t="s">
        <v>2296</v>
      </c>
      <c r="S34" s="1057"/>
      <c r="T34" s="1066" t="s">
        <v>2315</v>
      </c>
      <c r="U34" s="947" t="s">
        <v>2315</v>
      </c>
      <c r="V34" s="947" t="s">
        <v>2315</v>
      </c>
      <c r="W34" s="947" t="s">
        <v>2316</v>
      </c>
      <c r="X34" s="944"/>
      <c r="Y34" s="1100"/>
      <c r="Z34" s="947"/>
      <c r="AA34" s="950"/>
      <c r="AB34" s="947"/>
      <c r="AC34" s="947"/>
      <c r="AD34" s="947"/>
    </row>
    <row customHeight="1" ht="45">
      <c r="A35" s="946"/>
      <c r="B35" s="999">
        <v>18</v>
      </c>
      <c r="C35" s="944" t="s">
        <v>2317</v>
      </c>
      <c r="D35" s="1067"/>
      <c r="E35" s="944"/>
      <c r="F35" s="944"/>
      <c r="G35" s="991"/>
      <c r="H35" s="1058"/>
      <c r="I35" s="1105" t="str">
        <f>INDEX(TEMPLATE_NUMBER_POINT_FHD,B35,MATCH(TEMPLATE_SPHERE,TEMPLATE_SPHERE_LIST_FOR_NOTE,0))</f>
        <v>2.7.2</v>
      </c>
      <c r="J35" s="11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05">
        <f>INDEX(TEMPLATE_NOTE_POINT_FHD,B35,MATCH(TEMPLATE_SPHERE,TEMPLATE_SPHERE_LIST_FOR_NOTE,0))</f>
        <v>0</v>
      </c>
      <c r="L35" s="945" t="str">
        <f>IF(I35=0,"",I35)</f>
        <v>2.7.2</v>
      </c>
      <c r="M35" s="9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45" t="str">
        <f>IF(K35=0,"",K35)</f>
        <v/>
      </c>
      <c r="O35" s="1057" t="s">
        <v>2318</v>
      </c>
      <c r="P35" s="1057" t="s">
        <v>2298</v>
      </c>
      <c r="Q35" s="1057" t="s">
        <v>2318</v>
      </c>
      <c r="R35" s="1057" t="s">
        <v>2298</v>
      </c>
      <c r="S35" s="1057"/>
      <c r="T35" s="10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47" t="s">
        <v>2319</v>
      </c>
      <c r="V35" s="947" t="s">
        <v>2319</v>
      </c>
      <c r="W35" s="947" t="s">
        <v>2319</v>
      </c>
      <c r="X35" s="944"/>
      <c r="Y35" s="1100"/>
      <c r="Z35" s="947"/>
      <c r="AA35" s="950"/>
      <c r="AB35" s="947"/>
      <c r="AC35" s="947"/>
      <c r="AD35" s="947"/>
    </row>
    <row customHeight="1" ht="18">
      <c r="A36" s="946"/>
      <c r="B36" s="999">
        <v>19</v>
      </c>
      <c r="C36" s="944">
        <v>11</v>
      </c>
      <c r="D36" s="1067"/>
      <c r="E36" s="944"/>
      <c r="F36" s="944"/>
      <c r="G36" s="991"/>
      <c r="H36" s="1058"/>
      <c r="I36" s="1105" t="str">
        <f>INDEX(TEMPLATE_NUMBER_POINT_FHD,B36,MATCH(TEMPLATE_SPHERE,TEMPLATE_SPHERE_LIST_FOR_NOTE,0))</f>
        <v>2.8</v>
      </c>
      <c r="J36" s="1105" t="str">
        <f>INDEX(TEMPLATE_DATA_POINT_FHD,B36,MATCH(TEMPLATE_SPHERE,TEMPLATE_SPHERE_LIST_FOR_NOTE,0))</f>
        <v>Расходы на амортизацию основных средств и нематериальных активов</v>
      </c>
      <c r="K36" s="1105">
        <f>INDEX(TEMPLATE_NOTE_POINT_FHD,B36,MATCH(TEMPLATE_SPHERE,TEMPLATE_SPHERE_LIST_FOR_NOTE,0))</f>
        <v>0</v>
      </c>
      <c r="L36" s="945" t="str">
        <f>IF(I36=0,"",I36)</f>
        <v>2.8</v>
      </c>
      <c r="M36" s="945" t="str">
        <f>IF(J36=0,"",J36)</f>
        <v>Расходы на амортизацию основных средств и нематериальных активов</v>
      </c>
      <c r="N36" s="945" t="str">
        <f>IF(K36=0,"",K36)</f>
        <v/>
      </c>
      <c r="O36" s="1057" t="s">
        <v>881</v>
      </c>
      <c r="P36" s="1057" t="s">
        <v>877</v>
      </c>
      <c r="Q36" s="1057" t="s">
        <v>881</v>
      </c>
      <c r="R36" s="1057" t="s">
        <v>877</v>
      </c>
      <c r="S36" s="1057"/>
      <c r="T36" s="1064" t="s">
        <v>2320</v>
      </c>
      <c r="U36" s="947" t="s">
        <v>2320</v>
      </c>
      <c r="V36" s="947" t="s">
        <v>2320</v>
      </c>
      <c r="W36" s="947" t="s">
        <v>2320</v>
      </c>
      <c r="X36" s="944"/>
      <c r="Y36" s="1100"/>
      <c r="Z36" s="947"/>
      <c r="AA36" s="950"/>
      <c r="AB36" s="947"/>
      <c r="AC36" s="947"/>
      <c r="AD36" s="947"/>
    </row>
    <row customHeight="1" ht="18">
      <c r="A37" s="946"/>
      <c r="B37" s="999">
        <v>20</v>
      </c>
      <c r="C37" s="944" t="s">
        <v>2321</v>
      </c>
      <c r="D37" s="1067"/>
      <c r="E37" s="944"/>
      <c r="F37" s="944"/>
      <c r="G37" s="991"/>
      <c r="H37" s="1058"/>
      <c r="I37" s="1105" t="str">
        <f>INDEX(TEMPLATE_NUMBER_POINT_FHD,B37,MATCH(TEMPLATE_SPHERE,TEMPLATE_SPHERE_LIST_FOR_NOTE,0))</f>
        <v>2.8.1</v>
      </c>
      <c r="J37" s="1105" t="str">
        <f>INDEX(TEMPLATE_DATA_POINT_FHD,B37,MATCH(TEMPLATE_SPHERE,TEMPLATE_SPHERE_LIST_FOR_NOTE,0))</f>
        <v>Расходы на амортизацию основных средств</v>
      </c>
      <c r="K37" s="1105">
        <f>INDEX(TEMPLATE_NOTE_POINT_FHD,B37,MATCH(TEMPLATE_SPHERE,TEMPLATE_SPHERE_LIST_FOR_NOTE,0))</f>
        <v>0</v>
      </c>
      <c r="L37" s="945" t="str">
        <f>IF(I37=0,"",I37)</f>
        <v>2.8.1</v>
      </c>
      <c r="M37" s="945" t="str">
        <f>IF(J37=0,"",J37)</f>
        <v>Расходы на амортизацию основных средств</v>
      </c>
      <c r="N37" s="945" t="str">
        <f>IF(K37=0,"",K37)</f>
        <v/>
      </c>
      <c r="O37" s="1057" t="s">
        <v>2322</v>
      </c>
      <c r="P37" s="1057" t="s">
        <v>2305</v>
      </c>
      <c r="Q37" s="1057" t="s">
        <v>2322</v>
      </c>
      <c r="R37" s="1057" t="s">
        <v>2305</v>
      </c>
      <c r="S37" s="1057"/>
      <c r="T37" s="1064" t="s">
        <v>2323</v>
      </c>
      <c r="U37" s="947" t="s">
        <v>2323</v>
      </c>
      <c r="V37" s="947" t="s">
        <v>2323</v>
      </c>
      <c r="W37" s="947" t="s">
        <v>2323</v>
      </c>
      <c r="X37" s="944"/>
      <c r="Y37" s="1100"/>
      <c r="Z37" s="947"/>
      <c r="AA37" s="950"/>
      <c r="AB37" s="947"/>
      <c r="AC37" s="947"/>
      <c r="AD37" s="947"/>
    </row>
    <row customHeight="1" ht="18">
      <c r="A38" s="946"/>
      <c r="B38" s="999">
        <v>21</v>
      </c>
      <c r="C38" s="944" t="s">
        <v>2324</v>
      </c>
      <c r="D38" s="1067"/>
      <c r="E38" s="944"/>
      <c r="F38" s="944"/>
      <c r="G38" s="991"/>
      <c r="H38" s="1058"/>
      <c r="I38" s="1105" t="str">
        <f>INDEX(TEMPLATE_NUMBER_POINT_FHD,B38,MATCH(TEMPLATE_SPHERE,TEMPLATE_SPHERE_LIST_FOR_NOTE,0))</f>
        <v>2.8.2</v>
      </c>
      <c r="J38" s="1105" t="str">
        <f>INDEX(TEMPLATE_DATA_POINT_FHD,B38,MATCH(TEMPLATE_SPHERE,TEMPLATE_SPHERE_LIST_FOR_NOTE,0))</f>
        <v>Расходы на амортизацию нематериальных активов</v>
      </c>
      <c r="K38" s="1105">
        <f>INDEX(TEMPLATE_NOTE_POINT_FHD,B38,MATCH(TEMPLATE_SPHERE,TEMPLATE_SPHERE_LIST_FOR_NOTE,0))</f>
        <v>0</v>
      </c>
      <c r="L38" s="945" t="str">
        <f>IF(I38=0,"",I38)</f>
        <v>2.8.2</v>
      </c>
      <c r="M38" s="945" t="str">
        <f>IF(J38=0,"",J38)</f>
        <v>Расходы на амортизацию нематериальных активов</v>
      </c>
      <c r="N38" s="945" t="str">
        <f>IF(K38=0,"",K38)</f>
        <v/>
      </c>
      <c r="O38" s="1057" t="s">
        <v>2325</v>
      </c>
      <c r="P38" s="1057" t="s">
        <v>2308</v>
      </c>
      <c r="Q38" s="1057" t="s">
        <v>2325</v>
      </c>
      <c r="R38" s="1057" t="s">
        <v>2308</v>
      </c>
      <c r="S38" s="1057"/>
      <c r="T38" s="1064" t="s">
        <v>2326</v>
      </c>
      <c r="U38" s="947" t="s">
        <v>2326</v>
      </c>
      <c r="V38" s="947" t="s">
        <v>2326</v>
      </c>
      <c r="W38" s="947" t="s">
        <v>2326</v>
      </c>
      <c r="X38" s="944"/>
      <c r="Y38" s="1100"/>
      <c r="Z38" s="947"/>
      <c r="AA38" s="950"/>
      <c r="AB38" s="947"/>
      <c r="AC38" s="947"/>
      <c r="AD38" s="947"/>
    </row>
    <row customHeight="1" ht="36">
      <c r="A39" s="946"/>
      <c r="B39" s="999">
        <v>22</v>
      </c>
      <c r="C39" s="944">
        <v>12</v>
      </c>
      <c r="D39" s="1067"/>
      <c r="E39" s="944"/>
      <c r="F39" s="944"/>
      <c r="G39" s="991"/>
      <c r="H39" s="1058"/>
      <c r="I39" s="1105" t="str">
        <f>INDEX(TEMPLATE_NUMBER_POINT_FHD,B39,MATCH(TEMPLATE_SPHERE,TEMPLATE_SPHERE_LIST_FOR_NOTE,0))</f>
        <v>2.9</v>
      </c>
      <c r="J39" s="1105" t="str">
        <f>INDEX(TEMPLATE_DATA_POINT_FHD,B39,MATCH(TEMPLATE_SPHERE,TEMPLATE_SPHERE_LIST_FOR_NOTE,0))</f>
        <v>Расходы на аренду имущества, используемого для осуществления регулируемого вида деятельности</v>
      </c>
      <c r="K39" s="1105">
        <f>INDEX(TEMPLATE_NOTE_POINT_FHD,B39,MATCH(TEMPLATE_SPHERE,TEMPLATE_SPHERE_LIST_FOR_NOTE,0))</f>
        <v>0</v>
      </c>
      <c r="L39" s="945" t="str">
        <f>IF(I39=0,"",I39)</f>
        <v>2.9</v>
      </c>
      <c r="M39" s="945" t="str">
        <f>IF(J39=0,"",J39)</f>
        <v>Расходы на аренду имущества, используемого для осуществления регулируемого вида деятельности</v>
      </c>
      <c r="N39" s="945" t="str">
        <f>IF(K39=0,"",K39)</f>
        <v/>
      </c>
      <c r="O39" s="1057" t="s">
        <v>885</v>
      </c>
      <c r="P39" s="1057" t="s">
        <v>879</v>
      </c>
      <c r="Q39" s="1057" t="s">
        <v>885</v>
      </c>
      <c r="R39" s="1057" t="s">
        <v>879</v>
      </c>
      <c r="S39" s="1057"/>
      <c r="T39" s="1064" t="s">
        <v>2327</v>
      </c>
      <c r="U39" s="947" t="s">
        <v>2328</v>
      </c>
      <c r="V39" s="947" t="s">
        <v>2329</v>
      </c>
      <c r="W39" s="947" t="s">
        <v>2330</v>
      </c>
      <c r="X39" s="944"/>
      <c r="Y39" s="1100"/>
      <c r="Z39" s="947"/>
      <c r="AA39" s="950"/>
      <c r="AB39" s="947"/>
      <c r="AC39" s="947"/>
      <c r="AD39" s="947"/>
    </row>
    <row customHeight="1" ht="18">
      <c r="A40" s="946"/>
      <c r="B40" s="999">
        <v>23</v>
      </c>
      <c r="C40" s="944">
        <v>13</v>
      </c>
      <c r="D40" s="1067"/>
      <c r="E40" s="944"/>
      <c r="F40" s="944"/>
      <c r="G40" s="944"/>
      <c r="H40" s="994"/>
      <c r="I40" s="1105" t="str">
        <f>INDEX(TEMPLATE_NUMBER_POINT_FHD,B40,MATCH(TEMPLATE_SPHERE,TEMPLATE_SPHERE_LIST_FOR_NOTE,0))</f>
        <v>2.10</v>
      </c>
      <c r="J40" s="1105" t="str">
        <f>INDEX(TEMPLATE_DATA_POINT_FHD,B40,MATCH(TEMPLATE_SPHERE,TEMPLATE_SPHERE_LIST_FOR_NOTE,0))</f>
        <v>Общепроизводственные расходы, в том числе:</v>
      </c>
      <c r="K40" s="1105" t="str">
        <f>INDEX(TEMPLATE_NOTE_POINT_FHD,B40,MATCH(TEMPLATE_SPHERE,TEMPLATE_SPHERE_LIST_FOR_NOTE,0))</f>
        <v>Указывается общая сумма общепроизводственных расходов.</v>
      </c>
      <c r="L40" s="945" t="str">
        <f>IF(I40=0,"",I40)</f>
        <v>2.10</v>
      </c>
      <c r="M40" s="945" t="str">
        <f>IF(J40=0,"",J40)</f>
        <v>Общепроизводственные расходы, в том числе:</v>
      </c>
      <c r="N40" s="945" t="str">
        <f>IF(K40=0,"",K40)</f>
        <v>Указывается общая сумма общепроизводственных расходов.</v>
      </c>
      <c r="O40" s="1057" t="s">
        <v>937</v>
      </c>
      <c r="P40" s="1057" t="s">
        <v>881</v>
      </c>
      <c r="Q40" s="1057" t="s">
        <v>937</v>
      </c>
      <c r="R40" s="1057" t="s">
        <v>881</v>
      </c>
      <c r="S40" s="1057"/>
      <c r="T40" s="944" t="s">
        <v>2331</v>
      </c>
      <c r="U40" s="944" t="s">
        <v>2331</v>
      </c>
      <c r="V40" s="944" t="s">
        <v>2331</v>
      </c>
      <c r="W40" s="944" t="s">
        <v>2331</v>
      </c>
      <c r="X40" s="944"/>
      <c r="Y40" s="1100"/>
      <c r="Z40" s="947" t="s">
        <v>2332</v>
      </c>
      <c r="AA40" s="950" t="s">
        <v>2332</v>
      </c>
      <c r="AB40" s="950" t="s">
        <v>2332</v>
      </c>
      <c r="AC40" s="950" t="s">
        <v>2332</v>
      </c>
      <c r="AD40" s="947"/>
    </row>
    <row customHeight="1" ht="27">
      <c r="A41" s="946"/>
      <c r="B41" s="999">
        <v>24</v>
      </c>
      <c r="C41" s="944" t="s">
        <v>2333</v>
      </c>
      <c r="D41" s="1067"/>
      <c r="E41" s="944"/>
      <c r="F41" s="944"/>
      <c r="G41" s="944"/>
      <c r="H41" s="991"/>
      <c r="I41" s="1105" t="str">
        <f>INDEX(TEMPLATE_NUMBER_POINT_FHD,B41,MATCH(TEMPLATE_SPHERE,TEMPLATE_SPHERE_LIST_FOR_NOTE,0))</f>
        <v>2.10.1</v>
      </c>
      <c r="J41" s="1105" t="str">
        <f>INDEX(TEMPLATE_DATA_POINT_FHD,B41,MATCH(TEMPLATE_SPHERE,TEMPLATE_SPHERE_LIST_FOR_NOTE,0))</f>
        <v>Расходы на текущий ремонт</v>
      </c>
      <c r="K41" s="1105" t="str">
        <f>INDEX(TEMPLATE_NOTE_POINT_FHD,B41,MATCH(TEMPLATE_SPHERE,TEMPLATE_SPHERE_LIST_FOR_NOTE,0))</f>
        <v>Указываются расходы на текущий ремонт, отнесенные к общепроизводственным расходам.</v>
      </c>
      <c r="L41" s="945" t="str">
        <f>IF(I41=0,"",I41)</f>
        <v>2.10.1</v>
      </c>
      <c r="M41" s="945" t="str">
        <f>IF(J41=0,"",J41)</f>
        <v>Расходы на текущий ремонт</v>
      </c>
      <c r="N41" s="945" t="str">
        <f>IF(K41=0,"",K41)</f>
        <v>Указываются расходы на текущий ремонт, отнесенные к общепроизводственным расходам.</v>
      </c>
      <c r="O41" s="1057" t="s">
        <v>2334</v>
      </c>
      <c r="P41" s="1057" t="s">
        <v>2322</v>
      </c>
      <c r="Q41" s="1057" t="s">
        <v>2334</v>
      </c>
      <c r="R41" s="1057" t="s">
        <v>2322</v>
      </c>
      <c r="S41" s="1057"/>
      <c r="T41" s="944" t="s">
        <v>2335</v>
      </c>
      <c r="U41" s="944" t="s">
        <v>2335</v>
      </c>
      <c r="V41" s="944" t="s">
        <v>2335</v>
      </c>
      <c r="W41" s="944" t="s">
        <v>2335</v>
      </c>
      <c r="X41" s="944"/>
      <c r="Y41" s="1100"/>
      <c r="Z41" s="947" t="s">
        <v>2336</v>
      </c>
      <c r="AA41" s="947" t="s">
        <v>2336</v>
      </c>
      <c r="AB41" s="947" t="s">
        <v>2336</v>
      </c>
      <c r="AC41" s="947" t="s">
        <v>2336</v>
      </c>
      <c r="AD41" s="947"/>
    </row>
    <row customHeight="1" ht="27">
      <c r="A42" s="946"/>
      <c r="B42" s="999">
        <v>25</v>
      </c>
      <c r="C42" s="944" t="s">
        <v>2337</v>
      </c>
      <c r="D42" s="1067"/>
      <c r="E42" s="944"/>
      <c r="F42" s="944"/>
      <c r="G42" s="944"/>
      <c r="H42" s="991"/>
      <c r="I42" s="1105" t="str">
        <f>INDEX(TEMPLATE_NUMBER_POINT_FHD,B42,MATCH(TEMPLATE_SPHERE,TEMPLATE_SPHERE_LIST_FOR_NOTE,0))</f>
        <v>2.10.2</v>
      </c>
      <c r="J42" s="1105" t="str">
        <f>INDEX(TEMPLATE_DATA_POINT_FHD,B42,MATCH(TEMPLATE_SPHERE,TEMPLATE_SPHERE_LIST_FOR_NOTE,0))</f>
        <v>Расходы на капитальный ремонт</v>
      </c>
      <c r="K42" s="1105" t="str">
        <f>INDEX(TEMPLATE_NOTE_POINT_FHD,B42,MATCH(TEMPLATE_SPHERE,TEMPLATE_SPHERE_LIST_FOR_NOTE,0))</f>
        <v>Указываются расходы на капитальный ремонт, отнесенные к общепроизводственным расходам.</v>
      </c>
      <c r="L42" s="945" t="str">
        <f>IF(I42=0,"",I42)</f>
        <v>2.10.2</v>
      </c>
      <c r="M42" s="945" t="str">
        <f>IF(J42=0,"",J42)</f>
        <v>Расходы на капитальный ремонт</v>
      </c>
      <c r="N42" s="945" t="str">
        <f>IF(K42=0,"",K42)</f>
        <v>Указываются расходы на капитальный ремонт, отнесенные к общепроизводственным расходам.</v>
      </c>
      <c r="O42" s="1057" t="s">
        <v>2338</v>
      </c>
      <c r="P42" s="1057" t="s">
        <v>2325</v>
      </c>
      <c r="Q42" s="1057" t="s">
        <v>2338</v>
      </c>
      <c r="R42" s="1057" t="s">
        <v>2325</v>
      </c>
      <c r="S42" s="1057"/>
      <c r="T42" s="944" t="s">
        <v>2339</v>
      </c>
      <c r="U42" s="944" t="s">
        <v>2339</v>
      </c>
      <c r="V42" s="944" t="s">
        <v>2339</v>
      </c>
      <c r="W42" s="944" t="s">
        <v>2339</v>
      </c>
      <c r="X42" s="944"/>
      <c r="Y42" s="1100"/>
      <c r="Z42" s="947" t="s">
        <v>2340</v>
      </c>
      <c r="AA42" s="947" t="s">
        <v>2340</v>
      </c>
      <c r="AB42" s="947" t="s">
        <v>2340</v>
      </c>
      <c r="AC42" s="947" t="s">
        <v>2340</v>
      </c>
      <c r="AD42" s="947"/>
    </row>
    <row customHeight="1" ht="18">
      <c r="A43" s="946"/>
      <c r="B43" s="999">
        <v>26</v>
      </c>
      <c r="C43" s="944">
        <v>14</v>
      </c>
      <c r="D43" s="1067"/>
      <c r="E43" s="944"/>
      <c r="F43" s="944"/>
      <c r="G43" s="944"/>
      <c r="H43" s="991"/>
      <c r="I43" s="1105" t="str">
        <f>INDEX(TEMPLATE_NUMBER_POINT_FHD,B43,MATCH(TEMPLATE_SPHERE,TEMPLATE_SPHERE_LIST_FOR_NOTE,0))</f>
        <v>2.11</v>
      </c>
      <c r="J43" s="1105" t="str">
        <f>INDEX(TEMPLATE_DATA_POINT_FHD,B43,MATCH(TEMPLATE_SPHERE,TEMPLATE_SPHERE_LIST_FOR_NOTE,0))</f>
        <v>Общехозяйственные расходы, в том числе:</v>
      </c>
      <c r="K43" s="1105" t="str">
        <f>INDEX(TEMPLATE_NOTE_POINT_FHD,B43,MATCH(TEMPLATE_SPHERE,TEMPLATE_SPHERE_LIST_FOR_NOTE,0))</f>
        <v>Указывается общая сумма общехозяйственных расходов.</v>
      </c>
      <c r="L43" s="945" t="str">
        <f>IF(I43=0,"",I43)</f>
        <v>2.11</v>
      </c>
      <c r="M43" s="945" t="str">
        <f>IF(J43=0,"",J43)</f>
        <v>Общехозяйственные расходы, в том числе:</v>
      </c>
      <c r="N43" s="945" t="str">
        <f>IF(K43=0,"",K43)</f>
        <v>Указывается общая сумма общехозяйственных расходов.</v>
      </c>
      <c r="O43" s="1057" t="s">
        <v>2341</v>
      </c>
      <c r="P43" s="1057" t="s">
        <v>885</v>
      </c>
      <c r="Q43" s="1057" t="s">
        <v>2341</v>
      </c>
      <c r="R43" s="1057" t="s">
        <v>885</v>
      </c>
      <c r="S43" s="1057"/>
      <c r="T43" s="944" t="s">
        <v>2342</v>
      </c>
      <c r="U43" s="944" t="s">
        <v>2342</v>
      </c>
      <c r="V43" s="944" t="s">
        <v>2342</v>
      </c>
      <c r="W43" s="944" t="s">
        <v>2342</v>
      </c>
      <c r="X43" s="944"/>
      <c r="Y43" s="1100"/>
      <c r="Z43" s="947" t="s">
        <v>2343</v>
      </c>
      <c r="AA43" s="947" t="s">
        <v>2343</v>
      </c>
      <c r="AB43" s="947" t="s">
        <v>2343</v>
      </c>
      <c r="AC43" s="947" t="s">
        <v>2343</v>
      </c>
      <c r="AD43" s="947"/>
    </row>
    <row customHeight="1" ht="27">
      <c r="A44" s="946"/>
      <c r="B44" s="999">
        <v>27</v>
      </c>
      <c r="C44" s="944" t="s">
        <v>2344</v>
      </c>
      <c r="D44" s="1067"/>
      <c r="E44" s="944"/>
      <c r="F44" s="944"/>
      <c r="G44" s="944"/>
      <c r="H44" s="991"/>
      <c r="I44" s="1105" t="str">
        <f>INDEX(TEMPLATE_NUMBER_POINT_FHD,B44,MATCH(TEMPLATE_SPHERE,TEMPLATE_SPHERE_LIST_FOR_NOTE,0))</f>
        <v>2.11.1</v>
      </c>
      <c r="J44" s="1105" t="str">
        <f>INDEX(TEMPLATE_DATA_POINT_FHD,B44,MATCH(TEMPLATE_SPHERE,TEMPLATE_SPHERE_LIST_FOR_NOTE,0))</f>
        <v>Расходы на текущий ремонт</v>
      </c>
      <c r="K44" s="1105" t="str">
        <f>INDEX(TEMPLATE_NOTE_POINT_FHD,B44,MATCH(TEMPLATE_SPHERE,TEMPLATE_SPHERE_LIST_FOR_NOTE,0))</f>
        <v>Указываются расходы на текущий ремонт, отнесенные к общехозяйственным расходам.</v>
      </c>
      <c r="L44" s="945" t="str">
        <f>IF(I44=0,"",I44)</f>
        <v>2.11.1</v>
      </c>
      <c r="M44" s="945" t="str">
        <f>IF(J44=0,"",J44)</f>
        <v>Расходы на текущий ремонт</v>
      </c>
      <c r="N44" s="945" t="str">
        <f>IF(K44=0,"",K44)</f>
        <v>Указываются расходы на текущий ремонт, отнесенные к общехозяйственным расходам.</v>
      </c>
      <c r="O44" s="1057" t="s">
        <v>2345</v>
      </c>
      <c r="P44" s="1057" t="s">
        <v>888</v>
      </c>
      <c r="Q44" s="1057" t="s">
        <v>2345</v>
      </c>
      <c r="R44" s="1057" t="s">
        <v>888</v>
      </c>
      <c r="S44" s="1057"/>
      <c r="T44" s="944" t="s">
        <v>2335</v>
      </c>
      <c r="U44" s="944" t="s">
        <v>2335</v>
      </c>
      <c r="V44" s="944" t="s">
        <v>2335</v>
      </c>
      <c r="W44" s="944" t="s">
        <v>2335</v>
      </c>
      <c r="X44" s="944"/>
      <c r="Y44" s="1100"/>
      <c r="Z44" s="947" t="s">
        <v>2346</v>
      </c>
      <c r="AA44" s="947" t="s">
        <v>2346</v>
      </c>
      <c r="AB44" s="947" t="s">
        <v>2346</v>
      </c>
      <c r="AC44" s="947" t="s">
        <v>2346</v>
      </c>
      <c r="AD44" s="947"/>
    </row>
    <row customHeight="1" ht="27">
      <c r="A45" s="946"/>
      <c r="B45" s="999">
        <v>28</v>
      </c>
      <c r="C45" s="944" t="s">
        <v>2347</v>
      </c>
      <c r="D45" s="1067"/>
      <c r="E45" s="944"/>
      <c r="F45" s="944"/>
      <c r="G45" s="944"/>
      <c r="H45" s="991"/>
      <c r="I45" s="1105" t="str">
        <f>INDEX(TEMPLATE_NUMBER_POINT_FHD,B45,MATCH(TEMPLATE_SPHERE,TEMPLATE_SPHERE_LIST_FOR_NOTE,0))</f>
        <v>2.11.2</v>
      </c>
      <c r="J45" s="1105" t="str">
        <f>INDEX(TEMPLATE_DATA_POINT_FHD,B45,MATCH(TEMPLATE_SPHERE,TEMPLATE_SPHERE_LIST_FOR_NOTE,0))</f>
        <v>Расходы на капитальный ремонт</v>
      </c>
      <c r="K45" s="1105" t="str">
        <f>INDEX(TEMPLATE_NOTE_POINT_FHD,B45,MATCH(TEMPLATE_SPHERE,TEMPLATE_SPHERE_LIST_FOR_NOTE,0))</f>
        <v>Указываются расходы на капитальный ремонт, отнесенные к общехозяйственным расходам.</v>
      </c>
      <c r="L45" s="945" t="str">
        <f>IF(I45=0,"",I45)</f>
        <v>2.11.2</v>
      </c>
      <c r="M45" s="945" t="str">
        <f>IF(J45=0,"",J45)</f>
        <v>Расходы на капитальный ремонт</v>
      </c>
      <c r="N45" s="945" t="str">
        <f>IF(K45=0,"",K45)</f>
        <v>Указываются расходы на капитальный ремонт, отнесенные к общехозяйственным расходам.</v>
      </c>
      <c r="O45" s="1057" t="s">
        <v>2348</v>
      </c>
      <c r="P45" s="1057" t="s">
        <v>891</v>
      </c>
      <c r="Q45" s="1057" t="s">
        <v>2348</v>
      </c>
      <c r="R45" s="1057" t="s">
        <v>891</v>
      </c>
      <c r="S45" s="1057"/>
      <c r="T45" s="944" t="s">
        <v>2339</v>
      </c>
      <c r="U45" s="944" t="s">
        <v>2339</v>
      </c>
      <c r="V45" s="944" t="s">
        <v>2339</v>
      </c>
      <c r="W45" s="944" t="s">
        <v>2339</v>
      </c>
      <c r="X45" s="944"/>
      <c r="Y45" s="1100"/>
      <c r="Z45" s="947" t="s">
        <v>2349</v>
      </c>
      <c r="AA45" s="947" t="s">
        <v>2349</v>
      </c>
      <c r="AB45" s="947" t="s">
        <v>2349</v>
      </c>
      <c r="AC45" s="947" t="s">
        <v>2349</v>
      </c>
      <c r="AD45" s="947"/>
    </row>
    <row customHeight="1" ht="54">
      <c r="A46" s="946"/>
      <c r="B46" s="999">
        <v>29</v>
      </c>
      <c r="C46" s="944">
        <v>15</v>
      </c>
      <c r="D46" s="1067"/>
      <c r="E46" s="944"/>
      <c r="F46" s="944"/>
      <c r="G46" s="944"/>
      <c r="H46" s="991"/>
      <c r="I46" s="1105" t="str">
        <f>INDEX(TEMPLATE_NUMBER_POINT_FHD,B46,MATCH(TEMPLATE_SPHERE,TEMPLATE_SPHERE_LIST_FOR_NOTE,0))</f>
        <v>2.12</v>
      </c>
      <c r="J46" s="1105" t="str">
        <f>INDEX(TEMPLATE_DATA_POINT_FHD,B46,MATCH(TEMPLATE_SPHERE,TEMPLATE_SPHERE_LIST_FOR_NOTE,0))</f>
        <v>Расходы на капитальный и текущий ремонт основных средств</v>
      </c>
      <c r="K46" s="11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45" t="str">
        <f>IF(I46=0,"",I46)</f>
        <v>2.12</v>
      </c>
      <c r="M46" s="945" t="str">
        <f>IF(J46=0,"",J46)</f>
        <v>Расходы на капитальный и текущий ремонт основных средств</v>
      </c>
      <c r="N46" s="9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57" t="s">
        <v>2350</v>
      </c>
      <c r="P46" s="1057" t="s">
        <v>937</v>
      </c>
      <c r="Q46" s="1057" t="s">
        <v>2350</v>
      </c>
      <c r="R46" s="1057" t="s">
        <v>937</v>
      </c>
      <c r="S46" s="1057"/>
      <c r="T46" s="9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44" t="s">
        <v>2351</v>
      </c>
      <c r="V46" s="944" t="s">
        <v>2351</v>
      </c>
      <c r="W46" s="944" t="s">
        <v>2351</v>
      </c>
      <c r="X46" s="944"/>
      <c r="Y46" s="1100"/>
      <c r="Z46" s="947" t="s">
        <v>2352</v>
      </c>
      <c r="AA46" s="947" t="s">
        <v>2353</v>
      </c>
      <c r="AB46" s="947" t="s">
        <v>2353</v>
      </c>
      <c r="AC46" s="947" t="s">
        <v>2353</v>
      </c>
      <c r="AD46" s="947"/>
    </row>
    <row customHeight="1" ht="54">
      <c r="A47" s="946"/>
      <c r="B47" s="999">
        <v>30</v>
      </c>
      <c r="C47" s="944" t="s">
        <v>2354</v>
      </c>
      <c r="D47" s="1067"/>
      <c r="E47" s="944"/>
      <c r="F47" s="944"/>
      <c r="G47" s="944"/>
      <c r="H47" s="991"/>
      <c r="I47" s="1105" t="str">
        <f>INDEX(TEMPLATE_NUMBER_POINT_FHD,B47,MATCH(TEMPLATE_SPHERE,TEMPLATE_SPHERE_LIST_FOR_NOTE,0))</f>
        <v>2.12.1</v>
      </c>
      <c r="J47" s="11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05">
        <f>INDEX(TEMPLATE_NOTE_POINT_FHD,B47,MATCH(TEMPLATE_SPHERE,TEMPLATE_SPHERE_LIST_FOR_NOTE,0))</f>
        <v>0</v>
      </c>
      <c r="L47" s="945" t="str">
        <f>IF(I47=0,"",I47)</f>
        <v>2.12.1</v>
      </c>
      <c r="M47" s="9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45" t="str">
        <f>IF(K47=0,"",K47)</f>
        <v/>
      </c>
      <c r="O47" s="1057" t="s">
        <v>2355</v>
      </c>
      <c r="P47" s="1057" t="s">
        <v>2334</v>
      </c>
      <c r="Q47" s="1057" t="s">
        <v>2355</v>
      </c>
      <c r="R47" s="1057" t="s">
        <v>2334</v>
      </c>
      <c r="S47" s="1057"/>
      <c r="T47" s="944" t="s">
        <v>2356</v>
      </c>
      <c r="U47" s="944" t="s">
        <v>2356</v>
      </c>
      <c r="V47" s="944" t="s">
        <v>2356</v>
      </c>
      <c r="W47" s="944" t="s">
        <v>2356</v>
      </c>
      <c r="X47" s="944"/>
      <c r="Y47" s="1100"/>
      <c r="Z47" s="947"/>
      <c r="AA47" s="950"/>
      <c r="AB47" s="950"/>
      <c r="AC47" s="950"/>
      <c r="AD47" s="947"/>
    </row>
    <row customHeight="1" ht="54">
      <c r="A48" s="946"/>
      <c r="B48" s="999">
        <v>31</v>
      </c>
      <c r="C48" s="944">
        <v>16</v>
      </c>
      <c r="D48" s="1067"/>
      <c r="E48" s="944"/>
      <c r="F48" s="944"/>
      <c r="G48" s="944"/>
      <c r="H48" s="991"/>
      <c r="I48" s="1105">
        <f>INDEX(TEMPLATE_NUMBER_POINT_FHD,B48,MATCH(TEMPLATE_SPHERE,TEMPLATE_SPHERE_LIST_FOR_NOTE,0))</f>
        <v>0</v>
      </c>
      <c r="J48" s="1105">
        <f>INDEX(TEMPLATE_DATA_POINT_FHD,B48,MATCH(TEMPLATE_SPHERE,TEMPLATE_SPHERE_LIST_FOR_NOTE,0))</f>
        <v>0</v>
      </c>
      <c r="K48" s="1105">
        <f>INDEX(TEMPLATE_NOTE_POINT_FHD,B48,MATCH(TEMPLATE_SPHERE,TEMPLATE_SPHERE_LIST_FOR_NOTE,0))</f>
        <v>0</v>
      </c>
      <c r="L48" s="945" t="str">
        <f>IF(I48=0,"",I48)</f>
        <v/>
      </c>
      <c r="M48" s="945" t="str">
        <f>IF(J48=0,"",J48)</f>
        <v/>
      </c>
      <c r="N48" s="945" t="str">
        <f>IF(K48=0,"",K48)</f>
        <v/>
      </c>
      <c r="O48" s="1057"/>
      <c r="P48" s="1057" t="s">
        <v>2341</v>
      </c>
      <c r="Q48" s="1057" t="s">
        <v>2357</v>
      </c>
      <c r="R48" s="1057" t="s">
        <v>2341</v>
      </c>
      <c r="S48" s="1057"/>
      <c r="T48" s="944"/>
      <c r="U48" s="944" t="s">
        <v>2358</v>
      </c>
      <c r="V48" s="944" t="s">
        <v>2359</v>
      </c>
      <c r="W48" s="944" t="s">
        <v>2359</v>
      </c>
      <c r="X48" s="944"/>
      <c r="Y48" s="1100"/>
      <c r="Z48" s="947"/>
      <c r="AA48" s="950" t="s">
        <v>2353</v>
      </c>
      <c r="AB48" s="950" t="s">
        <v>2353</v>
      </c>
      <c r="AC48" s="950" t="s">
        <v>2353</v>
      </c>
      <c r="AD48" s="947"/>
    </row>
    <row customHeight="1" ht="54">
      <c r="A49" s="946"/>
      <c r="B49" s="999">
        <v>32</v>
      </c>
      <c r="C49" s="944" t="s">
        <v>2360</v>
      </c>
      <c r="D49" s="1067"/>
      <c r="E49" s="944"/>
      <c r="F49" s="944"/>
      <c r="G49" s="944"/>
      <c r="H49" s="991"/>
      <c r="I49" s="1105">
        <f>INDEX(TEMPLATE_NUMBER_POINT_FHD,B49,MATCH(TEMPLATE_SPHERE,TEMPLATE_SPHERE_LIST_FOR_NOTE,0))</f>
        <v>0</v>
      </c>
      <c r="J49" s="1105">
        <f>INDEX(TEMPLATE_DATA_POINT_FHD,B49,MATCH(TEMPLATE_SPHERE,TEMPLATE_SPHERE_LIST_FOR_NOTE,0))</f>
        <v>0</v>
      </c>
      <c r="K49" s="1105">
        <f>INDEX(TEMPLATE_NOTE_POINT_FHD,B49,MATCH(TEMPLATE_SPHERE,TEMPLATE_SPHERE_LIST_FOR_NOTE,0))</f>
        <v>0</v>
      </c>
      <c r="L49" s="945" t="str">
        <f>IF(I49=0,"",I49)</f>
        <v/>
      </c>
      <c r="M49" s="945" t="str">
        <f>IF(J49=0,"",J49)</f>
        <v/>
      </c>
      <c r="N49" s="945" t="str">
        <f>IF(K49=0,"",K49)</f>
        <v/>
      </c>
      <c r="O49" s="1057"/>
      <c r="P49" s="1057" t="s">
        <v>2345</v>
      </c>
      <c r="Q49" s="1057" t="s">
        <v>2361</v>
      </c>
      <c r="R49" s="1057" t="s">
        <v>2345</v>
      </c>
      <c r="S49" s="1057"/>
      <c r="T49" s="944"/>
      <c r="U49" s="944" t="s">
        <v>2356</v>
      </c>
      <c r="V49" s="944" t="s">
        <v>2356</v>
      </c>
      <c r="W49" s="944" t="s">
        <v>2356</v>
      </c>
      <c r="X49" s="944"/>
      <c r="Y49" s="1100"/>
      <c r="Z49" s="947"/>
      <c r="AA49" s="950"/>
      <c r="AB49" s="950"/>
      <c r="AC49" s="950"/>
      <c r="AD49" s="947"/>
    </row>
    <row customHeight="1" ht="126">
      <c r="A50" s="946"/>
      <c r="B50" s="999">
        <v>33</v>
      </c>
      <c r="C50" s="944">
        <v>17</v>
      </c>
      <c r="D50" s="1067"/>
      <c r="E50" s="944"/>
      <c r="F50" s="944"/>
      <c r="G50" s="944"/>
      <c r="H50" s="991"/>
      <c r="I50" s="1105" t="str">
        <f>INDEX(TEMPLATE_NUMBER_POINT_FHD,B50,MATCH(TEMPLATE_SPHERE,TEMPLATE_SPHERE_LIST_FOR_NOTE,0))</f>
        <v>2.13</v>
      </c>
      <c r="J50" s="11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45" t="str">
        <f>IF(I50=0,"",I50)</f>
        <v>2.13</v>
      </c>
      <c r="M50" s="9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57" t="s">
        <v>2357</v>
      </c>
      <c r="P50" s="1057" t="s">
        <v>2350</v>
      </c>
      <c r="Q50" s="1057" t="s">
        <v>2362</v>
      </c>
      <c r="R50" s="1057" t="s">
        <v>2350</v>
      </c>
      <c r="S50" s="1057"/>
      <c r="T50" s="944" t="s">
        <v>2363</v>
      </c>
      <c r="U50" s="944" t="s">
        <v>2364</v>
      </c>
      <c r="V50" s="944" t="s">
        <v>2365</v>
      </c>
      <c r="W50" s="944" t="s">
        <v>2366</v>
      </c>
      <c r="X50" s="944"/>
      <c r="Y50" s="1100"/>
      <c r="Z50" s="947" t="s">
        <v>2367</v>
      </c>
      <c r="AA50" s="950" t="s">
        <v>2368</v>
      </c>
      <c r="AB50" s="950" t="s">
        <v>2368</v>
      </c>
      <c r="AC50" s="950" t="s">
        <v>2368</v>
      </c>
      <c r="AD50" s="947"/>
    </row>
    <row customHeight="1" ht="27">
      <c r="A51" s="946"/>
      <c r="B51" s="999">
        <v>34</v>
      </c>
      <c r="C51" s="944" t="s">
        <v>2369</v>
      </c>
      <c r="D51" s="1067"/>
      <c r="E51" s="944"/>
      <c r="F51" s="944"/>
      <c r="G51" s="944"/>
      <c r="H51" s="991"/>
      <c r="I51" s="1105" t="str">
        <f>INDEX(TEMPLATE_NUMBER_POINT_FHD,B51,MATCH(TEMPLATE_SPHERE,TEMPLATE_SPHERE_LIST_FOR_NOTE,0))</f>
        <v>3</v>
      </c>
      <c r="J51" s="11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05">
        <f>INDEX(TEMPLATE_NOTE_POINT_FHD,B51,MATCH(TEMPLATE_SPHERE,TEMPLATE_SPHERE_LIST_FOR_NOTE,0))</f>
        <v>0</v>
      </c>
      <c r="L51" s="945" t="str">
        <f>IF(I51=0,"",I51)</f>
        <v>3</v>
      </c>
      <c r="M51" s="945" t="str">
        <f>IF(J51=0,"",J51)</f>
        <v>Валовая прибыль (убытки) от реализации товаров и оказания услуг по регулируемому виду деятельности</v>
      </c>
      <c r="N51" s="945" t="str">
        <f>IF(K51=0,"",K51)</f>
        <v/>
      </c>
      <c r="O51" s="1057" t="s">
        <v>90</v>
      </c>
      <c r="P51" s="1057"/>
      <c r="Q51" s="1057"/>
      <c r="R51" s="1057"/>
      <c r="S51" s="1057"/>
      <c r="T51" s="944" t="s">
        <v>2370</v>
      </c>
      <c r="U51" s="944"/>
      <c r="V51" s="944"/>
      <c r="W51" s="944"/>
      <c r="X51" s="944"/>
      <c r="Y51" s="1100"/>
      <c r="Z51" s="947"/>
      <c r="AA51" s="950"/>
      <c r="AB51" s="950"/>
      <c r="AC51" s="950"/>
      <c r="AD51" s="947"/>
    </row>
    <row customHeight="1" ht="36">
      <c r="A52" s="946"/>
      <c r="B52" s="999">
        <v>35</v>
      </c>
      <c r="C52" s="944" t="s">
        <v>2266</v>
      </c>
      <c r="D52" s="1067" t="s">
        <v>2266</v>
      </c>
      <c r="E52" s="944" t="s">
        <v>2266</v>
      </c>
      <c r="F52" s="944" t="s">
        <v>2266</v>
      </c>
      <c r="G52" s="944"/>
      <c r="H52" s="991"/>
      <c r="I52" s="1105" t="str">
        <f>INDEX(TEMPLATE_NUMBER_POINT_FHD,B52,MATCH(TEMPLATE_SPHERE,TEMPLATE_SPHERE_LIST_FOR_NOTE,0))</f>
        <v>4</v>
      </c>
      <c r="J52" s="1105" t="str">
        <f>INDEX(TEMPLATE_DATA_POINT_FHD,B52,MATCH(TEMPLATE_SPHERE,TEMPLATE_SPHERE_LIST_FOR_NOTE,0))</f>
        <v>Чистая прибыль, полученная от регулируемого вида деятельности, в том числе:</v>
      </c>
      <c r="K52" s="1105" t="str">
        <f>INDEX(TEMPLATE_NOTE_POINT_FHD,B52,MATCH(TEMPLATE_SPHERE,TEMPLATE_SPHERE_LIST_FOR_NOTE,0))</f>
        <v>Указывается общая сумма чистой прибыли, полученной от регулируемого вида деятельности.</v>
      </c>
      <c r="L52" s="945" t="str">
        <f>IF(I52=0,"",I52)</f>
        <v>4</v>
      </c>
      <c r="M52" s="945" t="str">
        <f>IF(J52=0,"",J52)</f>
        <v>Чистая прибыль, полученная от регулируемого вида деятельности, в том числе:</v>
      </c>
      <c r="N52" s="945" t="str">
        <f>IF(K52=0,"",K52)</f>
        <v>Указывается общая сумма чистой прибыли, полученной от регулируемого вида деятельности.</v>
      </c>
      <c r="O52" s="1057" t="s">
        <v>91</v>
      </c>
      <c r="P52" s="1057" t="s">
        <v>90</v>
      </c>
      <c r="Q52" s="1057" t="s">
        <v>90</v>
      </c>
      <c r="R52" s="1057" t="s">
        <v>90</v>
      </c>
      <c r="S52" s="1057"/>
      <c r="T52" s="944" t="s">
        <v>2371</v>
      </c>
      <c r="U52" s="944" t="s">
        <v>2372</v>
      </c>
      <c r="V52" s="944" t="s">
        <v>2373</v>
      </c>
      <c r="W52" s="944" t="s">
        <v>2374</v>
      </c>
      <c r="X52" s="944"/>
      <c r="Y52" s="1100"/>
      <c r="Z52" s="947" t="s">
        <v>895</v>
      </c>
      <c r="AA52" s="950" t="s">
        <v>895</v>
      </c>
      <c r="AB52" s="950" t="s">
        <v>895</v>
      </c>
      <c r="AC52" s="950" t="s">
        <v>895</v>
      </c>
      <c r="AD52" s="947"/>
    </row>
    <row customHeight="1" ht="36">
      <c r="A53" s="946"/>
      <c r="B53" s="999">
        <v>36</v>
      </c>
      <c r="C53" s="944">
        <v>1</v>
      </c>
      <c r="D53" s="1067"/>
      <c r="E53" s="944"/>
      <c r="F53" s="944"/>
      <c r="G53" s="944"/>
      <c r="H53" s="991"/>
      <c r="I53" s="1105" t="str">
        <f>INDEX(TEMPLATE_NUMBER_POINT_FHD,B53,MATCH(TEMPLATE_SPHERE,TEMPLATE_SPHERE_LIST_FOR_NOTE,0))</f>
        <v>4.1</v>
      </c>
      <c r="J53" s="11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05">
        <f>INDEX(TEMPLATE_NOTE_POINT_FHD,B53,MATCH(TEMPLATE_SPHERE,TEMPLATE_SPHERE_LIST_FOR_NOTE,0))</f>
        <v>0</v>
      </c>
      <c r="L53" s="945" t="str">
        <f>IF(I53=0,"",I53)</f>
        <v>4.1</v>
      </c>
      <c r="M53" s="9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45" t="str">
        <f>IF(K53=0,"",K53)</f>
        <v/>
      </c>
      <c r="O53" s="1057" t="s">
        <v>899</v>
      </c>
      <c r="P53" s="1057" t="s">
        <v>409</v>
      </c>
      <c r="Q53" s="1057" t="s">
        <v>409</v>
      </c>
      <c r="R53" s="1057" t="s">
        <v>409</v>
      </c>
      <c r="S53" s="1057"/>
      <c r="T53" s="944" t="s">
        <v>2375</v>
      </c>
      <c r="U53" s="944" t="s">
        <v>2375</v>
      </c>
      <c r="V53" s="944" t="s">
        <v>2375</v>
      </c>
      <c r="W53" s="944" t="s">
        <v>2375</v>
      </c>
      <c r="X53" s="944"/>
      <c r="Y53" s="1100"/>
      <c r="Z53" s="947"/>
      <c r="AA53" s="950"/>
      <c r="AB53" s="947"/>
      <c r="AC53" s="947"/>
      <c r="AD53" s="947"/>
    </row>
    <row customHeight="1" ht="18">
      <c r="A54" s="946"/>
      <c r="B54" s="999">
        <v>37</v>
      </c>
      <c r="C54" s="944" t="s">
        <v>2272</v>
      </c>
      <c r="D54" s="1067" t="s">
        <v>2272</v>
      </c>
      <c r="E54" s="944" t="s">
        <v>2272</v>
      </c>
      <c r="F54" s="944" t="s">
        <v>2272</v>
      </c>
      <c r="G54" s="944"/>
      <c r="H54" s="991"/>
      <c r="I54" s="1105" t="str">
        <f>INDEX(TEMPLATE_NUMBER_POINT_FHD,B54,MATCH(TEMPLATE_SPHERE,TEMPLATE_SPHERE_LIST_FOR_NOTE,0))</f>
        <v>5</v>
      </c>
      <c r="J54" s="1105" t="str">
        <f>INDEX(TEMPLATE_DATA_POINT_FHD,B54,MATCH(TEMPLATE_SPHERE,TEMPLATE_SPHERE_LIST_FOR_NOTE,0))</f>
        <v>Изменение стоимости основных фондов, в том числе:</v>
      </c>
      <c r="K54" s="1105" t="str">
        <f>INDEX(TEMPLATE_NOTE_POINT_FHD,B54,MATCH(TEMPLATE_SPHERE,TEMPLATE_SPHERE_LIST_FOR_NOTE,0))</f>
        <v>Указывается общее изменение стоимости основных фондов.</v>
      </c>
      <c r="L54" s="945" t="str">
        <f>IF(I54=0,"",I54)</f>
        <v>5</v>
      </c>
      <c r="M54" s="945" t="str">
        <f>IF(J54=0,"",J54)</f>
        <v>Изменение стоимости основных фондов, в том числе:</v>
      </c>
      <c r="N54" s="945" t="str">
        <f>IF(K54=0,"",K54)</f>
        <v>Указывается общее изменение стоимости основных фондов.</v>
      </c>
      <c r="O54" s="1057" t="s">
        <v>121</v>
      </c>
      <c r="P54" s="1057" t="s">
        <v>91</v>
      </c>
      <c r="Q54" s="1057" t="s">
        <v>91</v>
      </c>
      <c r="R54" s="1057" t="s">
        <v>91</v>
      </c>
      <c r="S54" s="1057"/>
      <c r="T54" s="944" t="s">
        <v>897</v>
      </c>
      <c r="U54" s="944" t="s">
        <v>897</v>
      </c>
      <c r="V54" s="944" t="s">
        <v>897</v>
      </c>
      <c r="W54" s="944" t="s">
        <v>897</v>
      </c>
      <c r="X54" s="944"/>
      <c r="Y54" s="1100"/>
      <c r="Z54" s="947" t="s">
        <v>898</v>
      </c>
      <c r="AA54" s="947" t="s">
        <v>898</v>
      </c>
      <c r="AB54" s="947" t="s">
        <v>898</v>
      </c>
      <c r="AC54" s="947" t="s">
        <v>898</v>
      </c>
      <c r="AD54" s="947"/>
    </row>
    <row customHeight="1" ht="36">
      <c r="A55" s="946"/>
      <c r="B55" s="999">
        <v>38</v>
      </c>
      <c r="C55" s="944">
        <v>1</v>
      </c>
      <c r="D55" s="1067"/>
      <c r="E55" s="944"/>
      <c r="F55" s="944"/>
      <c r="G55" s="944"/>
      <c r="H55" s="991"/>
      <c r="I55" s="1105" t="str">
        <f>INDEX(TEMPLATE_NUMBER_POINT_FHD,B55,MATCH(TEMPLATE_SPHERE,TEMPLATE_SPHERE_LIST_FOR_NOTE,0))</f>
        <v>5.1</v>
      </c>
      <c r="J55" s="1105" t="str">
        <f>INDEX(TEMPLATE_DATA_POINT_FHD,B55,MATCH(TEMPLATE_SPHERE,TEMPLATE_SPHERE_LIST_FOR_NOTE,0))</f>
        <v>Изменение стоимости основных фондов за счет:</v>
      </c>
      <c r="K55" s="11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45" t="str">
        <f>IF(I55=0,"",I55)</f>
        <v>5.1</v>
      </c>
      <c r="M55" s="945" t="str">
        <f>IF(J55=0,"",J55)</f>
        <v>Изменение стоимости основных фондов за счет:</v>
      </c>
      <c r="N55" s="945" t="str">
        <f>IF(K55=0,"",K55)</f>
        <v>Указываются общее изменение стоимости основных фондов за счет их ввода в эксплуатацию и вывода из эксплуатации.</v>
      </c>
      <c r="O55" s="1057" t="s">
        <v>398</v>
      </c>
      <c r="P55" s="1057" t="s">
        <v>899</v>
      </c>
      <c r="Q55" s="1057" t="s">
        <v>899</v>
      </c>
      <c r="R55" s="1057" t="s">
        <v>899</v>
      </c>
      <c r="S55" s="1057"/>
      <c r="T55" s="9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44" t="s">
        <v>2376</v>
      </c>
      <c r="V55" s="944" t="s">
        <v>2376</v>
      </c>
      <c r="W55" s="944" t="s">
        <v>2376</v>
      </c>
      <c r="X55" s="944"/>
      <c r="Y55" s="1100"/>
      <c r="Z55" s="947" t="s">
        <v>2377</v>
      </c>
      <c r="AA55" s="947" t="s">
        <v>2377</v>
      </c>
      <c r="AB55" s="947" t="s">
        <v>2377</v>
      </c>
      <c r="AC55" s="947" t="s">
        <v>2377</v>
      </c>
      <c r="AD55" s="947"/>
    </row>
    <row customHeight="1" ht="27">
      <c r="A56" s="946"/>
      <c r="B56" s="999">
        <v>39</v>
      </c>
      <c r="C56" s="944" t="s">
        <v>1311</v>
      </c>
      <c r="D56" s="1067"/>
      <c r="E56" s="944"/>
      <c r="F56" s="944"/>
      <c r="G56" s="944"/>
      <c r="H56" s="991"/>
      <c r="I56" s="1105" t="str">
        <f>INDEX(TEMPLATE_NUMBER_POINT_FHD,B56,MATCH(TEMPLATE_SPHERE,TEMPLATE_SPHERE_LIST_FOR_NOTE,0))</f>
        <v>5.1.1</v>
      </c>
      <c r="J56" s="1105" t="str">
        <f>INDEX(TEMPLATE_DATA_POINT_FHD,B56,MATCH(TEMPLATE_SPHERE,TEMPLATE_SPHERE_LIST_FOR_NOTE,0))</f>
        <v>Изменения стоимости основных фондов за счет их ввода в эксплуатацию</v>
      </c>
      <c r="K56" s="1105" t="str">
        <f>INDEX(TEMPLATE_NOTE_POINT_FHD,B56,MATCH(TEMPLATE_SPHERE,TEMPLATE_SPHERE_LIST_FOR_NOTE,0))</f>
        <v>Указываются изменение стоимости основных фондов за счет их ввода в эксплуатацию.</v>
      </c>
      <c r="L56" s="945" t="str">
        <f>IF(I56=0,"",I56)</f>
        <v>5.1.1</v>
      </c>
      <c r="M56" s="945" t="str">
        <f>IF(J56=0,"",J56)</f>
        <v>Изменения стоимости основных фондов за счет их ввода в эксплуатацию</v>
      </c>
      <c r="N56" s="945" t="str">
        <f>IF(K56=0,"",K56)</f>
        <v>Указываются изменение стоимости основных фондов за счет их ввода в эксплуатацию.</v>
      </c>
      <c r="O56" s="1057" t="s">
        <v>1434</v>
      </c>
      <c r="P56" s="1057" t="s">
        <v>902</v>
      </c>
      <c r="Q56" s="1057" t="s">
        <v>902</v>
      </c>
      <c r="R56" s="1057" t="s">
        <v>902</v>
      </c>
      <c r="S56" s="1057"/>
      <c r="T56" s="9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44" t="s">
        <v>2378</v>
      </c>
      <c r="V56" s="944" t="s">
        <v>2378</v>
      </c>
      <c r="W56" s="944" t="s">
        <v>2378</v>
      </c>
      <c r="X56" s="944"/>
      <c r="Y56" s="1100"/>
      <c r="Z56" s="947" t="s">
        <v>904</v>
      </c>
      <c r="AA56" s="947" t="s">
        <v>904</v>
      </c>
      <c r="AB56" s="947" t="s">
        <v>904</v>
      </c>
      <c r="AC56" s="947" t="s">
        <v>904</v>
      </c>
      <c r="AD56" s="947"/>
    </row>
    <row customHeight="1" ht="27">
      <c r="A57" s="946"/>
      <c r="B57" s="999">
        <v>40</v>
      </c>
      <c r="C57" s="944" t="s">
        <v>1313</v>
      </c>
      <c r="D57" s="1067"/>
      <c r="E57" s="944"/>
      <c r="F57" s="944"/>
      <c r="G57" s="944"/>
      <c r="H57" s="991"/>
      <c r="I57" s="1105" t="str">
        <f>INDEX(TEMPLATE_NUMBER_POINT_FHD,B57,MATCH(TEMPLATE_SPHERE,TEMPLATE_SPHERE_LIST_FOR_NOTE,0))</f>
        <v>5.1.2</v>
      </c>
      <c r="J57" s="1105" t="str">
        <f>INDEX(TEMPLATE_DATA_POINT_FHD,B57,MATCH(TEMPLATE_SPHERE,TEMPLATE_SPHERE_LIST_FOR_NOTE,0))</f>
        <v>Изменения стоимости основных фондов за счет их вывода в эксплуатацию</v>
      </c>
      <c r="K57" s="1105" t="str">
        <f>INDEX(TEMPLATE_NOTE_POINT_FHD,B57,MATCH(TEMPLATE_SPHERE,TEMPLATE_SPHERE_LIST_FOR_NOTE,0))</f>
        <v>Указываются изменение стоимости основных фондов за счет их вывода из эксплуатации.</v>
      </c>
      <c r="L57" s="945" t="str">
        <f>IF(I57=0,"",I57)</f>
        <v>5.1.2</v>
      </c>
      <c r="M57" s="945" t="str">
        <f>IF(J57=0,"",J57)</f>
        <v>Изменения стоимости основных фондов за счет их вывода в эксплуатацию</v>
      </c>
      <c r="N57" s="945" t="str">
        <f>IF(K57=0,"",K57)</f>
        <v>Указываются изменение стоимости основных фондов за счет их вывода из эксплуатации.</v>
      </c>
      <c r="O57" s="1057" t="s">
        <v>2379</v>
      </c>
      <c r="P57" s="1057" t="s">
        <v>905</v>
      </c>
      <c r="Q57" s="1057" t="s">
        <v>905</v>
      </c>
      <c r="R57" s="1057" t="s">
        <v>905</v>
      </c>
      <c r="S57" s="1057"/>
      <c r="T57" s="9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44" t="s">
        <v>2380</v>
      </c>
      <c r="V57" s="944" t="s">
        <v>2380</v>
      </c>
      <c r="W57" s="944" t="s">
        <v>2380</v>
      </c>
      <c r="X57" s="944"/>
      <c r="Y57" s="1100"/>
      <c r="Z57" s="947" t="s">
        <v>907</v>
      </c>
      <c r="AA57" s="947" t="s">
        <v>907</v>
      </c>
      <c r="AB57" s="947" t="s">
        <v>907</v>
      </c>
      <c r="AC57" s="947" t="s">
        <v>907</v>
      </c>
      <c r="AD57" s="947"/>
    </row>
    <row customHeight="1" ht="18">
      <c r="A58" s="946"/>
      <c r="B58" s="999">
        <v>41</v>
      </c>
      <c r="C58" s="944">
        <v>2</v>
      </c>
      <c r="D58" s="1067"/>
      <c r="E58" s="944"/>
      <c r="F58" s="944"/>
      <c r="G58" s="944"/>
      <c r="H58" s="991"/>
      <c r="I58" s="1105" t="str">
        <f>INDEX(TEMPLATE_NUMBER_POINT_FHD,B58,MATCH(TEMPLATE_SPHERE,TEMPLATE_SPHERE_LIST_FOR_NOTE,0))</f>
        <v>5.2</v>
      </c>
      <c r="J58" s="1105" t="str">
        <f>INDEX(TEMPLATE_DATA_POINT_FHD,B58,MATCH(TEMPLATE_SPHERE,TEMPLATE_SPHERE_LIST_FOR_NOTE,0))</f>
        <v>Изменение стоимости основных фондов за счет их переоценки</v>
      </c>
      <c r="K58" s="1105">
        <f>INDEX(TEMPLATE_NOTE_POINT_FHD,B58,MATCH(TEMPLATE_SPHERE,TEMPLATE_SPHERE_LIST_FOR_NOTE,0))</f>
        <v>0</v>
      </c>
      <c r="L58" s="945" t="str">
        <f>IF(I58=0,"",I58)</f>
        <v>5.2</v>
      </c>
      <c r="M58" s="945" t="str">
        <f>IF(J58=0,"",J58)</f>
        <v>Изменение стоимости основных фондов за счет их переоценки</v>
      </c>
      <c r="N58" s="945" t="str">
        <f>IF(K58=0,"",K58)</f>
        <v/>
      </c>
      <c r="O58" s="1057" t="s">
        <v>1046</v>
      </c>
      <c r="P58" s="1057" t="s">
        <v>943</v>
      </c>
      <c r="Q58" s="1057" t="s">
        <v>943</v>
      </c>
      <c r="R58" s="1057" t="s">
        <v>943</v>
      </c>
      <c r="S58" s="1057"/>
      <c r="T58" s="9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44" t="s">
        <v>2381</v>
      </c>
      <c r="V58" s="944" t="s">
        <v>2381</v>
      </c>
      <c r="W58" s="944" t="s">
        <v>2381</v>
      </c>
      <c r="X58" s="944"/>
      <c r="Y58" s="1100"/>
      <c r="Z58" s="947"/>
      <c r="AA58" s="950"/>
      <c r="AB58" s="947"/>
      <c r="AC58" s="947"/>
      <c r="AD58" s="947"/>
    </row>
    <row customHeight="1" ht="36">
      <c r="A59" s="946"/>
      <c r="B59" s="999">
        <v>42</v>
      </c>
      <c r="C59" s="944">
        <v>3</v>
      </c>
      <c r="D59" s="1067" t="s">
        <v>2369</v>
      </c>
      <c r="E59" s="944" t="s">
        <v>2369</v>
      </c>
      <c r="F59" s="944" t="s">
        <v>2369</v>
      </c>
      <c r="G59" s="944"/>
      <c r="H59" s="991"/>
      <c r="I59" s="1105">
        <f>INDEX(TEMPLATE_NUMBER_POINT_FHD,B59,MATCH(TEMPLATE_SPHERE,TEMPLATE_SPHERE_LIST_FOR_NOTE,0))</f>
        <v>0</v>
      </c>
      <c r="J59" s="1105">
        <f>INDEX(TEMPLATE_DATA_POINT_FHD,B59,MATCH(TEMPLATE_SPHERE,TEMPLATE_SPHERE_LIST_FOR_NOTE,0))</f>
        <v>0</v>
      </c>
      <c r="K59" s="1105">
        <f>INDEX(TEMPLATE_NOTE_POINT_FHD,B59,MATCH(TEMPLATE_SPHERE,TEMPLATE_SPHERE_LIST_FOR_NOTE,0))</f>
        <v>0</v>
      </c>
      <c r="L59" s="945" t="str">
        <f>IF(I59=0,"",I59)</f>
        <v/>
      </c>
      <c r="M59" s="945" t="str">
        <f>IF(J59=0,"",J59)</f>
        <v/>
      </c>
      <c r="N59" s="945" t="str">
        <f>IF(K59=0,"",K59)</f>
        <v/>
      </c>
      <c r="O59" s="1057"/>
      <c r="P59" s="1057" t="s">
        <v>121</v>
      </c>
      <c r="Q59" s="1057" t="s">
        <v>121</v>
      </c>
      <c r="R59" s="1057" t="s">
        <v>121</v>
      </c>
      <c r="S59" s="1057"/>
      <c r="T59" s="944"/>
      <c r="U59" s="944" t="s">
        <v>2382</v>
      </c>
      <c r="V59" s="944" t="s">
        <v>2383</v>
      </c>
      <c r="W59" s="944" t="s">
        <v>2384</v>
      </c>
      <c r="X59" s="944"/>
      <c r="Y59" s="1100"/>
      <c r="Z59" s="947"/>
      <c r="AA59" s="950"/>
      <c r="AB59" s="947"/>
      <c r="AC59" s="947"/>
      <c r="AD59" s="947"/>
    </row>
    <row customHeight="1" ht="81">
      <c r="A60" s="946"/>
      <c r="B60" s="999">
        <v>43</v>
      </c>
      <c r="C60" s="944" t="s">
        <v>2385</v>
      </c>
      <c r="D60" s="1067" t="s">
        <v>2385</v>
      </c>
      <c r="E60" s="944" t="s">
        <v>2385</v>
      </c>
      <c r="F60" s="944" t="s">
        <v>2385</v>
      </c>
      <c r="G60" s="944"/>
      <c r="H60" s="991"/>
      <c r="I60" s="1105" t="str">
        <f>INDEX(TEMPLATE_NUMBER_POINT_FHD,B60,MATCH(TEMPLATE_SPHERE,TEMPLATE_SPHERE_LIST_FOR_NOTE,0))</f>
        <v>6</v>
      </c>
      <c r="J60" s="11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45" t="str">
        <f>IF(I60=0,"",I60)</f>
        <v>6</v>
      </c>
      <c r="M60" s="945" t="str">
        <f>IF(J60=0,"",J60)</f>
        <v>Годовая бухгалтерская (финансовая) отчетность, включая бухгалтерский баланс и приложения к нему</v>
      </c>
      <c r="N60" s="9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57" t="s">
        <v>92</v>
      </c>
      <c r="P60" s="1057" t="s">
        <v>92</v>
      </c>
      <c r="Q60" s="1057" t="s">
        <v>92</v>
      </c>
      <c r="R60" s="1057" t="s">
        <v>92</v>
      </c>
      <c r="S60" s="1057"/>
      <c r="T60" s="944" t="s">
        <v>769</v>
      </c>
      <c r="U60" s="944" t="s">
        <v>769</v>
      </c>
      <c r="V60" s="944" t="s">
        <v>769</v>
      </c>
      <c r="W60" s="944" t="s">
        <v>769</v>
      </c>
      <c r="X60" s="944"/>
      <c r="Y60" s="1100"/>
      <c r="Z60" s="947" t="s">
        <v>2386</v>
      </c>
      <c r="AA60" s="950" t="s">
        <v>2387</v>
      </c>
      <c r="AB60" s="947" t="s">
        <v>2388</v>
      </c>
      <c r="AC60" s="947" t="s">
        <v>2387</v>
      </c>
      <c r="AD60" s="947"/>
    </row>
    <row customHeight="1" ht="9">
      <c r="A61" s="946"/>
      <c r="B61" s="999">
        <v>44</v>
      </c>
      <c r="C61" s="944"/>
      <c r="D61" s="1067" t="s">
        <v>2389</v>
      </c>
      <c r="E61" s="944"/>
      <c r="F61" s="944"/>
      <c r="G61" s="944"/>
      <c r="H61" s="991"/>
      <c r="I61" s="1105">
        <f>INDEX(TEMPLATE_NUMBER_POINT_FHD,B61,MATCH(TEMPLATE_SPHERE,TEMPLATE_SPHERE_LIST_FOR_NOTE,0))</f>
        <v>0</v>
      </c>
      <c r="J61" s="1105">
        <f>INDEX(TEMPLATE_DATA_POINT_FHD,B61,MATCH(TEMPLATE_SPHERE,TEMPLATE_SPHERE_LIST_FOR_NOTE,0))</f>
        <v>0</v>
      </c>
      <c r="K61" s="1105">
        <f>INDEX(TEMPLATE_NOTE_POINT_FHD,B61,MATCH(TEMPLATE_SPHERE,TEMPLATE_SPHERE_LIST_FOR_NOTE,0))</f>
        <v>0</v>
      </c>
      <c r="L61" s="945" t="str">
        <f>IF(I61=0,"",I61)</f>
        <v/>
      </c>
      <c r="M61" s="945" t="str">
        <f>IF(J61=0,"",J61)</f>
        <v/>
      </c>
      <c r="N61" s="945" t="str">
        <f>IF(K61=0,"",K61)</f>
        <v/>
      </c>
      <c r="O61" s="1057"/>
      <c r="P61" s="1057" t="s">
        <v>93</v>
      </c>
      <c r="Q61" s="1057"/>
      <c r="R61" s="1057"/>
      <c r="S61" s="1057"/>
      <c r="T61" s="944"/>
      <c r="U61" s="944" t="s">
        <v>2390</v>
      </c>
      <c r="V61" s="944"/>
      <c r="W61" s="944"/>
      <c r="X61" s="944"/>
      <c r="Y61" s="1100"/>
      <c r="Z61" s="947"/>
      <c r="AA61" s="950"/>
      <c r="AB61" s="947"/>
      <c r="AC61" s="947"/>
      <c r="AD61" s="947"/>
    </row>
    <row customHeight="1" ht="9">
      <c r="A62" s="946"/>
      <c r="B62" s="999">
        <v>45</v>
      </c>
      <c r="C62" s="944"/>
      <c r="D62" s="1067" t="s">
        <v>2391</v>
      </c>
      <c r="E62" s="944"/>
      <c r="F62" s="944"/>
      <c r="G62" s="944"/>
      <c r="H62" s="991"/>
      <c r="I62" s="1105">
        <f>INDEX(TEMPLATE_NUMBER_POINT_FHD,B62,MATCH(TEMPLATE_SPHERE,TEMPLATE_SPHERE_LIST_FOR_NOTE,0))</f>
        <v>0</v>
      </c>
      <c r="J62" s="1105">
        <f>INDEX(TEMPLATE_DATA_POINT_FHD,B62,MATCH(TEMPLATE_SPHERE,TEMPLATE_SPHERE_LIST_FOR_NOTE,0))</f>
        <v>0</v>
      </c>
      <c r="K62" s="1105">
        <f>INDEX(TEMPLATE_NOTE_POINT_FHD,B62,MATCH(TEMPLATE_SPHERE,TEMPLATE_SPHERE_LIST_FOR_NOTE,0))</f>
        <v>0</v>
      </c>
      <c r="L62" s="945" t="str">
        <f>IF(I62=0,"",I62)</f>
        <v/>
      </c>
      <c r="M62" s="945" t="str">
        <f>IF(J62=0,"",J62)</f>
        <v/>
      </c>
      <c r="N62" s="945" t="str">
        <f>IF(K62=0,"",K62)</f>
        <v/>
      </c>
      <c r="O62" s="1057"/>
      <c r="P62" s="1057" t="s">
        <v>136</v>
      </c>
      <c r="Q62" s="1057"/>
      <c r="R62" s="1057"/>
      <c r="S62" s="1057"/>
      <c r="T62" s="944"/>
      <c r="U62" s="944" t="s">
        <v>2392</v>
      </c>
      <c r="V62" s="944"/>
      <c r="W62" s="944"/>
      <c r="X62" s="944"/>
      <c r="Y62" s="1100"/>
      <c r="Z62" s="947"/>
      <c r="AA62" s="950"/>
      <c r="AB62" s="947"/>
      <c r="AC62" s="947"/>
      <c r="AD62" s="947"/>
    </row>
    <row customHeight="1" ht="18">
      <c r="A63" s="946"/>
      <c r="B63" s="999">
        <v>46</v>
      </c>
      <c r="C63" s="944"/>
      <c r="D63" s="1067" t="s">
        <v>2393</v>
      </c>
      <c r="E63" s="944"/>
      <c r="F63" s="944"/>
      <c r="G63" s="944"/>
      <c r="H63" s="991"/>
      <c r="I63" s="1105">
        <f>INDEX(TEMPLATE_NUMBER_POINT_FHD,B63,MATCH(TEMPLATE_SPHERE,TEMPLATE_SPHERE_LIST_FOR_NOTE,0))</f>
        <v>0</v>
      </c>
      <c r="J63" s="1105">
        <f>INDEX(TEMPLATE_DATA_POINT_FHD,B63,MATCH(TEMPLATE_SPHERE,TEMPLATE_SPHERE_LIST_FOR_NOTE,0))</f>
        <v>0</v>
      </c>
      <c r="K63" s="1105">
        <f>INDEX(TEMPLATE_NOTE_POINT_FHD,B63,MATCH(TEMPLATE_SPHERE,TEMPLATE_SPHERE_LIST_FOR_NOTE,0))</f>
        <v>0</v>
      </c>
      <c r="L63" s="945" t="str">
        <f>IF(I63=0,"",I63)</f>
        <v/>
      </c>
      <c r="M63" s="945" t="str">
        <f>IF(J63=0,"",J63)</f>
        <v/>
      </c>
      <c r="N63" s="945" t="str">
        <f>IF(K63=0,"",K63)</f>
        <v/>
      </c>
      <c r="O63" s="1057"/>
      <c r="P63" s="1057" t="s">
        <v>235</v>
      </c>
      <c r="Q63" s="1057"/>
      <c r="R63" s="1057"/>
      <c r="S63" s="1057"/>
      <c r="T63" s="944"/>
      <c r="U63" s="944" t="s">
        <v>2394</v>
      </c>
      <c r="V63" s="944"/>
      <c r="W63" s="944"/>
      <c r="X63" s="944"/>
      <c r="Y63" s="1100"/>
      <c r="Z63" s="947"/>
      <c r="AA63" s="950"/>
      <c r="AB63" s="947"/>
      <c r="AC63" s="947"/>
      <c r="AD63" s="947"/>
    </row>
    <row customHeight="1" ht="18">
      <c r="A64" s="946"/>
      <c r="B64" s="999">
        <v>47</v>
      </c>
      <c r="C64" s="944"/>
      <c r="D64" s="1067" t="s">
        <v>2395</v>
      </c>
      <c r="E64" s="944"/>
      <c r="F64" s="944"/>
      <c r="G64" s="944"/>
      <c r="H64" s="991"/>
      <c r="I64" s="1105">
        <f>INDEX(TEMPLATE_NUMBER_POINT_FHD,B64,MATCH(TEMPLATE_SPHERE,TEMPLATE_SPHERE_LIST_FOR_NOTE,0))</f>
        <v>0</v>
      </c>
      <c r="J64" s="1105">
        <f>INDEX(TEMPLATE_DATA_POINT_FHD,B64,MATCH(TEMPLATE_SPHERE,TEMPLATE_SPHERE_LIST_FOR_NOTE,0))</f>
        <v>0</v>
      </c>
      <c r="K64" s="1105">
        <f>INDEX(TEMPLATE_NOTE_POINT_FHD,B64,MATCH(TEMPLATE_SPHERE,TEMPLATE_SPHERE_LIST_FOR_NOTE,0))</f>
        <v>0</v>
      </c>
      <c r="L64" s="945" t="str">
        <f>IF(I64=0,"",I64)</f>
        <v/>
      </c>
      <c r="M64" s="945" t="str">
        <f>IF(J64=0,"",J64)</f>
        <v/>
      </c>
      <c r="N64" s="945" t="str">
        <f>IF(K64=0,"",K64)</f>
        <v/>
      </c>
      <c r="O64" s="1057"/>
      <c r="P64" s="1057" t="s">
        <v>236</v>
      </c>
      <c r="Q64" s="1057"/>
      <c r="R64" s="1057"/>
      <c r="S64" s="1057"/>
      <c r="T64" s="944"/>
      <c r="U64" s="944" t="s">
        <v>2396</v>
      </c>
      <c r="V64" s="944"/>
      <c r="W64" s="944"/>
      <c r="X64" s="944"/>
      <c r="Y64" s="1100"/>
      <c r="Z64" s="947"/>
      <c r="AA64" s="950" t="s">
        <v>2397</v>
      </c>
      <c r="AB64" s="947"/>
      <c r="AC64" s="947"/>
      <c r="AD64" s="947"/>
    </row>
    <row customHeight="1" ht="18">
      <c r="A65" s="946"/>
      <c r="B65" s="999">
        <v>48</v>
      </c>
      <c r="C65" s="944"/>
      <c r="D65" s="1067"/>
      <c r="E65" s="944"/>
      <c r="F65" s="944"/>
      <c r="G65" s="944"/>
      <c r="H65" s="991"/>
      <c r="I65" s="1105">
        <f>INDEX(TEMPLATE_NUMBER_POINT_FHD,B65,MATCH(TEMPLATE_SPHERE,TEMPLATE_SPHERE_LIST_FOR_NOTE,0))</f>
        <v>0</v>
      </c>
      <c r="J65" s="1105">
        <f>INDEX(TEMPLATE_DATA_POINT_FHD,B65,MATCH(TEMPLATE_SPHERE,TEMPLATE_SPHERE_LIST_FOR_NOTE,0))</f>
        <v>0</v>
      </c>
      <c r="K65" s="1105">
        <f>INDEX(TEMPLATE_NOTE_POINT_FHD,B65,MATCH(TEMPLATE_SPHERE,TEMPLATE_SPHERE_LIST_FOR_NOTE,0))</f>
        <v>0</v>
      </c>
      <c r="L65" s="945" t="str">
        <f>IF(I65=0,"",I65)</f>
        <v/>
      </c>
      <c r="M65" s="945" t="str">
        <f>IF(J65=0,"",J65)</f>
        <v/>
      </c>
      <c r="N65" s="945" t="str">
        <f>IF(K65=0,"",K65)</f>
        <v/>
      </c>
      <c r="O65" s="1057"/>
      <c r="P65" s="1057" t="s">
        <v>2313</v>
      </c>
      <c r="Q65" s="1057"/>
      <c r="R65" s="1057"/>
      <c r="S65" s="1057"/>
      <c r="T65" s="944"/>
      <c r="U65" s="944" t="s">
        <v>2398</v>
      </c>
      <c r="V65" s="944"/>
      <c r="W65" s="944"/>
      <c r="X65" s="944"/>
      <c r="Y65" s="1100"/>
      <c r="Z65" s="947"/>
      <c r="AA65" s="950"/>
      <c r="AB65" s="947"/>
      <c r="AC65" s="947"/>
      <c r="AD65" s="947"/>
    </row>
    <row customHeight="1" ht="18">
      <c r="A66" s="946"/>
      <c r="B66" s="999">
        <v>49</v>
      </c>
      <c r="C66" s="944"/>
      <c r="D66" s="1067"/>
      <c r="E66" s="944"/>
      <c r="F66" s="944"/>
      <c r="G66" s="944"/>
      <c r="H66" s="991"/>
      <c r="I66" s="1105">
        <f>INDEX(TEMPLATE_NUMBER_POINT_FHD,B66,MATCH(TEMPLATE_SPHERE,TEMPLATE_SPHERE_LIST_FOR_NOTE,0))</f>
        <v>0</v>
      </c>
      <c r="J66" s="1105">
        <f>INDEX(TEMPLATE_DATA_POINT_FHD,B66,MATCH(TEMPLATE_SPHERE,TEMPLATE_SPHERE_LIST_FOR_NOTE,0))</f>
        <v>0</v>
      </c>
      <c r="K66" s="1105">
        <f>INDEX(TEMPLATE_NOTE_POINT_FHD,B66,MATCH(TEMPLATE_SPHERE,TEMPLATE_SPHERE_LIST_FOR_NOTE,0))</f>
        <v>0</v>
      </c>
      <c r="L66" s="945" t="str">
        <f>IF(I66=0,"",I66)</f>
        <v/>
      </c>
      <c r="M66" s="945" t="str">
        <f>IF(J66=0,"",J66)</f>
        <v/>
      </c>
      <c r="N66" s="945" t="str">
        <f>IF(K66=0,"",K66)</f>
        <v/>
      </c>
      <c r="O66" s="1057"/>
      <c r="P66" s="1057" t="s">
        <v>2317</v>
      </c>
      <c r="Q66" s="1057"/>
      <c r="R66" s="1057"/>
      <c r="S66" s="1057"/>
      <c r="T66" s="944"/>
      <c r="U66" s="944" t="s">
        <v>2399</v>
      </c>
      <c r="V66" s="944"/>
      <c r="W66" s="944"/>
      <c r="X66" s="944"/>
      <c r="Y66" s="1100"/>
      <c r="Z66" s="947"/>
      <c r="AA66" s="950"/>
      <c r="AB66" s="947"/>
      <c r="AC66" s="947"/>
      <c r="AD66" s="947"/>
    </row>
    <row customHeight="1" ht="27">
      <c r="A67" s="946"/>
      <c r="B67" s="999">
        <v>50</v>
      </c>
      <c r="C67" s="944"/>
      <c r="D67" s="1067"/>
      <c r="E67" s="944"/>
      <c r="F67" s="944"/>
      <c r="G67" s="944"/>
      <c r="H67" s="991"/>
      <c r="I67" s="1105">
        <f>INDEX(TEMPLATE_NUMBER_POINT_FHD,B67,MATCH(TEMPLATE_SPHERE,TEMPLATE_SPHERE_LIST_FOR_NOTE,0))</f>
        <v>0</v>
      </c>
      <c r="J67" s="1105">
        <f>INDEX(TEMPLATE_DATA_POINT_FHD,B67,MATCH(TEMPLATE_SPHERE,TEMPLATE_SPHERE_LIST_FOR_NOTE,0))</f>
        <v>0</v>
      </c>
      <c r="K67" s="1105">
        <f>INDEX(TEMPLATE_NOTE_POINT_FHD,B67,MATCH(TEMPLATE_SPHERE,TEMPLATE_SPHERE_LIST_FOR_NOTE,0))</f>
        <v>0</v>
      </c>
      <c r="L67" s="945" t="str">
        <f>IF(I67=0,"",I67)</f>
        <v/>
      </c>
      <c r="M67" s="945" t="str">
        <f>IF(J67=0,"",J67)</f>
        <v/>
      </c>
      <c r="N67" s="945" t="str">
        <f>IF(K67=0,"",K67)</f>
        <v/>
      </c>
      <c r="O67" s="1057"/>
      <c r="P67" s="1057" t="s">
        <v>2400</v>
      </c>
      <c r="Q67" s="1057"/>
      <c r="R67" s="1057"/>
      <c r="S67" s="1057"/>
      <c r="T67" s="944"/>
      <c r="U67" s="944" t="s">
        <v>2401</v>
      </c>
      <c r="V67" s="944"/>
      <c r="W67" s="944"/>
      <c r="X67" s="944"/>
      <c r="Y67" s="1100"/>
      <c r="Z67" s="947"/>
      <c r="AA67" s="950"/>
      <c r="AB67" s="947"/>
      <c r="AC67" s="947"/>
      <c r="AD67" s="947"/>
    </row>
    <row customHeight="1" ht="27">
      <c r="A68" s="946"/>
      <c r="B68" s="999">
        <v>51</v>
      </c>
      <c r="C68" s="944"/>
      <c r="D68" s="1067"/>
      <c r="E68" s="944"/>
      <c r="F68" s="944"/>
      <c r="G68" s="944"/>
      <c r="H68" s="991"/>
      <c r="I68" s="1105">
        <f>INDEX(TEMPLATE_NUMBER_POINT_FHD,B68,MATCH(TEMPLATE_SPHERE,TEMPLATE_SPHERE_LIST_FOR_NOTE,0))</f>
        <v>0</v>
      </c>
      <c r="J68" s="1105">
        <f>INDEX(TEMPLATE_DATA_POINT_FHD,B68,MATCH(TEMPLATE_SPHERE,TEMPLATE_SPHERE_LIST_FOR_NOTE,0))</f>
        <v>0</v>
      </c>
      <c r="K68" s="1105">
        <f>INDEX(TEMPLATE_NOTE_POINT_FHD,B68,MATCH(TEMPLATE_SPHERE,TEMPLATE_SPHERE_LIST_FOR_NOTE,0))</f>
        <v>0</v>
      </c>
      <c r="L68" s="945" t="str">
        <f>IF(I68=0,"",I68)</f>
        <v/>
      </c>
      <c r="M68" s="945" t="str">
        <f>IF(J68=0,"",J68)</f>
        <v/>
      </c>
      <c r="N68" s="945" t="str">
        <f>IF(K68=0,"",K68)</f>
        <v/>
      </c>
      <c r="O68" s="1057"/>
      <c r="P68" s="1057" t="s">
        <v>2402</v>
      </c>
      <c r="Q68" s="1057"/>
      <c r="R68" s="1057"/>
      <c r="S68" s="1057"/>
      <c r="T68" s="944"/>
      <c r="U68" s="944" t="s">
        <v>2403</v>
      </c>
      <c r="V68" s="944"/>
      <c r="W68" s="944"/>
      <c r="X68" s="944"/>
      <c r="Y68" s="1100"/>
      <c r="Z68" s="947"/>
      <c r="AA68" s="950"/>
      <c r="AB68" s="947"/>
      <c r="AC68" s="947"/>
      <c r="AD68" s="947"/>
    </row>
    <row customHeight="1" ht="9">
      <c r="A69" s="946"/>
      <c r="B69" s="999">
        <v>52</v>
      </c>
      <c r="C69" s="944"/>
      <c r="D69" s="1067" t="s">
        <v>2404</v>
      </c>
      <c r="E69" s="944"/>
      <c r="F69" s="944"/>
      <c r="G69" s="944"/>
      <c r="H69" s="991"/>
      <c r="I69" s="1105">
        <f>INDEX(TEMPLATE_NUMBER_POINT_FHD,B69,MATCH(TEMPLATE_SPHERE,TEMPLATE_SPHERE_LIST_FOR_NOTE,0))</f>
        <v>0</v>
      </c>
      <c r="J69" s="1105">
        <f>INDEX(TEMPLATE_DATA_POINT_FHD,B69,MATCH(TEMPLATE_SPHERE,TEMPLATE_SPHERE_LIST_FOR_NOTE,0))</f>
        <v>0</v>
      </c>
      <c r="K69" s="1105">
        <f>INDEX(TEMPLATE_NOTE_POINT_FHD,B69,MATCH(TEMPLATE_SPHERE,TEMPLATE_SPHERE_LIST_FOR_NOTE,0))</f>
        <v>0</v>
      </c>
      <c r="L69" s="945" t="str">
        <f>IF(I69=0,"",I69)</f>
        <v/>
      </c>
      <c r="M69" s="945" t="str">
        <f>IF(J69=0,"",J69)</f>
        <v/>
      </c>
      <c r="N69" s="945" t="str">
        <f>IF(K69=0,"",K69)</f>
        <v/>
      </c>
      <c r="O69" s="1057"/>
      <c r="P69" s="1057" t="s">
        <v>237</v>
      </c>
      <c r="Q69" s="1057"/>
      <c r="R69" s="1057"/>
      <c r="S69" s="1057"/>
      <c r="T69" s="944"/>
      <c r="U69" s="944" t="s">
        <v>2405</v>
      </c>
      <c r="V69" s="944"/>
      <c r="W69" s="944"/>
      <c r="X69" s="944"/>
      <c r="Y69" s="1100"/>
      <c r="Z69" s="947"/>
      <c r="AA69" s="950"/>
      <c r="AB69" s="947"/>
      <c r="AC69" s="947"/>
      <c r="AD69" s="947"/>
    </row>
    <row customHeight="1" ht="27">
      <c r="A70" s="946"/>
      <c r="B70" s="999">
        <v>53</v>
      </c>
      <c r="C70" s="944"/>
      <c r="D70" s="1067"/>
      <c r="E70" s="944" t="s">
        <v>2389</v>
      </c>
      <c r="F70" s="944"/>
      <c r="G70" s="944"/>
      <c r="H70" s="991"/>
      <c r="I70" s="1105">
        <f>INDEX(TEMPLATE_NUMBER_POINT_FHD,B70,MATCH(TEMPLATE_SPHERE,TEMPLATE_SPHERE_LIST_FOR_NOTE,0))</f>
        <v>0</v>
      </c>
      <c r="J70" s="1105">
        <f>INDEX(TEMPLATE_DATA_POINT_FHD,B70,MATCH(TEMPLATE_SPHERE,TEMPLATE_SPHERE_LIST_FOR_NOTE,0))</f>
        <v>0</v>
      </c>
      <c r="K70" s="1105">
        <f>INDEX(TEMPLATE_NOTE_POINT_FHD,B70,MATCH(TEMPLATE_SPHERE,TEMPLATE_SPHERE_LIST_FOR_NOTE,0))</f>
        <v>0</v>
      </c>
      <c r="L70" s="945" t="str">
        <f>IF(I70=0,"",I70)</f>
        <v/>
      </c>
      <c r="M70" s="945" t="str">
        <f>IF(J70=0,"",J70)</f>
        <v/>
      </c>
      <c r="N70" s="945" t="str">
        <f>IF(K70=0,"",K70)</f>
        <v/>
      </c>
      <c r="O70" s="1057"/>
      <c r="P70" s="1057"/>
      <c r="Q70" s="1057" t="s">
        <v>93</v>
      </c>
      <c r="R70" s="1057"/>
      <c r="S70" s="1057"/>
      <c r="T70" s="944"/>
      <c r="U70" s="944"/>
      <c r="V70" s="944" t="s">
        <v>2406</v>
      </c>
      <c r="W70" s="944"/>
      <c r="X70" s="944"/>
      <c r="Y70" s="1100"/>
      <c r="Z70" s="947"/>
      <c r="AA70" s="950"/>
      <c r="AB70" s="947"/>
      <c r="AC70" s="947"/>
      <c r="AD70" s="947"/>
    </row>
    <row customHeight="1" ht="36">
      <c r="A71" s="946"/>
      <c r="B71" s="999">
        <v>54</v>
      </c>
      <c r="C71" s="944"/>
      <c r="D71" s="1067"/>
      <c r="E71" s="944" t="s">
        <v>2391</v>
      </c>
      <c r="F71" s="944"/>
      <c r="G71" s="944"/>
      <c r="H71" s="991"/>
      <c r="I71" s="1105">
        <f>INDEX(TEMPLATE_NUMBER_POINT_FHD,B71,MATCH(TEMPLATE_SPHERE,TEMPLATE_SPHERE_LIST_FOR_NOTE,0))</f>
        <v>0</v>
      </c>
      <c r="J71" s="1105">
        <f>INDEX(TEMPLATE_DATA_POINT_FHD,B71,MATCH(TEMPLATE_SPHERE,TEMPLATE_SPHERE_LIST_FOR_NOTE,0))</f>
        <v>0</v>
      </c>
      <c r="K71" s="1105">
        <f>INDEX(TEMPLATE_NOTE_POINT_FHD,B71,MATCH(TEMPLATE_SPHERE,TEMPLATE_SPHERE_LIST_FOR_NOTE,0))</f>
        <v>0</v>
      </c>
      <c r="L71" s="945" t="str">
        <f>IF(I71=0,"",I71)</f>
        <v/>
      </c>
      <c r="M71" s="945" t="str">
        <f>IF(J71=0,"",J71)</f>
        <v/>
      </c>
      <c r="N71" s="945" t="str">
        <f>IF(K71=0,"",K71)</f>
        <v/>
      </c>
      <c r="O71" s="1057"/>
      <c r="P71" s="1057"/>
      <c r="Q71" s="1057" t="s">
        <v>136</v>
      </c>
      <c r="R71" s="1057"/>
      <c r="S71" s="1057"/>
      <c r="T71" s="944"/>
      <c r="U71" s="944"/>
      <c r="V71" s="944" t="s">
        <v>2407</v>
      </c>
      <c r="W71" s="944"/>
      <c r="X71" s="944"/>
      <c r="Y71" s="1100"/>
      <c r="Z71" s="947"/>
      <c r="AA71" s="950"/>
      <c r="AB71" s="947"/>
      <c r="AC71" s="947"/>
      <c r="AD71" s="947"/>
    </row>
    <row customHeight="1" ht="27">
      <c r="A72" s="946"/>
      <c r="B72" s="999">
        <v>55</v>
      </c>
      <c r="C72" s="944"/>
      <c r="D72" s="1067"/>
      <c r="E72" s="944" t="s">
        <v>2393</v>
      </c>
      <c r="F72" s="944"/>
      <c r="G72" s="944"/>
      <c r="H72" s="991"/>
      <c r="I72" s="1105">
        <f>INDEX(TEMPLATE_NUMBER_POINT_FHD,B72,MATCH(TEMPLATE_SPHERE,TEMPLATE_SPHERE_LIST_FOR_NOTE,0))</f>
        <v>0</v>
      </c>
      <c r="J72" s="1105">
        <f>INDEX(TEMPLATE_DATA_POINT_FHD,B72,MATCH(TEMPLATE_SPHERE,TEMPLATE_SPHERE_LIST_FOR_NOTE,0))</f>
        <v>0</v>
      </c>
      <c r="K72" s="1105">
        <f>INDEX(TEMPLATE_NOTE_POINT_FHD,B72,MATCH(TEMPLATE_SPHERE,TEMPLATE_SPHERE_LIST_FOR_NOTE,0))</f>
        <v>0</v>
      </c>
      <c r="L72" s="945" t="str">
        <f>IF(I72=0,"",I72)</f>
        <v/>
      </c>
      <c r="M72" s="945" t="str">
        <f>IF(J72=0,"",J72)</f>
        <v/>
      </c>
      <c r="N72" s="945" t="str">
        <f>IF(K72=0,"",K72)</f>
        <v/>
      </c>
      <c r="O72" s="1057"/>
      <c r="P72" s="1057"/>
      <c r="Q72" s="1057" t="s">
        <v>235</v>
      </c>
      <c r="R72" s="1057"/>
      <c r="S72" s="1057"/>
      <c r="T72" s="944"/>
      <c r="U72" s="944"/>
      <c r="V72" s="944" t="s">
        <v>2408</v>
      </c>
      <c r="W72" s="944"/>
      <c r="X72" s="944"/>
      <c r="Y72" s="1100"/>
      <c r="Z72" s="947"/>
      <c r="AA72" s="950"/>
      <c r="AB72" s="947"/>
      <c r="AC72" s="947"/>
      <c r="AD72" s="947"/>
    </row>
    <row customHeight="1" ht="36">
      <c r="A73" s="946"/>
      <c r="B73" s="999">
        <v>56</v>
      </c>
      <c r="C73" s="944"/>
      <c r="D73" s="1067"/>
      <c r="E73" s="944" t="s">
        <v>2395</v>
      </c>
      <c r="F73" s="944"/>
      <c r="G73" s="944"/>
      <c r="H73" s="991"/>
      <c r="I73" s="1105">
        <f>INDEX(TEMPLATE_NUMBER_POINT_FHD,B73,MATCH(TEMPLATE_SPHERE,TEMPLATE_SPHERE_LIST_FOR_NOTE,0))</f>
        <v>0</v>
      </c>
      <c r="J73" s="1105">
        <f>INDEX(TEMPLATE_DATA_POINT_FHD,B73,MATCH(TEMPLATE_SPHERE,TEMPLATE_SPHERE_LIST_FOR_NOTE,0))</f>
        <v>0</v>
      </c>
      <c r="K73" s="1105">
        <f>INDEX(TEMPLATE_NOTE_POINT_FHD,B73,MATCH(TEMPLATE_SPHERE,TEMPLATE_SPHERE_LIST_FOR_NOTE,0))</f>
        <v>0</v>
      </c>
      <c r="L73" s="945" t="str">
        <f>IF(I73=0,"",I73)</f>
        <v/>
      </c>
      <c r="M73" s="945" t="str">
        <f>IF(J73=0,"",J73)</f>
        <v/>
      </c>
      <c r="N73" s="945" t="str">
        <f>IF(K73=0,"",K73)</f>
        <v/>
      </c>
      <c r="O73" s="1057"/>
      <c r="P73" s="1057"/>
      <c r="Q73" s="1057" t="s">
        <v>236</v>
      </c>
      <c r="R73" s="1057"/>
      <c r="S73" s="1057"/>
      <c r="T73" s="944"/>
      <c r="U73" s="944"/>
      <c r="V73" s="944" t="s">
        <v>2409</v>
      </c>
      <c r="W73" s="944"/>
      <c r="X73" s="944"/>
      <c r="Y73" s="1100"/>
      <c r="Z73" s="947"/>
      <c r="AA73" s="950"/>
      <c r="AB73" s="947"/>
      <c r="AC73" s="947"/>
      <c r="AD73" s="947"/>
    </row>
    <row customHeight="1" ht="18">
      <c r="A74" s="946"/>
      <c r="B74" s="999">
        <v>57</v>
      </c>
      <c r="C74" s="944"/>
      <c r="D74" s="1067"/>
      <c r="E74" s="944" t="s">
        <v>2404</v>
      </c>
      <c r="F74" s="944"/>
      <c r="G74" s="944"/>
      <c r="H74" s="991"/>
      <c r="I74" s="1105">
        <f>INDEX(TEMPLATE_NUMBER_POINT_FHD,B74,MATCH(TEMPLATE_SPHERE,TEMPLATE_SPHERE_LIST_FOR_NOTE,0))</f>
        <v>0</v>
      </c>
      <c r="J74" s="1105">
        <f>INDEX(TEMPLATE_DATA_POINT_FHD,B74,MATCH(TEMPLATE_SPHERE,TEMPLATE_SPHERE_LIST_FOR_NOTE,0))</f>
        <v>0</v>
      </c>
      <c r="K74" s="1105">
        <f>INDEX(TEMPLATE_NOTE_POINT_FHD,B74,MATCH(TEMPLATE_SPHERE,TEMPLATE_SPHERE_LIST_FOR_NOTE,0))</f>
        <v>0</v>
      </c>
      <c r="L74" s="945" t="str">
        <f>IF(I74=0,"",I74)</f>
        <v/>
      </c>
      <c r="M74" s="945" t="str">
        <f>IF(J74=0,"",J74)</f>
        <v/>
      </c>
      <c r="N74" s="945" t="str">
        <f>IF(K74=0,"",K74)</f>
        <v/>
      </c>
      <c r="O74" s="1057"/>
      <c r="P74" s="1057"/>
      <c r="Q74" s="1057" t="s">
        <v>237</v>
      </c>
      <c r="R74" s="1057"/>
      <c r="S74" s="1057"/>
      <c r="T74" s="944"/>
      <c r="U74" s="944"/>
      <c r="V74" s="944" t="s">
        <v>2410</v>
      </c>
      <c r="W74" s="944"/>
      <c r="X74" s="944"/>
      <c r="Y74" s="1100"/>
      <c r="Z74" s="947"/>
      <c r="AA74" s="950"/>
      <c r="AB74" s="947"/>
      <c r="AC74" s="947"/>
      <c r="AD74" s="947"/>
    </row>
    <row customHeight="1" ht="18">
      <c r="A75" s="946"/>
      <c r="B75" s="999">
        <v>58</v>
      </c>
      <c r="C75" s="944"/>
      <c r="D75" s="1067"/>
      <c r="E75" s="944"/>
      <c r="F75" s="944" t="s">
        <v>2389</v>
      </c>
      <c r="G75" s="944"/>
      <c r="H75" s="991"/>
      <c r="I75" s="1105">
        <f>INDEX(TEMPLATE_NUMBER_POINT_FHD,B75,MATCH(TEMPLATE_SPHERE,TEMPLATE_SPHERE_LIST_FOR_NOTE,0))</f>
        <v>0</v>
      </c>
      <c r="J75" s="1105">
        <f>INDEX(TEMPLATE_DATA_POINT_FHD,B75,MATCH(TEMPLATE_SPHERE,TEMPLATE_SPHERE_LIST_FOR_NOTE,0))</f>
        <v>0</v>
      </c>
      <c r="K75" s="1105">
        <f>INDEX(TEMPLATE_NOTE_POINT_FHD,B75,MATCH(TEMPLATE_SPHERE,TEMPLATE_SPHERE_LIST_FOR_NOTE,0))</f>
        <v>0</v>
      </c>
      <c r="L75" s="945" t="str">
        <f>IF(I75=0,"",I75)</f>
        <v/>
      </c>
      <c r="M75" s="945" t="str">
        <f>IF(J75=0,"",J75)</f>
        <v/>
      </c>
      <c r="N75" s="945" t="str">
        <f>IF(K75=0,"",K75)</f>
        <v/>
      </c>
      <c r="O75" s="1057"/>
      <c r="P75" s="1057"/>
      <c r="Q75" s="1057"/>
      <c r="R75" s="1057" t="s">
        <v>93</v>
      </c>
      <c r="S75" s="1057"/>
      <c r="T75" s="944"/>
      <c r="U75" s="944"/>
      <c r="V75" s="944"/>
      <c r="W75" s="944" t="s">
        <v>2411</v>
      </c>
      <c r="X75" s="944"/>
      <c r="Y75" s="1100"/>
      <c r="Z75" s="947"/>
      <c r="AA75" s="950"/>
      <c r="AB75" s="947"/>
      <c r="AC75" s="947"/>
      <c r="AD75" s="947"/>
    </row>
    <row customHeight="1" ht="36">
      <c r="A76" s="946"/>
      <c r="B76" s="999">
        <v>59</v>
      </c>
      <c r="C76" s="944"/>
      <c r="D76" s="1067"/>
      <c r="E76" s="944"/>
      <c r="F76" s="944" t="s">
        <v>2391</v>
      </c>
      <c r="G76" s="944"/>
      <c r="H76" s="991"/>
      <c r="I76" s="1105">
        <f>INDEX(TEMPLATE_NUMBER_POINT_FHD,B76,MATCH(TEMPLATE_SPHERE,TEMPLATE_SPHERE_LIST_FOR_NOTE,0))</f>
        <v>0</v>
      </c>
      <c r="J76" s="1105">
        <f>INDEX(TEMPLATE_DATA_POINT_FHD,B76,MATCH(TEMPLATE_SPHERE,TEMPLATE_SPHERE_LIST_FOR_NOTE,0))</f>
        <v>0</v>
      </c>
      <c r="K76" s="1105">
        <f>INDEX(TEMPLATE_NOTE_POINT_FHD,B76,MATCH(TEMPLATE_SPHERE,TEMPLATE_SPHERE_LIST_FOR_NOTE,0))</f>
        <v>0</v>
      </c>
      <c r="L76" s="945" t="str">
        <f>IF(I76=0,"",I76)</f>
        <v/>
      </c>
      <c r="M76" s="945" t="str">
        <f>IF(J76=0,"",J76)</f>
        <v/>
      </c>
      <c r="N76" s="945" t="str">
        <f>IF(K76=0,"",K76)</f>
        <v/>
      </c>
      <c r="O76" s="1057"/>
      <c r="P76" s="1057"/>
      <c r="Q76" s="1057"/>
      <c r="R76" s="1057" t="s">
        <v>136</v>
      </c>
      <c r="S76" s="1057"/>
      <c r="T76" s="944"/>
      <c r="U76" s="944"/>
      <c r="V76" s="944"/>
      <c r="W76" s="944" t="s">
        <v>2412</v>
      </c>
      <c r="X76" s="944"/>
      <c r="Y76" s="1100"/>
      <c r="Z76" s="947"/>
      <c r="AA76" s="950"/>
      <c r="AB76" s="947"/>
      <c r="AC76" s="947"/>
      <c r="AD76" s="947"/>
    </row>
    <row customHeight="1" ht="18">
      <c r="A77" s="946"/>
      <c r="B77" s="999">
        <v>60</v>
      </c>
      <c r="C77" s="944"/>
      <c r="D77" s="1067"/>
      <c r="E77" s="944"/>
      <c r="F77" s="944" t="s">
        <v>2393</v>
      </c>
      <c r="G77" s="944"/>
      <c r="H77" s="991"/>
      <c r="I77" s="1105">
        <f>INDEX(TEMPLATE_NUMBER_POINT_FHD,B77,MATCH(TEMPLATE_SPHERE,TEMPLATE_SPHERE_LIST_FOR_NOTE,0))</f>
        <v>0</v>
      </c>
      <c r="J77" s="1105">
        <f>INDEX(TEMPLATE_DATA_POINT_FHD,B77,MATCH(TEMPLATE_SPHERE,TEMPLATE_SPHERE_LIST_FOR_NOTE,0))</f>
        <v>0</v>
      </c>
      <c r="K77" s="1105">
        <f>INDEX(TEMPLATE_NOTE_POINT_FHD,B77,MATCH(TEMPLATE_SPHERE,TEMPLATE_SPHERE_LIST_FOR_NOTE,0))</f>
        <v>0</v>
      </c>
      <c r="L77" s="945" t="str">
        <f>IF(I77=0,"",I77)</f>
        <v/>
      </c>
      <c r="M77" s="945" t="str">
        <f>IF(J77=0,"",J77)</f>
        <v/>
      </c>
      <c r="N77" s="945" t="str">
        <f>IF(K77=0,"",K77)</f>
        <v/>
      </c>
      <c r="O77" s="1057"/>
      <c r="P77" s="1057"/>
      <c r="Q77" s="1057"/>
      <c r="R77" s="1057" t="s">
        <v>235</v>
      </c>
      <c r="S77" s="1057"/>
      <c r="T77" s="944"/>
      <c r="U77" s="944"/>
      <c r="V77" s="944"/>
      <c r="W77" s="944" t="s">
        <v>2413</v>
      </c>
      <c r="X77" s="944"/>
      <c r="Y77" s="1100"/>
      <c r="Z77" s="947"/>
      <c r="AA77" s="950"/>
      <c r="AB77" s="947"/>
      <c r="AC77" s="947"/>
      <c r="AD77" s="947"/>
    </row>
    <row customHeight="1" ht="72">
      <c r="A78" s="946"/>
      <c r="B78" s="999">
        <v>61</v>
      </c>
      <c r="C78" s="944" t="s">
        <v>2389</v>
      </c>
      <c r="D78" s="1067"/>
      <c r="E78" s="944"/>
      <c r="F78" s="944"/>
      <c r="G78" s="944"/>
      <c r="H78" s="991"/>
      <c r="I78" s="1105" t="str">
        <f>INDEX(TEMPLATE_NUMBER_POINT_FHD,B78,MATCH(TEMPLATE_SPHERE,TEMPLATE_SPHERE_LIST_FOR_NOTE,0))</f>
        <v>7</v>
      </c>
      <c r="J78" s="11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45" t="str">
        <f>IF(I78=0,"",I78)</f>
        <v>7</v>
      </c>
      <c r="M78" s="9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57" t="s">
        <v>93</v>
      </c>
      <c r="P78" s="1057"/>
      <c r="Q78" s="1057"/>
      <c r="R78" s="1057"/>
      <c r="S78" s="1057"/>
      <c r="T78" s="944" t="s">
        <v>774</v>
      </c>
      <c r="U78" s="944"/>
      <c r="V78" s="944"/>
      <c r="W78" s="944"/>
      <c r="X78" s="944"/>
      <c r="Y78" s="1100"/>
      <c r="Z78" s="947" t="s">
        <v>2414</v>
      </c>
      <c r="AA78" s="950"/>
      <c r="AB78" s="947"/>
      <c r="AC78" s="947"/>
      <c r="AD78" s="947"/>
    </row>
    <row customHeight="1" ht="36">
      <c r="A79" s="946"/>
      <c r="B79" s="999">
        <v>62</v>
      </c>
      <c r="C79" s="944" t="s">
        <v>2391</v>
      </c>
      <c r="D79" s="1067"/>
      <c r="E79" s="944"/>
      <c r="F79" s="944"/>
      <c r="G79" s="944"/>
      <c r="H79" s="991"/>
      <c r="I79" s="1105" t="str">
        <f>INDEX(TEMPLATE_NUMBER_POINT_FHD,B79,MATCH(TEMPLATE_SPHERE,TEMPLATE_SPHERE_LIST_FOR_NOTE,0))</f>
        <v>8</v>
      </c>
      <c r="J79" s="11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45" t="str">
        <f>IF(I79=0,"",I79)</f>
        <v>8</v>
      </c>
      <c r="M79" s="945" t="str">
        <f>IF(J79=0,"",J79)</f>
        <v>Тепловая нагрузка по договорам, заключенным в рамках осуществления регулируемых видов деятельности</v>
      </c>
      <c r="N79" s="9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57" t="s">
        <v>136</v>
      </c>
      <c r="P79" s="1057"/>
      <c r="Q79" s="1057"/>
      <c r="R79" s="1057"/>
      <c r="S79" s="1057"/>
      <c r="T79" s="944" t="s">
        <v>2415</v>
      </c>
      <c r="U79" s="944"/>
      <c r="V79" s="944"/>
      <c r="W79" s="944"/>
      <c r="X79" s="944"/>
      <c r="Y79" s="1100"/>
      <c r="Z79" s="947" t="s">
        <v>2416</v>
      </c>
      <c r="AA79" s="950"/>
      <c r="AB79" s="947"/>
      <c r="AC79" s="947"/>
      <c r="AD79" s="947"/>
    </row>
    <row customHeight="1" ht="45">
      <c r="A80" s="946"/>
      <c r="B80" s="999">
        <v>63</v>
      </c>
      <c r="C80" s="944" t="s">
        <v>2393</v>
      </c>
      <c r="D80" s="1067"/>
      <c r="E80" s="944"/>
      <c r="F80" s="944"/>
      <c r="G80" s="944"/>
      <c r="H80" s="991"/>
      <c r="I80" s="1105" t="str">
        <f>INDEX(TEMPLATE_NUMBER_POINT_FHD,B80,MATCH(TEMPLATE_SPHERE,TEMPLATE_SPHERE_LIST_FOR_NOTE,0))</f>
        <v>9</v>
      </c>
      <c r="J80" s="11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45" t="str">
        <f>IF(I80=0,"",I80)</f>
        <v>9</v>
      </c>
      <c r="M80" s="945" t="str">
        <f>IF(J80=0,"",J80)</f>
        <v>Объем вырабатываемой регулируемой организацией тепловой энергии в рамках осуществления регулируемых видов деятельности</v>
      </c>
      <c r="N80" s="9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57" t="s">
        <v>235</v>
      </c>
      <c r="P80" s="1057"/>
      <c r="Q80" s="1057"/>
      <c r="R80" s="1057"/>
      <c r="S80" s="1057"/>
      <c r="T80" s="944" t="s">
        <v>2417</v>
      </c>
      <c r="U80" s="944"/>
      <c r="V80" s="944"/>
      <c r="W80" s="944"/>
      <c r="X80" s="944"/>
      <c r="Y80" s="1100"/>
      <c r="Z80" s="947" t="s">
        <v>2418</v>
      </c>
      <c r="AA80" s="950"/>
      <c r="AB80" s="947"/>
      <c r="AC80" s="947"/>
      <c r="AD80" s="947"/>
    </row>
    <row customHeight="1" ht="36">
      <c r="A81" s="946"/>
      <c r="B81" s="999">
        <v>64</v>
      </c>
      <c r="C81" s="944" t="s">
        <v>2395</v>
      </c>
      <c r="D81" s="1067"/>
      <c r="E81" s="944"/>
      <c r="F81" s="944"/>
      <c r="G81" s="944"/>
      <c r="H81" s="991"/>
      <c r="I81" s="1105" t="str">
        <f>INDEX(TEMPLATE_NUMBER_POINT_FHD,B81,MATCH(TEMPLATE_SPHERE,TEMPLATE_SPHERE_LIST_FOR_NOTE,0))</f>
        <v>9.1</v>
      </c>
      <c r="J81" s="11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05" t="str">
        <f>INDEX(TEMPLATE_NOTE_POINT_FHD,B81,MATCH(TEMPLATE_SPHERE,TEMPLATE_SPHERE_LIST_FOR_NOTE,0))</f>
        <v>Информация указывается только едиными теплоснабжающими организациями.</v>
      </c>
      <c r="L81" s="945" t="str">
        <f>IF(I81=0,"",I81)</f>
        <v>9.1</v>
      </c>
      <c r="M81" s="945" t="str">
        <f>IF(J81=0,"",J81)</f>
        <v>Объем приобретаемой регулируемой организацией тепловой энергии в рамках осуществления регулируемых видов деятельности</v>
      </c>
      <c r="N81" s="945" t="str">
        <f>IF(K81=0,"",K81)</f>
        <v>Информация указывается только едиными теплоснабжающими организациями.</v>
      </c>
      <c r="O81" s="1057" t="s">
        <v>2304</v>
      </c>
      <c r="P81" s="1057"/>
      <c r="Q81" s="1057"/>
      <c r="R81" s="1057"/>
      <c r="S81" s="1057"/>
      <c r="T81" s="944" t="s">
        <v>2419</v>
      </c>
      <c r="U81" s="944"/>
      <c r="V81" s="944"/>
      <c r="W81" s="944"/>
      <c r="X81" s="944"/>
      <c r="Y81" s="1100"/>
      <c r="Z81" s="947" t="s">
        <v>2420</v>
      </c>
      <c r="AA81" s="950"/>
      <c r="AB81" s="947"/>
      <c r="AC81" s="947"/>
      <c r="AD81" s="947"/>
    </row>
    <row customHeight="1" ht="90">
      <c r="A82" s="946"/>
      <c r="B82" s="999">
        <v>65</v>
      </c>
      <c r="C82" s="944" t="s">
        <v>2404</v>
      </c>
      <c r="D82" s="1067"/>
      <c r="E82" s="944"/>
      <c r="F82" s="944"/>
      <c r="G82" s="944"/>
      <c r="H82" s="991"/>
      <c r="I82" s="1105" t="str">
        <f>INDEX(TEMPLATE_NUMBER_POINT_FHD,B82,MATCH(TEMPLATE_SPHERE,TEMPLATE_SPHERE_LIST_FOR_NOTE,0))</f>
        <v>10</v>
      </c>
      <c r="J82" s="11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45" t="str">
        <f>IF(I82=0,"",I82)</f>
        <v>10</v>
      </c>
      <c r="M82" s="9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57" t="s">
        <v>236</v>
      </c>
      <c r="P82" s="1057"/>
      <c r="Q82" s="1057"/>
      <c r="R82" s="1057"/>
      <c r="S82" s="1057"/>
      <c r="T82" s="944" t="s">
        <v>2421</v>
      </c>
      <c r="U82" s="944"/>
      <c r="V82" s="944"/>
      <c r="W82" s="944"/>
      <c r="X82" s="944"/>
      <c r="Y82" s="1100"/>
      <c r="Z82" s="947" t="s">
        <v>2422</v>
      </c>
      <c r="AA82" s="950"/>
      <c r="AB82" s="947"/>
      <c r="AC82" s="947"/>
      <c r="AD82" s="947"/>
    </row>
    <row customHeight="1" ht="9">
      <c r="A83" s="946"/>
      <c r="B83" s="999">
        <v>66</v>
      </c>
      <c r="C83" s="944"/>
      <c r="D83" s="1067"/>
      <c r="E83" s="944"/>
      <c r="F83" s="944"/>
      <c r="G83" s="944"/>
      <c r="H83" s="991"/>
      <c r="I83" s="1105" t="str">
        <f>INDEX(TEMPLATE_NUMBER_POINT_FHD,B83,MATCH(TEMPLATE_SPHERE,TEMPLATE_SPHERE_LIST_FOR_NOTE,0))</f>
        <v>10.1</v>
      </c>
      <c r="J83" s="1105" t="str">
        <f>INDEX(TEMPLATE_DATA_POINT_FHD,B83,MATCH(TEMPLATE_SPHERE,TEMPLATE_SPHERE_LIST_FOR_NOTE,0))</f>
        <v>По приборам учёта </v>
      </c>
      <c r="K83" s="1105">
        <f>INDEX(TEMPLATE_NOTE_POINT_FHD,B83,MATCH(TEMPLATE_SPHERE,TEMPLATE_SPHERE_LIST_FOR_NOTE,0))</f>
        <v>0</v>
      </c>
      <c r="L83" s="945" t="str">
        <f>IF(I83=0,"",I83)</f>
        <v>10.1</v>
      </c>
      <c r="M83" s="945" t="str">
        <f>IF(J83=0,"",J83)</f>
        <v>По приборам учёта </v>
      </c>
      <c r="N83" s="945" t="str">
        <f>IF(K83=0,"",K83)</f>
        <v/>
      </c>
      <c r="O83" s="1057" t="s">
        <v>2313</v>
      </c>
      <c r="P83" s="1057"/>
      <c r="Q83" s="1057"/>
      <c r="R83" s="1057"/>
      <c r="S83" s="1057"/>
      <c r="T83" s="944" t="s">
        <v>2423</v>
      </c>
      <c r="U83" s="944"/>
      <c r="V83" s="944"/>
      <c r="W83" s="944"/>
      <c r="X83" s="944"/>
      <c r="Y83" s="1100"/>
      <c r="Z83" s="947"/>
      <c r="AA83" s="950"/>
      <c r="AB83" s="947"/>
      <c r="AC83" s="947"/>
      <c r="AD83" s="947"/>
    </row>
    <row customHeight="1" ht="54">
      <c r="A84" s="946"/>
      <c r="B84" s="999">
        <v>67</v>
      </c>
      <c r="C84" s="944"/>
      <c r="D84" s="1067"/>
      <c r="E84" s="944"/>
      <c r="F84" s="944"/>
      <c r="G84" s="944"/>
      <c r="H84" s="991"/>
      <c r="I84" s="1105" t="str">
        <f>INDEX(TEMPLATE_NUMBER_POINT_FHD,B84,MATCH(TEMPLATE_SPHERE,TEMPLATE_SPHERE_LIST_FOR_NOTE,0))</f>
        <v>10.1.1</v>
      </c>
      <c r="J84" s="11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05">
        <f>INDEX(TEMPLATE_NOTE_POINT_FHD,B84,MATCH(TEMPLATE_SPHERE,TEMPLATE_SPHERE_LIST_FOR_NOTE,0))</f>
        <v>0</v>
      </c>
      <c r="L84" s="945" t="str">
        <f>IF(I84=0,"",I84)</f>
        <v>10.1.1</v>
      </c>
      <c r="M84" s="9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45" t="str">
        <f>IF(K84=0,"",K84)</f>
        <v/>
      </c>
      <c r="O84" s="1057" t="s">
        <v>2424</v>
      </c>
      <c r="P84" s="1057"/>
      <c r="Q84" s="1057"/>
      <c r="R84" s="1057"/>
      <c r="S84" s="1057"/>
      <c r="T84" s="944" t="s">
        <v>2425</v>
      </c>
      <c r="U84" s="944"/>
      <c r="V84" s="944"/>
      <c r="W84" s="944"/>
      <c r="X84" s="944"/>
      <c r="Y84" s="1100"/>
      <c r="Z84" s="947"/>
      <c r="AA84" s="950"/>
      <c r="AB84" s="947"/>
      <c r="AC84" s="947"/>
      <c r="AD84" s="947"/>
    </row>
    <row customHeight="1" ht="9">
      <c r="A85" s="946"/>
      <c r="B85" s="999">
        <v>68</v>
      </c>
      <c r="C85" s="944"/>
      <c r="D85" s="1067"/>
      <c r="E85" s="944"/>
      <c r="F85" s="944"/>
      <c r="G85" s="944"/>
      <c r="H85" s="991"/>
      <c r="I85" s="1105" t="str">
        <f>INDEX(TEMPLATE_NUMBER_POINT_FHD,B85,MATCH(TEMPLATE_SPHERE,TEMPLATE_SPHERE_LIST_FOR_NOTE,0))</f>
        <v>10.2</v>
      </c>
      <c r="J85" s="1105" t="str">
        <f>INDEX(TEMPLATE_DATA_POINT_FHD,B85,MATCH(TEMPLATE_SPHERE,TEMPLATE_SPHERE_LIST_FOR_NOTE,0))</f>
        <v>Расчётным путём</v>
      </c>
      <c r="K85" s="1105">
        <f>INDEX(TEMPLATE_NOTE_POINT_FHD,B85,MATCH(TEMPLATE_SPHERE,TEMPLATE_SPHERE_LIST_FOR_NOTE,0))</f>
        <v>0</v>
      </c>
      <c r="L85" s="945" t="str">
        <f>IF(I85=0,"",I85)</f>
        <v>10.2</v>
      </c>
      <c r="M85" s="945" t="str">
        <f>IF(J85=0,"",J85)</f>
        <v>Расчётным путём</v>
      </c>
      <c r="N85" s="945" t="str">
        <f>IF(K85=0,"",K85)</f>
        <v/>
      </c>
      <c r="O85" s="1057" t="s">
        <v>2317</v>
      </c>
      <c r="P85" s="1057"/>
      <c r="Q85" s="1057"/>
      <c r="R85" s="1057"/>
      <c r="S85" s="1057"/>
      <c r="T85" s="944" t="s">
        <v>2426</v>
      </c>
      <c r="U85" s="944"/>
      <c r="V85" s="944"/>
      <c r="W85" s="944"/>
      <c r="X85" s="944"/>
      <c r="Y85" s="1100"/>
      <c r="Z85" s="947"/>
      <c r="AA85" s="950"/>
      <c r="AB85" s="947"/>
      <c r="AC85" s="947"/>
      <c r="AD85" s="947"/>
    </row>
    <row customHeight="1" ht="27">
      <c r="A86" s="946"/>
      <c r="B86" s="999">
        <v>69</v>
      </c>
      <c r="C86" s="944"/>
      <c r="D86" s="1067"/>
      <c r="E86" s="944"/>
      <c r="F86" s="944"/>
      <c r="G86" s="944"/>
      <c r="H86" s="991"/>
      <c r="I86" s="1105" t="str">
        <f>INDEX(TEMPLATE_NUMBER_POINT_FHD,B86,MATCH(TEMPLATE_SPHERE,TEMPLATE_SPHERE_LIST_FOR_NOTE,0))</f>
        <v>10.3</v>
      </c>
      <c r="J86" s="1105" t="str">
        <f>INDEX(TEMPLATE_DATA_POINT_FHD,B86,MATCH(TEMPLATE_SPHERE,TEMPLATE_SPHERE_LIST_FOR_NOTE,0))</f>
        <v>По нормативам потребления коммунальных услуг и нормативам потребления коммунальных ресурсов</v>
      </c>
      <c r="K86" s="1105">
        <f>INDEX(TEMPLATE_NOTE_POINT_FHD,B86,MATCH(TEMPLATE_SPHERE,TEMPLATE_SPHERE_LIST_FOR_NOTE,0))</f>
        <v>0</v>
      </c>
      <c r="L86" s="945" t="str">
        <f>IF(I86=0,"",I86)</f>
        <v>10.3</v>
      </c>
      <c r="M86" s="945" t="str">
        <f>IF(J86=0,"",J86)</f>
        <v>По нормативам потребления коммунальных услуг и нормативам потребления коммунальных ресурсов</v>
      </c>
      <c r="N86" s="945" t="str">
        <f>IF(K86=0,"",K86)</f>
        <v/>
      </c>
      <c r="O86" s="1057" t="s">
        <v>2427</v>
      </c>
      <c r="P86" s="1057"/>
      <c r="Q86" s="1057"/>
      <c r="R86" s="1057"/>
      <c r="S86" s="1057"/>
      <c r="T86" s="944" t="s">
        <v>2428</v>
      </c>
      <c r="U86" s="944"/>
      <c r="V86" s="944"/>
      <c r="W86" s="944"/>
      <c r="X86" s="944"/>
      <c r="Y86" s="1100"/>
      <c r="Z86" s="947"/>
      <c r="AA86" s="950"/>
      <c r="AB86" s="947"/>
      <c r="AC86" s="947"/>
      <c r="AD86" s="947"/>
    </row>
    <row customHeight="1" ht="36">
      <c r="A87" s="946"/>
      <c r="B87" s="999">
        <v>70</v>
      </c>
      <c r="C87" s="944" t="s">
        <v>2429</v>
      </c>
      <c r="D87" s="1067"/>
      <c r="E87" s="944"/>
      <c r="F87" s="944"/>
      <c r="G87" s="944"/>
      <c r="H87" s="991"/>
      <c r="I87" s="1105" t="str">
        <f>INDEX(TEMPLATE_NUMBER_POINT_FHD,B87,MATCH(TEMPLATE_SPHERE,TEMPLATE_SPHERE_LIST_FOR_NOTE,0))</f>
        <v>11</v>
      </c>
      <c r="J87" s="11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05">
        <f>INDEX(TEMPLATE_NOTE_POINT_FHD,B87,MATCH(TEMPLATE_SPHERE,TEMPLATE_SPHERE_LIST_FOR_NOTE,0))</f>
        <v>0</v>
      </c>
      <c r="L87" s="945" t="str">
        <f>IF(I87=0,"",I87)</f>
        <v>11</v>
      </c>
      <c r="M87" s="9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945" t="str">
        <f>IF(K87=0,"",K87)</f>
        <v/>
      </c>
      <c r="O87" s="1057" t="s">
        <v>237</v>
      </c>
      <c r="P87" s="1057"/>
      <c r="Q87" s="1057"/>
      <c r="R87" s="1057"/>
      <c r="S87" s="1057"/>
      <c r="T87" s="944" t="s">
        <v>2430</v>
      </c>
      <c r="U87" s="944"/>
      <c r="V87" s="944"/>
      <c r="W87" s="944"/>
      <c r="X87" s="944"/>
      <c r="Y87" s="1100"/>
      <c r="Z87" s="947"/>
      <c r="AA87" s="950"/>
      <c r="AB87" s="947"/>
      <c r="AC87" s="947"/>
      <c r="AD87" s="947"/>
    </row>
    <row customHeight="1" ht="18">
      <c r="A88" s="946"/>
      <c r="B88" s="999">
        <v>71</v>
      </c>
      <c r="C88" s="944" t="s">
        <v>2431</v>
      </c>
      <c r="D88" s="1067"/>
      <c r="E88" s="944"/>
      <c r="F88" s="944"/>
      <c r="G88" s="944"/>
      <c r="H88" s="991"/>
      <c r="I88" s="1105" t="str">
        <f>INDEX(TEMPLATE_NUMBER_POINT_FHD,B88,MATCH(TEMPLATE_SPHERE,TEMPLATE_SPHERE_LIST_FOR_NOTE,0))</f>
        <v>12</v>
      </c>
      <c r="J88" s="1105" t="str">
        <f>INDEX(TEMPLATE_DATA_POINT_FHD,B88,MATCH(TEMPLATE_SPHERE,TEMPLATE_SPHERE_LIST_FOR_NOTE,0))</f>
        <v>Фактический объем потерь при передаче тепловой энергии</v>
      </c>
      <c r="K88" s="1105">
        <f>INDEX(TEMPLATE_NOTE_POINT_FHD,B88,MATCH(TEMPLATE_SPHERE,TEMPLATE_SPHERE_LIST_FOR_NOTE,0))</f>
        <v>0</v>
      </c>
      <c r="L88" s="945" t="str">
        <f>IF(I88=0,"",I88)</f>
        <v>12</v>
      </c>
      <c r="M88" s="945" t="str">
        <f>IF(J88=0,"",J88)</f>
        <v>Фактический объем потерь при передаче тепловой энергии</v>
      </c>
      <c r="N88" s="945" t="str">
        <f>IF(K88=0,"",K88)</f>
        <v/>
      </c>
      <c r="O88" s="1057" t="s">
        <v>238</v>
      </c>
      <c r="P88" s="1057"/>
      <c r="Q88" s="1057"/>
      <c r="R88" s="1057"/>
      <c r="S88" s="1057"/>
      <c r="T88" s="944" t="s">
        <v>806</v>
      </c>
      <c r="U88" s="944"/>
      <c r="V88" s="944"/>
      <c r="W88" s="944"/>
      <c r="X88" s="944"/>
      <c r="Y88" s="1100"/>
      <c r="Z88" s="947"/>
      <c r="AA88" s="950"/>
      <c r="AB88" s="947"/>
      <c r="AC88" s="947"/>
      <c r="AD88" s="947"/>
    </row>
    <row customHeight="1" ht="18">
      <c r="A89" s="946"/>
      <c r="B89" s="999">
        <v>72</v>
      </c>
      <c r="C89" s="944" t="s">
        <v>2432</v>
      </c>
      <c r="D89" s="1067" t="s">
        <v>2429</v>
      </c>
      <c r="E89" s="944" t="s">
        <v>2429</v>
      </c>
      <c r="F89" s="944" t="s">
        <v>2395</v>
      </c>
      <c r="G89" s="944"/>
      <c r="H89" s="991"/>
      <c r="I89" s="1105" t="str">
        <f>INDEX(TEMPLATE_NUMBER_POINT_FHD,B89,MATCH(TEMPLATE_SPHERE,TEMPLATE_SPHERE_LIST_FOR_NOTE,0))</f>
        <v>13</v>
      </c>
      <c r="J89" s="1105" t="str">
        <f>INDEX(TEMPLATE_DATA_POINT_FHD,B89,MATCH(TEMPLATE_SPHERE,TEMPLATE_SPHERE_LIST_FOR_NOTE,0))</f>
        <v>Среднесписочная численность основного производственного персонала</v>
      </c>
      <c r="K89" s="1105">
        <f>INDEX(TEMPLATE_NOTE_POINT_FHD,B89,MATCH(TEMPLATE_SPHERE,TEMPLATE_SPHERE_LIST_FOR_NOTE,0))</f>
        <v>0</v>
      </c>
      <c r="L89" s="945" t="str">
        <f>IF(I89=0,"",I89)</f>
        <v>13</v>
      </c>
      <c r="M89" s="945" t="str">
        <f>IF(J89=0,"",J89)</f>
        <v>Среднесписочная численность основного производственного персонала</v>
      </c>
      <c r="N89" s="945" t="str">
        <f>IF(K89=0,"",K89)</f>
        <v/>
      </c>
      <c r="O89" s="1057" t="s">
        <v>239</v>
      </c>
      <c r="P89" s="1057" t="s">
        <v>238</v>
      </c>
      <c r="Q89" s="1057" t="s">
        <v>238</v>
      </c>
      <c r="R89" s="1057" t="s">
        <v>236</v>
      </c>
      <c r="S89" s="1057"/>
      <c r="T89" s="944" t="s">
        <v>814</v>
      </c>
      <c r="U89" s="944" t="s">
        <v>814</v>
      </c>
      <c r="V89" s="944" t="s">
        <v>814</v>
      </c>
      <c r="W89" s="944" t="s">
        <v>814</v>
      </c>
      <c r="X89" s="944"/>
      <c r="Y89" s="1100"/>
      <c r="Z89" s="947"/>
      <c r="AA89" s="950"/>
      <c r="AB89" s="947"/>
      <c r="AC89" s="947"/>
      <c r="AD89" s="947"/>
    </row>
    <row customHeight="1" ht="27">
      <c r="A90" s="946"/>
      <c r="B90" s="999">
        <v>73</v>
      </c>
      <c r="C90" s="944" t="s">
        <v>2433</v>
      </c>
      <c r="D90" s="1067"/>
      <c r="E90" s="944"/>
      <c r="F90" s="944"/>
      <c r="G90" s="944"/>
      <c r="H90" s="991"/>
      <c r="I90" s="1105" t="str">
        <f>INDEX(TEMPLATE_NUMBER_POINT_FHD,B90,MATCH(TEMPLATE_SPHERE,TEMPLATE_SPHERE_LIST_FOR_NOTE,0))</f>
        <v>14</v>
      </c>
      <c r="J90" s="1105" t="str">
        <f>INDEX(TEMPLATE_DATA_POINT_FHD,B90,MATCH(TEMPLATE_SPHERE,TEMPLATE_SPHERE_LIST_FOR_NOTE,0))</f>
        <v>Среднесписочная численность административно-управленческого персонала</v>
      </c>
      <c r="K90" s="1105">
        <f>INDEX(TEMPLATE_NOTE_POINT_FHD,B90,MATCH(TEMPLATE_SPHERE,TEMPLATE_SPHERE_LIST_FOR_NOTE,0))</f>
        <v>0</v>
      </c>
      <c r="L90" s="945" t="str">
        <f>IF(I90=0,"",I90)</f>
        <v>14</v>
      </c>
      <c r="M90" s="945" t="str">
        <f>IF(J90=0,"",J90)</f>
        <v>Среднесписочная численность административно-управленческого персонала</v>
      </c>
      <c r="N90" s="945" t="str">
        <f>IF(K90=0,"",K90)</f>
        <v/>
      </c>
      <c r="O90" s="1057" t="s">
        <v>240</v>
      </c>
      <c r="P90" s="1057"/>
      <c r="Q90" s="1057"/>
      <c r="R90" s="1057"/>
      <c r="S90" s="1057"/>
      <c r="T90" s="944" t="s">
        <v>816</v>
      </c>
      <c r="U90" s="944"/>
      <c r="V90" s="944"/>
      <c r="W90" s="944"/>
      <c r="X90" s="944"/>
      <c r="Y90" s="1100"/>
      <c r="Z90" s="947"/>
      <c r="AA90" s="950"/>
      <c r="AB90" s="947"/>
      <c r="AC90" s="947"/>
      <c r="AD90" s="947"/>
    </row>
    <row customHeight="1" ht="18">
      <c r="A91" s="946"/>
      <c r="B91" s="999">
        <v>74</v>
      </c>
      <c r="C91" s="944"/>
      <c r="D91" s="1067" t="s">
        <v>2431</v>
      </c>
      <c r="E91" s="944" t="s">
        <v>2431</v>
      </c>
      <c r="F91" s="944"/>
      <c r="G91" s="944"/>
      <c r="H91" s="991"/>
      <c r="I91" s="1105">
        <f>INDEX(TEMPLATE_NUMBER_POINT_FHD,B91,MATCH(TEMPLATE_SPHERE,TEMPLATE_SPHERE_LIST_FOR_NOTE,0))</f>
        <v>0</v>
      </c>
      <c r="J91" s="1105">
        <f>INDEX(TEMPLATE_DATA_POINT_FHD,B91,MATCH(TEMPLATE_SPHERE,TEMPLATE_SPHERE_LIST_FOR_NOTE,0))</f>
        <v>0</v>
      </c>
      <c r="K91" s="1105">
        <f>INDEX(TEMPLATE_NOTE_POINT_FHD,B91,MATCH(TEMPLATE_SPHERE,TEMPLATE_SPHERE_LIST_FOR_NOTE,0))</f>
        <v>0</v>
      </c>
      <c r="L91" s="945" t="str">
        <f>IF(I91=0,"",I91)</f>
        <v/>
      </c>
      <c r="M91" s="945" t="str">
        <f>IF(J91=0,"",J91)</f>
        <v/>
      </c>
      <c r="N91" s="945" t="str">
        <f>IF(K91=0,"",K91)</f>
        <v/>
      </c>
      <c r="O91" s="1057"/>
      <c r="P91" s="1057" t="s">
        <v>239</v>
      </c>
      <c r="Q91" s="1057" t="s">
        <v>239</v>
      </c>
      <c r="R91" s="1057"/>
      <c r="S91" s="1057"/>
      <c r="T91" s="944"/>
      <c r="U91" s="944" t="s">
        <v>2434</v>
      </c>
      <c r="V91" s="944" t="s">
        <v>2434</v>
      </c>
      <c r="W91" s="944"/>
      <c r="X91" s="944"/>
      <c r="Y91" s="1100"/>
      <c r="Z91" s="947"/>
      <c r="AA91" s="950"/>
      <c r="AB91" s="947"/>
      <c r="AC91" s="947"/>
      <c r="AD91" s="947"/>
    </row>
    <row customHeight="1" ht="27">
      <c r="A92" s="946"/>
      <c r="B92" s="999">
        <v>75</v>
      </c>
      <c r="C92" s="944"/>
      <c r="D92" s="1067" t="s">
        <v>2432</v>
      </c>
      <c r="E92" s="944"/>
      <c r="F92" s="944"/>
      <c r="G92" s="944"/>
      <c r="H92" s="991"/>
      <c r="I92" s="1105">
        <f>INDEX(TEMPLATE_NUMBER_POINT_FHD,B92,MATCH(TEMPLATE_SPHERE,TEMPLATE_SPHERE_LIST_FOR_NOTE,0))</f>
        <v>0</v>
      </c>
      <c r="J92" s="1105">
        <f>INDEX(TEMPLATE_DATA_POINT_FHD,B92,MATCH(TEMPLATE_SPHERE,TEMPLATE_SPHERE_LIST_FOR_NOTE,0))</f>
        <v>0</v>
      </c>
      <c r="K92" s="1105">
        <f>INDEX(TEMPLATE_NOTE_POINT_FHD,B92,MATCH(TEMPLATE_SPHERE,TEMPLATE_SPHERE_LIST_FOR_NOTE,0))</f>
        <v>0</v>
      </c>
      <c r="L92" s="945" t="str">
        <f>IF(I92=0,"",I92)</f>
        <v/>
      </c>
      <c r="M92" s="945" t="str">
        <f>IF(J92=0,"",J92)</f>
        <v/>
      </c>
      <c r="N92" s="945" t="str">
        <f>IF(K92=0,"",K92)</f>
        <v/>
      </c>
      <c r="O92" s="1057"/>
      <c r="P92" s="1057" t="s">
        <v>240</v>
      </c>
      <c r="Q92" s="1057"/>
      <c r="R92" s="1057"/>
      <c r="S92" s="1057"/>
      <c r="T92" s="944"/>
      <c r="U92" s="944" t="s">
        <v>2435</v>
      </c>
      <c r="V92" s="944"/>
      <c r="W92" s="944"/>
      <c r="X92" s="944"/>
      <c r="Y92" s="1100"/>
      <c r="Z92" s="947"/>
      <c r="AA92" s="950" t="s">
        <v>2436</v>
      </c>
      <c r="AB92" s="947"/>
      <c r="AC92" s="947"/>
      <c r="AD92" s="947"/>
    </row>
    <row customHeight="1" ht="27">
      <c r="A93" s="946"/>
      <c r="B93" s="999">
        <v>76</v>
      </c>
      <c r="C93" s="944"/>
      <c r="D93" s="1067"/>
      <c r="E93" s="944"/>
      <c r="F93" s="944"/>
      <c r="G93" s="944"/>
      <c r="H93" s="991"/>
      <c r="I93" s="1105">
        <f>INDEX(TEMPLATE_NUMBER_POINT_FHD,B93,MATCH(TEMPLATE_SPHERE,TEMPLATE_SPHERE_LIST_FOR_NOTE,0))</f>
        <v>0</v>
      </c>
      <c r="J93" s="1105">
        <f>INDEX(TEMPLATE_DATA_POINT_FHD,B93,MATCH(TEMPLATE_SPHERE,TEMPLATE_SPHERE_LIST_FOR_NOTE,0))</f>
        <v>0</v>
      </c>
      <c r="K93" s="1105">
        <f>INDEX(TEMPLATE_NOTE_POINT_FHD,B93,MATCH(TEMPLATE_SPHERE,TEMPLATE_SPHERE_LIST_FOR_NOTE,0))</f>
        <v>0</v>
      </c>
      <c r="L93" s="945" t="str">
        <f>IF(I93=0,"",I93)</f>
        <v/>
      </c>
      <c r="M93" s="945" t="str">
        <f>IF(J93=0,"",J93)</f>
        <v/>
      </c>
      <c r="N93" s="945" t="str">
        <f>IF(K93=0,"",K93)</f>
        <v/>
      </c>
      <c r="O93" s="1057"/>
      <c r="P93" s="1057" t="s">
        <v>2344</v>
      </c>
      <c r="Q93" s="1057"/>
      <c r="R93" s="1057"/>
      <c r="S93" s="1057"/>
      <c r="T93" s="944"/>
      <c r="U93" s="944" t="s">
        <v>2437</v>
      </c>
      <c r="V93" s="944"/>
      <c r="W93" s="944"/>
      <c r="X93" s="944"/>
      <c r="Y93" s="1100"/>
      <c r="Z93" s="947"/>
      <c r="AA93" s="950" t="s">
        <v>2438</v>
      </c>
      <c r="AB93" s="947"/>
      <c r="AC93" s="947"/>
      <c r="AD93" s="947"/>
    </row>
    <row customHeight="1" ht="45">
      <c r="A94" s="946"/>
      <c r="B94" s="999">
        <v>77</v>
      </c>
      <c r="C94" s="944"/>
      <c r="D94" s="1067" t="s">
        <v>2433</v>
      </c>
      <c r="E94" s="944"/>
      <c r="F94" s="944"/>
      <c r="G94" s="944"/>
      <c r="H94" s="991"/>
      <c r="I94" s="1105">
        <f>INDEX(TEMPLATE_NUMBER_POINT_FHD,B94,MATCH(TEMPLATE_SPHERE,TEMPLATE_SPHERE_LIST_FOR_NOTE,0))</f>
        <v>0</v>
      </c>
      <c r="J94" s="1105">
        <f>INDEX(TEMPLATE_DATA_POINT_FHD,B94,MATCH(TEMPLATE_SPHERE,TEMPLATE_SPHERE_LIST_FOR_NOTE,0))</f>
        <v>0</v>
      </c>
      <c r="K94" s="1105">
        <f>INDEX(TEMPLATE_NOTE_POINT_FHD,B94,MATCH(TEMPLATE_SPHERE,TEMPLATE_SPHERE_LIST_FOR_NOTE,0))</f>
        <v>0</v>
      </c>
      <c r="L94" s="945" t="str">
        <f>IF(I94=0,"",I94)</f>
        <v/>
      </c>
      <c r="M94" s="945" t="str">
        <f>IF(J94=0,"",J94)</f>
        <v/>
      </c>
      <c r="N94" s="945" t="str">
        <f>IF(K94=0,"",K94)</f>
        <v/>
      </c>
      <c r="O94" s="1057"/>
      <c r="P94" s="1057" t="s">
        <v>1228</v>
      </c>
      <c r="Q94" s="1057"/>
      <c r="R94" s="1057"/>
      <c r="S94" s="1057"/>
      <c r="T94" s="944"/>
      <c r="U94" s="944" t="s">
        <v>2439</v>
      </c>
      <c r="V94" s="944"/>
      <c r="W94" s="944"/>
      <c r="X94" s="944"/>
      <c r="Y94" s="1100"/>
      <c r="Z94" s="947"/>
      <c r="AA94" s="950" t="s">
        <v>2440</v>
      </c>
      <c r="AB94" s="947"/>
      <c r="AC94" s="947"/>
      <c r="AD94" s="947"/>
    </row>
    <row customHeight="1" ht="99">
      <c r="A95" s="946"/>
      <c r="B95" s="999">
        <v>78</v>
      </c>
      <c r="C95" s="944" t="s">
        <v>2441</v>
      </c>
      <c r="D95" s="1067"/>
      <c r="E95" s="944"/>
      <c r="F95" s="944"/>
      <c r="G95" s="944"/>
      <c r="H95" s="991"/>
      <c r="I95" s="1105" t="str">
        <f>INDEX(TEMPLATE_NUMBER_POINT_FHD,B95,MATCH(TEMPLATE_SPHERE,TEMPLATE_SPHERE_LIST_FOR_NOTE,0))</f>
        <v>15</v>
      </c>
      <c r="J95" s="11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05">
        <f>INDEX(TEMPLATE_NOTE_POINT_FHD,B95,MATCH(TEMPLATE_SPHERE,TEMPLATE_SPHERE_LIST_FOR_NOTE,0))</f>
        <v>0</v>
      </c>
      <c r="L95" s="945" t="str">
        <f>IF(I95=0,"",I95)</f>
        <v>15</v>
      </c>
      <c r="M95" s="9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45" t="str">
        <f>IF(K95=0,"",K95)</f>
        <v/>
      </c>
      <c r="O95" s="1057" t="s">
        <v>1228</v>
      </c>
      <c r="P95" s="1057"/>
      <c r="Q95" s="1057"/>
      <c r="R95" s="1057"/>
      <c r="S95" s="1057"/>
      <c r="T95" s="944" t="s">
        <v>2442</v>
      </c>
      <c r="U95" s="944"/>
      <c r="V95" s="944"/>
      <c r="W95" s="944"/>
      <c r="X95" s="944"/>
      <c r="Y95" s="1100"/>
      <c r="Z95" s="947"/>
      <c r="AA95" s="950"/>
      <c r="AB95" s="947"/>
      <c r="AC95" s="947"/>
      <c r="AD95" s="947"/>
    </row>
    <row customHeight="1" ht="99">
      <c r="A96" s="946"/>
      <c r="B96" s="999">
        <v>79</v>
      </c>
      <c r="C96" s="944" t="s">
        <v>1443</v>
      </c>
      <c r="D96" s="1067"/>
      <c r="E96" s="944"/>
      <c r="F96" s="944"/>
      <c r="G96" s="944"/>
      <c r="H96" s="991"/>
      <c r="I96" s="1105" t="str">
        <f>INDEX(TEMPLATE_NUMBER_POINT_FHD,B96,MATCH(TEMPLATE_SPHERE,TEMPLATE_SPHERE_LIST_FOR_NOTE,0))</f>
        <v>16</v>
      </c>
      <c r="J96" s="11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45" t="str">
        <f>IF(I96=0,"",I96)</f>
        <v>16</v>
      </c>
      <c r="M96" s="9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57" t="s">
        <v>1230</v>
      </c>
      <c r="P96" s="1057"/>
      <c r="Q96" s="1057"/>
      <c r="R96" s="1057"/>
      <c r="S96" s="1057"/>
      <c r="T96" s="944" t="s">
        <v>2443</v>
      </c>
      <c r="U96" s="944"/>
      <c r="V96" s="944"/>
      <c r="W96" s="944"/>
      <c r="X96" s="944"/>
      <c r="Y96" s="1100"/>
      <c r="Z96" s="947" t="s">
        <v>2444</v>
      </c>
      <c r="AA96" s="950"/>
      <c r="AB96" s="947"/>
      <c r="AC96" s="947"/>
      <c r="AD96" s="947"/>
    </row>
    <row customHeight="1" ht="63">
      <c r="A97" s="946"/>
      <c r="B97" s="999">
        <v>80</v>
      </c>
      <c r="C97" s="944" t="s">
        <v>2445</v>
      </c>
      <c r="D97" s="1067"/>
      <c r="E97" s="944"/>
      <c r="F97" s="944"/>
      <c r="G97" s="944"/>
      <c r="H97" s="991"/>
      <c r="I97" s="1105" t="str">
        <f>INDEX(TEMPLATE_NUMBER_POINT_FHD,B97,MATCH(TEMPLATE_SPHERE,TEMPLATE_SPHERE_LIST_FOR_NOTE,0))</f>
        <v>17</v>
      </c>
      <c r="J97" s="11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45" t="str">
        <f>IF(I97=0,"",I97)</f>
        <v>17</v>
      </c>
      <c r="M97" s="9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45" t="str">
        <f>IF(K97=0,"",K97)</f>
        <v>Регулируемыми организациями указывается информация с по договорам, заключенным в рамках осуществления регулируемой деятельности.</v>
      </c>
      <c r="O97" s="1057" t="s">
        <v>1232</v>
      </c>
      <c r="P97" s="1057"/>
      <c r="Q97" s="1057"/>
      <c r="R97" s="1057"/>
      <c r="S97" s="1057"/>
      <c r="T97" s="944" t="s">
        <v>2446</v>
      </c>
      <c r="U97" s="944"/>
      <c r="V97" s="944"/>
      <c r="W97" s="944"/>
      <c r="X97" s="944"/>
      <c r="Y97" s="1100"/>
      <c r="Z97" s="947" t="s">
        <v>2447</v>
      </c>
      <c r="AA97" s="950"/>
      <c r="AB97" s="947"/>
      <c r="AC97" s="947"/>
      <c r="AD97" s="947"/>
    </row>
    <row customHeight="1" ht="63">
      <c r="A98" s="946"/>
      <c r="B98" s="999">
        <v>81</v>
      </c>
      <c r="C98" s="944" t="s">
        <v>2448</v>
      </c>
      <c r="D98" s="1067"/>
      <c r="E98" s="944"/>
      <c r="F98" s="944"/>
      <c r="G98" s="944"/>
      <c r="H98" s="991"/>
      <c r="I98" s="1105" t="str">
        <f>INDEX(TEMPLATE_NUMBER_POINT_FHD,B98,MATCH(TEMPLATE_SPHERE,TEMPLATE_SPHERE_LIST_FOR_NOTE,0))</f>
        <v>18</v>
      </c>
      <c r="J98" s="11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45" t="str">
        <f>IF(I98=0,"",I98)</f>
        <v>18</v>
      </c>
      <c r="M98" s="9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45" t="str">
        <f>IF(K98=0,"",K98)</f>
        <v>Регулируемыми организациями указывается информация с по договорам, заключенным в рамках осуществления регулируемой деятельности.</v>
      </c>
      <c r="O98" s="1057" t="s">
        <v>1234</v>
      </c>
      <c r="P98" s="1057"/>
      <c r="Q98" s="1057"/>
      <c r="R98" s="1057"/>
      <c r="S98" s="1057"/>
      <c r="T98" s="944" t="s">
        <v>2449</v>
      </c>
      <c r="U98" s="944"/>
      <c r="V98" s="944"/>
      <c r="W98" s="944"/>
      <c r="X98" s="944"/>
      <c r="Y98" s="1100"/>
      <c r="Z98" s="947" t="s">
        <v>2447</v>
      </c>
      <c r="AA98" s="950"/>
      <c r="AB98" s="947"/>
      <c r="AC98" s="947"/>
      <c r="AD98" s="947"/>
    </row>
    <row customHeight="1" ht="90">
      <c r="A99" s="946"/>
      <c r="B99" s="999">
        <v>82</v>
      </c>
      <c r="C99" s="944" t="s">
        <v>2450</v>
      </c>
      <c r="D99" s="1067"/>
      <c r="E99" s="944"/>
      <c r="F99" s="944"/>
      <c r="G99" s="944"/>
      <c r="H99" s="991"/>
      <c r="I99" s="1105" t="str">
        <f>INDEX(TEMPLATE_NUMBER_POINT_FHD,B99,MATCH(TEMPLATE_SPHERE,TEMPLATE_SPHERE_LIST_FOR_NOTE,0))</f>
        <v>19</v>
      </c>
      <c r="J99" s="11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05" t="str">
        <f>INDEX(TEMPLATE_NOTE_POINT_FHD,B99,MATCH(TEMPLATE_SPHERE,TEMPLATE_SPHERE_LIST_FOR_NOTE,0))</f>
        <v>Указывается ссылка на документ, предварительно загруженный в хранилище файлов ФГИС ЕИАС.</v>
      </c>
      <c r="L99" s="945" t="str">
        <f>IF(I99=0,"",I99)</f>
        <v>19</v>
      </c>
      <c r="M99" s="9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45" t="str">
        <f>IF(K99=0,"",K99)</f>
        <v>Указывается ссылка на документ, предварительно загруженный в хранилище файлов ФГИС ЕИАС.</v>
      </c>
      <c r="O99" s="1057" t="s">
        <v>1237</v>
      </c>
      <c r="P99" s="1057"/>
      <c r="Q99" s="1057"/>
      <c r="R99" s="1057"/>
      <c r="S99" s="1057"/>
      <c r="T99" s="944" t="s">
        <v>2451</v>
      </c>
      <c r="U99" s="944"/>
      <c r="V99" s="944"/>
      <c r="W99" s="944"/>
      <c r="X99" s="944"/>
      <c r="Y99" s="1100"/>
      <c r="Z99" s="947" t="s">
        <v>771</v>
      </c>
      <c r="AA99" s="950"/>
      <c r="AB99" s="947"/>
      <c r="AC99" s="947"/>
      <c r="AD99" s="947"/>
    </row>
    <row customHeight="1" ht="27">
      <c r="A100" s="946"/>
      <c r="B100" s="999">
        <v>83</v>
      </c>
      <c r="C100" s="944"/>
      <c r="D100" s="1067"/>
      <c r="E100" s="944"/>
      <c r="F100" s="944"/>
      <c r="G100" s="944"/>
      <c r="H100" s="991"/>
      <c r="I100" s="1105" t="str">
        <f>INDEX(TEMPLATE_NUMBER_POINT_FHD,B100,MATCH(TEMPLATE_SPHERE,TEMPLATE_SPHERE_LIST_FOR_NOTE,0))</f>
        <v>19.1</v>
      </c>
      <c r="J100" s="1105" t="str">
        <f>INDEX(TEMPLATE_DATA_POINT_FHD,B100,MATCH(TEMPLATE_SPHERE,TEMPLATE_SPHERE_LIST_FOR_NOTE,0))</f>
        <v>Информация о показателях физического износа объектов теплоснабжения</v>
      </c>
      <c r="K100" s="1105" t="str">
        <f>INDEX(TEMPLATE_NOTE_POINT_FHD,B100,MATCH(TEMPLATE_SPHERE,TEMPLATE_SPHERE_LIST_FOR_NOTE,0))</f>
        <v>Указывается ссылка на документ, предварительно загруженный в хранилище файлов ФГИС ЕИАС.</v>
      </c>
      <c r="L100" s="945" t="str">
        <f>IF(I100=0,"",I100)</f>
        <v>19.1</v>
      </c>
      <c r="M100" s="945" t="str">
        <f>IF(J100=0,"",J100)</f>
        <v>Информация о показателях физического износа объектов теплоснабжения</v>
      </c>
      <c r="N100" s="945" t="str">
        <f>IF(K100=0,"",K100)</f>
        <v>Указывается ссылка на документ, предварительно загруженный в хранилище файлов ФГИС ЕИАС.</v>
      </c>
      <c r="O100" s="1057" t="s">
        <v>2452</v>
      </c>
      <c r="P100" s="1057"/>
      <c r="Q100" s="1057"/>
      <c r="R100" s="1057"/>
      <c r="S100" s="1057"/>
      <c r="T100" s="944" t="s">
        <v>2453</v>
      </c>
      <c r="U100" s="944"/>
      <c r="V100" s="944"/>
      <c r="W100" s="944"/>
      <c r="X100" s="944"/>
      <c r="Y100" s="1100"/>
      <c r="Z100" s="947" t="s">
        <v>771</v>
      </c>
      <c r="AA100" s="950"/>
      <c r="AB100" s="947"/>
      <c r="AC100" s="947"/>
      <c r="AD100" s="947"/>
    </row>
    <row customHeight="1" ht="27">
      <c r="A101" s="946"/>
      <c r="B101" s="999">
        <v>84</v>
      </c>
      <c r="C101" s="944"/>
      <c r="D101" s="1067"/>
      <c r="E101" s="944"/>
      <c r="F101" s="944"/>
      <c r="G101" s="944"/>
      <c r="H101" s="991"/>
      <c r="I101" s="1105" t="str">
        <f>INDEX(TEMPLATE_NUMBER_POINT_FHD,B101,MATCH(TEMPLATE_SPHERE,TEMPLATE_SPHERE_LIST_FOR_NOTE,0))</f>
        <v>19.2</v>
      </c>
      <c r="J101" s="1105" t="str">
        <f>INDEX(TEMPLATE_DATA_POINT_FHD,B101,MATCH(TEMPLATE_SPHERE,TEMPLATE_SPHERE_LIST_FOR_NOTE,0))</f>
        <v>Информация о показателях энергетической эффективности объектов теплоснабжения</v>
      </c>
      <c r="K101" s="1105" t="str">
        <f>INDEX(TEMPLATE_NOTE_POINT_FHD,B101,MATCH(TEMPLATE_SPHERE,TEMPLATE_SPHERE_LIST_FOR_NOTE,0))</f>
        <v>Указывается ссылка на документ, предварительно загруженный в хранилище файлов ФГИС ЕИАС.</v>
      </c>
      <c r="L101" s="945" t="str">
        <f>IF(I101=0,"",I101)</f>
        <v>19.2</v>
      </c>
      <c r="M101" s="945" t="str">
        <f>IF(J101=0,"",J101)</f>
        <v>Информация о показателях энергетической эффективности объектов теплоснабжения</v>
      </c>
      <c r="N101" s="945" t="str">
        <f>IF(K101=0,"",K101)</f>
        <v>Указывается ссылка на документ, предварительно загруженный в хранилище файлов ФГИС ЕИАС.</v>
      </c>
      <c r="O101" s="1057" t="s">
        <v>2454</v>
      </c>
      <c r="P101" s="1057"/>
      <c r="Q101" s="1057"/>
      <c r="R101" s="1057"/>
      <c r="S101" s="1057"/>
      <c r="T101" s="944" t="s">
        <v>2455</v>
      </c>
      <c r="U101" s="944"/>
      <c r="V101" s="944"/>
      <c r="W101" s="944"/>
      <c r="X101" s="944"/>
      <c r="Y101" s="1100"/>
      <c r="Z101" s="947" t="s">
        <v>771</v>
      </c>
      <c r="AA101" s="950"/>
      <c r="AB101" s="947"/>
      <c r="AC101" s="947"/>
      <c r="AD101" s="947"/>
    </row>
    <row customHeight="1" ht="9">
      <c r="A102" s="946"/>
      <c r="B102" s="946"/>
      <c r="C102" s="944"/>
      <c r="D102" s="944"/>
      <c r="E102" s="944"/>
      <c r="F102" s="944"/>
      <c r="G102" s="944"/>
      <c r="H102" s="991"/>
      <c r="I102" s="991"/>
      <c r="J102" s="991"/>
      <c r="K102" s="991"/>
      <c r="L102" s="991"/>
      <c r="M102" s="944"/>
      <c r="N102" s="990"/>
      <c r="O102" s="1057"/>
      <c r="P102" s="1057"/>
      <c r="Q102" s="1057"/>
      <c r="R102" s="1057"/>
      <c r="S102" s="944"/>
      <c r="T102" s="944"/>
      <c r="U102" s="944"/>
      <c r="V102" s="944"/>
      <c r="W102" s="944"/>
      <c r="X102" s="944"/>
      <c r="Y102" s="1100"/>
      <c r="Z102" s="947"/>
      <c r="AA102" s="950"/>
      <c r="AB102" s="947"/>
      <c r="AC102" s="947"/>
      <c r="AD102" s="947"/>
    </row>
    <row customHeight="1" ht="9">
      <c r="A103" s="946"/>
      <c r="B103" s="946"/>
      <c r="C103" s="944"/>
      <c r="D103" s="944"/>
      <c r="E103" s="944"/>
      <c r="F103" s="944"/>
      <c r="G103" s="944"/>
      <c r="H103" s="991"/>
      <c r="I103" s="991"/>
      <c r="J103" s="991"/>
      <c r="K103" s="991"/>
      <c r="L103" s="991"/>
      <c r="M103" s="944"/>
      <c r="N103" s="990"/>
      <c r="O103" s="1057"/>
      <c r="P103" s="1057"/>
      <c r="Q103" s="1057"/>
      <c r="R103" s="1057"/>
      <c r="S103" s="944"/>
      <c r="T103" s="944"/>
      <c r="U103" s="944"/>
      <c r="V103" s="944"/>
      <c r="W103" s="944"/>
      <c r="X103" s="944"/>
      <c r="Y103" s="1100"/>
      <c r="Z103" s="947"/>
      <c r="AA103" s="950"/>
      <c r="AB103" s="947"/>
      <c r="AC103" s="947"/>
      <c r="AD103" s="947"/>
    </row>
    <row customHeight="1" ht="9">
      <c r="A104" s="946"/>
      <c r="B104" s="946"/>
      <c r="C104" s="944"/>
      <c r="D104" s="944"/>
      <c r="E104" s="944"/>
      <c r="F104" s="944"/>
      <c r="G104" s="944"/>
      <c r="H104" s="991"/>
      <c r="I104" s="991"/>
      <c r="J104" s="991"/>
      <c r="K104" s="991"/>
      <c r="L104" s="991"/>
      <c r="M104" s="944"/>
      <c r="N104" s="990"/>
      <c r="O104" s="1057"/>
      <c r="P104" s="1057"/>
      <c r="Q104" s="1057"/>
      <c r="R104" s="1057"/>
      <c r="S104" s="944"/>
      <c r="T104" s="944"/>
      <c r="U104" s="944"/>
      <c r="V104" s="944"/>
      <c r="W104" s="944"/>
      <c r="X104" s="944"/>
      <c r="Y104" s="1100"/>
      <c r="Z104" s="947"/>
      <c r="AA104" s="950"/>
      <c r="AB104" s="947"/>
      <c r="AC104" s="947"/>
      <c r="AD104" s="947"/>
    </row>
    <row customHeight="1" ht="9">
      <c r="A105" s="946"/>
      <c r="B105" s="946"/>
      <c r="C105" s="944"/>
      <c r="D105" s="944"/>
      <c r="E105" s="944"/>
      <c r="F105" s="944"/>
      <c r="G105" s="944"/>
      <c r="H105" s="991"/>
      <c r="I105" s="991"/>
      <c r="J105" s="991"/>
      <c r="K105" s="991"/>
      <c r="L105" s="991"/>
      <c r="M105" s="944"/>
      <c r="N105" s="990"/>
      <c r="O105" s="1057"/>
      <c r="P105" s="1057"/>
      <c r="Q105" s="1057"/>
      <c r="R105" s="1057"/>
      <c r="S105" s="944"/>
      <c r="T105" s="944"/>
      <c r="U105" s="944"/>
      <c r="V105" s="944"/>
      <c r="W105" s="944"/>
      <c r="X105" s="944"/>
      <c r="Y105" s="1100"/>
      <c r="Z105" s="947"/>
      <c r="AA105" s="950"/>
      <c r="AB105" s="947"/>
      <c r="AC105" s="947"/>
      <c r="AD105" s="947"/>
    </row>
    <row customHeight="1" ht="9">
      <c r="A106" s="946"/>
      <c r="B106" s="946"/>
      <c r="C106" s="944"/>
      <c r="D106" s="944"/>
      <c r="E106" s="944"/>
      <c r="F106" s="944"/>
      <c r="G106" s="944"/>
      <c r="H106" s="991"/>
      <c r="I106" s="991"/>
      <c r="J106" s="991"/>
      <c r="K106" s="991"/>
      <c r="L106" s="991"/>
      <c r="M106" s="944"/>
      <c r="N106" s="990"/>
      <c r="O106" s="1057"/>
      <c r="P106" s="1057"/>
      <c r="Q106" s="1057"/>
      <c r="R106" s="1057"/>
      <c r="S106" s="944"/>
      <c r="T106" s="944"/>
      <c r="U106" s="944"/>
      <c r="V106" s="944"/>
      <c r="W106" s="944"/>
      <c r="X106" s="944"/>
      <c r="Y106" s="1100"/>
      <c r="Z106" s="947"/>
      <c r="AA106" s="950"/>
      <c r="AB106" s="947"/>
      <c r="AC106" s="947"/>
      <c r="AD106" s="947"/>
    </row>
    <row customHeight="1" ht="9">
      <c r="A107" s="946"/>
      <c r="B107" s="946"/>
      <c r="C107" s="944"/>
      <c r="D107" s="944"/>
      <c r="E107" s="944"/>
      <c r="F107" s="944"/>
      <c r="G107" s="944"/>
      <c r="H107" s="991"/>
      <c r="I107" s="991"/>
      <c r="J107" s="991"/>
      <c r="K107" s="991"/>
      <c r="L107" s="991"/>
      <c r="M107" s="944"/>
      <c r="N107" s="990"/>
      <c r="O107" s="1057"/>
      <c r="P107" s="1057"/>
      <c r="Q107" s="1057"/>
      <c r="R107" s="1057"/>
      <c r="S107" s="944"/>
      <c r="T107" s="944"/>
      <c r="U107" s="944"/>
      <c r="V107" s="944"/>
      <c r="W107" s="944"/>
      <c r="X107" s="944"/>
      <c r="Y107" s="1100"/>
      <c r="Z107" s="947"/>
      <c r="AA107" s="950"/>
      <c r="AB107" s="947"/>
      <c r="AC107" s="947"/>
      <c r="AD107" s="947"/>
    </row>
    <row customHeight="1" ht="9">
      <c r="A108" s="946"/>
      <c r="B108" s="946"/>
      <c r="C108" s="944"/>
      <c r="D108" s="944"/>
      <c r="E108" s="944"/>
      <c r="F108" s="944"/>
      <c r="G108" s="944"/>
      <c r="H108" s="991"/>
      <c r="I108" s="991"/>
      <c r="J108" s="991"/>
      <c r="K108" s="991"/>
      <c r="L108" s="991"/>
      <c r="M108" s="944"/>
      <c r="N108" s="990"/>
      <c r="O108" s="1057"/>
      <c r="P108" s="1057"/>
      <c r="Q108" s="1057"/>
      <c r="R108" s="1057"/>
      <c r="S108" s="944"/>
      <c r="T108" s="944"/>
      <c r="U108" s="944"/>
      <c r="V108" s="944"/>
      <c r="W108" s="944"/>
      <c r="X108" s="944"/>
      <c r="Y108" s="1100"/>
      <c r="Z108" s="947"/>
      <c r="AA108" s="950"/>
      <c r="AB108" s="947"/>
      <c r="AC108" s="947"/>
      <c r="AD108" s="947"/>
    </row>
    <row customHeight="1" ht="9">
      <c r="A109" s="946"/>
      <c r="B109" s="946"/>
      <c r="C109" s="944"/>
      <c r="D109" s="944"/>
      <c r="E109" s="944"/>
      <c r="F109" s="944"/>
      <c r="G109" s="944"/>
      <c r="H109" s="991"/>
      <c r="I109" s="991"/>
      <c r="J109" s="991"/>
      <c r="K109" s="991"/>
      <c r="L109" s="991"/>
      <c r="M109" s="944"/>
      <c r="N109" s="990"/>
      <c r="O109" s="1057"/>
      <c r="P109" s="1057"/>
      <c r="Q109" s="1057"/>
      <c r="R109" s="1057"/>
      <c r="S109" s="944"/>
      <c r="T109" s="944"/>
      <c r="U109" s="944"/>
      <c r="V109" s="944"/>
      <c r="W109" s="944"/>
      <c r="X109" s="944"/>
      <c r="Y109" s="1100"/>
      <c r="Z109" s="947"/>
      <c r="AA109" s="950"/>
      <c r="AB109" s="947"/>
      <c r="AC109" s="947"/>
      <c r="AD109" s="947"/>
    </row>
    <row customHeight="1" ht="9">
      <c r="A110" s="946"/>
      <c r="B110" s="946"/>
      <c r="C110" s="944"/>
      <c r="D110" s="944"/>
      <c r="E110" s="944"/>
      <c r="F110" s="944"/>
      <c r="G110" s="944"/>
      <c r="H110" s="991"/>
      <c r="I110" s="991"/>
      <c r="J110" s="991"/>
      <c r="K110" s="991"/>
      <c r="L110" s="991"/>
      <c r="M110" s="944"/>
      <c r="N110" s="990"/>
      <c r="O110" s="1057"/>
      <c r="P110" s="1057"/>
      <c r="Q110" s="1057"/>
      <c r="R110" s="1057"/>
      <c r="S110" s="944"/>
      <c r="T110" s="944"/>
      <c r="U110" s="944"/>
      <c r="V110" s="944"/>
      <c r="W110" s="944"/>
      <c r="X110" s="944"/>
      <c r="Y110" s="1100"/>
      <c r="Z110" s="947"/>
      <c r="AA110" s="950"/>
      <c r="AB110" s="947"/>
      <c r="AC110" s="947"/>
      <c r="AD110" s="947"/>
    </row>
    <row customHeight="1" ht="9">
      <c r="A111" s="946"/>
      <c r="B111" s="946"/>
      <c r="C111" s="944"/>
      <c r="D111" s="944"/>
      <c r="E111" s="944"/>
      <c r="F111" s="944"/>
      <c r="G111" s="944"/>
      <c r="H111" s="991"/>
      <c r="I111" s="991"/>
      <c r="J111" s="991"/>
      <c r="K111" s="991"/>
      <c r="L111" s="991"/>
      <c r="M111" s="944"/>
      <c r="N111" s="990"/>
      <c r="O111" s="1057"/>
      <c r="P111" s="1057"/>
      <c r="Q111" s="1057"/>
      <c r="R111" s="1057"/>
      <c r="S111" s="944"/>
      <c r="T111" s="944"/>
      <c r="U111" s="944"/>
      <c r="V111" s="944"/>
      <c r="W111" s="944"/>
      <c r="X111" s="944"/>
      <c r="Y111" s="1100"/>
      <c r="Z111" s="947"/>
      <c r="AA111" s="950"/>
      <c r="AB111" s="947"/>
      <c r="AC111" s="947"/>
      <c r="AD111" s="947"/>
    </row>
    <row customHeight="1" ht="9">
      <c r="A112" s="946"/>
      <c r="B112" s="946"/>
      <c r="C112" s="944"/>
      <c r="D112" s="944"/>
      <c r="E112" s="944"/>
      <c r="F112" s="944"/>
      <c r="G112" s="944"/>
      <c r="H112" s="991"/>
      <c r="I112" s="991"/>
      <c r="J112" s="991"/>
      <c r="K112" s="991"/>
      <c r="L112" s="991"/>
      <c r="M112" s="944"/>
      <c r="N112" s="990"/>
      <c r="O112" s="1057"/>
      <c r="P112" s="1057"/>
      <c r="Q112" s="1057"/>
      <c r="R112" s="1057"/>
      <c r="S112" s="944"/>
      <c r="T112" s="944"/>
      <c r="U112" s="944"/>
      <c r="V112" s="944"/>
      <c r="W112" s="944"/>
      <c r="X112" s="944"/>
      <c r="Y112" s="1100"/>
      <c r="Z112" s="947"/>
      <c r="AA112" s="950"/>
      <c r="AB112" s="947"/>
      <c r="AC112" s="947"/>
      <c r="AD112" s="947"/>
    </row>
    <row customHeight="1" ht="9">
      <c r="A113" s="946"/>
      <c r="B113" s="946"/>
      <c r="C113" s="944"/>
      <c r="D113" s="944"/>
      <c r="E113" s="944"/>
      <c r="F113" s="944"/>
      <c r="G113" s="944"/>
      <c r="H113" s="991"/>
      <c r="I113" s="991"/>
      <c r="J113" s="991"/>
      <c r="K113" s="991"/>
      <c r="L113" s="991"/>
      <c r="M113" s="944"/>
      <c r="N113" s="990"/>
      <c r="O113" s="1057"/>
      <c r="P113" s="1057"/>
      <c r="Q113" s="1057"/>
      <c r="R113" s="1057"/>
      <c r="S113" s="944"/>
      <c r="T113" s="944"/>
      <c r="U113" s="944"/>
      <c r="V113" s="944"/>
      <c r="W113" s="944"/>
      <c r="X113" s="944"/>
      <c r="Y113" s="1100"/>
      <c r="Z113" s="947"/>
      <c r="AA113" s="950"/>
      <c r="AB113" s="947"/>
      <c r="AC113" s="947"/>
      <c r="AD113" s="947"/>
    </row>
    <row customHeight="1" ht="9">
      <c r="A114" s="946"/>
      <c r="B114" s="946"/>
      <c r="C114" s="944"/>
      <c r="D114" s="944"/>
      <c r="E114" s="944"/>
      <c r="F114" s="944"/>
      <c r="G114" s="944"/>
      <c r="H114" s="991"/>
      <c r="I114" s="991"/>
      <c r="J114" s="991"/>
      <c r="K114" s="991"/>
      <c r="L114" s="991"/>
      <c r="M114" s="944"/>
      <c r="N114" s="990"/>
      <c r="O114" s="1057"/>
      <c r="P114" s="1057"/>
      <c r="Q114" s="1057"/>
      <c r="R114" s="1057"/>
      <c r="S114" s="944"/>
      <c r="T114" s="944"/>
      <c r="U114" s="944"/>
      <c r="V114" s="944"/>
      <c r="W114" s="944"/>
      <c r="X114" s="944"/>
      <c r="Y114" s="1100"/>
      <c r="Z114" s="947"/>
      <c r="AA114" s="950"/>
      <c r="AB114" s="947"/>
      <c r="AC114" s="947"/>
      <c r="AD114" s="947"/>
    </row>
    <row customHeight="1" ht="9">
      <c r="A115" s="946"/>
      <c r="B115" s="946"/>
      <c r="C115" s="944"/>
      <c r="D115" s="944"/>
      <c r="E115" s="944"/>
      <c r="F115" s="944"/>
      <c r="G115" s="944"/>
      <c r="H115" s="991"/>
      <c r="I115" s="991"/>
      <c r="J115" s="991"/>
      <c r="K115" s="991"/>
      <c r="L115" s="991"/>
      <c r="M115" s="944"/>
      <c r="N115" s="990"/>
      <c r="O115" s="1057"/>
      <c r="P115" s="1057"/>
      <c r="Q115" s="1057"/>
      <c r="R115" s="1057"/>
      <c r="S115" s="944"/>
      <c r="T115" s="944"/>
      <c r="U115" s="944"/>
      <c r="V115" s="944"/>
      <c r="W115" s="944"/>
      <c r="X115" s="944"/>
      <c r="Y115" s="1100"/>
      <c r="Z115" s="947"/>
      <c r="AA115" s="950"/>
      <c r="AB115" s="947"/>
      <c r="AC115" s="947"/>
      <c r="AD115" s="947"/>
    </row>
    <row customHeight="1" ht="9">
      <c r="A116" s="946"/>
      <c r="B116" s="946"/>
      <c r="C116" s="944"/>
      <c r="D116" s="944"/>
      <c r="E116" s="944"/>
      <c r="F116" s="944"/>
      <c r="G116" s="944"/>
      <c r="H116" s="991"/>
      <c r="I116" s="991"/>
      <c r="J116" s="991"/>
      <c r="K116" s="991"/>
      <c r="L116" s="991"/>
      <c r="M116" s="944"/>
      <c r="N116" s="990"/>
      <c r="O116" s="1057"/>
      <c r="P116" s="1057"/>
      <c r="Q116" s="1057"/>
      <c r="R116" s="1057"/>
      <c r="S116" s="944"/>
      <c r="T116" s="944"/>
      <c r="U116" s="944"/>
      <c r="V116" s="944"/>
      <c r="W116" s="944"/>
      <c r="X116" s="944"/>
      <c r="Y116" s="1100"/>
      <c r="Z116" s="947"/>
      <c r="AA116" s="950"/>
      <c r="AB116" s="947"/>
      <c r="AC116" s="947"/>
      <c r="AD116" s="947"/>
    </row>
    <row customHeight="1" ht="9">
      <c r="A117" s="946"/>
      <c r="B117" s="946"/>
      <c r="C117" s="944"/>
      <c r="D117" s="944"/>
      <c r="E117" s="944"/>
      <c r="F117" s="944"/>
      <c r="G117" s="944"/>
      <c r="H117" s="991"/>
      <c r="I117" s="991"/>
      <c r="J117" s="991"/>
      <c r="K117" s="991"/>
      <c r="L117" s="991"/>
      <c r="M117" s="944"/>
      <c r="N117" s="990"/>
      <c r="O117" s="1057"/>
      <c r="P117" s="1057"/>
      <c r="Q117" s="1057"/>
      <c r="R117" s="1057"/>
      <c r="S117" s="944"/>
      <c r="T117" s="944"/>
      <c r="U117" s="944"/>
      <c r="V117" s="944"/>
      <c r="W117" s="944"/>
      <c r="X117" s="944"/>
      <c r="Y117" s="1100"/>
      <c r="Z117" s="947"/>
      <c r="AA117" s="950"/>
      <c r="AB117" s="947"/>
      <c r="AC117" s="947"/>
      <c r="AD117" s="947"/>
    </row>
    <row customHeight="1" ht="9">
      <c r="A118" s="946"/>
      <c r="B118" s="946"/>
      <c r="C118" s="944"/>
      <c r="D118" s="944"/>
      <c r="E118" s="944"/>
      <c r="F118" s="944"/>
      <c r="G118" s="944"/>
      <c r="H118" s="991"/>
      <c r="I118" s="991"/>
      <c r="J118" s="991"/>
      <c r="K118" s="991"/>
      <c r="L118" s="991"/>
      <c r="M118" s="944"/>
      <c r="N118" s="990"/>
      <c r="O118" s="1057"/>
      <c r="P118" s="1057"/>
      <c r="Q118" s="1057"/>
      <c r="R118" s="1057"/>
      <c r="S118" s="944"/>
      <c r="T118" s="944"/>
      <c r="U118" s="944"/>
      <c r="V118" s="944"/>
      <c r="W118" s="944"/>
      <c r="X118" s="944"/>
      <c r="Y118" s="1100"/>
      <c r="Z118" s="947"/>
      <c r="AA118" s="950"/>
      <c r="AB118" s="947"/>
      <c r="AC118" s="947"/>
      <c r="AD118" s="947"/>
    </row>
    <row customHeight="1" ht="9">
      <c r="A119" s="946"/>
      <c r="B119" s="946"/>
      <c r="C119" s="944"/>
      <c r="D119" s="944"/>
      <c r="E119" s="944"/>
      <c r="F119" s="944"/>
      <c r="G119" s="944"/>
      <c r="H119" s="991"/>
      <c r="I119" s="991"/>
      <c r="J119" s="991"/>
      <c r="K119" s="991"/>
      <c r="L119" s="991"/>
      <c r="M119" s="944"/>
      <c r="N119" s="990"/>
      <c r="O119" s="1057"/>
      <c r="P119" s="1057"/>
      <c r="Q119" s="1057"/>
      <c r="R119" s="1057"/>
      <c r="S119" s="944"/>
      <c r="T119" s="944"/>
      <c r="U119" s="944"/>
      <c r="V119" s="944"/>
      <c r="W119" s="944"/>
      <c r="X119" s="944"/>
      <c r="Y119" s="1100"/>
      <c r="Z119" s="947"/>
      <c r="AA119" s="950"/>
      <c r="AB119" s="947"/>
      <c r="AC119" s="947"/>
      <c r="AD119" s="947"/>
    </row>
    <row customHeight="1" ht="9">
      <c r="A120" s="946"/>
      <c r="B120" s="946"/>
      <c r="C120" s="944"/>
      <c r="D120" s="944"/>
      <c r="E120" s="944"/>
      <c r="F120" s="944"/>
      <c r="G120" s="944"/>
      <c r="H120" s="991"/>
      <c r="I120" s="991"/>
      <c r="J120" s="991"/>
      <c r="K120" s="991"/>
      <c r="L120" s="991"/>
      <c r="M120" s="944"/>
      <c r="N120" s="990"/>
      <c r="O120" s="1057"/>
      <c r="P120" s="1057"/>
      <c r="Q120" s="1057"/>
      <c r="R120" s="1057"/>
      <c r="S120" s="944"/>
      <c r="T120" s="944"/>
      <c r="U120" s="944"/>
      <c r="V120" s="944"/>
      <c r="W120" s="944"/>
      <c r="X120" s="944"/>
      <c r="Y120" s="1100"/>
      <c r="Z120" s="947"/>
      <c r="AA120" s="950"/>
      <c r="AB120" s="947"/>
      <c r="AC120" s="947"/>
      <c r="AD120" s="947"/>
    </row>
    <row customHeight="1" ht="9">
      <c r="A121" s="946"/>
      <c r="B121" s="946"/>
      <c r="C121" s="944"/>
      <c r="D121" s="944"/>
      <c r="E121" s="944"/>
      <c r="F121" s="944"/>
      <c r="G121" s="944"/>
      <c r="H121" s="991"/>
      <c r="I121" s="991"/>
      <c r="J121" s="991"/>
      <c r="K121" s="991"/>
      <c r="L121" s="991"/>
      <c r="M121" s="944"/>
      <c r="N121" s="990"/>
      <c r="O121" s="1057"/>
      <c r="P121" s="1057"/>
      <c r="Q121" s="1057"/>
      <c r="R121" s="1057"/>
      <c r="S121" s="944"/>
      <c r="T121" s="944"/>
      <c r="U121" s="944"/>
      <c r="V121" s="944"/>
      <c r="W121" s="944"/>
      <c r="X121" s="944"/>
      <c r="Y121" s="1100"/>
      <c r="Z121" s="947"/>
      <c r="AA121" s="950"/>
      <c r="AB121" s="947"/>
      <c r="AC121" s="947"/>
      <c r="AD121" s="947"/>
    </row>
    <row customHeight="1" ht="9">
      <c r="A122" s="946"/>
      <c r="B122" s="946"/>
      <c r="C122" s="944"/>
      <c r="D122" s="944"/>
      <c r="E122" s="944"/>
      <c r="F122" s="944"/>
      <c r="G122" s="944"/>
      <c r="H122" s="991"/>
      <c r="I122" s="991"/>
      <c r="J122" s="991"/>
      <c r="K122" s="991"/>
      <c r="L122" s="991"/>
      <c r="M122" s="944"/>
      <c r="N122" s="990"/>
      <c r="O122" s="1057"/>
      <c r="P122" s="1057"/>
      <c r="Q122" s="1057"/>
      <c r="R122" s="1057"/>
      <c r="S122" s="944"/>
      <c r="T122" s="944"/>
      <c r="U122" s="944"/>
      <c r="V122" s="944"/>
      <c r="W122" s="944"/>
      <c r="X122" s="944"/>
      <c r="Y122" s="1100"/>
      <c r="Z122" s="947"/>
      <c r="AA122" s="950"/>
      <c r="AB122" s="947"/>
      <c r="AC122" s="947"/>
      <c r="AD122" s="947"/>
    </row>
    <row customHeight="1" ht="9">
      <c r="A123" s="946"/>
      <c r="B123" s="946"/>
      <c r="C123" s="944"/>
      <c r="D123" s="944"/>
      <c r="E123" s="944"/>
      <c r="F123" s="944"/>
      <c r="G123" s="944"/>
      <c r="H123" s="991"/>
      <c r="I123" s="991"/>
      <c r="J123" s="991"/>
      <c r="K123" s="991"/>
      <c r="L123" s="991"/>
      <c r="M123" s="944"/>
      <c r="N123" s="990"/>
      <c r="O123" s="1057"/>
      <c r="P123" s="1057"/>
      <c r="Q123" s="1057"/>
      <c r="R123" s="1057"/>
      <c r="S123" s="944"/>
      <c r="T123" s="944"/>
      <c r="U123" s="944"/>
      <c r="V123" s="944"/>
      <c r="W123" s="944"/>
      <c r="X123" s="944"/>
      <c r="Y123" s="1100"/>
      <c r="Z123" s="947"/>
      <c r="AA123" s="950"/>
      <c r="AB123" s="947"/>
      <c r="AC123" s="947"/>
      <c r="AD123" s="947"/>
    </row>
    <row customHeight="1" ht="9">
      <c r="A124" s="946"/>
      <c r="B124" s="946"/>
      <c r="C124" s="944"/>
      <c r="D124" s="944"/>
      <c r="E124" s="944"/>
      <c r="F124" s="944"/>
      <c r="G124" s="944"/>
      <c r="H124" s="991"/>
      <c r="I124" s="991"/>
      <c r="J124" s="991"/>
      <c r="K124" s="991"/>
      <c r="L124" s="991"/>
      <c r="M124" s="944"/>
      <c r="N124" s="990"/>
      <c r="O124" s="1057"/>
      <c r="P124" s="1057"/>
      <c r="Q124" s="1057"/>
      <c r="R124" s="1057"/>
      <c r="S124" s="944"/>
      <c r="T124" s="944"/>
      <c r="U124" s="944"/>
      <c r="V124" s="944"/>
      <c r="W124" s="944"/>
      <c r="X124" s="944"/>
      <c r="Y124" s="1100"/>
      <c r="Z124" s="947"/>
      <c r="AA124" s="950"/>
      <c r="AB124" s="947"/>
      <c r="AC124" s="947"/>
      <c r="AD124" s="947"/>
    </row>
    <row customHeight="1" ht="9">
      <c r="A125" s="946"/>
      <c r="B125" s="946"/>
      <c r="C125" s="944"/>
      <c r="D125" s="944"/>
      <c r="E125" s="944"/>
      <c r="F125" s="944"/>
      <c r="G125" s="944"/>
      <c r="H125" s="991"/>
      <c r="I125" s="991"/>
      <c r="J125" s="991"/>
      <c r="K125" s="991"/>
      <c r="L125" s="991"/>
      <c r="M125" s="944"/>
      <c r="N125" s="990"/>
      <c r="O125" s="1057"/>
      <c r="P125" s="1057"/>
      <c r="Q125" s="1057"/>
      <c r="R125" s="1057"/>
      <c r="S125" s="944"/>
      <c r="T125" s="944"/>
      <c r="U125" s="944"/>
      <c r="V125" s="944"/>
      <c r="W125" s="944"/>
      <c r="X125" s="944"/>
      <c r="Y125" s="1100"/>
      <c r="Z125" s="947"/>
      <c r="AA125" s="950"/>
      <c r="AB125" s="947"/>
      <c r="AC125" s="947"/>
      <c r="AD125" s="947"/>
    </row>
    <row customHeight="1" ht="9">
      <c r="A126" s="946"/>
      <c r="B126" s="946"/>
      <c r="C126" s="944"/>
      <c r="D126" s="944"/>
      <c r="E126" s="944"/>
      <c r="F126" s="944"/>
      <c r="G126" s="944"/>
      <c r="H126" s="991"/>
      <c r="I126" s="991"/>
      <c r="J126" s="991"/>
      <c r="K126" s="991"/>
      <c r="L126" s="991"/>
      <c r="M126" s="944"/>
      <c r="N126" s="990"/>
      <c r="O126" s="1057"/>
      <c r="P126" s="1057"/>
      <c r="Q126" s="1057"/>
      <c r="R126" s="1057"/>
      <c r="S126" s="944"/>
      <c r="T126" s="944"/>
      <c r="U126" s="944"/>
      <c r="V126" s="944"/>
      <c r="W126" s="944"/>
      <c r="X126" s="944"/>
      <c r="Y126" s="1100"/>
      <c r="Z126" s="947"/>
      <c r="AA126" s="950"/>
      <c r="AB126" s="947"/>
      <c r="AC126" s="947"/>
      <c r="AD126" s="947"/>
    </row>
    <row customHeight="1" ht="9">
      <c r="A127" s="946"/>
      <c r="B127" s="946"/>
      <c r="C127" s="944"/>
      <c r="D127" s="944"/>
      <c r="E127" s="944"/>
      <c r="F127" s="944"/>
      <c r="G127" s="944"/>
      <c r="H127" s="991"/>
      <c r="I127" s="991"/>
      <c r="J127" s="991"/>
      <c r="K127" s="991"/>
      <c r="L127" s="991"/>
      <c r="M127" s="944"/>
      <c r="N127" s="990"/>
      <c r="O127" s="1057"/>
      <c r="P127" s="1057"/>
      <c r="Q127" s="1057"/>
      <c r="R127" s="1057"/>
      <c r="S127" s="944"/>
      <c r="T127" s="944"/>
      <c r="U127" s="944"/>
      <c r="V127" s="944"/>
      <c r="W127" s="944"/>
      <c r="X127" s="944"/>
      <c r="Y127" s="1100"/>
      <c r="Z127" s="947"/>
      <c r="AA127" s="950"/>
      <c r="AB127" s="947"/>
      <c r="AC127" s="947"/>
      <c r="AD127" s="947"/>
    </row>
    <row customHeight="1" ht="9">
      <c r="A128" s="946"/>
      <c r="B128" s="946"/>
      <c r="C128" s="944"/>
      <c r="D128" s="944"/>
      <c r="E128" s="944"/>
      <c r="F128" s="944"/>
      <c r="G128" s="944"/>
      <c r="H128" s="991"/>
      <c r="I128" s="991"/>
      <c r="J128" s="991"/>
      <c r="K128" s="991"/>
      <c r="L128" s="991"/>
      <c r="M128" s="944"/>
      <c r="N128" s="990"/>
      <c r="O128" s="1057"/>
      <c r="P128" s="1057"/>
      <c r="Q128" s="1057"/>
      <c r="R128" s="1057"/>
      <c r="S128" s="944"/>
      <c r="T128" s="944"/>
      <c r="U128" s="944"/>
      <c r="V128" s="944"/>
      <c r="W128" s="944"/>
      <c r="X128" s="944"/>
      <c r="Y128" s="1100"/>
      <c r="Z128" s="947"/>
      <c r="AA128" s="950"/>
      <c r="AB128" s="947"/>
      <c r="AC128" s="947"/>
      <c r="AD128" s="947"/>
    </row>
    <row customHeight="1" ht="9">
      <c r="A129" s="946"/>
      <c r="B129" s="946"/>
      <c r="C129" s="944"/>
      <c r="D129" s="944"/>
      <c r="E129" s="944"/>
      <c r="F129" s="944"/>
      <c r="G129" s="944"/>
      <c r="H129" s="991"/>
      <c r="I129" s="991"/>
      <c r="J129" s="991"/>
      <c r="K129" s="991"/>
      <c r="L129" s="991"/>
      <c r="M129" s="944"/>
      <c r="N129" s="990"/>
      <c r="O129" s="1057"/>
      <c r="P129" s="1057"/>
      <c r="Q129" s="1057"/>
      <c r="R129" s="1057"/>
      <c r="S129" s="944"/>
      <c r="T129" s="944"/>
      <c r="U129" s="944"/>
      <c r="V129" s="944"/>
      <c r="W129" s="944"/>
      <c r="X129" s="944"/>
      <c r="Y129" s="1100"/>
      <c r="Z129" s="947"/>
      <c r="AA129" s="950"/>
      <c r="AB129" s="947"/>
      <c r="AC129" s="947"/>
      <c r="AD129" s="947"/>
    </row>
    <row customHeight="1" ht="9">
      <c r="A130" s="946"/>
      <c r="B130" s="946"/>
      <c r="C130" s="944"/>
      <c r="D130" s="944"/>
      <c r="E130" s="944"/>
      <c r="F130" s="944"/>
      <c r="G130" s="944"/>
      <c r="H130" s="991"/>
      <c r="I130" s="991"/>
      <c r="J130" s="991"/>
      <c r="K130" s="991"/>
      <c r="L130" s="991"/>
      <c r="M130" s="944"/>
      <c r="N130" s="990"/>
      <c r="O130" s="1059"/>
      <c r="P130" s="1059"/>
      <c r="Q130" s="1059"/>
      <c r="R130" s="1059"/>
      <c r="S130" s="944"/>
      <c r="T130" s="944"/>
      <c r="U130" s="944"/>
      <c r="V130" s="944"/>
      <c r="W130" s="944"/>
      <c r="X130" s="944"/>
      <c r="Y130" s="1100"/>
      <c r="Z130" s="947"/>
      <c r="AA130" s="950"/>
      <c r="AB130" s="947"/>
      <c r="AC130" s="947"/>
      <c r="AD130" s="947"/>
    </row>
    <row customHeight="1" ht="9">
      <c r="A131" s="946"/>
      <c r="B131" s="946"/>
      <c r="C131" s="944"/>
      <c r="D131" s="944"/>
      <c r="E131" s="944"/>
      <c r="F131" s="944"/>
      <c r="G131" s="944"/>
      <c r="H131" s="991"/>
      <c r="I131" s="991"/>
      <c r="J131" s="991"/>
      <c r="K131" s="991"/>
      <c r="L131" s="991"/>
      <c r="M131" s="944"/>
      <c r="N131" s="990"/>
      <c r="O131" s="1060"/>
      <c r="P131" s="1060"/>
      <c r="Q131" s="1060"/>
      <c r="R131" s="1060"/>
      <c r="S131" s="944"/>
      <c r="T131" s="944"/>
      <c r="U131" s="944"/>
      <c r="V131" s="944"/>
      <c r="W131" s="944"/>
      <c r="X131" s="944"/>
      <c r="Y131" s="1100"/>
      <c r="Z131" s="947"/>
      <c r="AA131" s="950"/>
      <c r="AB131" s="947"/>
      <c r="AC131" s="947"/>
      <c r="AD131" s="947"/>
    </row>
    <row customHeight="1" ht="9">
      <c r="A132" s="946"/>
      <c r="B132" s="946"/>
      <c r="C132" s="944"/>
      <c r="D132" s="944"/>
      <c r="E132" s="944"/>
      <c r="F132" s="944"/>
      <c r="G132" s="944"/>
      <c r="H132" s="991"/>
      <c r="I132" s="991"/>
      <c r="J132" s="991"/>
      <c r="K132" s="991"/>
      <c r="L132" s="991"/>
      <c r="M132" s="944"/>
      <c r="N132" s="990"/>
      <c r="O132" s="1059"/>
      <c r="P132" s="1059"/>
      <c r="Q132" s="1059"/>
      <c r="R132" s="1059"/>
      <c r="S132" s="944"/>
      <c r="T132" s="944"/>
      <c r="U132" s="944"/>
      <c r="V132" s="944"/>
      <c r="W132" s="944"/>
      <c r="X132" s="944"/>
      <c r="Y132" s="1100"/>
      <c r="Z132" s="947"/>
      <c r="AA132" s="950"/>
      <c r="AB132" s="947"/>
      <c r="AC132" s="947"/>
      <c r="AD132" s="947"/>
    </row>
    <row customHeight="1" ht="9">
      <c r="A133" s="946"/>
      <c r="B133" s="946"/>
      <c r="C133" s="944"/>
      <c r="D133" s="944"/>
      <c r="E133" s="944"/>
      <c r="F133" s="944"/>
      <c r="G133" s="944"/>
      <c r="H133" s="991"/>
      <c r="I133" s="991"/>
      <c r="J133" s="991"/>
      <c r="K133" s="991"/>
      <c r="L133" s="991"/>
      <c r="M133" s="944"/>
      <c r="N133" s="990"/>
      <c r="O133" s="1060"/>
      <c r="P133" s="1060"/>
      <c r="Q133" s="1060"/>
      <c r="R133" s="1060"/>
      <c r="S133" s="944"/>
      <c r="T133" s="944"/>
      <c r="U133" s="944"/>
      <c r="V133" s="944"/>
      <c r="W133" s="944"/>
      <c r="X133" s="944"/>
      <c r="Y133" s="1100"/>
      <c r="Z133" s="947"/>
      <c r="AA133" s="950"/>
      <c r="AB133" s="947"/>
      <c r="AC133" s="947"/>
      <c r="AD133" s="947"/>
    </row>
    <row customHeight="1" ht="9">
      <c r="A134" s="946"/>
      <c r="B134" s="946"/>
      <c r="C134" s="944"/>
      <c r="D134" s="944"/>
      <c r="E134" s="944"/>
      <c r="F134" s="944"/>
      <c r="G134" s="944"/>
      <c r="H134" s="991"/>
      <c r="I134" s="991"/>
      <c r="J134" s="991"/>
      <c r="K134" s="991"/>
      <c r="L134" s="991"/>
      <c r="M134" s="944"/>
      <c r="N134" s="990"/>
      <c r="O134" s="1057"/>
      <c r="P134" s="1057"/>
      <c r="Q134" s="1057"/>
      <c r="R134" s="1057"/>
      <c r="S134" s="944"/>
      <c r="T134" s="944"/>
      <c r="U134" s="944"/>
      <c r="V134" s="944"/>
      <c r="W134" s="944"/>
      <c r="X134" s="944"/>
      <c r="Y134" s="1100"/>
      <c r="Z134" s="947"/>
      <c r="AA134" s="950"/>
      <c r="AB134" s="947"/>
      <c r="AC134" s="947"/>
      <c r="AD134" s="947"/>
    </row>
    <row customHeight="1" ht="9">
      <c r="A135" s="946"/>
      <c r="B135" s="946"/>
      <c r="C135" s="944"/>
      <c r="D135" s="944"/>
      <c r="E135" s="944"/>
      <c r="F135" s="944"/>
      <c r="G135" s="944"/>
      <c r="H135" s="991"/>
      <c r="I135" s="991"/>
      <c r="J135" s="991"/>
      <c r="K135" s="991"/>
      <c r="L135" s="991"/>
      <c r="M135" s="944"/>
      <c r="N135" s="990"/>
      <c r="O135" s="1057"/>
      <c r="P135" s="1057"/>
      <c r="Q135" s="1057"/>
      <c r="R135" s="1057"/>
      <c r="S135" s="944"/>
      <c r="T135" s="944"/>
      <c r="U135" s="944"/>
      <c r="V135" s="944"/>
      <c r="W135" s="944"/>
      <c r="X135" s="944"/>
      <c r="Y135" s="1100"/>
      <c r="Z135" s="947"/>
      <c r="AA135" s="950"/>
      <c r="AB135" s="947"/>
      <c r="AC135" s="947"/>
      <c r="AD135" s="947"/>
    </row>
    <row customHeight="1" ht="9">
      <c r="A136" s="946"/>
      <c r="B136" s="946"/>
      <c r="C136" s="944"/>
      <c r="D136" s="944"/>
      <c r="E136" s="944"/>
      <c r="F136" s="944"/>
      <c r="G136" s="944"/>
      <c r="H136" s="991"/>
      <c r="I136" s="991"/>
      <c r="J136" s="991"/>
      <c r="K136" s="991"/>
      <c r="L136" s="991"/>
      <c r="M136" s="944"/>
      <c r="N136" s="990"/>
      <c r="O136" s="1057"/>
      <c r="P136" s="1057"/>
      <c r="Q136" s="1057"/>
      <c r="R136" s="1057"/>
      <c r="S136" s="944"/>
      <c r="T136" s="944"/>
      <c r="U136" s="944"/>
      <c r="V136" s="944"/>
      <c r="W136" s="944"/>
      <c r="X136" s="944"/>
      <c r="Y136" s="1100"/>
      <c r="Z136" s="947"/>
      <c r="AA136" s="950"/>
      <c r="AB136" s="947"/>
      <c r="AC136" s="947"/>
      <c r="AD136" s="947"/>
    </row>
    <row customHeight="1" ht="9">
      <c r="A137" s="946"/>
      <c r="B137" s="946"/>
      <c r="C137" s="944"/>
      <c r="D137" s="944"/>
      <c r="E137" s="944"/>
      <c r="F137" s="944"/>
      <c r="G137" s="944"/>
      <c r="H137" s="991"/>
      <c r="I137" s="991"/>
      <c r="J137" s="991"/>
      <c r="K137" s="991"/>
      <c r="L137" s="991"/>
      <c r="M137" s="944"/>
      <c r="N137" s="990"/>
      <c r="O137" s="1061"/>
      <c r="P137" s="1061"/>
      <c r="Q137" s="1061"/>
      <c r="R137" s="1061"/>
      <c r="S137" s="944"/>
      <c r="T137" s="944"/>
      <c r="U137" s="944"/>
      <c r="V137" s="944"/>
      <c r="W137" s="944"/>
      <c r="X137" s="944"/>
      <c r="Y137" s="1100"/>
      <c r="Z137" s="947"/>
      <c r="AA137" s="950"/>
      <c r="AB137" s="947"/>
      <c r="AC137" s="947"/>
      <c r="AD137" s="947"/>
    </row>
    <row customHeight="1" ht="9">
      <c r="A138" s="946"/>
      <c r="B138" s="946"/>
      <c r="C138" s="944"/>
      <c r="D138" s="944"/>
      <c r="E138" s="944"/>
      <c r="F138" s="944"/>
      <c r="G138" s="944"/>
      <c r="H138" s="991"/>
      <c r="I138" s="991"/>
      <c r="J138" s="991"/>
      <c r="K138" s="991"/>
      <c r="L138" s="991"/>
      <c r="M138" s="944"/>
      <c r="N138" s="990"/>
      <c r="O138" s="1058"/>
      <c r="P138" s="1058"/>
      <c r="Q138" s="1058"/>
      <c r="R138" s="1058"/>
      <c r="S138" s="944"/>
      <c r="T138" s="944"/>
      <c r="U138" s="944"/>
      <c r="V138" s="944"/>
      <c r="W138" s="944"/>
      <c r="X138" s="944"/>
      <c r="Y138" s="1100"/>
      <c r="Z138" s="947"/>
      <c r="AA138" s="950"/>
      <c r="AB138" s="947"/>
      <c r="AC138" s="947"/>
      <c r="AD138" s="947"/>
    </row>
    <row customHeight="1" ht="9">
      <c r="A139" s="946"/>
      <c r="B139" s="946"/>
      <c r="C139" s="944"/>
      <c r="D139" s="944"/>
      <c r="E139" s="944"/>
      <c r="F139" s="944"/>
      <c r="G139" s="944"/>
      <c r="H139" s="991"/>
      <c r="I139" s="991"/>
      <c r="J139" s="991"/>
      <c r="K139" s="991"/>
      <c r="L139" s="991"/>
      <c r="M139" s="944"/>
      <c r="N139" s="990"/>
      <c r="O139" s="944"/>
      <c r="P139" s="944"/>
      <c r="Q139" s="944"/>
      <c r="R139" s="944"/>
      <c r="S139" s="944"/>
      <c r="T139" s="944"/>
      <c r="U139" s="944"/>
      <c r="V139" s="944"/>
      <c r="W139" s="944"/>
      <c r="X139" s="944"/>
      <c r="Y139" s="1100"/>
      <c r="Z139" s="947"/>
      <c r="AA139" s="950"/>
      <c r="AB139" s="947"/>
      <c r="AC139" s="947"/>
      <c r="AD139" s="947"/>
    </row>
    <row customHeight="1" ht="9">
      <c r="A140" s="946"/>
      <c r="B140" s="946"/>
      <c r="C140" s="944"/>
      <c r="D140" s="944"/>
      <c r="E140" s="944"/>
      <c r="F140" s="944"/>
      <c r="G140" s="944"/>
      <c r="H140" s="991"/>
      <c r="I140" s="991"/>
      <c r="J140" s="991"/>
      <c r="K140" s="991"/>
      <c r="L140" s="991"/>
      <c r="M140" s="944"/>
      <c r="N140" s="990"/>
      <c r="O140" s="944"/>
      <c r="P140" s="944"/>
      <c r="Q140" s="944"/>
      <c r="R140" s="944"/>
      <c r="S140" s="944"/>
      <c r="T140" s="944"/>
      <c r="U140" s="944"/>
      <c r="V140" s="944"/>
      <c r="W140" s="944"/>
      <c r="X140" s="944"/>
      <c r="Y140" s="1100"/>
      <c r="Z140" s="947"/>
      <c r="AA140" s="950"/>
      <c r="AB140" s="947"/>
      <c r="AC140" s="947"/>
      <c r="AD140" s="947"/>
    </row>
    <row customHeight="1" ht="9">
      <c r="A141" s="946"/>
      <c r="B141" s="946"/>
      <c r="C141" s="944"/>
      <c r="D141" s="944"/>
      <c r="E141" s="944"/>
      <c r="F141" s="944"/>
      <c r="G141" s="944"/>
      <c r="H141" s="991"/>
      <c r="I141" s="991"/>
      <c r="J141" s="991"/>
      <c r="K141" s="991"/>
      <c r="L141" s="991"/>
      <c r="M141" s="944"/>
      <c r="N141" s="990"/>
      <c r="O141" s="944"/>
      <c r="P141" s="944"/>
      <c r="Q141" s="944"/>
      <c r="R141" s="944"/>
      <c r="S141" s="944"/>
      <c r="T141" s="944"/>
      <c r="U141" s="944"/>
      <c r="V141" s="944"/>
      <c r="W141" s="944"/>
      <c r="X141" s="944"/>
      <c r="Y141" s="1100"/>
      <c r="Z141" s="947"/>
      <c r="AA141" s="950"/>
      <c r="AB141" s="947"/>
      <c r="AC141" s="947"/>
      <c r="AD141" s="947"/>
    </row>
    <row customHeight="1" ht="9">
      <c r="A142" s="946"/>
      <c r="B142" s="946"/>
      <c r="C142" s="944"/>
      <c r="D142" s="944"/>
      <c r="E142" s="944"/>
      <c r="F142" s="944"/>
      <c r="G142" s="944"/>
      <c r="H142" s="991"/>
      <c r="I142" s="991"/>
      <c r="J142" s="991"/>
      <c r="K142" s="991"/>
      <c r="L142" s="991"/>
      <c r="M142" s="944"/>
      <c r="N142" s="990"/>
      <c r="O142" s="944"/>
      <c r="P142" s="944"/>
      <c r="Q142" s="944"/>
      <c r="R142" s="944"/>
      <c r="S142" s="944"/>
      <c r="T142" s="944"/>
      <c r="U142" s="944"/>
      <c r="V142" s="944"/>
      <c r="W142" s="944"/>
      <c r="X142" s="944"/>
      <c r="Y142" s="1100"/>
      <c r="Z142" s="947"/>
      <c r="AA142" s="950"/>
      <c r="AB142" s="947"/>
      <c r="AC142" s="947"/>
      <c r="AD142" s="947"/>
    </row>
    <row customHeight="1" ht="9">
      <c r="A143" s="946"/>
      <c r="B143" s="946"/>
      <c r="C143" s="944"/>
      <c r="D143" s="944"/>
      <c r="E143" s="944"/>
      <c r="F143" s="944"/>
      <c r="G143" s="944"/>
      <c r="H143" s="991"/>
      <c r="I143" s="991"/>
      <c r="J143" s="991"/>
      <c r="K143" s="991"/>
      <c r="L143" s="991"/>
      <c r="M143" s="944"/>
      <c r="N143" s="990"/>
      <c r="O143" s="944"/>
      <c r="P143" s="944"/>
      <c r="Q143" s="944"/>
      <c r="R143" s="944"/>
      <c r="S143" s="944"/>
      <c r="T143" s="944"/>
      <c r="U143" s="944"/>
      <c r="V143" s="944"/>
      <c r="W143" s="944"/>
      <c r="X143" s="944"/>
      <c r="Y143" s="1100"/>
      <c r="Z143" s="947"/>
      <c r="AA143" s="950"/>
      <c r="AB143" s="947"/>
      <c r="AC143" s="947"/>
      <c r="AD143" s="947"/>
    </row>
    <row customHeight="1" ht="9">
      <c r="A144" s="946"/>
      <c r="B144" s="946"/>
      <c r="C144" s="944"/>
      <c r="D144" s="944"/>
      <c r="E144" s="944"/>
      <c r="F144" s="944"/>
      <c r="G144" s="944"/>
      <c r="H144" s="991"/>
      <c r="I144" s="991"/>
      <c r="J144" s="991"/>
      <c r="K144" s="991"/>
      <c r="L144" s="991"/>
      <c r="M144" s="944"/>
      <c r="N144" s="990"/>
      <c r="O144" s="944"/>
      <c r="P144" s="944"/>
      <c r="Q144" s="944"/>
      <c r="R144" s="944"/>
      <c r="S144" s="944"/>
      <c r="T144" s="944"/>
      <c r="U144" s="944"/>
      <c r="V144" s="944"/>
      <c r="W144" s="944"/>
      <c r="X144" s="944"/>
      <c r="Y144" s="1100"/>
      <c r="Z144" s="947"/>
      <c r="AA144" s="950"/>
      <c r="AB144" s="947"/>
      <c r="AC144" s="947"/>
      <c r="AD144" s="947"/>
    </row>
    <row customHeight="1" ht="9">
      <c r="A145" s="946"/>
      <c r="B145" s="946"/>
      <c r="C145" s="944"/>
      <c r="D145" s="944"/>
      <c r="E145" s="944"/>
      <c r="F145" s="944"/>
      <c r="G145" s="944"/>
      <c r="H145" s="991"/>
      <c r="I145" s="991"/>
      <c r="J145" s="991"/>
      <c r="K145" s="991"/>
      <c r="L145" s="991"/>
      <c r="M145" s="944"/>
      <c r="N145" s="990"/>
      <c r="O145" s="944"/>
      <c r="P145" s="944"/>
      <c r="Q145" s="944"/>
      <c r="R145" s="944"/>
      <c r="S145" s="944"/>
      <c r="T145" s="944"/>
      <c r="U145" s="944"/>
      <c r="V145" s="944"/>
      <c r="W145" s="944"/>
      <c r="X145" s="944"/>
      <c r="Y145" s="1100"/>
      <c r="Z145" s="947"/>
      <c r="AA145" s="950"/>
      <c r="AB145" s="947"/>
      <c r="AC145" s="947"/>
      <c r="AD145" s="947"/>
    </row>
    <row customHeight="1" ht="9">
      <c r="A146" s="946"/>
      <c r="B146" s="946"/>
      <c r="C146" s="944"/>
      <c r="D146" s="944"/>
      <c r="E146" s="944"/>
      <c r="F146" s="944"/>
      <c r="G146" s="944"/>
      <c r="H146" s="991"/>
      <c r="I146" s="991"/>
      <c r="J146" s="991"/>
      <c r="K146" s="991"/>
      <c r="L146" s="991"/>
      <c r="M146" s="944"/>
      <c r="N146" s="990"/>
      <c r="O146" s="944"/>
      <c r="P146" s="944"/>
      <c r="Q146" s="944"/>
      <c r="R146" s="944"/>
      <c r="S146" s="944"/>
      <c r="T146" s="944"/>
      <c r="U146" s="944"/>
      <c r="V146" s="944"/>
      <c r="W146" s="944"/>
      <c r="X146" s="944"/>
      <c r="Y146" s="1100"/>
      <c r="Z146" s="947"/>
      <c r="AA146" s="950"/>
      <c r="AB146" s="947"/>
      <c r="AC146" s="947"/>
      <c r="AD146" s="947"/>
    </row>
    <row customHeight="1" ht="9">
      <c r="A147" s="946"/>
      <c r="B147" s="946"/>
      <c r="C147" s="946"/>
      <c r="D147" s="946"/>
      <c r="E147" s="946"/>
      <c r="F147" s="946"/>
      <c r="G147" s="946"/>
      <c r="H147" s="946"/>
      <c r="I147" s="946"/>
      <c r="J147" s="946"/>
      <c r="K147" s="946"/>
      <c r="L147" s="946"/>
      <c r="M147" s="946"/>
      <c r="N147" s="946"/>
      <c r="O147" s="946"/>
      <c r="P147" s="946"/>
      <c r="Q147" s="946"/>
      <c r="R147" s="946"/>
      <c r="S147" s="946"/>
      <c r="T147" s="946"/>
      <c r="U147" s="946"/>
      <c r="V147" s="946"/>
      <c r="W147" s="946"/>
      <c r="X147" s="946"/>
      <c r="Y147" s="946"/>
      <c r="Z147" s="946"/>
      <c r="AA147" s="946"/>
      <c r="AB147" s="946"/>
      <c r="AC147" s="946"/>
      <c r="AD147" s="946"/>
    </row>
    <row customHeight="1" ht="90">
      <c r="A148" s="946" t="s">
        <v>1904</v>
      </c>
      <c r="B148" s="946"/>
      <c r="C148" s="944" t="s">
        <v>2456</v>
      </c>
      <c r="D148" s="944" t="s">
        <v>1254</v>
      </c>
      <c r="E148" s="944" t="s">
        <v>1300</v>
      </c>
      <c r="F148" s="944" t="s">
        <v>2457</v>
      </c>
      <c r="G148" s="944"/>
      <c r="H148" s="944"/>
      <c r="I148" s="1063"/>
      <c r="J148" s="1063"/>
      <c r="K148" s="1063"/>
      <c r="L148" s="1063"/>
      <c r="M148" s="9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49"/>
      <c r="O148" s="944"/>
      <c r="P148" s="945"/>
      <c r="Q148" s="945"/>
      <c r="R148" s="945"/>
      <c r="S148" s="944"/>
      <c r="T148" s="944" t="s">
        <v>2458</v>
      </c>
      <c r="U148" s="9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45"/>
      <c r="W148" s="945"/>
      <c r="X148" s="944" t="s">
        <v>2459</v>
      </c>
      <c r="Y148" s="1100"/>
      <c r="Z148" s="947"/>
      <c r="AA148" s="950"/>
      <c r="AB148" s="947"/>
      <c r="AC148" s="947"/>
      <c r="AD148" s="947"/>
    </row>
    <row customHeight="1" ht="9">
      <c r="A149" s="946"/>
      <c r="B149" s="946"/>
      <c r="C149" s="946"/>
      <c r="D149" s="946"/>
      <c r="E149" s="946"/>
      <c r="F149" s="946"/>
      <c r="G149" s="946"/>
      <c r="H149" s="946"/>
      <c r="I149" s="946"/>
      <c r="J149" s="946"/>
      <c r="K149" s="946"/>
      <c r="L149" s="946"/>
      <c r="M149" s="946"/>
      <c r="N149" s="946"/>
      <c r="O149" s="946"/>
      <c r="P149" s="946"/>
      <c r="Q149" s="946"/>
      <c r="R149" s="946"/>
      <c r="S149" s="946"/>
      <c r="T149" s="946"/>
      <c r="U149" s="946"/>
      <c r="V149" s="946"/>
      <c r="W149" s="946"/>
      <c r="X149" s="946"/>
      <c r="Y149" s="946"/>
      <c r="Z149" s="946"/>
      <c r="AA149" s="946"/>
      <c r="AB149" s="946"/>
      <c r="AC149" s="946"/>
      <c r="AD149" s="946"/>
    </row>
    <row customHeight="1" ht="9">
      <c r="A150" s="946" t="s">
        <v>1907</v>
      </c>
      <c r="B150" s="946"/>
      <c r="C150" s="944"/>
      <c r="D150" s="944"/>
      <c r="E150" s="944"/>
      <c r="F150" s="944"/>
      <c r="G150" s="944"/>
      <c r="H150" s="944"/>
      <c r="I150" s="944"/>
      <c r="J150" s="944"/>
      <c r="K150" s="944"/>
      <c r="L150" s="944"/>
      <c r="M150" s="944"/>
      <c r="N150" s="944"/>
      <c r="O150" s="944"/>
      <c r="P150" s="944"/>
      <c r="Q150" s="944"/>
      <c r="R150" s="944"/>
      <c r="S150" s="944"/>
      <c r="T150" s="944"/>
      <c r="U150" s="944"/>
      <c r="V150" s="944"/>
      <c r="W150" s="944"/>
      <c r="X150" s="944"/>
      <c r="Y150" s="1100"/>
      <c r="Z150" s="947"/>
      <c r="AA150" s="950"/>
      <c r="AB150" s="947"/>
      <c r="AC150" s="947"/>
      <c r="AD150" s="947"/>
    </row>
    <row customHeight="1" ht="9">
      <c r="A151" s="946"/>
      <c r="B151" s="946"/>
      <c r="C151" s="946"/>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row>
    <row customHeight="1" ht="9">
      <c r="A152" s="946" t="s">
        <v>1909</v>
      </c>
      <c r="B152" s="946"/>
      <c r="C152" s="944"/>
      <c r="D152" s="944"/>
      <c r="E152" s="944"/>
      <c r="F152" s="944"/>
      <c r="G152" s="944"/>
      <c r="H152" s="944"/>
      <c r="I152" s="944"/>
      <c r="J152" s="944"/>
      <c r="K152" s="944"/>
      <c r="L152" s="944"/>
      <c r="M152" s="944"/>
      <c r="N152" s="944"/>
      <c r="O152" s="944"/>
      <c r="P152" s="944"/>
      <c r="Q152" s="944"/>
      <c r="R152" s="944"/>
      <c r="S152" s="944"/>
      <c r="T152" s="944"/>
      <c r="U152" s="944"/>
      <c r="V152" s="944"/>
      <c r="W152" s="944"/>
      <c r="X152" s="944"/>
      <c r="Y152" s="1100"/>
      <c r="Z152" s="947"/>
      <c r="AA152" s="950"/>
      <c r="AB152" s="947"/>
      <c r="AC152" s="947"/>
      <c r="AD152" s="947"/>
    </row>
    <row customHeight="1" ht="9">
      <c r="A153" s="946"/>
      <c r="B153" s="946"/>
      <c r="C153" s="946"/>
      <c r="D153" s="946"/>
      <c r="E153" s="946"/>
      <c r="F153" s="946"/>
      <c r="G153" s="946"/>
      <c r="H153" s="946"/>
      <c r="I153" s="946"/>
      <c r="J153" s="946"/>
      <c r="K153" s="946"/>
      <c r="L153" s="946"/>
      <c r="M153" s="946"/>
      <c r="N153" s="946"/>
      <c r="O153" s="946"/>
      <c r="P153" s="946"/>
      <c r="Q153" s="946"/>
      <c r="R153" s="946"/>
      <c r="S153" s="946"/>
      <c r="T153" s="946"/>
      <c r="U153" s="946"/>
      <c r="V153" s="946"/>
      <c r="W153" s="946"/>
      <c r="X153" s="946"/>
      <c r="Y153" s="946"/>
      <c r="Z153" s="946"/>
      <c r="AA153" s="946"/>
      <c r="AB153" s="946"/>
      <c r="AC153" s="946"/>
      <c r="AD153" s="946"/>
    </row>
    <row customHeight="1" ht="9">
      <c r="A154" s="946" t="s">
        <v>1914</v>
      </c>
      <c r="B154" s="946"/>
      <c r="C154" s="944"/>
      <c r="D154" s="944"/>
      <c r="E154" s="944"/>
      <c r="F154" s="944"/>
      <c r="G154" s="944"/>
      <c r="H154" s="944"/>
      <c r="I154" s="944"/>
      <c r="J154" s="944"/>
      <c r="K154" s="944"/>
      <c r="L154" s="944"/>
      <c r="M154" s="944"/>
      <c r="N154" s="944"/>
      <c r="O154" s="944"/>
      <c r="P154" s="944"/>
      <c r="Q154" s="944"/>
      <c r="R154" s="944"/>
      <c r="S154" s="944"/>
      <c r="T154" s="944"/>
      <c r="U154" s="944"/>
      <c r="V154" s="944"/>
      <c r="W154" s="944"/>
      <c r="X154" s="944"/>
      <c r="Y154" s="1100"/>
      <c r="Z154" s="947"/>
      <c r="AA154" s="950"/>
      <c r="AB154" s="947"/>
      <c r="AC154" s="947"/>
      <c r="AD154" s="947"/>
    </row>
  </sheetData>
  <sheetProtection autoFilter="0" sort="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8D318-744F-38FD-82C8-9F4FFD6014E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306" width="10.57421875" hidden="1"/>
    <col min="2" max="2" style="10306" width="11.00390625" hidden="1" customWidth="1"/>
    <col min="3" max="3" style="10306" width="10.57421875" hidden="1"/>
    <col min="4" max="4" style="10306" width="11.8515625" hidden="1" customWidth="1"/>
    <col min="5" max="5" style="10306" width="12.28125" hidden="1" customWidth="1"/>
    <col min="6" max="8" style="11080" width="12.28125" hidden="1" customWidth="1"/>
    <col min="9" max="9" style="11081" width="3.00390625" customWidth="1"/>
    <col min="10" max="11" style="11082" width="3.00390625" customWidth="1"/>
    <col min="12" max="12" style="11083" width="12.00390625" customWidth="1"/>
    <col min="13" max="13" style="10232" width="31.00390625" customWidth="1"/>
    <col min="14" max="14" style="10232" width="1.00390625" customWidth="1"/>
    <col min="15" max="18" style="10232" width="24.00390625" customWidth="1"/>
    <col min="19" max="19" style="10232" width="11.00390625" customWidth="1"/>
    <col min="20" max="20" style="10232" width="3.7109375" customWidth="1"/>
    <col min="21" max="21" style="10232" width="11.00390625" customWidth="1"/>
    <col min="22" max="22" style="10232" width="8.57421875" customWidth="1"/>
    <col min="23" max="23" style="10232" width="4.00390625" customWidth="1"/>
    <col min="24" max="24" style="10232" width="115.00390625" customWidth="1"/>
    <col min="25" max="29" style="10307" width="10.00390625" customWidth="1"/>
    <col min="30" max="30" style="10232" width="10.57421875" hidden="1"/>
  </cols>
  <sheetData>
    <row customHeight="1" ht="22.5" hidden="1">
      <c r="R1" s="435"/>
      <c r="S1" s="435"/>
      <c r="AD1" s="1251" t="s">
        <v>14</v>
      </c>
    </row>
    <row customHeight="1" ht="14.25" hidden="1">
      <c r="V2" s="435"/>
      <c r="AD2" s="1251">
        <v>0</v>
      </c>
    </row>
    <row customHeight="1" ht="14.25" hidden="1">
      <c r="AD3" s="1251">
        <v>0</v>
      </c>
    </row>
    <row customHeight="1" ht="14.699999999999998">
      <c r="J4" s="483"/>
      <c r="K4" s="483"/>
      <c r="L4" s="1371"/>
      <c r="M4" s="470"/>
      <c r="N4" s="470"/>
      <c r="O4" s="616"/>
      <c r="P4" s="616"/>
      <c r="Q4" s="616"/>
      <c r="R4" s="616"/>
      <c r="S4" s="616"/>
      <c r="T4" s="616"/>
      <c r="U4" s="616"/>
      <c r="V4" s="616"/>
      <c r="AD4" s="1251">
        <v>14</v>
      </c>
    </row>
    <row customHeight="1" ht="67.2">
      <c r="J5" s="483"/>
      <c r="K5" s="483"/>
      <c r="L5" s="3390" t="s">
        <v>2460</v>
      </c>
      <c r="M5" s="3390"/>
      <c r="N5" s="3390"/>
      <c r="O5" s="3390"/>
      <c r="P5" s="3390"/>
      <c r="Q5" s="3390"/>
      <c r="R5" s="3390"/>
      <c r="S5" s="3390"/>
      <c r="T5" s="3390"/>
      <c r="U5" s="3390"/>
      <c r="V5" s="1339"/>
      <c r="AD5" s="1251">
        <v>64</v>
      </c>
    </row>
    <row customHeight="1" ht="14.699999999999998">
      <c r="J6" s="483"/>
      <c r="K6" s="483"/>
      <c r="L6" s="3391" t="str">
        <f>IF(org=0,"Не определено",org)</f>
        <v>АО "ДГК"</v>
      </c>
      <c r="M6" s="3391"/>
      <c r="N6" s="3391"/>
      <c r="O6" s="3391"/>
      <c r="P6" s="3391"/>
      <c r="Q6" s="3391"/>
      <c r="R6" s="3391"/>
      <c r="S6" s="3391"/>
      <c r="T6" s="3391"/>
      <c r="U6" s="3391"/>
      <c r="V6" s="1339"/>
      <c r="AD6" s="1251">
        <v>14</v>
      </c>
    </row>
    <row customHeight="1" ht="14.699999999999998">
      <c r="J7" s="483"/>
      <c r="K7" s="483"/>
      <c r="L7" s="1371"/>
      <c r="M7" s="470"/>
      <c r="N7" s="470"/>
      <c r="O7" s="430"/>
      <c r="P7" s="430"/>
      <c r="Q7" s="430"/>
      <c r="R7" s="430"/>
      <c r="S7" s="430"/>
      <c r="T7" s="430"/>
      <c r="U7" s="430"/>
      <c r="V7" s="430"/>
      <c r="W7" s="616"/>
      <c r="AD7" s="1251">
        <v>14</v>
      </c>
    </row>
    <row s="10446" customFormat="1" customHeight="1" ht="48.29999999999999">
      <c r="A8" s="1464"/>
      <c r="B8" s="1464"/>
      <c r="C8" s="1464"/>
      <c r="D8" s="1464"/>
      <c r="E8" s="1464"/>
      <c r="F8" s="1464"/>
      <c r="G8" s="1464"/>
      <c r="H8" s="1464"/>
      <c r="L8" s="1372"/>
      <c r="M8" s="403" t="s">
        <v>41</v>
      </c>
      <c r="N8" s="412"/>
      <c r="O8" s="3108" t="str">
        <f>IF(TITLE_NAME_OR_PR_CHANGE="",IF(TITLE_NAME_OR_PR="","",TITLE_NAME_OR_PR),TITLE_NAME_OR_PR_CHANGE)</f>
        <v/>
      </c>
      <c r="P8" s="3108"/>
      <c r="Q8" s="3108"/>
      <c r="R8" s="3108"/>
      <c r="S8" s="3108"/>
      <c r="T8" s="3108"/>
      <c r="U8" s="3108"/>
      <c r="V8" s="434"/>
      <c r="W8" s="434"/>
      <c r="X8" s="388"/>
      <c r="Y8" s="475"/>
      <c r="Z8" s="475"/>
      <c r="AA8" s="475"/>
      <c r="AB8" s="475"/>
      <c r="AC8" s="475"/>
      <c r="AD8" s="525">
        <v>46</v>
      </c>
    </row>
    <row s="10446" customFormat="1" customHeight="1" ht="24">
      <c r="A9" s="1464"/>
      <c r="B9" s="1464"/>
      <c r="C9" s="1464"/>
      <c r="D9" s="1464"/>
      <c r="E9" s="1464"/>
      <c r="F9" s="1464"/>
      <c r="G9" s="1464"/>
      <c r="H9" s="1464"/>
      <c r="L9" s="1372"/>
      <c r="M9" s="403" t="s">
        <v>508</v>
      </c>
      <c r="N9" s="412"/>
      <c r="O9" s="3108" t="str">
        <f>IF(TITLE_DATE_CHANGE_PERIOD="",IF(TITLE_DATE_PR="","",TITLE_DATE_PR),TITLE_DATE_CHANGE_PERIOD)</f>
        <v/>
      </c>
      <c r="P9" s="3108"/>
      <c r="Q9" s="3108"/>
      <c r="R9" s="3108"/>
      <c r="S9" s="3108"/>
      <c r="T9" s="3108"/>
      <c r="U9" s="3108"/>
      <c r="V9" s="434"/>
      <c r="W9" s="434"/>
      <c r="X9" s="388"/>
      <c r="Y9" s="475"/>
      <c r="Z9" s="475"/>
      <c r="AA9" s="475"/>
      <c r="AB9" s="475"/>
      <c r="AC9" s="475"/>
      <c r="AD9" s="525">
        <v>23</v>
      </c>
    </row>
    <row s="10446" customFormat="1" customHeight="1" ht="24">
      <c r="A10" s="1464"/>
      <c r="B10" s="1464"/>
      <c r="C10" s="1464"/>
      <c r="D10" s="1464"/>
      <c r="E10" s="1464"/>
      <c r="F10" s="1464"/>
      <c r="G10" s="1464"/>
      <c r="H10" s="1464"/>
      <c r="L10" s="1346"/>
      <c r="M10" s="403" t="s">
        <v>509</v>
      </c>
      <c r="N10" s="412"/>
      <c r="O10" s="3108" t="str">
        <f>IF(TITLE_NUMBER_PR_CHANGE="",IF(TITLE_NUMBER_PR="","",TITLE_NUMBER_PR),TITLE_NUMBER_PR_CHANGE)</f>
        <v/>
      </c>
      <c r="P10" s="3108"/>
      <c r="Q10" s="3108"/>
      <c r="R10" s="3108"/>
      <c r="S10" s="3108"/>
      <c r="T10" s="3108"/>
      <c r="U10" s="3108"/>
      <c r="V10" s="434"/>
      <c r="W10" s="434"/>
      <c r="X10" s="388"/>
      <c r="Y10" s="475"/>
      <c r="Z10" s="475"/>
      <c r="AA10" s="475"/>
      <c r="AB10" s="475"/>
      <c r="AC10" s="475"/>
      <c r="AD10" s="525">
        <v>23</v>
      </c>
    </row>
    <row s="10446" customFormat="1" customHeight="1" ht="24">
      <c r="A11" s="1464"/>
      <c r="B11" s="1464"/>
      <c r="C11" s="1464"/>
      <c r="D11" s="1464"/>
      <c r="E11" s="1464"/>
      <c r="F11" s="1464"/>
      <c r="G11" s="1464"/>
      <c r="H11" s="1464"/>
      <c r="L11" s="1346"/>
      <c r="M11" s="403" t="s">
        <v>42</v>
      </c>
      <c r="N11" s="412"/>
      <c r="O11" s="3108" t="str">
        <f>IF(TITLE_IST_PUB_CHANGE="",IF(TITLE_IST_PUB="","",TITLE_IST_PUB),TITLE_IST_PUB_CHANGE)</f>
        <v/>
      </c>
      <c r="P11" s="3108"/>
      <c r="Q11" s="3108"/>
      <c r="R11" s="3108"/>
      <c r="S11" s="3108"/>
      <c r="T11" s="3108"/>
      <c r="U11" s="3108"/>
      <c r="V11" s="434"/>
      <c r="W11" s="434"/>
      <c r="X11" s="388"/>
      <c r="Y11" s="475"/>
      <c r="Z11" s="475"/>
      <c r="AA11" s="475"/>
      <c r="AB11" s="475"/>
      <c r="AC11" s="475"/>
      <c r="AD11" s="525">
        <v>23</v>
      </c>
    </row>
    <row s="10446" customFormat="1" customHeight="1" ht="11.25" hidden="1">
      <c r="A12" s="1464"/>
      <c r="B12" s="1464"/>
      <c r="C12" s="1464"/>
      <c r="D12" s="1464"/>
      <c r="E12" s="1464"/>
      <c r="F12" s="1464"/>
      <c r="G12" s="1464"/>
      <c r="H12" s="1464"/>
      <c r="L12" s="3389"/>
      <c r="M12" s="3389"/>
      <c r="N12" s="1383"/>
      <c r="O12" s="434"/>
      <c r="P12" s="434"/>
      <c r="Q12" s="434"/>
      <c r="R12" s="434"/>
      <c r="S12" s="434"/>
      <c r="T12" s="434"/>
      <c r="U12" s="434"/>
      <c r="V12" s="386" t="s">
        <v>512</v>
      </c>
      <c r="Y12" s="475"/>
      <c r="Z12" s="475"/>
      <c r="AA12" s="475"/>
      <c r="AB12" s="475"/>
      <c r="AC12" s="475"/>
      <c r="AD12" s="525">
        <v>0</v>
      </c>
    </row>
    <row customHeight="1" ht="14.699999999999998">
      <c r="J13" s="483"/>
      <c r="K13" s="483"/>
      <c r="L13" s="1371"/>
      <c r="M13" s="470"/>
      <c r="N13" s="1340"/>
      <c r="O13" s="3127"/>
      <c r="P13" s="3127"/>
      <c r="Q13" s="3127"/>
      <c r="R13" s="3127"/>
      <c r="S13" s="3127"/>
      <c r="T13" s="3127"/>
      <c r="U13" s="3127"/>
      <c r="V13" s="3127"/>
      <c r="AD13" s="1251">
        <v>14</v>
      </c>
    </row>
    <row customHeight="1" ht="14.699999999999998">
      <c r="J14" s="483"/>
      <c r="K14" s="483"/>
      <c r="L14" s="2978" t="s">
        <v>385</v>
      </c>
      <c r="M14" s="2978"/>
      <c r="N14" s="2978"/>
      <c r="O14" s="2978"/>
      <c r="P14" s="2978"/>
      <c r="Q14" s="2978"/>
      <c r="R14" s="2978"/>
      <c r="S14" s="2978"/>
      <c r="T14" s="2978"/>
      <c r="U14" s="2978"/>
      <c r="V14" s="2978"/>
      <c r="W14" s="2978"/>
      <c r="X14" s="2978" t="s">
        <v>386</v>
      </c>
      <c r="AD14" s="1251">
        <v>14</v>
      </c>
    </row>
    <row customHeight="1" ht="14.699999999999998">
      <c r="J15" s="483"/>
      <c r="K15" s="483"/>
      <c r="L15" s="3128" t="s">
        <v>88</v>
      </c>
      <c r="M15" s="3077" t="s">
        <v>513</v>
      </c>
      <c r="N15" s="409"/>
      <c r="O15" s="3129" t="s">
        <v>2461</v>
      </c>
      <c r="P15" s="3130"/>
      <c r="Q15" s="3130"/>
      <c r="R15" s="3130"/>
      <c r="S15" s="3130"/>
      <c r="T15" s="3130"/>
      <c r="U15" s="3131"/>
      <c r="V15" s="3132" t="s">
        <v>515</v>
      </c>
      <c r="W15" s="3135" t="s">
        <v>1440</v>
      </c>
      <c r="X15" s="2978"/>
      <c r="AD15" s="1251">
        <v>14</v>
      </c>
    </row>
    <row customHeight="1" ht="35.699999999999996">
      <c r="J16" s="483"/>
      <c r="K16" s="483"/>
      <c r="L16" s="3128"/>
      <c r="M16" s="3077"/>
      <c r="N16" s="1131"/>
      <c r="O16" s="3047" t="s">
        <v>518</v>
      </c>
      <c r="P16" s="3047" t="s">
        <v>519</v>
      </c>
      <c r="Q16" s="2959" t="s">
        <v>520</v>
      </c>
      <c r="R16" s="2958"/>
      <c r="S16" s="2959" t="s">
        <v>534</v>
      </c>
      <c r="T16" s="2965"/>
      <c r="U16" s="2958"/>
      <c r="V16" s="3133"/>
      <c r="W16" s="3136"/>
      <c r="X16" s="2978"/>
      <c r="AD16" s="1251">
        <v>34</v>
      </c>
    </row>
    <row customHeight="1" ht="35.699999999999996">
      <c r="A17" s="1466" t="s">
        <v>221</v>
      </c>
      <c r="B17" s="1466" t="s">
        <v>222</v>
      </c>
      <c r="C17" s="1466" t="s">
        <v>223</v>
      </c>
      <c r="D17" s="1466" t="s">
        <v>224</v>
      </c>
      <c r="E17" s="1466"/>
      <c r="J17" s="483"/>
      <c r="K17" s="483"/>
      <c r="L17" s="3128"/>
      <c r="M17" s="3077"/>
      <c r="N17" s="410"/>
      <c r="O17" s="3101"/>
      <c r="P17" s="3101"/>
      <c r="Q17" s="1318" t="s">
        <v>529</v>
      </c>
      <c r="R17" s="1318" t="s">
        <v>530</v>
      </c>
      <c r="S17" s="1388" t="s">
        <v>531</v>
      </c>
      <c r="T17" s="3082" t="s">
        <v>532</v>
      </c>
      <c r="U17" s="3095"/>
      <c r="V17" s="3134"/>
      <c r="W17" s="3137"/>
      <c r="X17" s="2978"/>
      <c r="AD17" s="1251">
        <v>34</v>
      </c>
    </row>
    <row s="10851" customFormat="1" customHeight="1" ht="11.549999999999999">
      <c r="A18" s="1466"/>
      <c r="B18" s="1466"/>
      <c r="C18" s="1466"/>
      <c r="D18" s="1466"/>
      <c r="E18" s="1466"/>
      <c r="F18" s="1458"/>
      <c r="G18" s="1458"/>
      <c r="H18" s="1458"/>
      <c r="I18" s="1342"/>
      <c r="J18" s="1343"/>
      <c r="K18" s="1350">
        <v>1</v>
      </c>
      <c r="L18" s="1373" t="s">
        <v>144</v>
      </c>
      <c r="M18" s="1351" t="s">
        <v>102</v>
      </c>
      <c r="N18" s="1341" t="str">
        <f>OFFSET(N18,0,-1)</f>
        <v>2</v>
      </c>
      <c r="O18" s="1385">
        <f>OFFSET(O18,0,-1)+1</f>
        <v>3</v>
      </c>
      <c r="P18" s="1385"/>
      <c r="Q18" s="1385">
        <f>OFFSET(Q18,0,-1)+1</f>
        <v>1</v>
      </c>
      <c r="R18" s="1385">
        <f>OFFSET(R18,0,-1)+1</f>
        <v>2</v>
      </c>
      <c r="S18" s="1385">
        <f>OFFSET(S18,0,-1)+1</f>
        <v>3</v>
      </c>
      <c r="T18" s="3126">
        <f>OFFSET(T18,0,-1)+1</f>
        <v>4</v>
      </c>
      <c r="U18" s="3126"/>
      <c r="V18" s="1385">
        <f>OFFSET(V18,0,-2)+1</f>
        <v>5</v>
      </c>
      <c r="W18" s="1341">
        <f>OFFSET(W18,0,-1)</f>
        <v>5</v>
      </c>
      <c r="X18" s="1385">
        <f>OFFSET(X18,0,-1)+1</f>
        <v>6</v>
      </c>
      <c r="Y18" s="618"/>
      <c r="Z18" s="618"/>
      <c r="AA18" s="618"/>
      <c r="AB18" s="618"/>
      <c r="AC18" s="618"/>
      <c r="AD18" s="603">
        <v>11</v>
      </c>
    </row>
    <row customHeight="1" ht="21">
      <c r="A19" s="1459" t="s">
        <v>255</v>
      </c>
      <c r="B19" s="1459" t="s">
        <v>256</v>
      </c>
      <c r="C19" s="1459" t="s">
        <v>257</v>
      </c>
      <c r="D19" s="1459" t="s">
        <v>258</v>
      </c>
      <c r="E19" s="1459"/>
      <c r="F19" s="1461"/>
      <c r="G19" s="1461"/>
      <c r="H19" s="1461"/>
      <c r="I19" s="468"/>
      <c r="J19" s="467"/>
      <c r="K19" s="462"/>
      <c r="L19" s="1389">
        <f>INDEX(PT_DIFFERENTIATION_NUM_NTAR,MATCH(A19,PT_DIFFERENTIATION_NTAR_ID,0))</f>
        <v>0</v>
      </c>
      <c r="M19" s="406" t="s">
        <v>210</v>
      </c>
      <c r="N19" s="408"/>
      <c r="O19" s="3388" t="str">
        <f>INDEX(PT_DIFFERENTIATION_NTAR,MATCH(A19,PT_DIFFERENTIATION_NTAR_ID,0))</f>
        <v/>
      </c>
      <c r="P19" s="3388"/>
      <c r="Q19" s="3388"/>
      <c r="R19" s="3388"/>
      <c r="S19" s="3388"/>
      <c r="T19" s="3388"/>
      <c r="U19" s="3388"/>
      <c r="V19" s="3388"/>
      <c r="W19" s="3388"/>
      <c r="X19" s="1354" t="s">
        <v>481</v>
      </c>
      <c r="Z19" s="607"/>
      <c r="AA19" s="607" t="str">
        <f>IF(M19="","",M19)</f>
        <v>Наименование тарифа</v>
      </c>
      <c r="AB19" s="607"/>
      <c r="AC19" s="607"/>
      <c r="AD19" s="1251">
        <v>20</v>
      </c>
    </row>
    <row customHeight="1" ht="21">
      <c r="A20" s="1459" t="s">
        <v>255</v>
      </c>
      <c r="B20" s="1459" t="s">
        <v>256</v>
      </c>
      <c r="C20" s="1459" t="s">
        <v>257</v>
      </c>
      <c r="D20" s="1459" t="s">
        <v>258</v>
      </c>
      <c r="E20" s="1459"/>
      <c r="F20" s="1461"/>
      <c r="G20" s="1461"/>
      <c r="H20" s="1461"/>
      <c r="I20" s="1386"/>
      <c r="J20" s="459"/>
      <c r="K20" s="460"/>
      <c r="L20" s="1389" t="str">
        <f>INDEX(PT_DIFFERENTIATION_NUM_TER,MATCH(B19,PT_DIFFERENTIATION_TER_ID,0))</f>
        <v>.</v>
      </c>
      <c r="M20" s="416" t="s">
        <v>482</v>
      </c>
      <c r="N20" s="408"/>
      <c r="O20" s="3388" t="str">
        <f>INDEX(PT_DIFFERENTIATION_TER,MATCH(B19,PT_DIFFERENTIATION_TER_ID,0))</f>
        <v/>
      </c>
      <c r="P20" s="3388"/>
      <c r="Q20" s="3388"/>
      <c r="R20" s="3388"/>
      <c r="S20" s="3388"/>
      <c r="T20" s="3388"/>
      <c r="U20" s="3388"/>
      <c r="V20" s="3388"/>
      <c r="W20" s="3388"/>
      <c r="X20" s="1354" t="s">
        <v>483</v>
      </c>
      <c r="Z20" s="607"/>
      <c r="AA20" s="607" t="str">
        <f>IF(M20="","",M20)</f>
        <v>Территория действия тарифа</v>
      </c>
      <c r="AB20" s="607"/>
      <c r="AC20" s="607"/>
      <c r="AD20" s="1251">
        <v>20</v>
      </c>
    </row>
    <row customHeight="1" ht="24">
      <c r="A21" s="1459" t="s">
        <v>255</v>
      </c>
      <c r="B21" s="1459" t="s">
        <v>256</v>
      </c>
      <c r="C21" s="1459" t="s">
        <v>257</v>
      </c>
      <c r="D21" s="1459" t="s">
        <v>258</v>
      </c>
      <c r="E21" s="1459"/>
      <c r="F21" s="1461"/>
      <c r="G21" s="1461"/>
      <c r="H21" s="1461"/>
      <c r="I21" s="461"/>
      <c r="J21" s="459"/>
      <c r="K21" s="460"/>
      <c r="L21" s="1389" t="str">
        <f>INDEX(PT_DIFFERENTIATION_NUM_CS,MATCH(C19,PT_DIFFERENTIATION_CS_ID,0))</f>
        <v>..</v>
      </c>
      <c r="M21" s="417" t="s">
        <v>484</v>
      </c>
      <c r="N21" s="408"/>
      <c r="O21" s="3388" t="str">
        <f>INDEX(PT_DIFFERENTIATION_CS,MATCH(C19,PT_DIFFERENTIATION_CS_ID,0))</f>
        <v/>
      </c>
      <c r="P21" s="3388"/>
      <c r="Q21" s="3388"/>
      <c r="R21" s="3388"/>
      <c r="S21" s="3388"/>
      <c r="T21" s="3388"/>
      <c r="U21" s="3388"/>
      <c r="V21" s="3388"/>
      <c r="W21" s="3388"/>
      <c r="X21" s="1354" t="s">
        <v>485</v>
      </c>
      <c r="Z21" s="607"/>
      <c r="AA21" s="607" t="str">
        <f>IF(M21="","",M21)</f>
        <v>Наименование системы теплоснабжения </v>
      </c>
      <c r="AB21" s="607"/>
      <c r="AC21" s="607"/>
      <c r="AD21" s="1251">
        <v>23</v>
      </c>
    </row>
    <row customHeight="1" ht="21">
      <c r="A22" s="1459" t="s">
        <v>255</v>
      </c>
      <c r="B22" s="1459" t="s">
        <v>256</v>
      </c>
      <c r="C22" s="1459" t="s">
        <v>257</v>
      </c>
      <c r="D22" s="1459" t="s">
        <v>258</v>
      </c>
      <c r="E22" s="1459"/>
      <c r="F22" s="1461"/>
      <c r="G22" s="1461"/>
      <c r="H22" s="1461"/>
      <c r="I22" s="461"/>
      <c r="J22" s="459"/>
      <c r="K22" s="460"/>
      <c r="L22" s="1389" t="str">
        <f>INDEX(PT_DIFFERENTIATION_NUM_IST_TE,MATCH(D19,PT_DIFFERENTIATION_IST_TE_ID,0))</f>
        <v>...</v>
      </c>
      <c r="M22" s="418" t="s">
        <v>486</v>
      </c>
      <c r="N22" s="408"/>
      <c r="O22" s="3388" t="str">
        <f>INDEX(PT_DIFFERENTIATION_IST_TE,MATCH(D19,PT_DIFFERENTIATION_IST_TE_ID,0))</f>
        <v/>
      </c>
      <c r="P22" s="3388"/>
      <c r="Q22" s="3388"/>
      <c r="R22" s="3388"/>
      <c r="S22" s="3388"/>
      <c r="T22" s="3388"/>
      <c r="U22" s="3388"/>
      <c r="V22" s="3388"/>
      <c r="W22" s="3388"/>
      <c r="X22" s="1354" t="s">
        <v>487</v>
      </c>
      <c r="Z22" s="607"/>
      <c r="AA22" s="607" t="str">
        <f>IF(M22="","",M22)</f>
        <v>Источник тепловой энергии  </v>
      </c>
      <c r="AB22" s="607"/>
      <c r="AC22" s="607"/>
      <c r="AD22" s="1251">
        <v>20</v>
      </c>
    </row>
    <row customHeight="1" ht="96.75">
      <c r="A23" s="1459" t="s">
        <v>255</v>
      </c>
      <c r="B23" s="1459" t="s">
        <v>256</v>
      </c>
      <c r="C23" s="1459" t="s">
        <v>257</v>
      </c>
      <c r="D23" s="1459" t="s">
        <v>258</v>
      </c>
      <c r="E23" s="1459"/>
      <c r="F23" s="2963" t="str">
        <f>L22&amp;".1"</f>
        <v>....1</v>
      </c>
      <c r="I23" s="3119">
        <v>1</v>
      </c>
      <c r="J23" s="1387"/>
      <c r="K23" s="463"/>
      <c r="L23" s="1389" t="str">
        <f>$F$23</f>
        <v>....1</v>
      </c>
      <c r="M23" s="393" t="s">
        <v>489</v>
      </c>
      <c r="N23" s="408"/>
      <c r="O23" s="3149"/>
      <c r="P23" s="3149"/>
      <c r="Q23" s="3149"/>
      <c r="R23" s="3149"/>
      <c r="S23" s="3149"/>
      <c r="T23" s="3149"/>
      <c r="U23" s="3149"/>
      <c r="V23" s="3149"/>
      <c r="W23" s="3149"/>
      <c r="X23" s="1354" t="s">
        <v>490</v>
      </c>
      <c r="Z23" s="607"/>
      <c r="AA23" s="607" t="str">
        <f>IF(M23="","",M23)</f>
        <v>Схема подключения теплопотребляющей установки к коллектору источника тепловой энергии</v>
      </c>
      <c r="AB23" s="607"/>
      <c r="AC23" s="607"/>
      <c r="AD23" s="1251">
        <v>92</v>
      </c>
    </row>
    <row customHeight="1" ht="86.25">
      <c r="A24" s="1459" t="s">
        <v>255</v>
      </c>
      <c r="B24" s="1459" t="s">
        <v>256</v>
      </c>
      <c r="C24" s="1459" t="s">
        <v>257</v>
      </c>
      <c r="D24" s="1459" t="s">
        <v>258</v>
      </c>
      <c r="E24" s="1459"/>
      <c r="F24" s="2963"/>
      <c r="G24" s="2963" t="str">
        <f>F23&amp;".1"</f>
        <v>....1.1</v>
      </c>
      <c r="I24" s="3119"/>
      <c r="J24" s="3119">
        <v>1</v>
      </c>
      <c r="K24" s="464"/>
      <c r="L24" s="1389" t="str">
        <f>$G$24</f>
        <v>....1.1</v>
      </c>
      <c r="M24" s="394" t="s">
        <v>492</v>
      </c>
      <c r="N24" s="408"/>
      <c r="O24" s="3103"/>
      <c r="P24" s="3104"/>
      <c r="Q24" s="3104"/>
      <c r="R24" s="3104"/>
      <c r="S24" s="3104"/>
      <c r="T24" s="3104"/>
      <c r="U24" s="3104"/>
      <c r="V24" s="3104"/>
      <c r="W24" s="3105"/>
      <c r="X24" s="1354" t="s">
        <v>493</v>
      </c>
      <c r="Z24" s="607"/>
      <c r="AA24" s="607" t="str">
        <f>IF(M24="","",M24)</f>
        <v>Группа потребителей</v>
      </c>
      <c r="AB24" s="607"/>
      <c r="AC24" s="607"/>
      <c r="AD24" s="1251">
        <v>82</v>
      </c>
    </row>
    <row customHeight="1" ht="11.549999999999999">
      <c r="A25" s="1459" t="s">
        <v>255</v>
      </c>
      <c r="B25" s="1459" t="s">
        <v>256</v>
      </c>
      <c r="C25" s="1459" t="s">
        <v>257</v>
      </c>
      <c r="D25" s="1459" t="s">
        <v>258</v>
      </c>
      <c r="E25" s="1459"/>
      <c r="F25" s="2963"/>
      <c r="G25" s="2963"/>
      <c r="H25" s="2963" t="str">
        <f>G24&amp;".1"</f>
        <v>....1.1.1</v>
      </c>
      <c r="I25" s="3119"/>
      <c r="J25" s="3119"/>
      <c r="K25" s="464">
        <v>1</v>
      </c>
      <c r="L25" s="1389" t="str">
        <f>$H$25</f>
        <v>....1.1.1</v>
      </c>
      <c r="M25" s="1443"/>
      <c r="N25" s="408"/>
      <c r="O25" s="858"/>
      <c r="P25" s="433"/>
      <c r="Q25" s="858"/>
      <c r="R25" s="1353"/>
      <c r="S25" s="3120"/>
      <c r="T25" s="2989" t="s">
        <v>62</v>
      </c>
      <c r="U25" s="3120"/>
      <c r="V25" s="2989" t="s">
        <v>19</v>
      </c>
      <c r="W25" s="433"/>
      <c r="X25" s="3138" t="s">
        <v>495</v>
      </c>
      <c r="Y25" s="618">
        <f>STRCHECKDATE(O26:W26)</f>
      </c>
      <c r="Z25" s="607"/>
      <c r="AA25" s="607" t="str">
        <f>IF(M25="","",M25)</f>
        <v/>
      </c>
      <c r="AB25" s="607"/>
      <c r="AC25" s="607"/>
      <c r="AD25" s="1251">
        <v>11</v>
      </c>
    </row>
    <row customHeight="1" ht="11.549999999999999">
      <c r="A26" s="1459" t="s">
        <v>255</v>
      </c>
      <c r="B26" s="1459" t="s">
        <v>256</v>
      </c>
      <c r="C26" s="1459" t="s">
        <v>257</v>
      </c>
      <c r="D26" s="1459" t="s">
        <v>258</v>
      </c>
      <c r="E26" s="1459"/>
      <c r="F26" s="2963"/>
      <c r="G26" s="2963"/>
      <c r="H26" s="2963"/>
      <c r="I26" s="3119"/>
      <c r="J26" s="3119"/>
      <c r="K26" s="464"/>
      <c r="L26" s="1390"/>
      <c r="M26" s="408"/>
      <c r="N26" s="408"/>
      <c r="O26" s="433"/>
      <c r="P26" s="433"/>
      <c r="Q26" s="433"/>
      <c r="R26" s="436" t="str">
        <f>S25&amp;"-"&amp;U25</f>
        <v>-</v>
      </c>
      <c r="S26" s="3121"/>
      <c r="T26" s="2989"/>
      <c r="U26" s="3121"/>
      <c r="V26" s="2989"/>
      <c r="W26" s="433"/>
      <c r="X26" s="3139"/>
      <c r="Z26" s="607"/>
      <c r="AA26" s="607" t="str">
        <f>IF(M26="","",M26)</f>
        <v/>
      </c>
      <c r="AB26" s="607"/>
      <c r="AC26" s="607"/>
      <c r="AD26" s="1251">
        <v>11</v>
      </c>
    </row>
    <row customHeight="1" ht="15.75">
      <c r="A27" s="1459" t="s">
        <v>255</v>
      </c>
      <c r="B27" s="1459" t="s">
        <v>256</v>
      </c>
      <c r="C27" s="1459" t="s">
        <v>257</v>
      </c>
      <c r="D27" s="1459" t="s">
        <v>258</v>
      </c>
      <c r="E27" s="1459"/>
      <c r="F27" s="2963"/>
      <c r="G27" s="2963"/>
      <c r="I27" s="3119"/>
      <c r="J27" s="3119"/>
      <c r="K27" s="463"/>
      <c r="L27" s="1374"/>
      <c r="M27" s="396" t="s">
        <v>496</v>
      </c>
      <c r="N27" s="474"/>
      <c r="O27" s="474"/>
      <c r="P27" s="474"/>
      <c r="Q27" s="474"/>
      <c r="R27" s="474"/>
      <c r="S27" s="474"/>
      <c r="T27" s="474"/>
      <c r="U27" s="474"/>
      <c r="V27" s="474"/>
      <c r="W27" s="432"/>
      <c r="X27" s="3140"/>
      <c r="Z27" s="607"/>
      <c r="AA27" s="607" t="str">
        <f>IF(M27="","",M27)</f>
        <v>Добавить вид теплоносителя (параметры теплоносителя)</v>
      </c>
      <c r="AB27" s="607"/>
      <c r="AC27" s="607"/>
      <c r="AD27" s="1251">
        <v>15</v>
      </c>
    </row>
    <row customHeight="1" ht="15.75">
      <c r="A28" s="1459" t="s">
        <v>255</v>
      </c>
      <c r="B28" s="1459" t="s">
        <v>256</v>
      </c>
      <c r="C28" s="1459" t="s">
        <v>257</v>
      </c>
      <c r="D28" s="1459" t="s">
        <v>258</v>
      </c>
      <c r="E28" s="1459"/>
      <c r="F28" s="2963"/>
      <c r="I28" s="3119"/>
      <c r="J28" s="1387"/>
      <c r="K28" s="463"/>
      <c r="L28" s="1374"/>
      <c r="M28" s="395" t="s">
        <v>497</v>
      </c>
      <c r="N28" s="474"/>
      <c r="O28" s="474"/>
      <c r="P28" s="474"/>
      <c r="Q28" s="474"/>
      <c r="R28" s="474"/>
      <c r="S28" s="474"/>
      <c r="T28" s="474"/>
      <c r="U28" s="474"/>
      <c r="V28" s="473"/>
      <c r="W28" s="474"/>
      <c r="X28" s="411"/>
      <c r="Z28" s="607"/>
      <c r="AA28" s="607" t="str">
        <f>IF(M28="","",M28)</f>
        <v>Добавить группу потребителей</v>
      </c>
      <c r="AB28" s="607"/>
      <c r="AC28" s="607"/>
      <c r="AD28" s="1251">
        <v>15</v>
      </c>
    </row>
    <row customHeight="1" ht="14.699999999999998">
      <c r="A29" s="1459" t="s">
        <v>255</v>
      </c>
      <c r="B29" s="1459" t="s">
        <v>256</v>
      </c>
      <c r="C29" s="1459" t="s">
        <v>257</v>
      </c>
      <c r="D29" s="1459" t="s">
        <v>258</v>
      </c>
      <c r="E29" s="1459"/>
      <c r="F29" s="1461"/>
      <c r="G29" s="1461"/>
      <c r="H29" s="644"/>
      <c r="I29" s="467"/>
      <c r="J29" s="482"/>
      <c r="K29" s="462"/>
      <c r="L29" s="1374"/>
      <c r="M29" s="472" t="s">
        <v>498</v>
      </c>
      <c r="N29" s="474"/>
      <c r="O29" s="474"/>
      <c r="P29" s="474"/>
      <c r="Q29" s="474"/>
      <c r="R29" s="474"/>
      <c r="S29" s="474"/>
      <c r="T29" s="474"/>
      <c r="U29" s="474"/>
      <c r="V29" s="473"/>
      <c r="W29" s="474"/>
      <c r="X29" s="411"/>
      <c r="Z29" s="607"/>
      <c r="AA29" s="607" t="str">
        <f>IF(M29="","",M29)</f>
        <v>Добавить схему подключения</v>
      </c>
      <c r="AB29" s="607"/>
      <c r="AC29" s="607"/>
      <c r="AD29" s="1251">
        <v>14</v>
      </c>
    </row>
    <row customHeight="1" ht="14.699999999999998">
      <c r="A30" s="1459" t="s">
        <v>255</v>
      </c>
      <c r="B30" s="1459" t="s">
        <v>256</v>
      </c>
      <c r="C30" s="1459" t="s">
        <v>257</v>
      </c>
      <c r="D30" s="1459"/>
      <c r="E30" s="1459" t="s">
        <v>682</v>
      </c>
      <c r="F30" s="1461"/>
      <c r="G30" s="1461"/>
      <c r="H30" s="644"/>
      <c r="I30" s="467"/>
      <c r="J30" s="482"/>
      <c r="K30" s="462"/>
      <c r="L30" s="1375"/>
      <c r="M30" s="1364"/>
      <c r="N30" s="1365"/>
      <c r="O30" s="1365"/>
      <c r="P30" s="1365"/>
      <c r="Q30" s="1365"/>
      <c r="R30" s="1365"/>
      <c r="S30" s="1365"/>
      <c r="T30" s="1365"/>
      <c r="U30" s="1365"/>
      <c r="V30" s="1366"/>
      <c r="W30" s="1365"/>
      <c r="X30" s="1367"/>
      <c r="Z30" s="607"/>
      <c r="AA30" s="607" t="str">
        <f>IF(M30="","",M30)</f>
        <v/>
      </c>
      <c r="AB30" s="607"/>
      <c r="AC30" s="607"/>
      <c r="AD30" s="1251">
        <v>14</v>
      </c>
    </row>
    <row customHeight="1" ht="14.699999999999998">
      <c r="A31" s="1459" t="s">
        <v>255</v>
      </c>
      <c r="B31" s="1459" t="s">
        <v>256</v>
      </c>
      <c r="C31" s="1459"/>
      <c r="D31" s="1459"/>
      <c r="E31" s="1459" t="s">
        <v>2462</v>
      </c>
      <c r="F31" s="1613"/>
      <c r="G31" s="1613"/>
      <c r="H31" s="644"/>
      <c r="I31" s="465"/>
      <c r="J31" s="482"/>
      <c r="K31" s="466"/>
      <c r="L31" s="1375"/>
      <c r="M31" s="1368"/>
      <c r="N31" s="1365"/>
      <c r="O31" s="1365"/>
      <c r="P31" s="1365"/>
      <c r="Q31" s="1365"/>
      <c r="R31" s="1365"/>
      <c r="S31" s="1365"/>
      <c r="T31" s="1365"/>
      <c r="U31" s="1365"/>
      <c r="V31" s="1366"/>
      <c r="W31" s="1365"/>
      <c r="X31" s="1367"/>
      <c r="Z31" s="607"/>
      <c r="AA31" s="607" t="str">
        <f>IF(M31="","",M31)</f>
        <v/>
      </c>
      <c r="AB31" s="607"/>
      <c r="AC31" s="607"/>
      <c r="AD31" s="1251">
        <v>14</v>
      </c>
    </row>
    <row customHeight="1" ht="14.699999999999998">
      <c r="A32" s="1459" t="s">
        <v>2463</v>
      </c>
      <c r="B32" s="1459"/>
      <c r="C32" s="1459"/>
      <c r="D32" s="1459"/>
      <c r="E32" s="1459" t="s">
        <v>139</v>
      </c>
      <c r="F32" s="1613"/>
      <c r="G32" s="1613"/>
      <c r="H32" s="644"/>
      <c r="I32" s="467"/>
      <c r="J32" s="482"/>
      <c r="K32" s="462"/>
      <c r="L32" s="1375"/>
      <c r="M32" s="1369"/>
      <c r="N32" s="1365"/>
      <c r="O32" s="1365"/>
      <c r="P32" s="1365"/>
      <c r="Q32" s="1365"/>
      <c r="R32" s="1365"/>
      <c r="S32" s="1365"/>
      <c r="T32" s="1365"/>
      <c r="U32" s="1365"/>
      <c r="V32" s="1366"/>
      <c r="W32" s="1365"/>
      <c r="X32" s="1367"/>
      <c r="Z32" s="607"/>
      <c r="AA32" s="607" t="str">
        <f>IF(M32="","",M32)</f>
        <v/>
      </c>
      <c r="AB32" s="607"/>
      <c r="AC32" s="607"/>
      <c r="AD32" s="1251">
        <v>14</v>
      </c>
    </row>
    <row s="10365" customFormat="1" customHeight="1" ht="11.549999999999999">
      <c r="A33" s="1459"/>
      <c r="B33" s="1459"/>
      <c r="C33" s="1459"/>
      <c r="D33" s="1459"/>
      <c r="E33" s="1459" t="s">
        <v>533</v>
      </c>
      <c r="F33" s="1614"/>
      <c r="G33" s="1615"/>
      <c r="H33" s="644"/>
      <c r="L33" s="1376"/>
      <c r="M33" s="1370"/>
      <c r="N33" s="1365"/>
      <c r="O33" s="1365"/>
      <c r="P33" s="1365"/>
      <c r="Q33" s="1365"/>
      <c r="R33" s="1365"/>
      <c r="S33" s="1365"/>
      <c r="T33" s="1365"/>
      <c r="U33" s="1365"/>
      <c r="V33" s="1366"/>
      <c r="W33" s="1365"/>
      <c r="X33" s="1367"/>
      <c r="Y33" s="486"/>
      <c r="Z33" s="486"/>
      <c r="AA33" s="486"/>
      <c r="AB33" s="486"/>
      <c r="AC33" s="486"/>
      <c r="AD33" s="480">
        <v>11</v>
      </c>
    </row>
    <row customHeight="1" ht="11.549999999999999">
      <c r="F34" s="1256"/>
      <c r="G34" s="1256"/>
      <c r="H34" s="644"/>
      <c r="I34" s="1251"/>
      <c r="J34" s="1251"/>
      <c r="K34" s="1251"/>
      <c r="Y34" s="1251"/>
      <c r="Z34" s="1251"/>
      <c r="AA34" s="1251"/>
      <c r="AB34" s="1251"/>
      <c r="AC34" s="1251"/>
      <c r="AD34" s="1251">
        <v>11</v>
      </c>
    </row>
    <row customHeight="1" ht="28.5">
      <c r="H35" s="644"/>
      <c r="L35" s="1384" t="s">
        <v>962</v>
      </c>
      <c r="M35" s="3114" t="s">
        <v>2464</v>
      </c>
      <c r="N35" s="3114"/>
      <c r="O35" s="3114"/>
      <c r="P35" s="3114"/>
      <c r="Q35" s="3114"/>
      <c r="R35" s="3114"/>
      <c r="S35" s="3114"/>
      <c r="T35" s="3114"/>
      <c r="U35" s="3114"/>
      <c r="V35" s="3114"/>
      <c r="W35" s="3114"/>
      <c r="X35" s="3114"/>
      <c r="AD35" s="1251">
        <v>27</v>
      </c>
    </row>
    <row customHeight="1" ht="109.19999999999999">
      <c r="H36" s="644"/>
      <c r="I36" s="1399"/>
      <c r="M36" s="3114" t="s">
        <v>2465</v>
      </c>
      <c r="N36" s="3114"/>
      <c r="O36" s="3114"/>
      <c r="P36" s="3114"/>
      <c r="Q36" s="3114"/>
      <c r="R36" s="3114"/>
      <c r="S36" s="3114"/>
      <c r="T36" s="3114"/>
      <c r="U36" s="3114"/>
      <c r="V36" s="3114"/>
      <c r="W36" s="3114"/>
      <c r="X36" s="3114"/>
      <c r="AD36" s="1251">
        <v>104</v>
      </c>
    </row>
    <row customHeight="1" ht="14.699999999999998">
      <c r="H37" s="644"/>
      <c r="AD37" s="1251">
        <v>14</v>
      </c>
    </row>
    <row customHeight="1" ht="14.699999999999998">
      <c r="H38" s="644"/>
      <c r="AD38" s="1251">
        <v>14</v>
      </c>
    </row>
    <row customHeight="1" ht="14.699999999999998">
      <c r="H39" s="644"/>
      <c r="AD39" s="1251">
        <v>14</v>
      </c>
    </row>
    <row customHeight="1" ht="14.699999999999998">
      <c r="H40" s="644"/>
      <c r="AD40" s="1251">
        <v>14</v>
      </c>
    </row>
    <row customHeight="1" ht="22.5" hidden="1">
      <c r="A41" s="1256" t="s">
        <v>82</v>
      </c>
      <c r="B41" s="1256">
        <v>0</v>
      </c>
      <c r="C41" s="1256">
        <v>0</v>
      </c>
      <c r="D41" s="1256">
        <v>0</v>
      </c>
      <c r="E41" s="1256">
        <v>0</v>
      </c>
      <c r="F41" s="1458">
        <v>0</v>
      </c>
      <c r="G41" s="1458">
        <v>0</v>
      </c>
      <c r="H41" s="1458">
        <v>0</v>
      </c>
      <c r="I41" s="1382">
        <v>3</v>
      </c>
      <c r="J41" s="452">
        <v>3</v>
      </c>
      <c r="K41" s="452">
        <v>3</v>
      </c>
      <c r="L41" s="688">
        <v>12</v>
      </c>
      <c r="M41" s="1251">
        <v>31</v>
      </c>
      <c r="N41" s="1251">
        <v>1</v>
      </c>
      <c r="O41" s="1251">
        <v>24</v>
      </c>
      <c r="P41" s="1251">
        <v>24</v>
      </c>
      <c r="Q41" s="1251">
        <v>24</v>
      </c>
      <c r="R41" s="1251">
        <v>24</v>
      </c>
      <c r="S41" s="1251">
        <v>11</v>
      </c>
      <c r="T41" s="1251">
        <v>3</v>
      </c>
      <c r="U41" s="1251">
        <v>11</v>
      </c>
      <c r="V41" s="1251">
        <v>8</v>
      </c>
      <c r="W41" s="1251">
        <v>4</v>
      </c>
      <c r="X41" s="1251">
        <v>115</v>
      </c>
      <c r="Y41" s="618">
        <v>10</v>
      </c>
      <c r="Z41" s="618">
        <v>10</v>
      </c>
      <c r="AA41" s="618">
        <v>10</v>
      </c>
      <c r="AB41" s="618">
        <v>10</v>
      </c>
      <c r="AC41" s="618">
        <v>10</v>
      </c>
      <c r="AD41" s="1251">
        <v>23</v>
      </c>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83016-4BB8-1D51-FEF3-ADDC143F2E14}" mc:Ignorable="x14ac xr xr2 xr3">
  <sheetPr>
    <tabColor rgb="FFFFCC99"/>
  </sheetPr>
  <dimension ref="A1:A1"/>
  <sheetViews>
    <sheetView topLeftCell="A1" showGridLines="0" workbookViewId="0">
      <selection activeCell="A1" sqref="A1"/>
    </sheetView>
  </sheetViews>
  <sheetFormatPr customHeight="1" defaultRowHeight="11.25"/>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D0B95-902F-F724-F2BF-0B968C841761}" mc:Ignorable="x14ac xr xr2 xr3">
  <sheetPr>
    <tabColor rgb="FFFFCC99"/>
  </sheetPr>
  <dimension ref="A1:A1"/>
  <sheetViews>
    <sheetView topLeftCell="A1" showGridLines="0" workbookViewId="0">
      <selection activeCell="A1" sqref="A1"/>
    </sheetView>
  </sheetViews>
  <sheetFormatPr customHeight="1" defaultRowHeight="11.25"/>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5E115-AABF-89C2-8BD2-2A2D6E5E7C52}" mc:Ignorable="x14ac xr xr2 xr3">
  <sheetPr>
    <tabColor rgb="FFFFCC99"/>
  </sheetPr>
  <dimension ref="A1:A1"/>
  <sheetViews>
    <sheetView topLeftCell="A1" showGridLines="0" workbookViewId="0">
      <selection activeCell="A1" sqref="A1"/>
    </sheetView>
  </sheetViews>
  <sheetFormatPr customHeight="1" defaultRowHeight="11.25"/>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EC1A8-3115-B8FB-1EDE-D26D6BDC14B6}" mc:Ignorable="x14ac xr xr2 xr3">
  <sheetPr>
    <tabColor rgb="FFFFCC99"/>
  </sheetPr>
  <dimension ref="A1:A1"/>
  <sheetViews>
    <sheetView topLeftCell="A1" showGridLines="0" workbookViewId="0">
      <selection activeCell="A1" sqref="A1"/>
    </sheetView>
  </sheetViews>
  <sheetFormatPr customHeight="1" defaultRowHeight="11.25"/>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9618A-58E1-6B21-59A8-8C56F114DBCB}" mc:Ignorable="x14ac xr xr2 xr3">
  <sheetPr>
    <tabColor rgb="FFFFCC99"/>
  </sheetPr>
  <dimension ref="A1:A1"/>
  <sheetViews>
    <sheetView topLeftCell="A1" showGridLines="0" workbookViewId="0">
      <selection activeCell="A1" sqref="A1"/>
    </sheetView>
  </sheetViews>
  <sheetFormatPr customHeight="1" defaultRowHeight="11.25"/>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E36DA-3246-D7C6-4809-B624C7259232}" mc:Ignorable="x14ac xr xr2 xr3">
  <sheetPr>
    <tabColor rgb="FFFFCC99"/>
  </sheetPr>
  <dimension ref="A1:A1"/>
  <sheetViews>
    <sheetView topLeftCell="A1" showGridLines="0" workbookViewId="0">
      <selection activeCell="A1" sqref="A1"/>
    </sheetView>
  </sheetViews>
  <sheetFormatPr customHeight="1" defaultRowHeight="11.25"/>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2EA9E-5F82-44F2-BEDE-3A5C89B722F5}" mc:Ignorable="x14ac xr xr2 xr3">
  <sheetPr>
    <tabColor rgb="FFFFCC99"/>
  </sheetPr>
  <dimension ref="A1:A1"/>
  <sheetViews>
    <sheetView topLeftCell="A1" showGridLines="0" workbookViewId="0">
      <selection activeCell="A1" sqref="A1"/>
    </sheetView>
  </sheetViews>
  <sheetFormatPr customHeight="1" defaultRowHeight="11.25"/>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50DB4-B03D-BDAD-382D-D26B89BBDBF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7"/>
    </row>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C115A-C7FA-ADFF-087A-6A8C230B3F67}" mc:Ignorable="x14ac xr xr2 xr3">
  <dimension ref="A1:E8"/>
  <sheetViews>
    <sheetView topLeftCell="A1" showGridLines="0" workbookViewId="0">
      <selection activeCell="A1" sqref="A1"/>
    </sheetView>
  </sheetViews>
  <sheetFormatPr customHeight="1" defaultRowHeight="11.25"/>
  <cols>
    <col min="1" max="1" style="13547" width="10.57421875" customWidth="1"/>
    <col min="2" max="2" style="13547" width="8.7109375" customWidth="1"/>
    <col min="3" max="3" style="13547" width="18.140625" customWidth="1"/>
    <col min="4" max="4" style="13547" width="12.57421875" customWidth="1"/>
  </cols>
  <sheetData>
    <row customHeight="1" ht="11.25">
      <c r="A1" s="2201" t="s">
        <v>2466</v>
      </c>
      <c r="B1" s="2202" t="s">
        <v>2467</v>
      </c>
      <c r="C1" s="3392" t="s">
        <v>2468</v>
      </c>
      <c r="D1" s="3393"/>
      <c r="E1" s="937" t="s">
        <v>2469</v>
      </c>
    </row>
    <row customHeight="1" ht="11.25">
      <c r="A2" s="2203"/>
      <c r="B2" s="870" t="s">
        <v>27</v>
      </c>
      <c r="C2" s="860"/>
      <c r="D2" s="869"/>
      <c r="E2" s="937"/>
    </row>
    <row customHeight="1" ht="11.25">
      <c r="A3" s="2204"/>
      <c r="B3" s="2205" t="s">
        <v>33</v>
      </c>
      <c r="C3" s="860"/>
      <c r="D3" s="869"/>
      <c r="E3" s="937"/>
    </row>
    <row customHeight="1" ht="11.25">
      <c r="A4" s="2206"/>
      <c r="B4" s="871" t="s">
        <v>1904</v>
      </c>
      <c r="C4" s="860"/>
      <c r="D4" s="869"/>
      <c r="E4" s="937"/>
    </row>
    <row customHeight="1" ht="11.25">
      <c r="A5" s="2207"/>
      <c r="B5" s="871" t="s">
        <v>1900</v>
      </c>
      <c r="C5" s="2208" t="s">
        <v>2236</v>
      </c>
      <c r="D5" s="2209" t="s">
        <v>2470</v>
      </c>
      <c r="E5" s="937"/>
    </row>
    <row s="10365" customFormat="1" customHeight="1" ht="11.25">
      <c r="A6" s="2210"/>
      <c r="B6" s="871" t="s">
        <v>1907</v>
      </c>
      <c r="C6" s="860"/>
      <c r="D6" s="869"/>
      <c r="E6" s="937"/>
    </row>
    <row customHeight="1" ht="11.25">
      <c r="A7" s="2211"/>
      <c r="B7" s="871" t="s">
        <v>1914</v>
      </c>
      <c r="C7" s="860"/>
      <c r="D7" s="869"/>
      <c r="E7" s="937"/>
    </row>
    <row customHeight="1" ht="11.25">
      <c r="A8" s="862"/>
      <c r="B8" s="871" t="s">
        <v>1909</v>
      </c>
      <c r="C8" s="860"/>
      <c r="D8" s="869"/>
      <c r="E8" s="9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98EE2-8E28-6EF4-C35F-E0DF9AF7ED03}" mc:Ignorable="x14ac xr xr2 xr3">
  <sheetPr>
    <tabColor rgb="FFFFCC99"/>
  </sheetPr>
  <dimension ref="A1:A1"/>
  <sheetViews>
    <sheetView topLeftCell="A1" showGridLines="0" workbookViewId="0">
      <selection activeCell="A1" sqref="A1"/>
    </sheetView>
  </sheetViews>
  <sheetFormatPr customHeight="1" defaultRowHeight="11.25"/>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FDC14-1A2B-AC98-19D1-D370620A951A}" mc:Ignorable="x14ac xr xr2 xr3">
  <sheetPr>
    <tabColor rgb="FFFFCC99"/>
  </sheetPr>
  <dimension ref="A1:A1"/>
  <sheetViews>
    <sheetView topLeftCell="A1" showGridLines="0" workbookViewId="0">
      <selection activeCell="A1" sqref="A1"/>
    </sheetView>
  </sheetViews>
  <sheetFormatPr customHeight="1" defaultRowHeight="11.25"/>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0548A-DF39-B338-26CD-CBF3197032C7}"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10365" width="9.140625"/>
    <col min="3" max="3" style="10365" width="20.7109375" customWidth="1"/>
    <col min="4" max="4" style="10365" width="25.140625" customWidth="1"/>
    <col min="5" max="9" style="10365" width="9.140625"/>
  </cols>
  <sheetData>
    <row customHeight="1" ht="11.25">
      <c r="A1" s="179" t="s">
        <v>2471</v>
      </c>
      <c r="B1" s="179" t="s">
        <v>2472</v>
      </c>
      <c r="C1" s="179" t="s">
        <v>2473</v>
      </c>
      <c r="D1" s="179" t="s">
        <v>2474</v>
      </c>
      <c r="E1" s="179" t="s">
        <v>2475</v>
      </c>
      <c r="F1" s="179" t="s">
        <v>2476</v>
      </c>
      <c r="G1" s="179" t="s">
        <v>2477</v>
      </c>
      <c r="H1" s="179" t="s">
        <v>2478</v>
      </c>
      <c r="I1" s="179" t="s">
        <v>2479</v>
      </c>
    </row>
    <row customHeight="1" ht="11.25">
      <c r="A2" s="1944" t="s">
        <v>2480</v>
      </c>
      <c r="B2" s="1944" t="s">
        <v>16</v>
      </c>
      <c r="C2" s="1944" t="s">
        <v>2481</v>
      </c>
      <c r="D2" s="1944" t="s">
        <v>2482</v>
      </c>
      <c r="E2" s="1944" t="s">
        <v>2483</v>
      </c>
      <c r="F2" s="1944" t="s">
        <v>2484</v>
      </c>
      <c r="G2" s="1944" t="s">
        <v>2485</v>
      </c>
      <c r="H2" s="1944" t="s">
        <v>22</v>
      </c>
      <c r="I2" s="1944" t="s">
        <v>966</v>
      </c>
    </row>
    <row customHeight="1" ht="11.25">
      <c r="A3" s="1944" t="s">
        <v>2480</v>
      </c>
      <c r="B3" s="1944" t="s">
        <v>16</v>
      </c>
      <c r="C3" s="1944" t="s">
        <v>2486</v>
      </c>
      <c r="D3" s="1944" t="s">
        <v>2487</v>
      </c>
      <c r="E3" s="1944" t="s">
        <v>2488</v>
      </c>
      <c r="F3" s="1944" t="s">
        <v>2489</v>
      </c>
      <c r="G3" s="1944" t="s">
        <v>22</v>
      </c>
      <c r="H3" s="1944" t="s">
        <v>22</v>
      </c>
      <c r="I3" s="1944" t="s">
        <v>966</v>
      </c>
    </row>
    <row customHeight="1" ht="11.25">
      <c r="A4" s="1944" t="s">
        <v>2480</v>
      </c>
      <c r="B4" s="1944" t="s">
        <v>16</v>
      </c>
      <c r="C4" s="1944" t="s">
        <v>13</v>
      </c>
      <c r="D4" s="1944" t="s">
        <v>45</v>
      </c>
      <c r="E4" s="1944" t="s">
        <v>48</v>
      </c>
      <c r="F4" s="1944" t="s">
        <v>50</v>
      </c>
      <c r="G4" s="1944" t="s">
        <v>2490</v>
      </c>
      <c r="H4" s="1944" t="s">
        <v>22</v>
      </c>
      <c r="I4" s="1944" t="s">
        <v>966</v>
      </c>
    </row>
    <row customHeight="1" ht="11.25">
      <c r="A5" s="1944" t="s">
        <v>2480</v>
      </c>
      <c r="B5" s="1944" t="s">
        <v>16</v>
      </c>
      <c r="C5" s="1944" t="s">
        <v>2491</v>
      </c>
      <c r="D5" s="1944" t="s">
        <v>45</v>
      </c>
      <c r="E5" s="1944" t="s">
        <v>48</v>
      </c>
      <c r="F5" s="1944" t="s">
        <v>2492</v>
      </c>
      <c r="G5" s="1944" t="s">
        <v>2490</v>
      </c>
      <c r="H5" s="1944" t="s">
        <v>22</v>
      </c>
      <c r="I5" s="1944" t="s">
        <v>966</v>
      </c>
    </row>
    <row customHeight="1" ht="11.25">
      <c r="A6" s="1944" t="s">
        <v>2480</v>
      </c>
      <c r="B6" s="1944" t="s">
        <v>16</v>
      </c>
      <c r="C6" s="1944" t="s">
        <v>2493</v>
      </c>
      <c r="D6" s="1944" t="s">
        <v>2494</v>
      </c>
      <c r="E6" s="1944" t="s">
        <v>48</v>
      </c>
      <c r="F6" s="1944" t="s">
        <v>2495</v>
      </c>
      <c r="G6" s="1944" t="s">
        <v>22</v>
      </c>
      <c r="H6" s="1944" t="s">
        <v>22</v>
      </c>
      <c r="I6" s="1944" t="s">
        <v>966</v>
      </c>
    </row>
    <row customHeight="1" ht="11.25">
      <c r="A7" s="1944" t="s">
        <v>2480</v>
      </c>
      <c r="B7" s="1944" t="s">
        <v>16</v>
      </c>
      <c r="C7" s="1944" t="s">
        <v>2496</v>
      </c>
      <c r="D7" s="1944" t="s">
        <v>2497</v>
      </c>
      <c r="E7" s="1944" t="s">
        <v>48</v>
      </c>
      <c r="F7" s="1944" t="s">
        <v>2498</v>
      </c>
      <c r="G7" s="1944" t="s">
        <v>22</v>
      </c>
      <c r="H7" s="1944" t="s">
        <v>22</v>
      </c>
      <c r="I7" s="1944" t="s">
        <v>966</v>
      </c>
    </row>
    <row customHeight="1" ht="11.25">
      <c r="A8" s="1944" t="s">
        <v>2480</v>
      </c>
      <c r="B8" s="1944" t="s">
        <v>16</v>
      </c>
      <c r="C8" s="1944" t="s">
        <v>2499</v>
      </c>
      <c r="D8" s="1944" t="s">
        <v>2500</v>
      </c>
      <c r="E8" s="1944" t="s">
        <v>48</v>
      </c>
      <c r="F8" s="1944" t="s">
        <v>2501</v>
      </c>
      <c r="G8" s="1944" t="s">
        <v>22</v>
      </c>
      <c r="H8" s="1944" t="s">
        <v>22</v>
      </c>
      <c r="I8" s="1944" t="s">
        <v>966</v>
      </c>
    </row>
    <row customHeight="1" ht="11.25">
      <c r="A9" s="1944" t="s">
        <v>2480</v>
      </c>
      <c r="B9" s="1944" t="s">
        <v>16</v>
      </c>
      <c r="C9" s="1944" t="s">
        <v>2502</v>
      </c>
      <c r="D9" s="1944" t="s">
        <v>2503</v>
      </c>
      <c r="E9" s="1944" t="s">
        <v>48</v>
      </c>
      <c r="F9" s="1944" t="s">
        <v>2504</v>
      </c>
      <c r="G9" s="1944" t="s">
        <v>22</v>
      </c>
      <c r="H9" s="1944" t="s">
        <v>22</v>
      </c>
      <c r="I9" s="1944" t="s">
        <v>966</v>
      </c>
    </row>
    <row customHeight="1" ht="11.25">
      <c r="A10" s="1944" t="s">
        <v>2480</v>
      </c>
      <c r="B10" s="1944" t="s">
        <v>16</v>
      </c>
      <c r="C10" s="1944" t="s">
        <v>2505</v>
      </c>
      <c r="D10" s="1944" t="s">
        <v>2506</v>
      </c>
      <c r="E10" s="1944" t="s">
        <v>48</v>
      </c>
      <c r="F10" s="1944" t="s">
        <v>2507</v>
      </c>
      <c r="G10" s="1944" t="s">
        <v>22</v>
      </c>
      <c r="H10" s="1944" t="s">
        <v>22</v>
      </c>
      <c r="I10" s="1944" t="s">
        <v>966</v>
      </c>
    </row>
    <row customHeight="1" ht="11.25">
      <c r="A11" s="1944" t="s">
        <v>2480</v>
      </c>
      <c r="B11" s="1944" t="s">
        <v>16</v>
      </c>
      <c r="C11" s="1944" t="s">
        <v>2508</v>
      </c>
      <c r="D11" s="1944" t="s">
        <v>2509</v>
      </c>
      <c r="E11" s="1944" t="s">
        <v>48</v>
      </c>
      <c r="F11" s="1944" t="s">
        <v>2510</v>
      </c>
      <c r="G11" s="1944" t="s">
        <v>22</v>
      </c>
      <c r="H11" s="1944" t="s">
        <v>22</v>
      </c>
      <c r="I11" s="1944" t="s">
        <v>966</v>
      </c>
    </row>
    <row customHeight="1" ht="11.25">
      <c r="A12" s="1944" t="s">
        <v>2480</v>
      </c>
      <c r="B12" s="1944" t="s">
        <v>16</v>
      </c>
      <c r="C12" s="1944" t="s">
        <v>2511</v>
      </c>
      <c r="D12" s="1944" t="s">
        <v>2512</v>
      </c>
      <c r="E12" s="1944" t="s">
        <v>48</v>
      </c>
      <c r="F12" s="1944" t="s">
        <v>2513</v>
      </c>
      <c r="G12" s="1944" t="s">
        <v>22</v>
      </c>
      <c r="H12" s="1944" t="s">
        <v>22</v>
      </c>
      <c r="I12" s="1944" t="s">
        <v>966</v>
      </c>
    </row>
    <row customHeight="1" ht="11.25">
      <c r="A13" s="1944" t="s">
        <v>2480</v>
      </c>
      <c r="B13" s="1944" t="s">
        <v>16</v>
      </c>
      <c r="C13" s="1944" t="s">
        <v>2514</v>
      </c>
      <c r="D13" s="1944" t="s">
        <v>2515</v>
      </c>
      <c r="E13" s="1944" t="s">
        <v>48</v>
      </c>
      <c r="F13" s="1944" t="s">
        <v>2516</v>
      </c>
      <c r="G13" s="1944" t="s">
        <v>22</v>
      </c>
      <c r="H13" s="1944" t="s">
        <v>22</v>
      </c>
      <c r="I13" s="1944" t="s">
        <v>966</v>
      </c>
    </row>
    <row customHeight="1" ht="11.25">
      <c r="A14" s="1944" t="s">
        <v>2480</v>
      </c>
      <c r="B14" s="1944" t="s">
        <v>16</v>
      </c>
      <c r="C14" s="1944" t="s">
        <v>2517</v>
      </c>
      <c r="D14" s="1944" t="s">
        <v>2518</v>
      </c>
      <c r="E14" s="1944" t="s">
        <v>48</v>
      </c>
      <c r="F14" s="1944" t="s">
        <v>2519</v>
      </c>
      <c r="G14" s="1944" t="s">
        <v>22</v>
      </c>
      <c r="H14" s="1944" t="s">
        <v>22</v>
      </c>
      <c r="I14" s="1944" t="s">
        <v>966</v>
      </c>
    </row>
    <row customHeight="1" ht="11.25">
      <c r="A15" s="1944" t="s">
        <v>2480</v>
      </c>
      <c r="B15" s="1944" t="s">
        <v>16</v>
      </c>
      <c r="C15" s="1944" t="s">
        <v>2520</v>
      </c>
      <c r="D15" s="1944" t="s">
        <v>2521</v>
      </c>
      <c r="E15" s="1944" t="s">
        <v>48</v>
      </c>
      <c r="F15" s="1944" t="s">
        <v>2522</v>
      </c>
      <c r="G15" s="1944" t="s">
        <v>22</v>
      </c>
      <c r="H15" s="1944" t="s">
        <v>22</v>
      </c>
      <c r="I15" s="1944" t="s">
        <v>966</v>
      </c>
    </row>
    <row customHeight="1" ht="11.25">
      <c r="A16" s="1944" t="s">
        <v>2480</v>
      </c>
      <c r="B16" s="1944" t="s">
        <v>16</v>
      </c>
      <c r="C16" s="1944" t="s">
        <v>2523</v>
      </c>
      <c r="D16" s="1944" t="s">
        <v>2524</v>
      </c>
      <c r="E16" s="1944" t="s">
        <v>48</v>
      </c>
      <c r="F16" s="1944" t="s">
        <v>2525</v>
      </c>
      <c r="G16" s="1944" t="s">
        <v>22</v>
      </c>
      <c r="H16" s="1944" t="s">
        <v>22</v>
      </c>
      <c r="I16" s="1944" t="s">
        <v>966</v>
      </c>
    </row>
    <row customHeight="1" ht="11.25">
      <c r="A17" s="1944" t="s">
        <v>2480</v>
      </c>
      <c r="B17" s="1944" t="s">
        <v>16</v>
      </c>
      <c r="C17" s="1944" t="s">
        <v>2526</v>
      </c>
      <c r="D17" s="1944" t="s">
        <v>2527</v>
      </c>
      <c r="E17" s="1944" t="s">
        <v>2528</v>
      </c>
      <c r="F17" s="1944" t="s">
        <v>2489</v>
      </c>
      <c r="G17" s="1944" t="s">
        <v>22</v>
      </c>
      <c r="H17" s="1944" t="s">
        <v>22</v>
      </c>
      <c r="I17" s="1944" t="s">
        <v>966</v>
      </c>
    </row>
    <row customHeight="1" ht="11.25">
      <c r="A18" s="1944" t="s">
        <v>2480</v>
      </c>
      <c r="B18" s="1944" t="s">
        <v>16</v>
      </c>
      <c r="C18" s="1944" t="s">
        <v>2529</v>
      </c>
      <c r="D18" s="1944" t="s">
        <v>2530</v>
      </c>
      <c r="E18" s="1944" t="s">
        <v>2531</v>
      </c>
      <c r="F18" s="1944" t="s">
        <v>2532</v>
      </c>
      <c r="G18" s="1944" t="s">
        <v>2533</v>
      </c>
      <c r="H18" s="1944" t="s">
        <v>22</v>
      </c>
      <c r="I18" s="1944" t="s">
        <v>966</v>
      </c>
    </row>
    <row customHeight="1" ht="11.25">
      <c r="A19" s="1944" t="s">
        <v>2480</v>
      </c>
      <c r="B19" s="1944" t="s">
        <v>16</v>
      </c>
      <c r="C19" s="1944" t="s">
        <v>2534</v>
      </c>
      <c r="D19" s="1944" t="s">
        <v>2535</v>
      </c>
      <c r="E19" s="1944" t="s">
        <v>2536</v>
      </c>
      <c r="F19" s="1944" t="s">
        <v>2532</v>
      </c>
      <c r="G19" s="1944" t="s">
        <v>2537</v>
      </c>
      <c r="H19" s="1944" t="s">
        <v>22</v>
      </c>
      <c r="I19" s="1944" t="s">
        <v>966</v>
      </c>
    </row>
    <row customHeight="1" ht="11.25">
      <c r="A20" s="1944" t="s">
        <v>2480</v>
      </c>
      <c r="B20" s="1944" t="s">
        <v>16</v>
      </c>
      <c r="C20" s="1944" t="s">
        <v>2538</v>
      </c>
      <c r="D20" s="1944" t="s">
        <v>2539</v>
      </c>
      <c r="E20" s="1944" t="s">
        <v>2540</v>
      </c>
      <c r="F20" s="1944" t="s">
        <v>2541</v>
      </c>
      <c r="G20" s="1944" t="s">
        <v>22</v>
      </c>
      <c r="H20" s="1944" t="s">
        <v>22</v>
      </c>
      <c r="I20" s="1944" t="s">
        <v>966</v>
      </c>
    </row>
    <row customHeight="1" ht="11.25">
      <c r="A21" s="1944" t="s">
        <v>2480</v>
      </c>
      <c r="B21" s="1944" t="s">
        <v>16</v>
      </c>
      <c r="C21" s="1944" t="s">
        <v>2542</v>
      </c>
      <c r="D21" s="1944" t="s">
        <v>2543</v>
      </c>
      <c r="E21" s="1944" t="s">
        <v>2544</v>
      </c>
      <c r="F21" s="1944" t="s">
        <v>2545</v>
      </c>
      <c r="G21" s="1944" t="s">
        <v>22</v>
      </c>
      <c r="H21" s="1944" t="s">
        <v>22</v>
      </c>
      <c r="I21" s="1944" t="s">
        <v>966</v>
      </c>
    </row>
    <row customHeight="1" ht="11.25">
      <c r="A22" s="1944" t="s">
        <v>2480</v>
      </c>
      <c r="B22" s="1944" t="s">
        <v>16</v>
      </c>
      <c r="C22" s="1944" t="s">
        <v>2546</v>
      </c>
      <c r="D22" s="1944" t="s">
        <v>2547</v>
      </c>
      <c r="E22" s="1944" t="s">
        <v>2548</v>
      </c>
      <c r="F22" s="1944" t="s">
        <v>2532</v>
      </c>
      <c r="G22" s="1944" t="s">
        <v>22</v>
      </c>
      <c r="H22" s="1944" t="s">
        <v>22</v>
      </c>
      <c r="I22" s="1944" t="s">
        <v>966</v>
      </c>
    </row>
    <row customHeight="1" ht="11.25">
      <c r="A23" s="1944" t="s">
        <v>2480</v>
      </c>
      <c r="B23" s="1944" t="s">
        <v>16</v>
      </c>
      <c r="C23" s="1944" t="s">
        <v>2549</v>
      </c>
      <c r="D23" s="1944" t="s">
        <v>2550</v>
      </c>
      <c r="E23" s="1944" t="s">
        <v>2551</v>
      </c>
      <c r="F23" s="1944" t="s">
        <v>50</v>
      </c>
      <c r="G23" s="1944" t="s">
        <v>2552</v>
      </c>
      <c r="H23" s="1944" t="s">
        <v>22</v>
      </c>
      <c r="I23" s="1944" t="s">
        <v>966</v>
      </c>
    </row>
    <row customHeight="1" ht="11.25">
      <c r="A24" s="1944" t="s">
        <v>2480</v>
      </c>
      <c r="B24" s="1944" t="s">
        <v>16</v>
      </c>
      <c r="C24" s="1944" t="s">
        <v>2553</v>
      </c>
      <c r="D24" s="1944" t="s">
        <v>2554</v>
      </c>
      <c r="E24" s="1944" t="s">
        <v>2555</v>
      </c>
      <c r="F24" s="1944" t="s">
        <v>2556</v>
      </c>
      <c r="G24" s="1944" t="s">
        <v>22</v>
      </c>
      <c r="H24" s="1944" t="s">
        <v>22</v>
      </c>
      <c r="I24" s="1944" t="s">
        <v>966</v>
      </c>
    </row>
    <row customHeight="1" ht="11.25">
      <c r="A25" s="1944" t="s">
        <v>2480</v>
      </c>
      <c r="B25" s="1944" t="s">
        <v>16</v>
      </c>
      <c r="C25" s="1944" t="s">
        <v>2557</v>
      </c>
      <c r="D25" s="1944" t="s">
        <v>2558</v>
      </c>
      <c r="E25" s="1944" t="s">
        <v>2559</v>
      </c>
      <c r="F25" s="1944" t="s">
        <v>2556</v>
      </c>
      <c r="G25" s="1944" t="s">
        <v>22</v>
      </c>
      <c r="H25" s="1944" t="s">
        <v>22</v>
      </c>
      <c r="I25" s="1944" t="s">
        <v>966</v>
      </c>
    </row>
    <row customHeight="1" ht="11.25">
      <c r="A26" s="1944" t="s">
        <v>2480</v>
      </c>
      <c r="B26" s="1944" t="s">
        <v>16</v>
      </c>
      <c r="C26" s="1944" t="s">
        <v>2560</v>
      </c>
      <c r="D26" s="1944" t="s">
        <v>2561</v>
      </c>
      <c r="E26" s="1944" t="s">
        <v>2562</v>
      </c>
      <c r="F26" s="1944" t="s">
        <v>2556</v>
      </c>
      <c r="G26" s="1944" t="s">
        <v>22</v>
      </c>
      <c r="H26" s="1944" t="s">
        <v>22</v>
      </c>
      <c r="I26" s="1944" t="s">
        <v>966</v>
      </c>
    </row>
    <row customHeight="1" ht="11.25">
      <c r="A27" s="1944" t="s">
        <v>2480</v>
      </c>
      <c r="B27" s="1944" t="s">
        <v>16</v>
      </c>
      <c r="C27" s="1944" t="s">
        <v>2563</v>
      </c>
      <c r="D27" s="1944" t="s">
        <v>2564</v>
      </c>
      <c r="E27" s="1944" t="s">
        <v>2544</v>
      </c>
      <c r="F27" s="1944" t="s">
        <v>2565</v>
      </c>
      <c r="G27" s="1944" t="s">
        <v>22</v>
      </c>
      <c r="H27" s="1944" t="s">
        <v>22</v>
      </c>
      <c r="I27" s="1944" t="s">
        <v>966</v>
      </c>
    </row>
    <row customHeight="1" ht="11.25">
      <c r="A28" s="1944" t="s">
        <v>2480</v>
      </c>
      <c r="B28" s="1944" t="s">
        <v>16</v>
      </c>
      <c r="C28" s="1944" t="s">
        <v>2566</v>
      </c>
      <c r="D28" s="1944" t="s">
        <v>2567</v>
      </c>
      <c r="E28" s="1944" t="s">
        <v>2568</v>
      </c>
      <c r="F28" s="1944" t="s">
        <v>2569</v>
      </c>
      <c r="G28" s="1944" t="s">
        <v>22</v>
      </c>
      <c r="H28" s="1944" t="s">
        <v>22</v>
      </c>
      <c r="I28" s="1944" t="s">
        <v>966</v>
      </c>
    </row>
    <row customHeight="1" ht="11.25">
      <c r="A29" s="1944" t="s">
        <v>2480</v>
      </c>
      <c r="B29" s="1944" t="s">
        <v>16</v>
      </c>
      <c r="C29" s="1944" t="s">
        <v>2570</v>
      </c>
      <c r="D29" s="1944" t="s">
        <v>2571</v>
      </c>
      <c r="E29" s="1944" t="s">
        <v>2572</v>
      </c>
      <c r="F29" s="1944" t="s">
        <v>2573</v>
      </c>
      <c r="G29" s="1944" t="s">
        <v>22</v>
      </c>
      <c r="H29" s="1944" t="s">
        <v>22</v>
      </c>
      <c r="I29" s="1944" t="s">
        <v>966</v>
      </c>
    </row>
    <row customHeight="1" ht="11.25">
      <c r="A30" s="1944" t="s">
        <v>2480</v>
      </c>
      <c r="B30" s="1944" t="s">
        <v>16</v>
      </c>
      <c r="C30" s="1944" t="s">
        <v>2574</v>
      </c>
      <c r="D30" s="1944" t="s">
        <v>2575</v>
      </c>
      <c r="E30" s="1944" t="s">
        <v>2576</v>
      </c>
      <c r="F30" s="1944" t="s">
        <v>2577</v>
      </c>
      <c r="G30" s="1944" t="s">
        <v>22</v>
      </c>
      <c r="H30" s="1944" t="s">
        <v>22</v>
      </c>
      <c r="I30" s="1944" t="s">
        <v>966</v>
      </c>
    </row>
    <row customHeight="1" ht="11.25">
      <c r="A31" s="1944" t="s">
        <v>2480</v>
      </c>
      <c r="B31" s="1944" t="s">
        <v>16</v>
      </c>
      <c r="C31" s="1944" t="s">
        <v>2578</v>
      </c>
      <c r="D31" s="1944" t="s">
        <v>2579</v>
      </c>
      <c r="E31" s="1944" t="s">
        <v>2580</v>
      </c>
      <c r="F31" s="1944" t="s">
        <v>2581</v>
      </c>
      <c r="G31" s="1944" t="s">
        <v>22</v>
      </c>
      <c r="H31" s="1944" t="s">
        <v>22</v>
      </c>
      <c r="I31" s="1944" t="s">
        <v>966</v>
      </c>
    </row>
    <row customHeight="1" ht="11.25">
      <c r="A32" s="1944" t="s">
        <v>2480</v>
      </c>
      <c r="B32" s="1944" t="s">
        <v>16</v>
      </c>
      <c r="C32" s="1944" t="s">
        <v>2582</v>
      </c>
      <c r="D32" s="1944" t="s">
        <v>2583</v>
      </c>
      <c r="E32" s="1944" t="s">
        <v>2576</v>
      </c>
      <c r="F32" s="1944" t="s">
        <v>2584</v>
      </c>
      <c r="G32" s="1944" t="s">
        <v>22</v>
      </c>
      <c r="H32" s="1944" t="s">
        <v>22</v>
      </c>
      <c r="I32" s="1944" t="s">
        <v>966</v>
      </c>
    </row>
    <row customHeight="1" ht="11.25">
      <c r="A33" s="1944" t="s">
        <v>2480</v>
      </c>
      <c r="B33" s="1944" t="s">
        <v>16</v>
      </c>
      <c r="C33" s="1944" t="s">
        <v>2585</v>
      </c>
      <c r="D33" s="1944" t="s">
        <v>2586</v>
      </c>
      <c r="E33" s="1944" t="s">
        <v>2587</v>
      </c>
      <c r="F33" s="1944" t="s">
        <v>50</v>
      </c>
      <c r="G33" s="1944" t="s">
        <v>2588</v>
      </c>
      <c r="H33" s="1944" t="s">
        <v>22</v>
      </c>
      <c r="I33" s="1944" t="s">
        <v>966</v>
      </c>
    </row>
    <row customHeight="1" ht="11.25">
      <c r="A34" s="1944" t="s">
        <v>2480</v>
      </c>
      <c r="B34" s="1944" t="s">
        <v>16</v>
      </c>
      <c r="C34" s="1944" t="s">
        <v>22</v>
      </c>
      <c r="D34" s="1944" t="s">
        <v>2589</v>
      </c>
      <c r="E34" s="1944" t="s">
        <v>2590</v>
      </c>
      <c r="F34" s="1944" t="s">
        <v>50</v>
      </c>
      <c r="G34" s="1944" t="s">
        <v>22</v>
      </c>
      <c r="H34" s="1944" t="s">
        <v>22</v>
      </c>
      <c r="I34" s="1944" t="s">
        <v>966</v>
      </c>
    </row>
    <row customHeight="1" ht="11.25">
      <c r="A35" s="1944" t="s">
        <v>2480</v>
      </c>
      <c r="B35" s="1944" t="s">
        <v>16</v>
      </c>
      <c r="C35" s="1944" t="s">
        <v>2591</v>
      </c>
      <c r="D35" s="1944" t="s">
        <v>2592</v>
      </c>
      <c r="E35" s="1944" t="s">
        <v>2593</v>
      </c>
      <c r="F35" s="1944" t="s">
        <v>2594</v>
      </c>
      <c r="G35" s="1944" t="s">
        <v>2595</v>
      </c>
      <c r="H35" s="1944" t="s">
        <v>22</v>
      </c>
      <c r="I35" s="1944" t="s">
        <v>966</v>
      </c>
    </row>
    <row customHeight="1" ht="11.25">
      <c r="A36" s="1944" t="s">
        <v>2480</v>
      </c>
      <c r="B36" s="1944" t="s">
        <v>16</v>
      </c>
      <c r="C36" s="1944" t="s">
        <v>2596</v>
      </c>
      <c r="D36" s="1944" t="s">
        <v>2597</v>
      </c>
      <c r="E36" s="1944" t="s">
        <v>2598</v>
      </c>
      <c r="F36" s="1944" t="s">
        <v>2594</v>
      </c>
      <c r="G36" s="1944" t="s">
        <v>22</v>
      </c>
      <c r="H36" s="1944" t="s">
        <v>22</v>
      </c>
      <c r="I36" s="1944" t="s">
        <v>966</v>
      </c>
    </row>
    <row customHeight="1" ht="11.25">
      <c r="A37" s="1944" t="s">
        <v>2480</v>
      </c>
      <c r="B37" s="1944" t="s">
        <v>16</v>
      </c>
      <c r="C37" s="1944" t="s">
        <v>2599</v>
      </c>
      <c r="D37" s="1944" t="s">
        <v>2600</v>
      </c>
      <c r="E37" s="1944" t="s">
        <v>2601</v>
      </c>
      <c r="F37" s="1944" t="s">
        <v>2602</v>
      </c>
      <c r="G37" s="1944" t="s">
        <v>22</v>
      </c>
      <c r="H37" s="1944" t="s">
        <v>22</v>
      </c>
      <c r="I37" s="1944" t="s">
        <v>966</v>
      </c>
    </row>
    <row customHeight="1" ht="11.25">
      <c r="A38" s="1944" t="s">
        <v>2480</v>
      </c>
      <c r="B38" s="1944" t="s">
        <v>16</v>
      </c>
      <c r="C38" s="1944" t="s">
        <v>2603</v>
      </c>
      <c r="D38" s="1944" t="s">
        <v>2604</v>
      </c>
      <c r="E38" s="1944" t="s">
        <v>2605</v>
      </c>
      <c r="F38" s="1944" t="s">
        <v>2606</v>
      </c>
      <c r="G38" s="1944" t="s">
        <v>2607</v>
      </c>
      <c r="H38" s="1944" t="s">
        <v>22</v>
      </c>
      <c r="I38" s="1944" t="s">
        <v>966</v>
      </c>
    </row>
    <row customHeight="1" ht="11.25">
      <c r="A39" s="1944" t="s">
        <v>2480</v>
      </c>
      <c r="B39" s="1944" t="s">
        <v>16</v>
      </c>
      <c r="C39" s="1944" t="s">
        <v>2608</v>
      </c>
      <c r="D39" s="1944" t="s">
        <v>2609</v>
      </c>
      <c r="E39" s="1944" t="s">
        <v>2610</v>
      </c>
      <c r="F39" s="1944" t="s">
        <v>2611</v>
      </c>
      <c r="G39" s="1944" t="s">
        <v>22</v>
      </c>
      <c r="H39" s="1944" t="s">
        <v>22</v>
      </c>
      <c r="I39" s="1944" t="s">
        <v>966</v>
      </c>
    </row>
    <row customHeight="1" ht="11.25">
      <c r="A40" s="1944" t="s">
        <v>2480</v>
      </c>
      <c r="B40" s="1944" t="s">
        <v>16</v>
      </c>
      <c r="C40" s="1944" t="s">
        <v>2612</v>
      </c>
      <c r="D40" s="1944" t="s">
        <v>2613</v>
      </c>
      <c r="E40" s="1944" t="s">
        <v>2614</v>
      </c>
      <c r="F40" s="1944" t="s">
        <v>2615</v>
      </c>
      <c r="G40" s="1944" t="s">
        <v>2616</v>
      </c>
      <c r="H40" s="1944" t="s">
        <v>22</v>
      </c>
      <c r="I40" s="1944" t="s">
        <v>966</v>
      </c>
    </row>
    <row customHeight="1" ht="11.25">
      <c r="A41" s="1944" t="s">
        <v>2480</v>
      </c>
      <c r="B41" s="1944" t="s">
        <v>16</v>
      </c>
      <c r="C41" s="1944" t="s">
        <v>2617</v>
      </c>
      <c r="D41" s="1944" t="s">
        <v>2618</v>
      </c>
      <c r="E41" s="1944" t="s">
        <v>2619</v>
      </c>
      <c r="F41" s="1944" t="s">
        <v>2541</v>
      </c>
      <c r="G41" s="1944" t="s">
        <v>22</v>
      </c>
      <c r="H41" s="1944" t="s">
        <v>22</v>
      </c>
      <c r="I41" s="1944" t="s">
        <v>966</v>
      </c>
    </row>
    <row customHeight="1" ht="11.25">
      <c r="A42" s="1944" t="s">
        <v>2480</v>
      </c>
      <c r="B42" s="1944" t="s">
        <v>16</v>
      </c>
      <c r="C42" s="1944" t="s">
        <v>2620</v>
      </c>
      <c r="D42" s="1944" t="s">
        <v>2618</v>
      </c>
      <c r="E42" s="1944" t="s">
        <v>2621</v>
      </c>
      <c r="F42" s="1944" t="s">
        <v>2573</v>
      </c>
      <c r="G42" s="1944" t="s">
        <v>2622</v>
      </c>
      <c r="H42" s="1944" t="s">
        <v>22</v>
      </c>
      <c r="I42" s="1944" t="s">
        <v>966</v>
      </c>
    </row>
    <row customHeight="1" ht="11.25">
      <c r="A43" s="1944" t="s">
        <v>2480</v>
      </c>
      <c r="B43" s="1944" t="s">
        <v>16</v>
      </c>
      <c r="C43" s="1944" t="s">
        <v>2623</v>
      </c>
      <c r="D43" s="1944" t="s">
        <v>2624</v>
      </c>
      <c r="E43" s="1944" t="s">
        <v>2625</v>
      </c>
      <c r="F43" s="1944" t="s">
        <v>2626</v>
      </c>
      <c r="G43" s="1944" t="s">
        <v>22</v>
      </c>
      <c r="H43" s="1944" t="s">
        <v>22</v>
      </c>
      <c r="I43" s="1944" t="s">
        <v>966</v>
      </c>
    </row>
    <row customHeight="1" ht="11.25">
      <c r="A44" s="1944" t="s">
        <v>2480</v>
      </c>
      <c r="B44" s="1944" t="s">
        <v>16</v>
      </c>
      <c r="C44" s="1944" t="s">
        <v>2627</v>
      </c>
      <c r="D44" s="1944" t="s">
        <v>2628</v>
      </c>
      <c r="E44" s="1944" t="s">
        <v>2629</v>
      </c>
      <c r="F44" s="1944" t="s">
        <v>2569</v>
      </c>
      <c r="G44" s="1944" t="s">
        <v>2630</v>
      </c>
      <c r="H44" s="1944" t="s">
        <v>22</v>
      </c>
      <c r="I44" s="1944" t="s">
        <v>966</v>
      </c>
    </row>
    <row customHeight="1" ht="11.25">
      <c r="A45" s="1944" t="s">
        <v>2480</v>
      </c>
      <c r="B45" s="1944" t="s">
        <v>16</v>
      </c>
      <c r="C45" s="1944" t="s">
        <v>2631</v>
      </c>
      <c r="D45" s="1944" t="s">
        <v>2632</v>
      </c>
      <c r="E45" s="1944" t="s">
        <v>2633</v>
      </c>
      <c r="F45" s="1944" t="s">
        <v>2615</v>
      </c>
      <c r="G45" s="1944" t="s">
        <v>22</v>
      </c>
      <c r="H45" s="1944" t="s">
        <v>22</v>
      </c>
      <c r="I45" s="1944" t="s">
        <v>966</v>
      </c>
    </row>
    <row customHeight="1" ht="11.25">
      <c r="A46" s="1944" t="s">
        <v>2480</v>
      </c>
      <c r="B46" s="1944" t="s">
        <v>16</v>
      </c>
      <c r="C46" s="1944" t="s">
        <v>2634</v>
      </c>
      <c r="D46" s="1944" t="s">
        <v>2635</v>
      </c>
      <c r="E46" s="1944" t="s">
        <v>2636</v>
      </c>
      <c r="F46" s="1944" t="s">
        <v>2637</v>
      </c>
      <c r="G46" s="1944" t="s">
        <v>22</v>
      </c>
      <c r="H46" s="1944" t="s">
        <v>22</v>
      </c>
      <c r="I46" s="1944" t="s">
        <v>966</v>
      </c>
    </row>
    <row customHeight="1" ht="11.25">
      <c r="A47" s="1944" t="s">
        <v>2480</v>
      </c>
      <c r="B47" s="1944" t="s">
        <v>16</v>
      </c>
      <c r="C47" s="1944" t="s">
        <v>2638</v>
      </c>
      <c r="D47" s="1944" t="s">
        <v>2639</v>
      </c>
      <c r="E47" s="1944" t="s">
        <v>2640</v>
      </c>
      <c r="F47" s="1944" t="s">
        <v>2594</v>
      </c>
      <c r="G47" s="1944" t="s">
        <v>22</v>
      </c>
      <c r="H47" s="1944" t="s">
        <v>22</v>
      </c>
      <c r="I47" s="1944" t="s">
        <v>966</v>
      </c>
    </row>
    <row customHeight="1" ht="11.25">
      <c r="A48" s="1944" t="s">
        <v>2480</v>
      </c>
      <c r="B48" s="1944" t="s">
        <v>16</v>
      </c>
      <c r="C48" s="1944" t="s">
        <v>2641</v>
      </c>
      <c r="D48" s="1944" t="s">
        <v>2642</v>
      </c>
      <c r="E48" s="1944" t="s">
        <v>2643</v>
      </c>
      <c r="F48" s="1944" t="s">
        <v>2644</v>
      </c>
      <c r="G48" s="1944" t="s">
        <v>22</v>
      </c>
      <c r="H48" s="1944" t="s">
        <v>22</v>
      </c>
      <c r="I48" s="1944" t="s">
        <v>966</v>
      </c>
    </row>
    <row customHeight="1" ht="11.25">
      <c r="A49" s="1944" t="s">
        <v>2480</v>
      </c>
      <c r="B49" s="1944" t="s">
        <v>16</v>
      </c>
      <c r="C49" s="1944" t="s">
        <v>2645</v>
      </c>
      <c r="D49" s="1944" t="s">
        <v>2646</v>
      </c>
      <c r="E49" s="1944" t="s">
        <v>2647</v>
      </c>
      <c r="F49" s="1944" t="s">
        <v>2626</v>
      </c>
      <c r="G49" s="1944" t="s">
        <v>2648</v>
      </c>
      <c r="H49" s="1944" t="s">
        <v>22</v>
      </c>
      <c r="I49" s="1944" t="s">
        <v>966</v>
      </c>
    </row>
    <row customHeight="1" ht="11.25">
      <c r="A50" s="1944" t="s">
        <v>2480</v>
      </c>
      <c r="B50" s="1944" t="s">
        <v>16</v>
      </c>
      <c r="C50" s="1944" t="s">
        <v>2649</v>
      </c>
      <c r="D50" s="1944" t="s">
        <v>2650</v>
      </c>
      <c r="E50" s="1944" t="s">
        <v>2651</v>
      </c>
      <c r="F50" s="1944" t="s">
        <v>2652</v>
      </c>
      <c r="G50" s="1944" t="s">
        <v>22</v>
      </c>
      <c r="H50" s="1944" t="s">
        <v>22</v>
      </c>
      <c r="I50" s="1944" t="s">
        <v>966</v>
      </c>
    </row>
    <row customHeight="1" ht="11.25">
      <c r="A51" s="1944" t="s">
        <v>2480</v>
      </c>
      <c r="B51" s="1944" t="s">
        <v>16</v>
      </c>
      <c r="C51" s="1944" t="s">
        <v>2653</v>
      </c>
      <c r="D51" s="1944" t="s">
        <v>2654</v>
      </c>
      <c r="E51" s="1944" t="s">
        <v>2655</v>
      </c>
      <c r="F51" s="1944" t="s">
        <v>2652</v>
      </c>
      <c r="G51" s="1944" t="s">
        <v>2656</v>
      </c>
      <c r="H51" s="1944" t="s">
        <v>22</v>
      </c>
      <c r="I51" s="1944" t="s">
        <v>966</v>
      </c>
    </row>
    <row customHeight="1" ht="11.25">
      <c r="A52" s="1944" t="s">
        <v>2480</v>
      </c>
      <c r="B52" s="1944" t="s">
        <v>16</v>
      </c>
      <c r="C52" s="1944" t="s">
        <v>2657</v>
      </c>
      <c r="D52" s="1944" t="s">
        <v>2658</v>
      </c>
      <c r="E52" s="1944" t="s">
        <v>2659</v>
      </c>
      <c r="F52" s="1944" t="s">
        <v>2626</v>
      </c>
      <c r="G52" s="1944" t="s">
        <v>22</v>
      </c>
      <c r="H52" s="1944" t="s">
        <v>22</v>
      </c>
      <c r="I52" s="1944" t="s">
        <v>966</v>
      </c>
    </row>
    <row customHeight="1" ht="11.25">
      <c r="A53" s="1944" t="s">
        <v>2480</v>
      </c>
      <c r="B53" s="1944" t="s">
        <v>16</v>
      </c>
      <c r="C53" s="1944" t="s">
        <v>2660</v>
      </c>
      <c r="D53" s="1944" t="s">
        <v>2661</v>
      </c>
      <c r="E53" s="1944" t="s">
        <v>2662</v>
      </c>
      <c r="F53" s="1944" t="s">
        <v>2663</v>
      </c>
      <c r="G53" s="1944" t="s">
        <v>2664</v>
      </c>
      <c r="H53" s="1944" t="s">
        <v>22</v>
      </c>
      <c r="I53" s="1944" t="s">
        <v>966</v>
      </c>
    </row>
    <row customHeight="1" ht="11.25">
      <c r="A54" s="1944" t="s">
        <v>2480</v>
      </c>
      <c r="B54" s="1944" t="s">
        <v>16</v>
      </c>
      <c r="C54" s="1944" t="s">
        <v>2665</v>
      </c>
      <c r="D54" s="1944" t="s">
        <v>2666</v>
      </c>
      <c r="E54" s="1944" t="s">
        <v>2667</v>
      </c>
      <c r="F54" s="1944" t="s">
        <v>2663</v>
      </c>
      <c r="G54" s="1944" t="s">
        <v>2668</v>
      </c>
      <c r="H54" s="1944" t="s">
        <v>22</v>
      </c>
      <c r="I54" s="1944" t="s">
        <v>966</v>
      </c>
    </row>
    <row customHeight="1" ht="11.25">
      <c r="A55" s="1944" t="s">
        <v>2480</v>
      </c>
      <c r="B55" s="1944" t="s">
        <v>16</v>
      </c>
      <c r="C55" s="1944" t="s">
        <v>2669</v>
      </c>
      <c r="D55" s="1944" t="s">
        <v>2670</v>
      </c>
      <c r="E55" s="1944" t="s">
        <v>2671</v>
      </c>
      <c r="F55" s="1944" t="s">
        <v>2672</v>
      </c>
      <c r="G55" s="1944" t="s">
        <v>22</v>
      </c>
      <c r="H55" s="1944" t="s">
        <v>22</v>
      </c>
      <c r="I55" s="1944" t="s">
        <v>966</v>
      </c>
    </row>
    <row customHeight="1" ht="11.25">
      <c r="A56" s="1944" t="s">
        <v>2480</v>
      </c>
      <c r="B56" s="1944" t="s">
        <v>16</v>
      </c>
      <c r="C56" s="1944" t="s">
        <v>2673</v>
      </c>
      <c r="D56" s="1944" t="s">
        <v>2674</v>
      </c>
      <c r="E56" s="1944" t="s">
        <v>2675</v>
      </c>
      <c r="F56" s="1944" t="s">
        <v>2663</v>
      </c>
      <c r="G56" s="1944" t="s">
        <v>2676</v>
      </c>
      <c r="H56" s="1944" t="s">
        <v>22</v>
      </c>
      <c r="I56" s="1944" t="s">
        <v>966</v>
      </c>
    </row>
    <row customHeight="1" ht="11.25">
      <c r="A57" s="1944" t="s">
        <v>2480</v>
      </c>
      <c r="B57" s="1944" t="s">
        <v>16</v>
      </c>
      <c r="C57" s="1944" t="s">
        <v>2677</v>
      </c>
      <c r="D57" s="1944" t="s">
        <v>2678</v>
      </c>
      <c r="E57" s="1944" t="s">
        <v>2679</v>
      </c>
      <c r="F57" s="1944" t="s">
        <v>2652</v>
      </c>
      <c r="G57" s="1944" t="s">
        <v>2680</v>
      </c>
      <c r="H57" s="1944" t="s">
        <v>22</v>
      </c>
      <c r="I57" s="1944" t="s">
        <v>966</v>
      </c>
    </row>
    <row customHeight="1" ht="11.25">
      <c r="A58" s="1944" t="s">
        <v>2480</v>
      </c>
      <c r="B58" s="1944" t="s">
        <v>16</v>
      </c>
      <c r="C58" s="1944" t="s">
        <v>2681</v>
      </c>
      <c r="D58" s="1944" t="s">
        <v>2682</v>
      </c>
      <c r="E58" s="1944" t="s">
        <v>2683</v>
      </c>
      <c r="F58" s="1944" t="s">
        <v>2652</v>
      </c>
      <c r="G58" s="1944" t="s">
        <v>22</v>
      </c>
      <c r="H58" s="1944" t="s">
        <v>22</v>
      </c>
      <c r="I58" s="1944" t="s">
        <v>966</v>
      </c>
    </row>
    <row customHeight="1" ht="11.25">
      <c r="A59" s="1944" t="s">
        <v>2480</v>
      </c>
      <c r="B59" s="1944" t="s">
        <v>16</v>
      </c>
      <c r="C59" s="1944" t="s">
        <v>2684</v>
      </c>
      <c r="D59" s="1944" t="s">
        <v>2685</v>
      </c>
      <c r="E59" s="1944" t="s">
        <v>2686</v>
      </c>
      <c r="F59" s="1944" t="s">
        <v>2573</v>
      </c>
      <c r="G59" s="1944" t="s">
        <v>22</v>
      </c>
      <c r="H59" s="1944" t="s">
        <v>22</v>
      </c>
      <c r="I59" s="1944" t="s">
        <v>966</v>
      </c>
    </row>
    <row customHeight="1" ht="11.25">
      <c r="A60" s="1944" t="s">
        <v>2480</v>
      </c>
      <c r="B60" s="1944" t="s">
        <v>16</v>
      </c>
      <c r="C60" s="1944" t="s">
        <v>2687</v>
      </c>
      <c r="D60" s="1944" t="s">
        <v>2688</v>
      </c>
      <c r="E60" s="1944" t="s">
        <v>2689</v>
      </c>
      <c r="F60" s="1944" t="s">
        <v>2690</v>
      </c>
      <c r="G60" s="1944" t="s">
        <v>22</v>
      </c>
      <c r="H60" s="1944" t="s">
        <v>22</v>
      </c>
      <c r="I60" s="1944" t="s">
        <v>966</v>
      </c>
    </row>
    <row customHeight="1" ht="11.25">
      <c r="A61" s="1944" t="s">
        <v>2480</v>
      </c>
      <c r="B61" s="1944" t="s">
        <v>16</v>
      </c>
      <c r="C61" s="1944" t="s">
        <v>2691</v>
      </c>
      <c r="D61" s="1944" t="s">
        <v>2692</v>
      </c>
      <c r="E61" s="1944" t="s">
        <v>2693</v>
      </c>
      <c r="F61" s="1944" t="s">
        <v>2652</v>
      </c>
      <c r="G61" s="1944" t="s">
        <v>2694</v>
      </c>
      <c r="H61" s="1944" t="s">
        <v>22</v>
      </c>
      <c r="I61" s="1944" t="s">
        <v>966</v>
      </c>
    </row>
    <row customHeight="1" ht="11.25">
      <c r="A62" s="1944" t="s">
        <v>2480</v>
      </c>
      <c r="B62" s="1944" t="s">
        <v>16</v>
      </c>
      <c r="C62" s="1944" t="s">
        <v>2695</v>
      </c>
      <c r="D62" s="1944" t="s">
        <v>2696</v>
      </c>
      <c r="E62" s="1944" t="s">
        <v>2697</v>
      </c>
      <c r="F62" s="1944" t="s">
        <v>2626</v>
      </c>
      <c r="G62" s="1944" t="s">
        <v>22</v>
      </c>
      <c r="H62" s="1944" t="s">
        <v>22</v>
      </c>
      <c r="I62" s="1944" t="s">
        <v>966</v>
      </c>
    </row>
    <row customHeight="1" ht="11.25">
      <c r="A63" s="1944" t="s">
        <v>2480</v>
      </c>
      <c r="B63" s="1944" t="s">
        <v>16</v>
      </c>
      <c r="C63" s="1944" t="s">
        <v>2698</v>
      </c>
      <c r="D63" s="1944" t="s">
        <v>2699</v>
      </c>
      <c r="E63" s="1944" t="s">
        <v>2700</v>
      </c>
      <c r="F63" s="1944" t="s">
        <v>2663</v>
      </c>
      <c r="G63" s="1944" t="s">
        <v>22</v>
      </c>
      <c r="H63" s="1944" t="s">
        <v>22</v>
      </c>
      <c r="I63" s="1944" t="s">
        <v>966</v>
      </c>
    </row>
    <row customHeight="1" ht="11.25">
      <c r="A64" s="1944" t="s">
        <v>2480</v>
      </c>
      <c r="B64" s="1944" t="s">
        <v>16</v>
      </c>
      <c r="C64" s="1944" t="s">
        <v>2701</v>
      </c>
      <c r="D64" s="1944" t="s">
        <v>2702</v>
      </c>
      <c r="E64" s="1944" t="s">
        <v>2703</v>
      </c>
      <c r="F64" s="1944" t="s">
        <v>2690</v>
      </c>
      <c r="G64" s="1944" t="s">
        <v>22</v>
      </c>
      <c r="H64" s="1944" t="s">
        <v>22</v>
      </c>
      <c r="I64" s="1944" t="s">
        <v>966</v>
      </c>
    </row>
    <row customHeight="1" ht="11.25">
      <c r="A65" s="1944" t="s">
        <v>2480</v>
      </c>
      <c r="B65" s="1944" t="s">
        <v>16</v>
      </c>
      <c r="C65" s="1944" t="s">
        <v>2704</v>
      </c>
      <c r="D65" s="1944" t="s">
        <v>2705</v>
      </c>
      <c r="E65" s="1944" t="s">
        <v>2706</v>
      </c>
      <c r="F65" s="1944" t="s">
        <v>2652</v>
      </c>
      <c r="G65" s="1944" t="s">
        <v>2707</v>
      </c>
      <c r="H65" s="1944" t="s">
        <v>22</v>
      </c>
      <c r="I65" s="1944" t="s">
        <v>966</v>
      </c>
    </row>
    <row customHeight="1" ht="11.25">
      <c r="A66" s="1944" t="s">
        <v>2480</v>
      </c>
      <c r="B66" s="1944" t="s">
        <v>16</v>
      </c>
      <c r="C66" s="1944" t="s">
        <v>2708</v>
      </c>
      <c r="D66" s="1944" t="s">
        <v>2709</v>
      </c>
      <c r="E66" s="1944" t="s">
        <v>2710</v>
      </c>
      <c r="F66" s="1944" t="s">
        <v>2663</v>
      </c>
      <c r="G66" s="1944" t="s">
        <v>2711</v>
      </c>
      <c r="H66" s="1944" t="s">
        <v>22</v>
      </c>
      <c r="I66" s="1944" t="s">
        <v>966</v>
      </c>
    </row>
    <row customHeight="1" ht="11.25">
      <c r="A67" s="1944" t="s">
        <v>2480</v>
      </c>
      <c r="B67" s="1944" t="s">
        <v>16</v>
      </c>
      <c r="C67" s="1944" t="s">
        <v>2712</v>
      </c>
      <c r="D67" s="1944" t="s">
        <v>2709</v>
      </c>
      <c r="E67" s="1944" t="s">
        <v>2713</v>
      </c>
      <c r="F67" s="1944" t="s">
        <v>2541</v>
      </c>
      <c r="G67" s="1944" t="s">
        <v>2714</v>
      </c>
      <c r="H67" s="1944" t="s">
        <v>22</v>
      </c>
      <c r="I67" s="1944" t="s">
        <v>966</v>
      </c>
    </row>
    <row customHeight="1" ht="11.25">
      <c r="A68" s="1944" t="s">
        <v>2480</v>
      </c>
      <c r="B68" s="1944" t="s">
        <v>16</v>
      </c>
      <c r="C68" s="1944" t="s">
        <v>2715</v>
      </c>
      <c r="D68" s="1944" t="s">
        <v>2716</v>
      </c>
      <c r="E68" s="1944" t="s">
        <v>2717</v>
      </c>
      <c r="F68" s="1944" t="s">
        <v>2644</v>
      </c>
      <c r="G68" s="1944" t="s">
        <v>22</v>
      </c>
      <c r="H68" s="1944" t="s">
        <v>22</v>
      </c>
      <c r="I68" s="1944" t="s">
        <v>966</v>
      </c>
    </row>
    <row customHeight="1" ht="11.25">
      <c r="A69" s="1944" t="s">
        <v>2480</v>
      </c>
      <c r="B69" s="1944" t="s">
        <v>16</v>
      </c>
      <c r="C69" s="1944" t="s">
        <v>2718</v>
      </c>
      <c r="D69" s="1944" t="s">
        <v>2719</v>
      </c>
      <c r="E69" s="1944" t="s">
        <v>2720</v>
      </c>
      <c r="F69" s="1944" t="s">
        <v>2644</v>
      </c>
      <c r="G69" s="1944" t="s">
        <v>2721</v>
      </c>
      <c r="H69" s="1944" t="s">
        <v>22</v>
      </c>
      <c r="I69" s="1944" t="s">
        <v>966</v>
      </c>
    </row>
    <row customHeight="1" ht="11.25">
      <c r="A70" s="1944" t="s">
        <v>2480</v>
      </c>
      <c r="B70" s="1944" t="s">
        <v>16</v>
      </c>
      <c r="C70" s="1944" t="s">
        <v>2722</v>
      </c>
      <c r="D70" s="1944" t="s">
        <v>2723</v>
      </c>
      <c r="E70" s="1944" t="s">
        <v>2724</v>
      </c>
      <c r="F70" s="1944" t="s">
        <v>2606</v>
      </c>
      <c r="G70" s="1944" t="s">
        <v>22</v>
      </c>
      <c r="H70" s="1944" t="s">
        <v>22</v>
      </c>
      <c r="I70" s="1944" t="s">
        <v>966</v>
      </c>
    </row>
    <row customHeight="1" ht="11.25">
      <c r="A71" s="1944" t="s">
        <v>2480</v>
      </c>
      <c r="B71" s="1944" t="s">
        <v>16</v>
      </c>
      <c r="C71" s="1944" t="s">
        <v>2725</v>
      </c>
      <c r="D71" s="1944" t="s">
        <v>2726</v>
      </c>
      <c r="E71" s="1944" t="s">
        <v>2727</v>
      </c>
      <c r="F71" s="1944" t="s">
        <v>2615</v>
      </c>
      <c r="G71" s="1944" t="s">
        <v>2728</v>
      </c>
      <c r="H71" s="1944" t="s">
        <v>22</v>
      </c>
      <c r="I71" s="1944" t="s">
        <v>966</v>
      </c>
    </row>
    <row customHeight="1" ht="11.25">
      <c r="A72" s="1944" t="s">
        <v>2480</v>
      </c>
      <c r="B72" s="1944" t="s">
        <v>16</v>
      </c>
      <c r="C72" s="1944" t="s">
        <v>2729</v>
      </c>
      <c r="D72" s="1944" t="s">
        <v>2730</v>
      </c>
      <c r="E72" s="1944" t="s">
        <v>2731</v>
      </c>
      <c r="F72" s="1944" t="s">
        <v>2606</v>
      </c>
      <c r="G72" s="1944" t="s">
        <v>2732</v>
      </c>
      <c r="H72" s="1944" t="s">
        <v>22</v>
      </c>
      <c r="I72" s="1944" t="s">
        <v>966</v>
      </c>
    </row>
    <row customHeight="1" ht="11.25">
      <c r="A73" s="1944" t="s">
        <v>2480</v>
      </c>
      <c r="B73" s="1944" t="s">
        <v>16</v>
      </c>
      <c r="C73" s="1944" t="s">
        <v>2733</v>
      </c>
      <c r="D73" s="1944" t="s">
        <v>2734</v>
      </c>
      <c r="E73" s="1944" t="s">
        <v>2735</v>
      </c>
      <c r="F73" s="1944" t="s">
        <v>2626</v>
      </c>
      <c r="G73" s="1944" t="s">
        <v>2736</v>
      </c>
      <c r="H73" s="1944" t="s">
        <v>22</v>
      </c>
      <c r="I73" s="1944" t="s">
        <v>966</v>
      </c>
    </row>
    <row customHeight="1" ht="11.25">
      <c r="A74" s="1944" t="s">
        <v>2480</v>
      </c>
      <c r="B74" s="1944" t="s">
        <v>16</v>
      </c>
      <c r="C74" s="1944" t="s">
        <v>2737</v>
      </c>
      <c r="D74" s="1944" t="s">
        <v>2738</v>
      </c>
      <c r="E74" s="1944" t="s">
        <v>2739</v>
      </c>
      <c r="F74" s="1944" t="s">
        <v>2489</v>
      </c>
      <c r="G74" s="1944" t="s">
        <v>22</v>
      </c>
      <c r="H74" s="1944" t="s">
        <v>22</v>
      </c>
      <c r="I74" s="1944" t="s">
        <v>966</v>
      </c>
    </row>
    <row customHeight="1" ht="11.25">
      <c r="A75" s="1944" t="s">
        <v>2480</v>
      </c>
      <c r="B75" s="1944" t="s">
        <v>16</v>
      </c>
      <c r="C75" s="1944" t="s">
        <v>2740</v>
      </c>
      <c r="D75" s="1944" t="s">
        <v>2741</v>
      </c>
      <c r="E75" s="1944" t="s">
        <v>2742</v>
      </c>
      <c r="F75" s="1944" t="s">
        <v>2672</v>
      </c>
      <c r="G75" s="1944" t="s">
        <v>22</v>
      </c>
      <c r="H75" s="1944" t="s">
        <v>22</v>
      </c>
      <c r="I75" s="1944" t="s">
        <v>966</v>
      </c>
    </row>
    <row customHeight="1" ht="11.25">
      <c r="A76" s="1944" t="s">
        <v>2480</v>
      </c>
      <c r="B76" s="1944" t="s">
        <v>16</v>
      </c>
      <c r="C76" s="1944" t="s">
        <v>2743</v>
      </c>
      <c r="D76" s="1944" t="s">
        <v>2744</v>
      </c>
      <c r="E76" s="1944" t="s">
        <v>2745</v>
      </c>
      <c r="F76" s="1944" t="s">
        <v>2626</v>
      </c>
      <c r="G76" s="1944" t="s">
        <v>22</v>
      </c>
      <c r="H76" s="1944" t="s">
        <v>22</v>
      </c>
      <c r="I76" s="1944" t="s">
        <v>966</v>
      </c>
    </row>
    <row customHeight="1" ht="11.25">
      <c r="A77" s="1944" t="s">
        <v>2480</v>
      </c>
      <c r="B77" s="1944" t="s">
        <v>16</v>
      </c>
      <c r="C77" s="1944" t="s">
        <v>2746</v>
      </c>
      <c r="D77" s="1944" t="s">
        <v>2747</v>
      </c>
      <c r="E77" s="1944" t="s">
        <v>2748</v>
      </c>
      <c r="F77" s="1944" t="s">
        <v>2541</v>
      </c>
      <c r="G77" s="1944" t="s">
        <v>2749</v>
      </c>
      <c r="H77" s="1944" t="s">
        <v>22</v>
      </c>
      <c r="I77" s="1944" t="s">
        <v>966</v>
      </c>
    </row>
    <row customHeight="1" ht="11.25">
      <c r="A78" s="1944" t="s">
        <v>2480</v>
      </c>
      <c r="B78" s="1944" t="s">
        <v>16</v>
      </c>
      <c r="C78" s="1944" t="s">
        <v>2750</v>
      </c>
      <c r="D78" s="1944" t="s">
        <v>2751</v>
      </c>
      <c r="E78" s="1944" t="s">
        <v>2752</v>
      </c>
      <c r="F78" s="1944" t="s">
        <v>2606</v>
      </c>
      <c r="G78" s="1944" t="s">
        <v>22</v>
      </c>
      <c r="H78" s="1944" t="s">
        <v>22</v>
      </c>
      <c r="I78" s="1944" t="s">
        <v>966</v>
      </c>
    </row>
    <row customHeight="1" ht="11.25">
      <c r="A79" s="1944" t="s">
        <v>2480</v>
      </c>
      <c r="B79" s="1944" t="s">
        <v>16</v>
      </c>
      <c r="C79" s="1944" t="s">
        <v>2753</v>
      </c>
      <c r="D79" s="1944" t="s">
        <v>2754</v>
      </c>
      <c r="E79" s="1944" t="s">
        <v>2755</v>
      </c>
      <c r="F79" s="1944" t="s">
        <v>2652</v>
      </c>
      <c r="G79" s="1944" t="s">
        <v>22</v>
      </c>
      <c r="H79" s="1944" t="s">
        <v>22</v>
      </c>
      <c r="I79" s="1944" t="s">
        <v>966</v>
      </c>
    </row>
    <row customHeight="1" ht="11.25">
      <c r="A80" s="1944" t="s">
        <v>2480</v>
      </c>
      <c r="B80" s="1944" t="s">
        <v>16</v>
      </c>
      <c r="C80" s="1944" t="s">
        <v>2756</v>
      </c>
      <c r="D80" s="1944" t="s">
        <v>2757</v>
      </c>
      <c r="E80" s="1944" t="s">
        <v>2576</v>
      </c>
      <c r="F80" s="1944" t="s">
        <v>2758</v>
      </c>
      <c r="G80" s="1944" t="s">
        <v>22</v>
      </c>
      <c r="H80" s="1944" t="s">
        <v>22</v>
      </c>
      <c r="I80" s="1944" t="s">
        <v>966</v>
      </c>
    </row>
    <row customHeight="1" ht="11.25">
      <c r="A81" s="1944" t="s">
        <v>2480</v>
      </c>
      <c r="B81" s="1944" t="s">
        <v>16</v>
      </c>
      <c r="C81" s="1944" t="s">
        <v>2759</v>
      </c>
      <c r="D81" s="1944" t="s">
        <v>2760</v>
      </c>
      <c r="E81" s="1944" t="s">
        <v>2576</v>
      </c>
      <c r="F81" s="1944" t="s">
        <v>2761</v>
      </c>
      <c r="G81" s="1944" t="s">
        <v>22</v>
      </c>
      <c r="H81" s="1944" t="s">
        <v>22</v>
      </c>
      <c r="I81" s="1944" t="s">
        <v>966</v>
      </c>
    </row>
    <row customHeight="1" ht="11.25">
      <c r="A82" s="1944" t="s">
        <v>2480</v>
      </c>
      <c r="B82" s="1944" t="s">
        <v>16</v>
      </c>
      <c r="C82" s="1944" t="s">
        <v>2762</v>
      </c>
      <c r="D82" s="1944" t="s">
        <v>2763</v>
      </c>
      <c r="E82" s="1944" t="s">
        <v>2764</v>
      </c>
      <c r="F82" s="1944" t="s">
        <v>2765</v>
      </c>
      <c r="G82" s="1944" t="s">
        <v>22</v>
      </c>
      <c r="H82" s="1944" t="s">
        <v>22</v>
      </c>
      <c r="I82" s="1944" t="s">
        <v>966</v>
      </c>
    </row>
    <row customHeight="1" ht="11.25">
      <c r="A83" s="1944" t="s">
        <v>2480</v>
      </c>
      <c r="B83" s="1944" t="s">
        <v>16</v>
      </c>
      <c r="C83" s="1944" t="s">
        <v>2766</v>
      </c>
      <c r="D83" s="1944" t="s">
        <v>2767</v>
      </c>
      <c r="E83" s="1944" t="s">
        <v>2768</v>
      </c>
      <c r="F83" s="1944" t="s">
        <v>2769</v>
      </c>
      <c r="G83" s="1944" t="s">
        <v>2770</v>
      </c>
      <c r="H83" s="1944" t="s">
        <v>22</v>
      </c>
      <c r="I83" s="1944" t="s">
        <v>966</v>
      </c>
    </row>
    <row customHeight="1" ht="11.25">
      <c r="A84" s="1944" t="s">
        <v>2480</v>
      </c>
      <c r="B84" s="1944" t="s">
        <v>16</v>
      </c>
      <c r="C84" s="1944" t="s">
        <v>2771</v>
      </c>
      <c r="D84" s="1944" t="s">
        <v>2772</v>
      </c>
      <c r="E84" s="1944" t="s">
        <v>2773</v>
      </c>
      <c r="F84" s="1944" t="s">
        <v>2541</v>
      </c>
      <c r="G84" s="1944" t="s">
        <v>22</v>
      </c>
      <c r="H84" s="1944" t="s">
        <v>22</v>
      </c>
      <c r="I84" s="1944" t="s">
        <v>966</v>
      </c>
    </row>
    <row customHeight="1" ht="11.25">
      <c r="A85" s="1944" t="s">
        <v>2480</v>
      </c>
      <c r="B85" s="1944" t="s">
        <v>16</v>
      </c>
      <c r="C85" s="1944" t="s">
        <v>2774</v>
      </c>
      <c r="D85" s="1944" t="s">
        <v>2775</v>
      </c>
      <c r="E85" s="1944" t="s">
        <v>2776</v>
      </c>
      <c r="F85" s="1944" t="s">
        <v>2606</v>
      </c>
      <c r="G85" s="1944" t="s">
        <v>22</v>
      </c>
      <c r="H85" s="1944" t="s">
        <v>22</v>
      </c>
      <c r="I85" s="1944" t="s">
        <v>966</v>
      </c>
    </row>
    <row customHeight="1" ht="11.25">
      <c r="A86" s="1944" t="s">
        <v>2480</v>
      </c>
      <c r="B86" s="1944" t="s">
        <v>16</v>
      </c>
      <c r="C86" s="1944" t="s">
        <v>2777</v>
      </c>
      <c r="D86" s="1944" t="s">
        <v>2778</v>
      </c>
      <c r="E86" s="1944" t="s">
        <v>2779</v>
      </c>
      <c r="F86" s="1944" t="s">
        <v>2606</v>
      </c>
      <c r="G86" s="1944" t="s">
        <v>22</v>
      </c>
      <c r="H86" s="1944" t="s">
        <v>22</v>
      </c>
      <c r="I86" s="1944" t="s">
        <v>966</v>
      </c>
    </row>
    <row customHeight="1" ht="11.25">
      <c r="A87" s="1944" t="s">
        <v>2480</v>
      </c>
      <c r="B87" s="1944" t="s">
        <v>16</v>
      </c>
      <c r="C87" s="1944" t="s">
        <v>2780</v>
      </c>
      <c r="D87" s="1944" t="s">
        <v>2781</v>
      </c>
      <c r="E87" s="1944" t="s">
        <v>2782</v>
      </c>
      <c r="F87" s="1944" t="s">
        <v>2594</v>
      </c>
      <c r="G87" s="1944" t="s">
        <v>22</v>
      </c>
      <c r="H87" s="1944" t="s">
        <v>22</v>
      </c>
      <c r="I87" s="1944" t="s">
        <v>966</v>
      </c>
    </row>
    <row customHeight="1" ht="11.25">
      <c r="A88" s="1944" t="s">
        <v>2480</v>
      </c>
      <c r="B88" s="1944" t="s">
        <v>16</v>
      </c>
      <c r="C88" s="1944" t="s">
        <v>2783</v>
      </c>
      <c r="D88" s="1944" t="s">
        <v>2784</v>
      </c>
      <c r="E88" s="1944" t="s">
        <v>2785</v>
      </c>
      <c r="F88" s="1944" t="s">
        <v>50</v>
      </c>
      <c r="G88" s="1944" t="s">
        <v>2786</v>
      </c>
      <c r="H88" s="1944" t="s">
        <v>22</v>
      </c>
      <c r="I88" s="1944" t="s">
        <v>966</v>
      </c>
    </row>
    <row customHeight="1" ht="11.25">
      <c r="A89" s="1944" t="s">
        <v>2480</v>
      </c>
      <c r="B89" s="1944" t="s">
        <v>16</v>
      </c>
      <c r="C89" s="1944" t="s">
        <v>2787</v>
      </c>
      <c r="D89" s="1944" t="s">
        <v>2788</v>
      </c>
      <c r="E89" s="1944" t="s">
        <v>2789</v>
      </c>
      <c r="F89" s="1944" t="s">
        <v>2626</v>
      </c>
      <c r="G89" s="1944" t="s">
        <v>2790</v>
      </c>
      <c r="H89" s="1944" t="s">
        <v>22</v>
      </c>
      <c r="I89" s="1944" t="s">
        <v>966</v>
      </c>
    </row>
    <row customHeight="1" ht="11.25">
      <c r="A90" s="1944" t="s">
        <v>2480</v>
      </c>
      <c r="B90" s="1944" t="s">
        <v>16</v>
      </c>
      <c r="C90" s="1944" t="s">
        <v>2791</v>
      </c>
      <c r="D90" s="1944" t="s">
        <v>2792</v>
      </c>
      <c r="E90" s="1944" t="s">
        <v>2793</v>
      </c>
      <c r="F90" s="1944" t="s">
        <v>2573</v>
      </c>
      <c r="G90" s="1944" t="s">
        <v>22</v>
      </c>
      <c r="H90" s="1944" t="s">
        <v>22</v>
      </c>
      <c r="I90" s="1944" t="s">
        <v>966</v>
      </c>
    </row>
    <row customHeight="1" ht="11.25">
      <c r="A91" s="1944" t="s">
        <v>2480</v>
      </c>
      <c r="B91" s="1944" t="s">
        <v>16</v>
      </c>
      <c r="C91" s="1944" t="s">
        <v>2794</v>
      </c>
      <c r="D91" s="1944" t="s">
        <v>2795</v>
      </c>
      <c r="E91" s="1944" t="s">
        <v>2796</v>
      </c>
      <c r="F91" s="1944" t="s">
        <v>2532</v>
      </c>
      <c r="G91" s="1944" t="s">
        <v>2797</v>
      </c>
      <c r="H91" s="1944" t="s">
        <v>22</v>
      </c>
      <c r="I91" s="1944" t="s">
        <v>966</v>
      </c>
    </row>
    <row customHeight="1" ht="11.25">
      <c r="A92" s="1944" t="s">
        <v>2480</v>
      </c>
      <c r="B92" s="1944" t="s">
        <v>16</v>
      </c>
      <c r="C92" s="1944" t="s">
        <v>2798</v>
      </c>
      <c r="D92" s="1944" t="s">
        <v>2799</v>
      </c>
      <c r="E92" s="1944" t="s">
        <v>2800</v>
      </c>
      <c r="F92" s="1944" t="s">
        <v>2594</v>
      </c>
      <c r="G92" s="1944" t="s">
        <v>22</v>
      </c>
      <c r="H92" s="1944" t="s">
        <v>22</v>
      </c>
      <c r="I92" s="1944" t="s">
        <v>966</v>
      </c>
    </row>
    <row customHeight="1" ht="11.25">
      <c r="A93" s="1944" t="s">
        <v>2480</v>
      </c>
      <c r="B93" s="1944" t="s">
        <v>16</v>
      </c>
      <c r="C93" s="1944" t="s">
        <v>2801</v>
      </c>
      <c r="D93" s="1944" t="s">
        <v>2802</v>
      </c>
      <c r="E93" s="1944" t="s">
        <v>2803</v>
      </c>
      <c r="F93" s="1944" t="s">
        <v>2489</v>
      </c>
      <c r="G93" s="1944" t="s">
        <v>2804</v>
      </c>
      <c r="H93" s="1944" t="s">
        <v>22</v>
      </c>
      <c r="I93" s="1944" t="s">
        <v>966</v>
      </c>
    </row>
    <row customHeight="1" ht="11.25">
      <c r="A94" s="1944" t="s">
        <v>2480</v>
      </c>
      <c r="B94" s="1944" t="s">
        <v>16</v>
      </c>
      <c r="C94" s="1944" t="s">
        <v>2805</v>
      </c>
      <c r="D94" s="1944" t="s">
        <v>2806</v>
      </c>
      <c r="E94" s="1944" t="s">
        <v>2807</v>
      </c>
      <c r="F94" s="1944" t="s">
        <v>2652</v>
      </c>
      <c r="G94" s="1944" t="s">
        <v>22</v>
      </c>
      <c r="H94" s="1944" t="s">
        <v>22</v>
      </c>
      <c r="I94" s="1944" t="s">
        <v>966</v>
      </c>
    </row>
    <row customHeight="1" ht="11.25">
      <c r="A95" s="1944" t="s">
        <v>2480</v>
      </c>
      <c r="B95" s="1944" t="s">
        <v>16</v>
      </c>
      <c r="C95" s="1944" t="s">
        <v>2808</v>
      </c>
      <c r="D95" s="1944" t="s">
        <v>2809</v>
      </c>
      <c r="E95" s="1944" t="s">
        <v>2810</v>
      </c>
      <c r="F95" s="1944" t="s">
        <v>2811</v>
      </c>
      <c r="G95" s="1944" t="s">
        <v>22</v>
      </c>
      <c r="H95" s="1944" t="s">
        <v>22</v>
      </c>
      <c r="I95" s="1944" t="s">
        <v>966</v>
      </c>
    </row>
    <row customHeight="1" ht="11.25">
      <c r="A96" s="1944" t="s">
        <v>2480</v>
      </c>
      <c r="B96" s="1944" t="s">
        <v>16</v>
      </c>
      <c r="C96" s="1944" t="s">
        <v>2812</v>
      </c>
      <c r="D96" s="1944" t="s">
        <v>2813</v>
      </c>
      <c r="E96" s="1944" t="s">
        <v>2814</v>
      </c>
      <c r="F96" s="1944" t="s">
        <v>2644</v>
      </c>
      <c r="G96" s="1944" t="s">
        <v>22</v>
      </c>
      <c r="H96" s="1944" t="s">
        <v>22</v>
      </c>
      <c r="I96" s="1944" t="s">
        <v>966</v>
      </c>
    </row>
    <row customHeight="1" ht="11.25">
      <c r="A97" s="1944" t="s">
        <v>2480</v>
      </c>
      <c r="B97" s="1944" t="s">
        <v>16</v>
      </c>
      <c r="C97" s="1944" t="s">
        <v>2815</v>
      </c>
      <c r="D97" s="1944" t="s">
        <v>2816</v>
      </c>
      <c r="E97" s="1944" t="s">
        <v>2817</v>
      </c>
      <c r="F97" s="1944" t="s">
        <v>2652</v>
      </c>
      <c r="G97" s="1944" t="s">
        <v>2818</v>
      </c>
      <c r="H97" s="1944" t="s">
        <v>22</v>
      </c>
      <c r="I97" s="1944" t="s">
        <v>966</v>
      </c>
    </row>
    <row customHeight="1" ht="11.25">
      <c r="A98" s="1944" t="s">
        <v>2480</v>
      </c>
      <c r="B98" s="1944" t="s">
        <v>16</v>
      </c>
      <c r="C98" s="1944" t="s">
        <v>2819</v>
      </c>
      <c r="D98" s="1944" t="s">
        <v>2820</v>
      </c>
      <c r="E98" s="1944" t="s">
        <v>2821</v>
      </c>
      <c r="F98" s="1944" t="s">
        <v>2594</v>
      </c>
      <c r="G98" s="1944" t="s">
        <v>22</v>
      </c>
      <c r="H98" s="1944" t="s">
        <v>22</v>
      </c>
      <c r="I98" s="1944" t="s">
        <v>966</v>
      </c>
    </row>
    <row customHeight="1" ht="11.25">
      <c r="A99" s="1944" t="s">
        <v>2480</v>
      </c>
      <c r="B99" s="1944" t="s">
        <v>16</v>
      </c>
      <c r="C99" s="1944" t="s">
        <v>2822</v>
      </c>
      <c r="D99" s="1944" t="s">
        <v>2823</v>
      </c>
      <c r="E99" s="1944" t="s">
        <v>2824</v>
      </c>
      <c r="F99" s="1944" t="s">
        <v>2594</v>
      </c>
      <c r="G99" s="1944" t="s">
        <v>22</v>
      </c>
      <c r="H99" s="1944" t="s">
        <v>22</v>
      </c>
      <c r="I99" s="1944" t="s">
        <v>966</v>
      </c>
    </row>
    <row customHeight="1" ht="11.25">
      <c r="A100" s="1944" t="s">
        <v>2480</v>
      </c>
      <c r="B100" s="1944" t="s">
        <v>16</v>
      </c>
      <c r="C100" s="1944" t="s">
        <v>2825</v>
      </c>
      <c r="D100" s="1944" t="s">
        <v>2826</v>
      </c>
      <c r="E100" s="1944" t="s">
        <v>2827</v>
      </c>
      <c r="F100" s="1944" t="s">
        <v>2489</v>
      </c>
      <c r="G100" s="1944" t="s">
        <v>22</v>
      </c>
      <c r="H100" s="1944" t="s">
        <v>22</v>
      </c>
      <c r="I100" s="1944" t="s">
        <v>966</v>
      </c>
    </row>
    <row customHeight="1" ht="11.25">
      <c r="A101" s="1944" t="s">
        <v>2480</v>
      </c>
      <c r="B101" s="1944" t="s">
        <v>16</v>
      </c>
      <c r="C101" s="1944" t="s">
        <v>2828</v>
      </c>
      <c r="D101" s="1944" t="s">
        <v>2829</v>
      </c>
      <c r="E101" s="1944" t="s">
        <v>2830</v>
      </c>
      <c r="F101" s="1944" t="s">
        <v>2831</v>
      </c>
      <c r="G101" s="1944" t="s">
        <v>22</v>
      </c>
      <c r="H101" s="1944" t="s">
        <v>22</v>
      </c>
      <c r="I101" s="1944" t="s">
        <v>966</v>
      </c>
    </row>
    <row customHeight="1" ht="11.25">
      <c r="A102" s="1944" t="s">
        <v>2480</v>
      </c>
      <c r="B102" s="1944" t="s">
        <v>16</v>
      </c>
      <c r="C102" s="1944" t="s">
        <v>2832</v>
      </c>
      <c r="D102" s="1944" t="s">
        <v>2833</v>
      </c>
      <c r="E102" s="1944" t="s">
        <v>2834</v>
      </c>
      <c r="F102" s="1944" t="s">
        <v>2831</v>
      </c>
      <c r="G102" s="1944" t="s">
        <v>22</v>
      </c>
      <c r="H102" s="1944" t="s">
        <v>22</v>
      </c>
      <c r="I102" s="1944" t="s">
        <v>966</v>
      </c>
    </row>
    <row customHeight="1" ht="11.25">
      <c r="A103" s="1944" t="s">
        <v>2480</v>
      </c>
      <c r="B103" s="1944" t="s">
        <v>16</v>
      </c>
      <c r="C103" s="1944" t="s">
        <v>2835</v>
      </c>
      <c r="D103" s="1944" t="s">
        <v>2836</v>
      </c>
      <c r="E103" s="1944" t="s">
        <v>2837</v>
      </c>
      <c r="F103" s="1944" t="s">
        <v>2532</v>
      </c>
      <c r="G103" s="1944" t="s">
        <v>2838</v>
      </c>
      <c r="H103" s="1944" t="s">
        <v>22</v>
      </c>
      <c r="I103" s="1944" t="s">
        <v>966</v>
      </c>
    </row>
    <row customHeight="1" ht="11.25">
      <c r="A104" s="1944" t="s">
        <v>2480</v>
      </c>
      <c r="B104" s="1944" t="s">
        <v>16</v>
      </c>
      <c r="C104" s="1944" t="s">
        <v>2839</v>
      </c>
      <c r="D104" s="1944" t="s">
        <v>2840</v>
      </c>
      <c r="E104" s="1944" t="s">
        <v>2841</v>
      </c>
      <c r="F104" s="1944" t="s">
        <v>50</v>
      </c>
      <c r="G104" s="1944" t="s">
        <v>22</v>
      </c>
      <c r="H104" s="1944" t="s">
        <v>22</v>
      </c>
      <c r="I104" s="1944" t="s">
        <v>966</v>
      </c>
    </row>
    <row customHeight="1" ht="11.25">
      <c r="A105" s="1944" t="s">
        <v>2480</v>
      </c>
      <c r="B105" s="1944" t="s">
        <v>16</v>
      </c>
      <c r="C105" s="1944" t="s">
        <v>2842</v>
      </c>
      <c r="D105" s="1944" t="s">
        <v>2843</v>
      </c>
      <c r="E105" s="1944" t="s">
        <v>2844</v>
      </c>
      <c r="F105" s="1944" t="s">
        <v>2845</v>
      </c>
      <c r="G105" s="1944" t="s">
        <v>2846</v>
      </c>
      <c r="H105" s="1944" t="s">
        <v>22</v>
      </c>
      <c r="I105" s="1944" t="s">
        <v>966</v>
      </c>
    </row>
    <row customHeight="1" ht="11.25">
      <c r="A106" s="1944" t="s">
        <v>2480</v>
      </c>
      <c r="B106" s="1944" t="s">
        <v>16</v>
      </c>
      <c r="C106" s="1944" t="s">
        <v>2847</v>
      </c>
      <c r="D106" s="1944" t="s">
        <v>2848</v>
      </c>
      <c r="E106" s="1944" t="s">
        <v>2849</v>
      </c>
      <c r="F106" s="1944" t="s">
        <v>2831</v>
      </c>
      <c r="G106" s="1944" t="s">
        <v>2850</v>
      </c>
      <c r="H106" s="1944" t="s">
        <v>22</v>
      </c>
      <c r="I106" s="1944" t="s">
        <v>966</v>
      </c>
    </row>
    <row customHeight="1" ht="11.25">
      <c r="A107" s="1944" t="s">
        <v>2480</v>
      </c>
      <c r="B107" s="1944" t="s">
        <v>16</v>
      </c>
      <c r="C107" s="1944" t="s">
        <v>2851</v>
      </c>
      <c r="D107" s="1944" t="s">
        <v>2852</v>
      </c>
      <c r="E107" s="1944" t="s">
        <v>2853</v>
      </c>
      <c r="F107" s="1944" t="s">
        <v>2652</v>
      </c>
      <c r="G107" s="1944" t="s">
        <v>22</v>
      </c>
      <c r="H107" s="1944" t="s">
        <v>22</v>
      </c>
      <c r="I107" s="1944" t="s">
        <v>966</v>
      </c>
    </row>
    <row customHeight="1" ht="11.25">
      <c r="A108" s="1944" t="s">
        <v>2480</v>
      </c>
      <c r="B108" s="1944" t="s">
        <v>16</v>
      </c>
      <c r="C108" s="1944" t="s">
        <v>2854</v>
      </c>
      <c r="D108" s="1944" t="s">
        <v>2855</v>
      </c>
      <c r="E108" s="1944" t="s">
        <v>2856</v>
      </c>
      <c r="F108" s="1944" t="s">
        <v>2652</v>
      </c>
      <c r="G108" s="1944" t="s">
        <v>2857</v>
      </c>
      <c r="H108" s="1944" t="s">
        <v>22</v>
      </c>
      <c r="I108" s="1944" t="s">
        <v>966</v>
      </c>
    </row>
    <row customHeight="1" ht="11.25">
      <c r="A109" s="1944" t="s">
        <v>2480</v>
      </c>
      <c r="B109" s="1944" t="s">
        <v>16</v>
      </c>
      <c r="C109" s="1944" t="s">
        <v>2858</v>
      </c>
      <c r="D109" s="1944" t="s">
        <v>2859</v>
      </c>
      <c r="E109" s="1944" t="s">
        <v>2860</v>
      </c>
      <c r="F109" s="1944" t="s">
        <v>2652</v>
      </c>
      <c r="G109" s="1944" t="s">
        <v>22</v>
      </c>
      <c r="H109" s="1944" t="s">
        <v>22</v>
      </c>
      <c r="I109" s="1944" t="s">
        <v>966</v>
      </c>
    </row>
    <row customHeight="1" ht="11.25">
      <c r="A110" s="1944" t="s">
        <v>2480</v>
      </c>
      <c r="B110" s="1944" t="s">
        <v>16</v>
      </c>
      <c r="C110" s="1944" t="s">
        <v>2861</v>
      </c>
      <c r="D110" s="1944" t="s">
        <v>2862</v>
      </c>
      <c r="E110" s="1944" t="s">
        <v>2863</v>
      </c>
      <c r="F110" s="1944" t="s">
        <v>2652</v>
      </c>
      <c r="G110" s="1944" t="s">
        <v>22</v>
      </c>
      <c r="H110" s="1944" t="s">
        <v>22</v>
      </c>
      <c r="I110" s="1944" t="s">
        <v>966</v>
      </c>
    </row>
    <row customHeight="1" ht="11.25">
      <c r="A111" s="1944" t="s">
        <v>2480</v>
      </c>
      <c r="B111" s="1944" t="s">
        <v>16</v>
      </c>
      <c r="C111" s="1944" t="s">
        <v>2864</v>
      </c>
      <c r="D111" s="1944" t="s">
        <v>2865</v>
      </c>
      <c r="E111" s="1944" t="s">
        <v>2866</v>
      </c>
      <c r="F111" s="1944" t="s">
        <v>2663</v>
      </c>
      <c r="G111" s="1944" t="s">
        <v>2867</v>
      </c>
      <c r="H111" s="1944" t="s">
        <v>22</v>
      </c>
      <c r="I111" s="1944" t="s">
        <v>966</v>
      </c>
    </row>
    <row customHeight="1" ht="11.25">
      <c r="A112" s="1944" t="s">
        <v>2480</v>
      </c>
      <c r="B112" s="1944" t="s">
        <v>16</v>
      </c>
      <c r="C112" s="1944" t="s">
        <v>2868</v>
      </c>
      <c r="D112" s="1944" t="s">
        <v>2869</v>
      </c>
      <c r="E112" s="1944" t="s">
        <v>2870</v>
      </c>
      <c r="F112" s="1944" t="s">
        <v>2652</v>
      </c>
      <c r="G112" s="1944" t="s">
        <v>22</v>
      </c>
      <c r="H112" s="1944" t="s">
        <v>22</v>
      </c>
      <c r="I112" s="1944" t="s">
        <v>966</v>
      </c>
    </row>
    <row customHeight="1" ht="11.25">
      <c r="A113" s="1944" t="s">
        <v>2480</v>
      </c>
      <c r="B113" s="1944" t="s">
        <v>16</v>
      </c>
      <c r="C113" s="1944" t="s">
        <v>2871</v>
      </c>
      <c r="D113" s="1944" t="s">
        <v>2872</v>
      </c>
      <c r="E113" s="1944" t="s">
        <v>2873</v>
      </c>
      <c r="F113" s="1944" t="s">
        <v>2811</v>
      </c>
      <c r="G113" s="1944" t="s">
        <v>22</v>
      </c>
      <c r="H113" s="1944" t="s">
        <v>22</v>
      </c>
      <c r="I113" s="1944" t="s">
        <v>966</v>
      </c>
    </row>
    <row customHeight="1" ht="11.25">
      <c r="A114" s="1944" t="s">
        <v>2480</v>
      </c>
      <c r="B114" s="1944" t="s">
        <v>16</v>
      </c>
      <c r="C114" s="1944" t="s">
        <v>2874</v>
      </c>
      <c r="D114" s="1944" t="s">
        <v>2875</v>
      </c>
      <c r="E114" s="1944" t="s">
        <v>2876</v>
      </c>
      <c r="F114" s="1944" t="s">
        <v>2811</v>
      </c>
      <c r="G114" s="1944" t="s">
        <v>22</v>
      </c>
      <c r="H114" s="1944" t="s">
        <v>22</v>
      </c>
      <c r="I114" s="1944" t="s">
        <v>966</v>
      </c>
    </row>
    <row customHeight="1" ht="11.25">
      <c r="A115" s="1944" t="s">
        <v>2480</v>
      </c>
      <c r="B115" s="1944" t="s">
        <v>16</v>
      </c>
      <c r="C115" s="1944" t="s">
        <v>2877</v>
      </c>
      <c r="D115" s="1944" t="s">
        <v>2878</v>
      </c>
      <c r="E115" s="1944" t="s">
        <v>2879</v>
      </c>
      <c r="F115" s="1944" t="s">
        <v>2556</v>
      </c>
      <c r="G115" s="1944" t="s">
        <v>22</v>
      </c>
      <c r="H115" s="1944" t="s">
        <v>22</v>
      </c>
      <c r="I115" s="1944" t="s">
        <v>966</v>
      </c>
    </row>
    <row customHeight="1" ht="11.25">
      <c r="A116" s="1944" t="s">
        <v>2480</v>
      </c>
      <c r="B116" s="1944" t="s">
        <v>16</v>
      </c>
      <c r="C116" s="1944" t="s">
        <v>2880</v>
      </c>
      <c r="D116" s="1944" t="s">
        <v>2881</v>
      </c>
      <c r="E116" s="1944" t="s">
        <v>2882</v>
      </c>
      <c r="F116" s="1944" t="s">
        <v>2831</v>
      </c>
      <c r="G116" s="1944" t="s">
        <v>2883</v>
      </c>
      <c r="H116" s="1944" t="s">
        <v>22</v>
      </c>
      <c r="I116" s="1944" t="s">
        <v>966</v>
      </c>
    </row>
    <row customHeight="1" ht="11.25">
      <c r="A117" s="1944" t="s">
        <v>2480</v>
      </c>
      <c r="B117" s="1944" t="s">
        <v>16</v>
      </c>
      <c r="C117" s="1944" t="s">
        <v>2884</v>
      </c>
      <c r="D117" s="1944" t="s">
        <v>2885</v>
      </c>
      <c r="E117" s="1944" t="s">
        <v>2886</v>
      </c>
      <c r="F117" s="1944" t="s">
        <v>2573</v>
      </c>
      <c r="G117" s="1944" t="s">
        <v>22</v>
      </c>
      <c r="H117" s="1944" t="s">
        <v>22</v>
      </c>
      <c r="I117" s="1944" t="s">
        <v>966</v>
      </c>
    </row>
    <row customHeight="1" ht="11.25">
      <c r="A118" s="1944" t="s">
        <v>2480</v>
      </c>
      <c r="B118" s="1944" t="s">
        <v>16</v>
      </c>
      <c r="C118" s="1944" t="s">
        <v>2887</v>
      </c>
      <c r="D118" s="1944" t="s">
        <v>2888</v>
      </c>
      <c r="E118" s="1944" t="s">
        <v>2889</v>
      </c>
      <c r="F118" s="1944" t="s">
        <v>2652</v>
      </c>
      <c r="G118" s="1944" t="s">
        <v>22</v>
      </c>
      <c r="H118" s="1944" t="s">
        <v>22</v>
      </c>
      <c r="I118" s="1944" t="s">
        <v>966</v>
      </c>
    </row>
    <row customHeight="1" ht="11.25">
      <c r="A119" s="1944" t="s">
        <v>2480</v>
      </c>
      <c r="B119" s="1944" t="s">
        <v>16</v>
      </c>
      <c r="C119" s="1944" t="s">
        <v>2890</v>
      </c>
      <c r="D119" s="1944" t="s">
        <v>2891</v>
      </c>
      <c r="E119" s="1944" t="s">
        <v>2892</v>
      </c>
      <c r="F119" s="1944" t="s">
        <v>2652</v>
      </c>
      <c r="G119" s="1944" t="s">
        <v>2893</v>
      </c>
      <c r="H119" s="1944" t="s">
        <v>22</v>
      </c>
      <c r="I119" s="1944" t="s">
        <v>966</v>
      </c>
    </row>
    <row customHeight="1" ht="11.25">
      <c r="A120" s="1944" t="s">
        <v>2480</v>
      </c>
      <c r="B120" s="1944" t="s">
        <v>16</v>
      </c>
      <c r="C120" s="1944" t="s">
        <v>2894</v>
      </c>
      <c r="D120" s="1944" t="s">
        <v>2895</v>
      </c>
      <c r="E120" s="1944" t="s">
        <v>2896</v>
      </c>
      <c r="F120" s="1944" t="s">
        <v>50</v>
      </c>
      <c r="G120" s="1944" t="s">
        <v>2897</v>
      </c>
      <c r="H120" s="1944" t="s">
        <v>22</v>
      </c>
      <c r="I120" s="1944" t="s">
        <v>966</v>
      </c>
    </row>
    <row customHeight="1" ht="11.25">
      <c r="A121" s="1944" t="s">
        <v>2480</v>
      </c>
      <c r="B121" s="1944" t="s">
        <v>16</v>
      </c>
      <c r="C121" s="1944" t="s">
        <v>2898</v>
      </c>
      <c r="D121" s="1944" t="s">
        <v>2899</v>
      </c>
      <c r="E121" s="1944" t="s">
        <v>2900</v>
      </c>
      <c r="F121" s="1944" t="s">
        <v>2652</v>
      </c>
      <c r="G121" s="1944" t="s">
        <v>22</v>
      </c>
      <c r="H121" s="1944" t="s">
        <v>22</v>
      </c>
      <c r="I121" s="1944" t="s">
        <v>966</v>
      </c>
    </row>
    <row customHeight="1" ht="11.25">
      <c r="A122" s="1944" t="s">
        <v>2480</v>
      </c>
      <c r="B122" s="1944" t="s">
        <v>16</v>
      </c>
      <c r="C122" s="1944" t="s">
        <v>2901</v>
      </c>
      <c r="D122" s="1944" t="s">
        <v>2902</v>
      </c>
      <c r="E122" s="1944" t="s">
        <v>2903</v>
      </c>
      <c r="F122" s="1944" t="s">
        <v>2644</v>
      </c>
      <c r="G122" s="1944" t="s">
        <v>2904</v>
      </c>
      <c r="H122" s="1944" t="s">
        <v>22</v>
      </c>
      <c r="I122" s="1944" t="s">
        <v>966</v>
      </c>
    </row>
    <row customHeight="1" ht="11.25">
      <c r="A123" s="1944" t="s">
        <v>2480</v>
      </c>
      <c r="B123" s="1944" t="s">
        <v>16</v>
      </c>
      <c r="C123" s="1944" t="s">
        <v>2905</v>
      </c>
      <c r="D123" s="1944" t="s">
        <v>2906</v>
      </c>
      <c r="E123" s="1944" t="s">
        <v>2907</v>
      </c>
      <c r="F123" s="1944" t="s">
        <v>2606</v>
      </c>
      <c r="G123" s="1944" t="s">
        <v>2908</v>
      </c>
      <c r="H123" s="1944" t="s">
        <v>22</v>
      </c>
      <c r="I123" s="1944" t="s">
        <v>966</v>
      </c>
    </row>
    <row customHeight="1" ht="11.25">
      <c r="A124" s="1944" t="s">
        <v>2480</v>
      </c>
      <c r="B124" s="1944" t="s">
        <v>16</v>
      </c>
      <c r="C124" s="1944" t="s">
        <v>2909</v>
      </c>
      <c r="D124" s="1944" t="s">
        <v>2910</v>
      </c>
      <c r="E124" s="1944" t="s">
        <v>2911</v>
      </c>
      <c r="F124" s="1944" t="s">
        <v>2663</v>
      </c>
      <c r="G124" s="1944" t="s">
        <v>2912</v>
      </c>
      <c r="H124" s="1944" t="s">
        <v>22</v>
      </c>
      <c r="I124" s="1944" t="s">
        <v>966</v>
      </c>
    </row>
    <row customHeight="1" ht="11.25">
      <c r="A125" s="1944" t="s">
        <v>2480</v>
      </c>
      <c r="B125" s="1944" t="s">
        <v>16</v>
      </c>
      <c r="C125" s="1944" t="s">
        <v>2913</v>
      </c>
      <c r="D125" s="1944" t="s">
        <v>2914</v>
      </c>
      <c r="E125" s="1944" t="s">
        <v>2915</v>
      </c>
      <c r="F125" s="1944" t="s">
        <v>2690</v>
      </c>
      <c r="G125" s="1944" t="s">
        <v>2916</v>
      </c>
      <c r="H125" s="1944" t="s">
        <v>22</v>
      </c>
      <c r="I125" s="1944" t="s">
        <v>966</v>
      </c>
    </row>
    <row customHeight="1" ht="11.25">
      <c r="A126" s="1944" t="s">
        <v>2480</v>
      </c>
      <c r="B126" s="1944" t="s">
        <v>16</v>
      </c>
      <c r="C126" s="1944" t="s">
        <v>2917</v>
      </c>
      <c r="D126" s="1944" t="s">
        <v>2918</v>
      </c>
      <c r="E126" s="1944" t="s">
        <v>2919</v>
      </c>
      <c r="F126" s="1944" t="s">
        <v>2920</v>
      </c>
      <c r="G126" s="1944" t="s">
        <v>2921</v>
      </c>
      <c r="H126" s="1944" t="s">
        <v>22</v>
      </c>
      <c r="I126" s="1944" t="s">
        <v>966</v>
      </c>
    </row>
    <row customHeight="1" ht="11.25">
      <c r="A127" s="1944" t="s">
        <v>2480</v>
      </c>
      <c r="B127" s="1944" t="s">
        <v>16</v>
      </c>
      <c r="C127" s="1944" t="s">
        <v>2922</v>
      </c>
      <c r="D127" s="1944" t="s">
        <v>2923</v>
      </c>
      <c r="E127" s="1944" t="s">
        <v>2924</v>
      </c>
      <c r="F127" s="1944" t="s">
        <v>2644</v>
      </c>
      <c r="G127" s="1944" t="s">
        <v>22</v>
      </c>
      <c r="H127" s="1944" t="s">
        <v>22</v>
      </c>
      <c r="I127" s="1944" t="s">
        <v>966</v>
      </c>
    </row>
    <row customHeight="1" ht="11.25">
      <c r="A128" s="1944" t="s">
        <v>2480</v>
      </c>
      <c r="B128" s="1944" t="s">
        <v>16</v>
      </c>
      <c r="C128" s="1944" t="s">
        <v>2925</v>
      </c>
      <c r="D128" s="1944" t="s">
        <v>2926</v>
      </c>
      <c r="E128" s="1944" t="s">
        <v>2927</v>
      </c>
      <c r="F128" s="1944" t="s">
        <v>2532</v>
      </c>
      <c r="G128" s="1944" t="s">
        <v>2928</v>
      </c>
      <c r="H128" s="1944" t="s">
        <v>22</v>
      </c>
      <c r="I128" s="1944" t="s">
        <v>966</v>
      </c>
    </row>
    <row customHeight="1" ht="11.25">
      <c r="A129" s="1944" t="s">
        <v>2480</v>
      </c>
      <c r="B129" s="1944" t="s">
        <v>16</v>
      </c>
      <c r="C129" s="1944" t="s">
        <v>2929</v>
      </c>
      <c r="D129" s="1944" t="s">
        <v>2930</v>
      </c>
      <c r="E129" s="1944" t="s">
        <v>2931</v>
      </c>
      <c r="F129" s="1944" t="s">
        <v>2652</v>
      </c>
      <c r="G129" s="1944" t="s">
        <v>22</v>
      </c>
      <c r="H129" s="1944" t="s">
        <v>22</v>
      </c>
      <c r="I129" s="1944" t="s">
        <v>966</v>
      </c>
    </row>
    <row customHeight="1" ht="11.25">
      <c r="A130" s="1944" t="s">
        <v>2480</v>
      </c>
      <c r="B130" s="1944" t="s">
        <v>16</v>
      </c>
      <c r="C130" s="1944" t="s">
        <v>2932</v>
      </c>
      <c r="D130" s="1944" t="s">
        <v>2933</v>
      </c>
      <c r="E130" s="1944" t="s">
        <v>2934</v>
      </c>
      <c r="F130" s="1944" t="s">
        <v>2594</v>
      </c>
      <c r="G130" s="1944" t="s">
        <v>22</v>
      </c>
      <c r="H130" s="1944" t="s">
        <v>22</v>
      </c>
      <c r="I130" s="1944" t="s">
        <v>966</v>
      </c>
    </row>
    <row customHeight="1" ht="11.25">
      <c r="A131" s="1944" t="s">
        <v>2480</v>
      </c>
      <c r="B131" s="1944" t="s">
        <v>16</v>
      </c>
      <c r="C131" s="1944" t="s">
        <v>2935</v>
      </c>
      <c r="D131" s="1944" t="s">
        <v>2936</v>
      </c>
      <c r="E131" s="1944" t="s">
        <v>2937</v>
      </c>
      <c r="F131" s="1944" t="s">
        <v>2556</v>
      </c>
      <c r="G131" s="1944" t="s">
        <v>22</v>
      </c>
      <c r="H131" s="1944" t="s">
        <v>22</v>
      </c>
      <c r="I131" s="1944" t="s">
        <v>966</v>
      </c>
    </row>
    <row customHeight="1" ht="11.25">
      <c r="A132" s="1944" t="s">
        <v>2480</v>
      </c>
      <c r="B132" s="1944" t="s">
        <v>16</v>
      </c>
      <c r="C132" s="1944" t="s">
        <v>2938</v>
      </c>
      <c r="D132" s="1944" t="s">
        <v>2939</v>
      </c>
      <c r="E132" s="1944" t="s">
        <v>2940</v>
      </c>
      <c r="F132" s="1944" t="s">
        <v>2611</v>
      </c>
      <c r="G132" s="1944" t="s">
        <v>2941</v>
      </c>
      <c r="H132" s="1944" t="s">
        <v>22</v>
      </c>
      <c r="I132" s="1944" t="s">
        <v>966</v>
      </c>
    </row>
    <row customHeight="1" ht="11.25">
      <c r="A133" s="1944" t="s">
        <v>2480</v>
      </c>
      <c r="B133" s="1944" t="s">
        <v>16</v>
      </c>
      <c r="C133" s="1944" t="s">
        <v>2942</v>
      </c>
      <c r="D133" s="1944" t="s">
        <v>2943</v>
      </c>
      <c r="E133" s="1944" t="s">
        <v>2944</v>
      </c>
      <c r="F133" s="1944" t="s">
        <v>2606</v>
      </c>
      <c r="G133" s="1944" t="s">
        <v>2945</v>
      </c>
      <c r="H133" s="1944" t="s">
        <v>22</v>
      </c>
      <c r="I133" s="1944" t="s">
        <v>966</v>
      </c>
    </row>
    <row customHeight="1" ht="11.25">
      <c r="A134" s="1944" t="s">
        <v>2480</v>
      </c>
      <c r="B134" s="1944" t="s">
        <v>16</v>
      </c>
      <c r="C134" s="1944" t="s">
        <v>2946</v>
      </c>
      <c r="D134" s="1944" t="s">
        <v>2947</v>
      </c>
      <c r="E134" s="1944" t="s">
        <v>2948</v>
      </c>
      <c r="F134" s="1944" t="s">
        <v>2532</v>
      </c>
      <c r="G134" s="1944" t="s">
        <v>2949</v>
      </c>
      <c r="H134" s="1944" t="s">
        <v>22</v>
      </c>
      <c r="I134" s="1944" t="s">
        <v>966</v>
      </c>
    </row>
    <row customHeight="1" ht="11.25">
      <c r="A135" s="1944" t="s">
        <v>2480</v>
      </c>
      <c r="B135" s="1944" t="s">
        <v>16</v>
      </c>
      <c r="C135" s="1944" t="s">
        <v>2950</v>
      </c>
      <c r="D135" s="1944" t="s">
        <v>2951</v>
      </c>
      <c r="E135" s="1944" t="s">
        <v>2952</v>
      </c>
      <c r="F135" s="1944" t="s">
        <v>2811</v>
      </c>
      <c r="G135" s="1944" t="s">
        <v>2953</v>
      </c>
      <c r="H135" s="1944" t="s">
        <v>22</v>
      </c>
      <c r="I135" s="1944" t="s">
        <v>966</v>
      </c>
    </row>
    <row customHeight="1" ht="11.25">
      <c r="A136" s="1944" t="s">
        <v>2480</v>
      </c>
      <c r="B136" s="1944" t="s">
        <v>16</v>
      </c>
      <c r="C136" s="1944" t="s">
        <v>2954</v>
      </c>
      <c r="D136" s="1944" t="s">
        <v>2955</v>
      </c>
      <c r="E136" s="1944" t="s">
        <v>2956</v>
      </c>
      <c r="F136" s="1944" t="s">
        <v>2532</v>
      </c>
      <c r="G136" s="1944" t="s">
        <v>2957</v>
      </c>
      <c r="H136" s="1944" t="s">
        <v>22</v>
      </c>
      <c r="I136" s="1944" t="s">
        <v>966</v>
      </c>
    </row>
    <row customHeight="1" ht="11.25">
      <c r="A137" s="1944" t="s">
        <v>2480</v>
      </c>
      <c r="B137" s="1944" t="s">
        <v>16</v>
      </c>
      <c r="C137" s="1944" t="s">
        <v>2958</v>
      </c>
      <c r="D137" s="1944" t="s">
        <v>2959</v>
      </c>
      <c r="E137" s="1944" t="s">
        <v>2960</v>
      </c>
      <c r="F137" s="1944" t="s">
        <v>2811</v>
      </c>
      <c r="G137" s="1944" t="s">
        <v>2961</v>
      </c>
      <c r="H137" s="1944" t="s">
        <v>22</v>
      </c>
      <c r="I137" s="1944" t="s">
        <v>966</v>
      </c>
    </row>
    <row customHeight="1" ht="11.25">
      <c r="A138" s="1944" t="s">
        <v>2480</v>
      </c>
      <c r="B138" s="1944" t="s">
        <v>16</v>
      </c>
      <c r="C138" s="1944" t="s">
        <v>2962</v>
      </c>
      <c r="D138" s="1944" t="s">
        <v>2963</v>
      </c>
      <c r="E138" s="1944" t="s">
        <v>2964</v>
      </c>
      <c r="F138" s="1944" t="s">
        <v>2615</v>
      </c>
      <c r="G138" s="1944" t="s">
        <v>2965</v>
      </c>
      <c r="H138" s="1944" t="s">
        <v>22</v>
      </c>
      <c r="I138" s="1944" t="s">
        <v>966</v>
      </c>
    </row>
    <row customHeight="1" ht="11.25">
      <c r="A139" s="1944" t="s">
        <v>2480</v>
      </c>
      <c r="B139" s="1944" t="s">
        <v>16</v>
      </c>
      <c r="C139" s="1944" t="s">
        <v>2966</v>
      </c>
      <c r="D139" s="1944" t="s">
        <v>2967</v>
      </c>
      <c r="E139" s="1944" t="s">
        <v>2968</v>
      </c>
      <c r="F139" s="1944" t="s">
        <v>2831</v>
      </c>
      <c r="G139" s="1944" t="s">
        <v>22</v>
      </c>
      <c r="H139" s="1944" t="s">
        <v>22</v>
      </c>
      <c r="I139" s="1944" t="s">
        <v>966</v>
      </c>
    </row>
    <row customHeight="1" ht="11.25">
      <c r="A140" s="1944" t="s">
        <v>2480</v>
      </c>
      <c r="B140" s="1944" t="s">
        <v>16</v>
      </c>
      <c r="C140" s="1944" t="s">
        <v>2969</v>
      </c>
      <c r="D140" s="1944" t="s">
        <v>2970</v>
      </c>
      <c r="E140" s="1944" t="s">
        <v>2971</v>
      </c>
      <c r="F140" s="1944" t="s">
        <v>2831</v>
      </c>
      <c r="G140" s="1944" t="s">
        <v>22</v>
      </c>
      <c r="H140" s="1944" t="s">
        <v>22</v>
      </c>
      <c r="I140" s="1944" t="s">
        <v>966</v>
      </c>
    </row>
    <row customHeight="1" ht="11.25">
      <c r="A141" s="1944" t="s">
        <v>2480</v>
      </c>
      <c r="B141" s="1944" t="s">
        <v>16</v>
      </c>
      <c r="C141" s="1944" t="s">
        <v>2972</v>
      </c>
      <c r="D141" s="1944" t="s">
        <v>2973</v>
      </c>
      <c r="E141" s="1944" t="s">
        <v>2974</v>
      </c>
      <c r="F141" s="1944" t="s">
        <v>2573</v>
      </c>
      <c r="G141" s="1944" t="s">
        <v>2975</v>
      </c>
      <c r="H141" s="1944" t="s">
        <v>22</v>
      </c>
      <c r="I141" s="1944" t="s">
        <v>966</v>
      </c>
    </row>
    <row customHeight="1" ht="11.25">
      <c r="A142" s="1944" t="s">
        <v>2480</v>
      </c>
      <c r="B142" s="1944" t="s">
        <v>16</v>
      </c>
      <c r="C142" s="1944" t="s">
        <v>2976</v>
      </c>
      <c r="D142" s="1944" t="s">
        <v>2977</v>
      </c>
      <c r="E142" s="1944" t="s">
        <v>2978</v>
      </c>
      <c r="F142" s="1944" t="s">
        <v>2626</v>
      </c>
      <c r="G142" s="1944" t="s">
        <v>22</v>
      </c>
      <c r="H142" s="1944" t="s">
        <v>22</v>
      </c>
      <c r="I142" s="1944" t="s">
        <v>966</v>
      </c>
    </row>
    <row customHeight="1" ht="11.25">
      <c r="A143" s="1944" t="s">
        <v>2480</v>
      </c>
      <c r="B143" s="1944" t="s">
        <v>16</v>
      </c>
      <c r="C143" s="1944" t="s">
        <v>2979</v>
      </c>
      <c r="D143" s="1944" t="s">
        <v>2980</v>
      </c>
      <c r="E143" s="1944" t="s">
        <v>2981</v>
      </c>
      <c r="F143" s="1944" t="s">
        <v>2626</v>
      </c>
      <c r="G143" s="1944" t="s">
        <v>22</v>
      </c>
      <c r="H143" s="1944" t="s">
        <v>22</v>
      </c>
      <c r="I143" s="1944" t="s">
        <v>966</v>
      </c>
    </row>
    <row customHeight="1" ht="11.25">
      <c r="A144" s="1944" t="s">
        <v>2480</v>
      </c>
      <c r="B144" s="1944" t="s">
        <v>16</v>
      </c>
      <c r="C144" s="1944" t="s">
        <v>2982</v>
      </c>
      <c r="D144" s="1944" t="s">
        <v>2983</v>
      </c>
      <c r="E144" s="1944" t="s">
        <v>2984</v>
      </c>
      <c r="F144" s="1944" t="s">
        <v>2652</v>
      </c>
      <c r="G144" s="1944" t="s">
        <v>2985</v>
      </c>
      <c r="H144" s="1944" t="s">
        <v>22</v>
      </c>
      <c r="I144" s="1944" t="s">
        <v>966</v>
      </c>
    </row>
    <row customHeight="1" ht="11.25">
      <c r="A145" s="1944" t="s">
        <v>2480</v>
      </c>
      <c r="B145" s="1944" t="s">
        <v>16</v>
      </c>
      <c r="C145" s="1944" t="s">
        <v>2986</v>
      </c>
      <c r="D145" s="1944" t="s">
        <v>2987</v>
      </c>
      <c r="E145" s="1944" t="s">
        <v>2988</v>
      </c>
      <c r="F145" s="1944" t="s">
        <v>50</v>
      </c>
      <c r="G145" s="1944" t="s">
        <v>22</v>
      </c>
      <c r="H145" s="1944" t="s">
        <v>22</v>
      </c>
      <c r="I145" s="1944" t="s">
        <v>966</v>
      </c>
    </row>
    <row customHeight="1" ht="11.25">
      <c r="A146" s="1944" t="s">
        <v>2480</v>
      </c>
      <c r="B146" s="1944" t="s">
        <v>16</v>
      </c>
      <c r="C146" s="1944" t="s">
        <v>2989</v>
      </c>
      <c r="D146" s="1944" t="s">
        <v>2990</v>
      </c>
      <c r="E146" s="1944" t="s">
        <v>2991</v>
      </c>
      <c r="F146" s="1944" t="s">
        <v>2672</v>
      </c>
      <c r="G146" s="1944" t="s">
        <v>2992</v>
      </c>
      <c r="H146" s="1944" t="s">
        <v>22</v>
      </c>
      <c r="I146" s="1944" t="s">
        <v>966</v>
      </c>
    </row>
    <row customHeight="1" ht="11.25">
      <c r="A147" s="1944" t="s">
        <v>2480</v>
      </c>
      <c r="B147" s="1944" t="s">
        <v>16</v>
      </c>
      <c r="C147" s="1944" t="s">
        <v>2993</v>
      </c>
      <c r="D147" s="1944" t="s">
        <v>2994</v>
      </c>
      <c r="E147" s="1944" t="s">
        <v>2995</v>
      </c>
      <c r="F147" s="1944" t="s">
        <v>2606</v>
      </c>
      <c r="G147" s="1944" t="s">
        <v>2996</v>
      </c>
      <c r="H147" s="1944" t="s">
        <v>22</v>
      </c>
      <c r="I147" s="1944" t="s">
        <v>966</v>
      </c>
    </row>
    <row customHeight="1" ht="11.25">
      <c r="A148" s="1944" t="s">
        <v>2480</v>
      </c>
      <c r="B148" s="1944" t="s">
        <v>16</v>
      </c>
      <c r="C148" s="1944" t="s">
        <v>2997</v>
      </c>
      <c r="D148" s="1944" t="s">
        <v>2998</v>
      </c>
      <c r="E148" s="1944" t="s">
        <v>2999</v>
      </c>
      <c r="F148" s="1944" t="s">
        <v>2652</v>
      </c>
      <c r="G148" s="1944" t="s">
        <v>2818</v>
      </c>
      <c r="H148" s="1944" t="s">
        <v>22</v>
      </c>
      <c r="I148" s="1944" t="s">
        <v>966</v>
      </c>
    </row>
    <row customHeight="1" ht="11.25">
      <c r="A149" s="1944" t="s">
        <v>2480</v>
      </c>
      <c r="B149" s="1944" t="s">
        <v>16</v>
      </c>
      <c r="C149" s="1944" t="s">
        <v>3000</v>
      </c>
      <c r="D149" s="1944" t="s">
        <v>3001</v>
      </c>
      <c r="E149" s="1944" t="s">
        <v>3002</v>
      </c>
      <c r="F149" s="1944" t="s">
        <v>2831</v>
      </c>
      <c r="G149" s="1944" t="s">
        <v>22</v>
      </c>
      <c r="H149" s="1944" t="s">
        <v>22</v>
      </c>
      <c r="I149" s="1944" t="s">
        <v>966</v>
      </c>
    </row>
    <row customHeight="1" ht="11.25">
      <c r="A150" s="1944" t="s">
        <v>2480</v>
      </c>
      <c r="B150" s="1944" t="s">
        <v>16</v>
      </c>
      <c r="C150" s="1944" t="s">
        <v>3003</v>
      </c>
      <c r="D150" s="1944" t="s">
        <v>3004</v>
      </c>
      <c r="E150" s="1944" t="s">
        <v>3005</v>
      </c>
      <c r="F150" s="1944" t="s">
        <v>2602</v>
      </c>
      <c r="G150" s="1944" t="s">
        <v>22</v>
      </c>
      <c r="H150" s="1944" t="s">
        <v>22</v>
      </c>
      <c r="I150" s="1944" t="s">
        <v>966</v>
      </c>
    </row>
    <row customHeight="1" ht="11.25">
      <c r="A151" s="1944" t="s">
        <v>2480</v>
      </c>
      <c r="B151" s="1944" t="s">
        <v>16</v>
      </c>
      <c r="C151" s="1944" t="s">
        <v>3006</v>
      </c>
      <c r="D151" s="1944" t="s">
        <v>3007</v>
      </c>
      <c r="E151" s="1944" t="s">
        <v>3008</v>
      </c>
      <c r="F151" s="1944" t="s">
        <v>2769</v>
      </c>
      <c r="G151" s="1944" t="s">
        <v>3009</v>
      </c>
      <c r="H151" s="1944" t="s">
        <v>22</v>
      </c>
      <c r="I151" s="1944" t="s">
        <v>966</v>
      </c>
    </row>
    <row customHeight="1" ht="11.25">
      <c r="A152" s="1944" t="s">
        <v>2480</v>
      </c>
      <c r="B152" s="1944" t="s">
        <v>16</v>
      </c>
      <c r="C152" s="1944" t="s">
        <v>3010</v>
      </c>
      <c r="D152" s="1944" t="s">
        <v>3011</v>
      </c>
      <c r="E152" s="1944" t="s">
        <v>3012</v>
      </c>
      <c r="F152" s="1944" t="s">
        <v>2831</v>
      </c>
      <c r="G152" s="1944" t="s">
        <v>22</v>
      </c>
      <c r="H152" s="1944" t="s">
        <v>22</v>
      </c>
      <c r="I152" s="1944" t="s">
        <v>966</v>
      </c>
    </row>
    <row customHeight="1" ht="11.25">
      <c r="A153" s="1944" t="s">
        <v>2480</v>
      </c>
      <c r="B153" s="1944" t="s">
        <v>16</v>
      </c>
      <c r="C153" s="1944" t="s">
        <v>3013</v>
      </c>
      <c r="D153" s="1944" t="s">
        <v>3014</v>
      </c>
      <c r="E153" s="1944" t="s">
        <v>3015</v>
      </c>
      <c r="F153" s="1944" t="s">
        <v>2532</v>
      </c>
      <c r="G153" s="1944" t="s">
        <v>3016</v>
      </c>
      <c r="H153" s="1944" t="s">
        <v>22</v>
      </c>
      <c r="I153" s="1944" t="s">
        <v>966</v>
      </c>
    </row>
    <row customHeight="1" ht="11.25">
      <c r="A154" s="1944" t="s">
        <v>2480</v>
      </c>
      <c r="B154" s="1944" t="s">
        <v>16</v>
      </c>
      <c r="C154" s="1944" t="s">
        <v>3017</v>
      </c>
      <c r="D154" s="1944" t="s">
        <v>3018</v>
      </c>
      <c r="E154" s="1944" t="s">
        <v>3019</v>
      </c>
      <c r="F154" s="1944" t="s">
        <v>2556</v>
      </c>
      <c r="G154" s="1944" t="s">
        <v>3020</v>
      </c>
      <c r="H154" s="1944" t="s">
        <v>22</v>
      </c>
      <c r="I154" s="1944" t="s">
        <v>966</v>
      </c>
    </row>
    <row customHeight="1" ht="11.25">
      <c r="A155" s="1944" t="s">
        <v>2480</v>
      </c>
      <c r="B155" s="1944" t="s">
        <v>16</v>
      </c>
      <c r="C155" s="1944" t="s">
        <v>3021</v>
      </c>
      <c r="D155" s="1944" t="s">
        <v>3022</v>
      </c>
      <c r="E155" s="1944" t="s">
        <v>3023</v>
      </c>
      <c r="F155" s="1944" t="s">
        <v>2644</v>
      </c>
      <c r="G155" s="1944" t="s">
        <v>22</v>
      </c>
      <c r="H155" s="1944" t="s">
        <v>22</v>
      </c>
      <c r="I155" s="1944" t="s">
        <v>966</v>
      </c>
    </row>
    <row customHeight="1" ht="11.25">
      <c r="A156" s="1944" t="s">
        <v>2480</v>
      </c>
      <c r="B156" s="1944" t="s">
        <v>16</v>
      </c>
      <c r="C156" s="1944" t="s">
        <v>3024</v>
      </c>
      <c r="D156" s="1944" t="s">
        <v>3025</v>
      </c>
      <c r="E156" s="1944" t="s">
        <v>3026</v>
      </c>
      <c r="F156" s="1944" t="s">
        <v>3027</v>
      </c>
      <c r="G156" s="1944" t="s">
        <v>3028</v>
      </c>
      <c r="H156" s="1944" t="s">
        <v>22</v>
      </c>
      <c r="I156" s="1944" t="s">
        <v>966</v>
      </c>
    </row>
    <row customHeight="1" ht="11.25">
      <c r="A157" s="1944" t="s">
        <v>2480</v>
      </c>
      <c r="B157" s="1944" t="s">
        <v>16</v>
      </c>
      <c r="C157" s="1944" t="s">
        <v>3029</v>
      </c>
      <c r="D157" s="1944" t="s">
        <v>3030</v>
      </c>
      <c r="E157" s="1944" t="s">
        <v>3031</v>
      </c>
      <c r="F157" s="1944" t="s">
        <v>2690</v>
      </c>
      <c r="G157" s="1944" t="s">
        <v>22</v>
      </c>
      <c r="H157" s="1944" t="s">
        <v>22</v>
      </c>
      <c r="I157" s="1944" t="s">
        <v>966</v>
      </c>
    </row>
    <row customHeight="1" ht="11.25">
      <c r="A158" s="1944" t="s">
        <v>2480</v>
      </c>
      <c r="B158" s="1944" t="s">
        <v>16</v>
      </c>
      <c r="C158" s="1944" t="s">
        <v>3032</v>
      </c>
      <c r="D158" s="1944" t="s">
        <v>3033</v>
      </c>
      <c r="E158" s="1944" t="s">
        <v>3034</v>
      </c>
      <c r="F158" s="1944" t="s">
        <v>2644</v>
      </c>
      <c r="G158" s="1944" t="s">
        <v>22</v>
      </c>
      <c r="H158" s="1944" t="s">
        <v>22</v>
      </c>
      <c r="I158" s="1944" t="s">
        <v>966</v>
      </c>
    </row>
    <row customHeight="1" ht="11.25">
      <c r="A159" s="1944" t="s">
        <v>2480</v>
      </c>
      <c r="B159" s="1944" t="s">
        <v>16</v>
      </c>
      <c r="C159" s="1944" t="s">
        <v>3035</v>
      </c>
      <c r="D159" s="1944" t="s">
        <v>3036</v>
      </c>
      <c r="E159" s="1944" t="s">
        <v>3037</v>
      </c>
      <c r="F159" s="1944" t="s">
        <v>50</v>
      </c>
      <c r="G159" s="1944" t="s">
        <v>22</v>
      </c>
      <c r="H159" s="1944" t="s">
        <v>22</v>
      </c>
      <c r="I159" s="1944" t="s">
        <v>966</v>
      </c>
    </row>
    <row customHeight="1" ht="11.25">
      <c r="A160" s="1944" t="s">
        <v>2480</v>
      </c>
      <c r="B160" s="1944" t="s">
        <v>16</v>
      </c>
      <c r="C160" s="1944" t="s">
        <v>3038</v>
      </c>
      <c r="D160" s="1944" t="s">
        <v>3039</v>
      </c>
      <c r="E160" s="1944" t="s">
        <v>3040</v>
      </c>
      <c r="F160" s="1944" t="s">
        <v>2545</v>
      </c>
      <c r="G160" s="1944" t="s">
        <v>3041</v>
      </c>
      <c r="H160" s="1944" t="s">
        <v>22</v>
      </c>
      <c r="I160" s="1944" t="s">
        <v>966</v>
      </c>
    </row>
    <row customHeight="1" ht="11.25">
      <c r="A161" s="1944" t="s">
        <v>2480</v>
      </c>
      <c r="B161" s="1944" t="s">
        <v>16</v>
      </c>
      <c r="C161" s="1944" t="s">
        <v>3042</v>
      </c>
      <c r="D161" s="1944" t="s">
        <v>3043</v>
      </c>
      <c r="E161" s="1944" t="s">
        <v>3044</v>
      </c>
      <c r="F161" s="1944" t="s">
        <v>50</v>
      </c>
      <c r="G161" s="1944" t="s">
        <v>22</v>
      </c>
      <c r="H161" s="1944" t="s">
        <v>22</v>
      </c>
      <c r="I161" s="1944" t="s">
        <v>966</v>
      </c>
    </row>
    <row customHeight="1" ht="11.25">
      <c r="A162" s="1944" t="s">
        <v>2480</v>
      </c>
      <c r="B162" s="1944" t="s">
        <v>16</v>
      </c>
      <c r="C162" s="1944" t="s">
        <v>3045</v>
      </c>
      <c r="D162" s="1944" t="s">
        <v>3046</v>
      </c>
      <c r="E162" s="1944" t="s">
        <v>3047</v>
      </c>
      <c r="F162" s="1944" t="s">
        <v>3048</v>
      </c>
      <c r="G162" s="1944" t="s">
        <v>22</v>
      </c>
      <c r="H162" s="1944" t="s">
        <v>22</v>
      </c>
      <c r="I162" s="1944" t="s">
        <v>966</v>
      </c>
    </row>
    <row customHeight="1" ht="11.25">
      <c r="A163" s="1944" t="s">
        <v>2480</v>
      </c>
      <c r="B163" s="1944" t="s">
        <v>16</v>
      </c>
      <c r="C163" s="1944" t="s">
        <v>3049</v>
      </c>
      <c r="D163" s="1944" t="s">
        <v>3050</v>
      </c>
      <c r="E163" s="1944" t="s">
        <v>3051</v>
      </c>
      <c r="F163" s="1944" t="s">
        <v>2594</v>
      </c>
      <c r="G163" s="1944" t="s">
        <v>22</v>
      </c>
      <c r="H163" s="1944" t="s">
        <v>22</v>
      </c>
      <c r="I163" s="1944" t="s">
        <v>966</v>
      </c>
    </row>
    <row customHeight="1" ht="11.25">
      <c r="A164" s="1944" t="s">
        <v>2480</v>
      </c>
      <c r="B164" s="1944" t="s">
        <v>16</v>
      </c>
      <c r="C164" s="1944" t="s">
        <v>3052</v>
      </c>
      <c r="D164" s="1944" t="s">
        <v>3053</v>
      </c>
      <c r="E164" s="1944" t="s">
        <v>3054</v>
      </c>
      <c r="F164" s="1944" t="s">
        <v>3055</v>
      </c>
      <c r="G164" s="1944" t="s">
        <v>22</v>
      </c>
      <c r="H164" s="1944" t="s">
        <v>22</v>
      </c>
      <c r="I164" s="1944" t="s">
        <v>966</v>
      </c>
    </row>
    <row customHeight="1" ht="11.25">
      <c r="A165" s="1944" t="s">
        <v>2480</v>
      </c>
      <c r="B165" s="1944" t="s">
        <v>16</v>
      </c>
      <c r="C165" s="1944" t="s">
        <v>3056</v>
      </c>
      <c r="D165" s="1944" t="s">
        <v>3057</v>
      </c>
      <c r="E165" s="1944" t="s">
        <v>3058</v>
      </c>
      <c r="F165" s="1944" t="s">
        <v>3059</v>
      </c>
      <c r="G165" s="1944" t="s">
        <v>3060</v>
      </c>
      <c r="H165" s="1944" t="s">
        <v>22</v>
      </c>
      <c r="I165" s="1944" t="s">
        <v>966</v>
      </c>
    </row>
    <row customHeight="1" ht="11.25">
      <c r="A166" s="1944" t="s">
        <v>2480</v>
      </c>
      <c r="B166" s="1944" t="s">
        <v>16</v>
      </c>
      <c r="C166" s="1944" t="s">
        <v>3061</v>
      </c>
      <c r="D166" s="1944" t="s">
        <v>3062</v>
      </c>
      <c r="E166" s="1944" t="s">
        <v>2576</v>
      </c>
      <c r="F166" s="1944" t="s">
        <v>3063</v>
      </c>
      <c r="G166" s="1944" t="s">
        <v>3064</v>
      </c>
      <c r="H166" s="1944" t="s">
        <v>22</v>
      </c>
      <c r="I166" s="1944" t="s">
        <v>966</v>
      </c>
    </row>
    <row customHeight="1" ht="11.25">
      <c r="A167" s="1944" t="s">
        <v>2480</v>
      </c>
      <c r="B167" s="1944" t="s">
        <v>16</v>
      </c>
      <c r="C167" s="1944" t="s">
        <v>3065</v>
      </c>
      <c r="D167" s="1944" t="s">
        <v>3066</v>
      </c>
      <c r="E167" s="1944" t="s">
        <v>3067</v>
      </c>
      <c r="F167" s="1944" t="s">
        <v>2652</v>
      </c>
      <c r="G167" s="1944" t="s">
        <v>22</v>
      </c>
      <c r="H167" s="1944" t="s">
        <v>22</v>
      </c>
      <c r="I167" s="1944" t="s">
        <v>966</v>
      </c>
    </row>
    <row customHeight="1" ht="11.25">
      <c r="A168" s="1944" t="s">
        <v>2480</v>
      </c>
      <c r="B168" s="1944" t="s">
        <v>16</v>
      </c>
      <c r="C168" s="1944" t="s">
        <v>2481</v>
      </c>
      <c r="D168" s="1944" t="s">
        <v>2482</v>
      </c>
      <c r="E168" s="1944" t="s">
        <v>2483</v>
      </c>
      <c r="F168" s="1944" t="s">
        <v>2484</v>
      </c>
      <c r="G168" s="1944" t="s">
        <v>2485</v>
      </c>
      <c r="H168" s="1944" t="s">
        <v>22</v>
      </c>
      <c r="I168" s="1944" t="s">
        <v>1058</v>
      </c>
    </row>
    <row customHeight="1" ht="11.25">
      <c r="A169" s="1944" t="s">
        <v>2480</v>
      </c>
      <c r="B169" s="1944" t="s">
        <v>16</v>
      </c>
      <c r="C169" s="1944" t="s">
        <v>13</v>
      </c>
      <c r="D169" s="1944" t="s">
        <v>45</v>
      </c>
      <c r="E169" s="1944" t="s">
        <v>48</v>
      </c>
      <c r="F169" s="1944" t="s">
        <v>50</v>
      </c>
      <c r="G169" s="1944" t="s">
        <v>2490</v>
      </c>
      <c r="H169" s="1944" t="s">
        <v>22</v>
      </c>
      <c r="I169" s="1944" t="s">
        <v>1058</v>
      </c>
    </row>
    <row customHeight="1" ht="11.25">
      <c r="A170" s="1944" t="s">
        <v>2480</v>
      </c>
      <c r="B170" s="1944" t="s">
        <v>16</v>
      </c>
      <c r="C170" s="1944" t="s">
        <v>2493</v>
      </c>
      <c r="D170" s="1944" t="s">
        <v>2494</v>
      </c>
      <c r="E170" s="1944" t="s">
        <v>48</v>
      </c>
      <c r="F170" s="1944" t="s">
        <v>2495</v>
      </c>
      <c r="G170" s="1944" t="s">
        <v>22</v>
      </c>
      <c r="H170" s="1944" t="s">
        <v>22</v>
      </c>
      <c r="I170" s="1944" t="s">
        <v>1058</v>
      </c>
    </row>
    <row customHeight="1" ht="11.25">
      <c r="A171" s="1944" t="s">
        <v>2480</v>
      </c>
      <c r="B171" s="1944" t="s">
        <v>16</v>
      </c>
      <c r="C171" s="1944" t="s">
        <v>2529</v>
      </c>
      <c r="D171" s="1944" t="s">
        <v>2530</v>
      </c>
      <c r="E171" s="1944" t="s">
        <v>2531</v>
      </c>
      <c r="F171" s="1944" t="s">
        <v>2532</v>
      </c>
      <c r="G171" s="1944" t="s">
        <v>2533</v>
      </c>
      <c r="H171" s="1944" t="s">
        <v>22</v>
      </c>
      <c r="I171" s="1944" t="s">
        <v>1058</v>
      </c>
    </row>
    <row customHeight="1" ht="11.25">
      <c r="A172" s="1944" t="s">
        <v>2480</v>
      </c>
      <c r="B172" s="1944" t="s">
        <v>16</v>
      </c>
      <c r="C172" s="1944" t="s">
        <v>2534</v>
      </c>
      <c r="D172" s="1944" t="s">
        <v>2535</v>
      </c>
      <c r="E172" s="1944" t="s">
        <v>2536</v>
      </c>
      <c r="F172" s="1944" t="s">
        <v>2532</v>
      </c>
      <c r="G172" s="1944" t="s">
        <v>2537</v>
      </c>
      <c r="H172" s="1944" t="s">
        <v>22</v>
      </c>
      <c r="I172" s="1944" t="s">
        <v>1058</v>
      </c>
    </row>
    <row customHeight="1" ht="11.25">
      <c r="A173" s="1944" t="s">
        <v>2480</v>
      </c>
      <c r="B173" s="1944" t="s">
        <v>16</v>
      </c>
      <c r="C173" s="1944" t="s">
        <v>2542</v>
      </c>
      <c r="D173" s="1944" t="s">
        <v>2543</v>
      </c>
      <c r="E173" s="1944" t="s">
        <v>2544</v>
      </c>
      <c r="F173" s="1944" t="s">
        <v>2545</v>
      </c>
      <c r="G173" s="1944" t="s">
        <v>22</v>
      </c>
      <c r="H173" s="1944" t="s">
        <v>22</v>
      </c>
      <c r="I173" s="1944" t="s">
        <v>1058</v>
      </c>
    </row>
    <row customHeight="1" ht="11.25">
      <c r="A174" s="1944" t="s">
        <v>2480</v>
      </c>
      <c r="B174" s="1944" t="s">
        <v>16</v>
      </c>
      <c r="C174" s="1944" t="s">
        <v>2549</v>
      </c>
      <c r="D174" s="1944" t="s">
        <v>2550</v>
      </c>
      <c r="E174" s="1944" t="s">
        <v>2551</v>
      </c>
      <c r="F174" s="1944" t="s">
        <v>50</v>
      </c>
      <c r="G174" s="1944" t="s">
        <v>2552</v>
      </c>
      <c r="H174" s="1944" t="s">
        <v>22</v>
      </c>
      <c r="I174" s="1944" t="s">
        <v>1058</v>
      </c>
    </row>
    <row customHeight="1" ht="11.25">
      <c r="A175" s="1944" t="s">
        <v>2480</v>
      </c>
      <c r="B175" s="1944" t="s">
        <v>16</v>
      </c>
      <c r="C175" s="1944" t="s">
        <v>2563</v>
      </c>
      <c r="D175" s="1944" t="s">
        <v>2564</v>
      </c>
      <c r="E175" s="1944" t="s">
        <v>2544</v>
      </c>
      <c r="F175" s="1944" t="s">
        <v>2565</v>
      </c>
      <c r="G175" s="1944" t="s">
        <v>22</v>
      </c>
      <c r="H175" s="1944" t="s">
        <v>22</v>
      </c>
      <c r="I175" s="1944" t="s">
        <v>1058</v>
      </c>
    </row>
    <row customHeight="1" ht="11.25">
      <c r="A176" s="1944" t="s">
        <v>2480</v>
      </c>
      <c r="B176" s="1944" t="s">
        <v>16</v>
      </c>
      <c r="C176" s="1944" t="s">
        <v>2566</v>
      </c>
      <c r="D176" s="1944" t="s">
        <v>2567</v>
      </c>
      <c r="E176" s="1944" t="s">
        <v>2568</v>
      </c>
      <c r="F176" s="1944" t="s">
        <v>2569</v>
      </c>
      <c r="G176" s="1944" t="s">
        <v>22</v>
      </c>
      <c r="H176" s="1944" t="s">
        <v>22</v>
      </c>
      <c r="I176" s="1944" t="s">
        <v>1058</v>
      </c>
    </row>
    <row customHeight="1" ht="11.25">
      <c r="A177" s="1944" t="s">
        <v>2480</v>
      </c>
      <c r="B177" s="1944" t="s">
        <v>16</v>
      </c>
      <c r="C177" s="1944" t="s">
        <v>2574</v>
      </c>
      <c r="D177" s="1944" t="s">
        <v>2575</v>
      </c>
      <c r="E177" s="1944" t="s">
        <v>2576</v>
      </c>
      <c r="F177" s="1944" t="s">
        <v>2577</v>
      </c>
      <c r="G177" s="1944" t="s">
        <v>22</v>
      </c>
      <c r="H177" s="1944" t="s">
        <v>22</v>
      </c>
      <c r="I177" s="1944" t="s">
        <v>1058</v>
      </c>
    </row>
    <row customHeight="1" ht="11.25">
      <c r="A178" s="1944" t="s">
        <v>2480</v>
      </c>
      <c r="B178" s="1944" t="s">
        <v>16</v>
      </c>
      <c r="C178" s="1944" t="s">
        <v>2582</v>
      </c>
      <c r="D178" s="1944" t="s">
        <v>2583</v>
      </c>
      <c r="E178" s="1944" t="s">
        <v>2576</v>
      </c>
      <c r="F178" s="1944" t="s">
        <v>2584</v>
      </c>
      <c r="G178" s="1944" t="s">
        <v>22</v>
      </c>
      <c r="H178" s="1944" t="s">
        <v>22</v>
      </c>
      <c r="I178" s="1944" t="s">
        <v>1058</v>
      </c>
    </row>
    <row customHeight="1" ht="11.25">
      <c r="A179" s="1944" t="s">
        <v>2480</v>
      </c>
      <c r="B179" s="1944" t="s">
        <v>16</v>
      </c>
      <c r="C179" s="1944" t="s">
        <v>2585</v>
      </c>
      <c r="D179" s="1944" t="s">
        <v>2586</v>
      </c>
      <c r="E179" s="1944" t="s">
        <v>2587</v>
      </c>
      <c r="F179" s="1944" t="s">
        <v>50</v>
      </c>
      <c r="G179" s="1944" t="s">
        <v>2588</v>
      </c>
      <c r="H179" s="1944" t="s">
        <v>22</v>
      </c>
      <c r="I179" s="1944" t="s">
        <v>1058</v>
      </c>
    </row>
    <row customHeight="1" ht="11.25">
      <c r="A180" s="1944" t="s">
        <v>2480</v>
      </c>
      <c r="B180" s="1944" t="s">
        <v>16</v>
      </c>
      <c r="C180" s="1944" t="s">
        <v>22</v>
      </c>
      <c r="D180" s="1944" t="s">
        <v>2589</v>
      </c>
      <c r="E180" s="1944" t="s">
        <v>2590</v>
      </c>
      <c r="F180" s="1944" t="s">
        <v>50</v>
      </c>
      <c r="G180" s="1944" t="s">
        <v>22</v>
      </c>
      <c r="H180" s="1944" t="s">
        <v>22</v>
      </c>
      <c r="I180" s="1944" t="s">
        <v>1058</v>
      </c>
    </row>
    <row customHeight="1" ht="11.25">
      <c r="A181" s="1944" t="s">
        <v>2480</v>
      </c>
      <c r="B181" s="1944" t="s">
        <v>16</v>
      </c>
      <c r="C181" s="1944" t="s">
        <v>2612</v>
      </c>
      <c r="D181" s="1944" t="s">
        <v>2613</v>
      </c>
      <c r="E181" s="1944" t="s">
        <v>2614</v>
      </c>
      <c r="F181" s="1944" t="s">
        <v>2615</v>
      </c>
      <c r="G181" s="1944" t="s">
        <v>2616</v>
      </c>
      <c r="H181" s="1944" t="s">
        <v>22</v>
      </c>
      <c r="I181" s="1944" t="s">
        <v>1058</v>
      </c>
    </row>
    <row customHeight="1" ht="11.25">
      <c r="A182" s="1944" t="s">
        <v>2480</v>
      </c>
      <c r="B182" s="1944" t="s">
        <v>16</v>
      </c>
      <c r="C182" s="1944" t="s">
        <v>2617</v>
      </c>
      <c r="D182" s="1944" t="s">
        <v>2618</v>
      </c>
      <c r="E182" s="1944" t="s">
        <v>2619</v>
      </c>
      <c r="F182" s="1944" t="s">
        <v>2541</v>
      </c>
      <c r="G182" s="1944" t="s">
        <v>22</v>
      </c>
      <c r="H182" s="1944" t="s">
        <v>22</v>
      </c>
      <c r="I182" s="1944" t="s">
        <v>1058</v>
      </c>
    </row>
    <row customHeight="1" ht="11.25">
      <c r="A183" s="1944" t="s">
        <v>2480</v>
      </c>
      <c r="B183" s="1944" t="s">
        <v>16</v>
      </c>
      <c r="C183" s="1944" t="s">
        <v>2627</v>
      </c>
      <c r="D183" s="1944" t="s">
        <v>2628</v>
      </c>
      <c r="E183" s="1944" t="s">
        <v>2629</v>
      </c>
      <c r="F183" s="1944" t="s">
        <v>2569</v>
      </c>
      <c r="G183" s="1944" t="s">
        <v>2630</v>
      </c>
      <c r="H183" s="1944" t="s">
        <v>22</v>
      </c>
      <c r="I183" s="1944" t="s">
        <v>1058</v>
      </c>
    </row>
    <row customHeight="1" ht="11.25">
      <c r="A184" s="1944" t="s">
        <v>2480</v>
      </c>
      <c r="B184" s="1944" t="s">
        <v>16</v>
      </c>
      <c r="C184" s="1944" t="s">
        <v>2649</v>
      </c>
      <c r="D184" s="1944" t="s">
        <v>2650</v>
      </c>
      <c r="E184" s="1944" t="s">
        <v>2651</v>
      </c>
      <c r="F184" s="1944" t="s">
        <v>2652</v>
      </c>
      <c r="G184" s="1944" t="s">
        <v>22</v>
      </c>
      <c r="H184" s="1944" t="s">
        <v>22</v>
      </c>
      <c r="I184" s="1944" t="s">
        <v>1058</v>
      </c>
    </row>
    <row customHeight="1" ht="11.25">
      <c r="A185" s="1944" t="s">
        <v>2480</v>
      </c>
      <c r="B185" s="1944" t="s">
        <v>16</v>
      </c>
      <c r="C185" s="1944" t="s">
        <v>2660</v>
      </c>
      <c r="D185" s="1944" t="s">
        <v>2661</v>
      </c>
      <c r="E185" s="1944" t="s">
        <v>2662</v>
      </c>
      <c r="F185" s="1944" t="s">
        <v>2663</v>
      </c>
      <c r="G185" s="1944" t="s">
        <v>2664</v>
      </c>
      <c r="H185" s="1944" t="s">
        <v>22</v>
      </c>
      <c r="I185" s="1944" t="s">
        <v>1058</v>
      </c>
    </row>
    <row customHeight="1" ht="11.25">
      <c r="A186" s="1944" t="s">
        <v>2480</v>
      </c>
      <c r="B186" s="1944" t="s">
        <v>16</v>
      </c>
      <c r="C186" s="1944" t="s">
        <v>2665</v>
      </c>
      <c r="D186" s="1944" t="s">
        <v>2666</v>
      </c>
      <c r="E186" s="1944" t="s">
        <v>2667</v>
      </c>
      <c r="F186" s="1944" t="s">
        <v>2663</v>
      </c>
      <c r="G186" s="1944" t="s">
        <v>2668</v>
      </c>
      <c r="H186" s="1944" t="s">
        <v>22</v>
      </c>
      <c r="I186" s="1944" t="s">
        <v>1058</v>
      </c>
    </row>
    <row customHeight="1" ht="11.25">
      <c r="A187" s="1944" t="s">
        <v>2480</v>
      </c>
      <c r="B187" s="1944" t="s">
        <v>16</v>
      </c>
      <c r="C187" s="1944" t="s">
        <v>2673</v>
      </c>
      <c r="D187" s="1944" t="s">
        <v>2674</v>
      </c>
      <c r="E187" s="1944" t="s">
        <v>2675</v>
      </c>
      <c r="F187" s="1944" t="s">
        <v>2663</v>
      </c>
      <c r="G187" s="1944" t="s">
        <v>2676</v>
      </c>
      <c r="H187" s="1944" t="s">
        <v>22</v>
      </c>
      <c r="I187" s="1944" t="s">
        <v>1058</v>
      </c>
    </row>
    <row customHeight="1" ht="11.25">
      <c r="A188" s="1944" t="s">
        <v>2480</v>
      </c>
      <c r="B188" s="1944" t="s">
        <v>16</v>
      </c>
      <c r="C188" s="1944" t="s">
        <v>2677</v>
      </c>
      <c r="D188" s="1944" t="s">
        <v>2678</v>
      </c>
      <c r="E188" s="1944" t="s">
        <v>2679</v>
      </c>
      <c r="F188" s="1944" t="s">
        <v>2652</v>
      </c>
      <c r="G188" s="1944" t="s">
        <v>2680</v>
      </c>
      <c r="H188" s="1944" t="s">
        <v>22</v>
      </c>
      <c r="I188" s="1944" t="s">
        <v>1058</v>
      </c>
    </row>
    <row customHeight="1" ht="11.25">
      <c r="A189" s="1944" t="s">
        <v>2480</v>
      </c>
      <c r="B189" s="1944" t="s">
        <v>16</v>
      </c>
      <c r="C189" s="1944" t="s">
        <v>2681</v>
      </c>
      <c r="D189" s="1944" t="s">
        <v>2682</v>
      </c>
      <c r="E189" s="1944" t="s">
        <v>2683</v>
      </c>
      <c r="F189" s="1944" t="s">
        <v>2652</v>
      </c>
      <c r="G189" s="1944" t="s">
        <v>22</v>
      </c>
      <c r="H189" s="1944" t="s">
        <v>22</v>
      </c>
      <c r="I189" s="1944" t="s">
        <v>1058</v>
      </c>
    </row>
    <row customHeight="1" ht="11.25">
      <c r="A190" s="1944" t="s">
        <v>2480</v>
      </c>
      <c r="B190" s="1944" t="s">
        <v>16</v>
      </c>
      <c r="C190" s="1944" t="s">
        <v>2701</v>
      </c>
      <c r="D190" s="1944" t="s">
        <v>2702</v>
      </c>
      <c r="E190" s="1944" t="s">
        <v>2703</v>
      </c>
      <c r="F190" s="1944" t="s">
        <v>2690</v>
      </c>
      <c r="G190" s="1944" t="s">
        <v>22</v>
      </c>
      <c r="H190" s="1944" t="s">
        <v>22</v>
      </c>
      <c r="I190" s="1944" t="s">
        <v>1058</v>
      </c>
    </row>
    <row customHeight="1" ht="11.25">
      <c r="A191" s="1944" t="s">
        <v>2480</v>
      </c>
      <c r="B191" s="1944" t="s">
        <v>16</v>
      </c>
      <c r="C191" s="1944" t="s">
        <v>2708</v>
      </c>
      <c r="D191" s="1944" t="s">
        <v>2709</v>
      </c>
      <c r="E191" s="1944" t="s">
        <v>2710</v>
      </c>
      <c r="F191" s="1944" t="s">
        <v>2663</v>
      </c>
      <c r="G191" s="1944" t="s">
        <v>2711</v>
      </c>
      <c r="H191" s="1944" t="s">
        <v>22</v>
      </c>
      <c r="I191" s="1944" t="s">
        <v>1058</v>
      </c>
    </row>
    <row customHeight="1" ht="11.25">
      <c r="A192" s="1944" t="s">
        <v>2480</v>
      </c>
      <c r="B192" s="1944" t="s">
        <v>16</v>
      </c>
      <c r="C192" s="1944" t="s">
        <v>2712</v>
      </c>
      <c r="D192" s="1944" t="s">
        <v>2709</v>
      </c>
      <c r="E192" s="1944" t="s">
        <v>2713</v>
      </c>
      <c r="F192" s="1944" t="s">
        <v>2541</v>
      </c>
      <c r="G192" s="1944" t="s">
        <v>2714</v>
      </c>
      <c r="H192" s="1944" t="s">
        <v>22</v>
      </c>
      <c r="I192" s="1944" t="s">
        <v>1058</v>
      </c>
    </row>
    <row customHeight="1" ht="11.25">
      <c r="A193" s="1944" t="s">
        <v>2480</v>
      </c>
      <c r="B193" s="1944" t="s">
        <v>16</v>
      </c>
      <c r="C193" s="1944" t="s">
        <v>2715</v>
      </c>
      <c r="D193" s="1944" t="s">
        <v>2716</v>
      </c>
      <c r="E193" s="1944" t="s">
        <v>2717</v>
      </c>
      <c r="F193" s="1944" t="s">
        <v>2644</v>
      </c>
      <c r="G193" s="1944" t="s">
        <v>22</v>
      </c>
      <c r="H193" s="1944" t="s">
        <v>22</v>
      </c>
      <c r="I193" s="1944" t="s">
        <v>1058</v>
      </c>
    </row>
    <row customHeight="1" ht="11.25">
      <c r="A194" s="1944" t="s">
        <v>2480</v>
      </c>
      <c r="B194" s="1944" t="s">
        <v>16</v>
      </c>
      <c r="C194" s="1944" t="s">
        <v>2718</v>
      </c>
      <c r="D194" s="1944" t="s">
        <v>2719</v>
      </c>
      <c r="E194" s="1944" t="s">
        <v>2720</v>
      </c>
      <c r="F194" s="1944" t="s">
        <v>2644</v>
      </c>
      <c r="G194" s="1944" t="s">
        <v>2721</v>
      </c>
      <c r="H194" s="1944" t="s">
        <v>22</v>
      </c>
      <c r="I194" s="1944" t="s">
        <v>1058</v>
      </c>
    </row>
    <row customHeight="1" ht="11.25">
      <c r="A195" s="1944" t="s">
        <v>2480</v>
      </c>
      <c r="B195" s="1944" t="s">
        <v>16</v>
      </c>
      <c r="C195" s="1944" t="s">
        <v>2733</v>
      </c>
      <c r="D195" s="1944" t="s">
        <v>2734</v>
      </c>
      <c r="E195" s="1944" t="s">
        <v>2735</v>
      </c>
      <c r="F195" s="1944" t="s">
        <v>2626</v>
      </c>
      <c r="G195" s="1944" t="s">
        <v>2736</v>
      </c>
      <c r="H195" s="1944" t="s">
        <v>22</v>
      </c>
      <c r="I195" s="1944" t="s">
        <v>1058</v>
      </c>
    </row>
    <row customHeight="1" ht="11.25">
      <c r="A196" s="1944" t="s">
        <v>2480</v>
      </c>
      <c r="B196" s="1944" t="s">
        <v>16</v>
      </c>
      <c r="C196" s="1944" t="s">
        <v>2737</v>
      </c>
      <c r="D196" s="1944" t="s">
        <v>2738</v>
      </c>
      <c r="E196" s="1944" t="s">
        <v>2739</v>
      </c>
      <c r="F196" s="1944" t="s">
        <v>2489</v>
      </c>
      <c r="G196" s="1944" t="s">
        <v>22</v>
      </c>
      <c r="H196" s="1944" t="s">
        <v>22</v>
      </c>
      <c r="I196" s="1944" t="s">
        <v>1058</v>
      </c>
    </row>
    <row customHeight="1" ht="11.25">
      <c r="A197" s="1944" t="s">
        <v>2480</v>
      </c>
      <c r="B197" s="1944" t="s">
        <v>16</v>
      </c>
      <c r="C197" s="1944" t="s">
        <v>2743</v>
      </c>
      <c r="D197" s="1944" t="s">
        <v>2744</v>
      </c>
      <c r="E197" s="1944" t="s">
        <v>2745</v>
      </c>
      <c r="F197" s="1944" t="s">
        <v>2626</v>
      </c>
      <c r="G197" s="1944" t="s">
        <v>22</v>
      </c>
      <c r="H197" s="1944" t="s">
        <v>22</v>
      </c>
      <c r="I197" s="1944" t="s">
        <v>1058</v>
      </c>
    </row>
    <row customHeight="1" ht="11.25">
      <c r="A198" s="1944" t="s">
        <v>2480</v>
      </c>
      <c r="B198" s="1944" t="s">
        <v>16</v>
      </c>
      <c r="C198" s="1944" t="s">
        <v>2750</v>
      </c>
      <c r="D198" s="1944" t="s">
        <v>2751</v>
      </c>
      <c r="E198" s="1944" t="s">
        <v>2752</v>
      </c>
      <c r="F198" s="1944" t="s">
        <v>2606</v>
      </c>
      <c r="G198" s="1944" t="s">
        <v>22</v>
      </c>
      <c r="H198" s="1944" t="s">
        <v>22</v>
      </c>
      <c r="I198" s="1944" t="s">
        <v>1058</v>
      </c>
    </row>
    <row customHeight="1" ht="11.25">
      <c r="A199" s="1944" t="s">
        <v>2480</v>
      </c>
      <c r="B199" s="1944" t="s">
        <v>16</v>
      </c>
      <c r="C199" s="1944" t="s">
        <v>2753</v>
      </c>
      <c r="D199" s="1944" t="s">
        <v>2754</v>
      </c>
      <c r="E199" s="1944" t="s">
        <v>2755</v>
      </c>
      <c r="F199" s="1944" t="s">
        <v>2652</v>
      </c>
      <c r="G199" s="1944" t="s">
        <v>22</v>
      </c>
      <c r="H199" s="1944" t="s">
        <v>22</v>
      </c>
      <c r="I199" s="1944" t="s">
        <v>1058</v>
      </c>
    </row>
    <row customHeight="1" ht="11.25">
      <c r="A200" s="1944" t="s">
        <v>2480</v>
      </c>
      <c r="B200" s="1944" t="s">
        <v>16</v>
      </c>
      <c r="C200" s="1944" t="s">
        <v>2759</v>
      </c>
      <c r="D200" s="1944" t="s">
        <v>2760</v>
      </c>
      <c r="E200" s="1944" t="s">
        <v>2576</v>
      </c>
      <c r="F200" s="1944" t="s">
        <v>2761</v>
      </c>
      <c r="G200" s="1944" t="s">
        <v>22</v>
      </c>
      <c r="H200" s="1944" t="s">
        <v>22</v>
      </c>
      <c r="I200" s="1944" t="s">
        <v>1058</v>
      </c>
    </row>
    <row customHeight="1" ht="11.25">
      <c r="A201" s="1944" t="s">
        <v>2480</v>
      </c>
      <c r="B201" s="1944" t="s">
        <v>16</v>
      </c>
      <c r="C201" s="1944" t="s">
        <v>2766</v>
      </c>
      <c r="D201" s="1944" t="s">
        <v>2767</v>
      </c>
      <c r="E201" s="1944" t="s">
        <v>2768</v>
      </c>
      <c r="F201" s="1944" t="s">
        <v>2769</v>
      </c>
      <c r="G201" s="1944" t="s">
        <v>2770</v>
      </c>
      <c r="H201" s="1944" t="s">
        <v>22</v>
      </c>
      <c r="I201" s="1944" t="s">
        <v>1058</v>
      </c>
    </row>
    <row customHeight="1" ht="11.25">
      <c r="A202" s="1944" t="s">
        <v>2480</v>
      </c>
      <c r="B202" s="1944" t="s">
        <v>16</v>
      </c>
      <c r="C202" s="1944" t="s">
        <v>2774</v>
      </c>
      <c r="D202" s="1944" t="s">
        <v>2775</v>
      </c>
      <c r="E202" s="1944" t="s">
        <v>2776</v>
      </c>
      <c r="F202" s="1944" t="s">
        <v>2606</v>
      </c>
      <c r="G202" s="1944" t="s">
        <v>22</v>
      </c>
      <c r="H202" s="1944" t="s">
        <v>22</v>
      </c>
      <c r="I202" s="1944" t="s">
        <v>1058</v>
      </c>
    </row>
    <row customHeight="1" ht="11.25">
      <c r="A203" s="1944" t="s">
        <v>2480</v>
      </c>
      <c r="B203" s="1944" t="s">
        <v>16</v>
      </c>
      <c r="C203" s="1944" t="s">
        <v>2808</v>
      </c>
      <c r="D203" s="1944" t="s">
        <v>2809</v>
      </c>
      <c r="E203" s="1944" t="s">
        <v>2810</v>
      </c>
      <c r="F203" s="1944" t="s">
        <v>2811</v>
      </c>
      <c r="G203" s="1944" t="s">
        <v>22</v>
      </c>
      <c r="H203" s="1944" t="s">
        <v>22</v>
      </c>
      <c r="I203" s="1944" t="s">
        <v>1058</v>
      </c>
    </row>
    <row customHeight="1" ht="11.25">
      <c r="A204" s="1944" t="s">
        <v>2480</v>
      </c>
      <c r="B204" s="1944" t="s">
        <v>16</v>
      </c>
      <c r="C204" s="1944" t="s">
        <v>2815</v>
      </c>
      <c r="D204" s="1944" t="s">
        <v>2816</v>
      </c>
      <c r="E204" s="1944" t="s">
        <v>2817</v>
      </c>
      <c r="F204" s="1944" t="s">
        <v>2652</v>
      </c>
      <c r="G204" s="1944" t="s">
        <v>2818</v>
      </c>
      <c r="H204" s="1944" t="s">
        <v>22</v>
      </c>
      <c r="I204" s="1944" t="s">
        <v>1058</v>
      </c>
    </row>
    <row customHeight="1" ht="11.25">
      <c r="A205" s="1944" t="s">
        <v>2480</v>
      </c>
      <c r="B205" s="1944" t="s">
        <v>16</v>
      </c>
      <c r="C205" s="1944" t="s">
        <v>2819</v>
      </c>
      <c r="D205" s="1944" t="s">
        <v>2820</v>
      </c>
      <c r="E205" s="1944" t="s">
        <v>2821</v>
      </c>
      <c r="F205" s="1944" t="s">
        <v>2594</v>
      </c>
      <c r="G205" s="1944" t="s">
        <v>22</v>
      </c>
      <c r="H205" s="1944" t="s">
        <v>22</v>
      </c>
      <c r="I205" s="1944" t="s">
        <v>1058</v>
      </c>
    </row>
    <row customHeight="1" ht="11.25">
      <c r="A206" s="1944" t="s">
        <v>2480</v>
      </c>
      <c r="B206" s="1944" t="s">
        <v>16</v>
      </c>
      <c r="C206" s="1944" t="s">
        <v>2822</v>
      </c>
      <c r="D206" s="1944" t="s">
        <v>2823</v>
      </c>
      <c r="E206" s="1944" t="s">
        <v>2824</v>
      </c>
      <c r="F206" s="1944" t="s">
        <v>2594</v>
      </c>
      <c r="G206" s="1944" t="s">
        <v>22</v>
      </c>
      <c r="H206" s="1944" t="s">
        <v>22</v>
      </c>
      <c r="I206" s="1944" t="s">
        <v>1058</v>
      </c>
    </row>
    <row customHeight="1" ht="11.25">
      <c r="A207" s="1944" t="s">
        <v>2480</v>
      </c>
      <c r="B207" s="1944" t="s">
        <v>16</v>
      </c>
      <c r="C207" s="1944" t="s">
        <v>2825</v>
      </c>
      <c r="D207" s="1944" t="s">
        <v>2826</v>
      </c>
      <c r="E207" s="1944" t="s">
        <v>2827</v>
      </c>
      <c r="F207" s="1944" t="s">
        <v>2489</v>
      </c>
      <c r="G207" s="1944" t="s">
        <v>22</v>
      </c>
      <c r="H207" s="1944" t="s">
        <v>22</v>
      </c>
      <c r="I207" s="1944" t="s">
        <v>1058</v>
      </c>
    </row>
    <row customHeight="1" ht="11.25">
      <c r="A208" s="1944" t="s">
        <v>2480</v>
      </c>
      <c r="B208" s="1944" t="s">
        <v>16</v>
      </c>
      <c r="C208" s="1944" t="s">
        <v>2828</v>
      </c>
      <c r="D208" s="1944" t="s">
        <v>2829</v>
      </c>
      <c r="E208" s="1944" t="s">
        <v>2830</v>
      </c>
      <c r="F208" s="1944" t="s">
        <v>2831</v>
      </c>
      <c r="G208" s="1944" t="s">
        <v>22</v>
      </c>
      <c r="H208" s="1944" t="s">
        <v>22</v>
      </c>
      <c r="I208" s="1944" t="s">
        <v>1058</v>
      </c>
    </row>
    <row customHeight="1" ht="11.25">
      <c r="A209" s="1944" t="s">
        <v>2480</v>
      </c>
      <c r="B209" s="1944" t="s">
        <v>16</v>
      </c>
      <c r="C209" s="1944" t="s">
        <v>2832</v>
      </c>
      <c r="D209" s="1944" t="s">
        <v>2833</v>
      </c>
      <c r="E209" s="1944" t="s">
        <v>2834</v>
      </c>
      <c r="F209" s="1944" t="s">
        <v>2831</v>
      </c>
      <c r="G209" s="1944" t="s">
        <v>22</v>
      </c>
      <c r="H209" s="1944" t="s">
        <v>22</v>
      </c>
      <c r="I209" s="1944" t="s">
        <v>1058</v>
      </c>
    </row>
    <row customHeight="1" ht="11.25">
      <c r="A210" s="1944" t="s">
        <v>2480</v>
      </c>
      <c r="B210" s="1944" t="s">
        <v>16</v>
      </c>
      <c r="C210" s="1944" t="s">
        <v>2842</v>
      </c>
      <c r="D210" s="1944" t="s">
        <v>2843</v>
      </c>
      <c r="E210" s="1944" t="s">
        <v>2844</v>
      </c>
      <c r="F210" s="1944" t="s">
        <v>2845</v>
      </c>
      <c r="G210" s="1944" t="s">
        <v>2846</v>
      </c>
      <c r="H210" s="1944" t="s">
        <v>22</v>
      </c>
      <c r="I210" s="1944" t="s">
        <v>1058</v>
      </c>
    </row>
    <row customHeight="1" ht="11.25">
      <c r="A211" s="1944" t="s">
        <v>2480</v>
      </c>
      <c r="B211" s="1944" t="s">
        <v>16</v>
      </c>
      <c r="C211" s="1944" t="s">
        <v>2847</v>
      </c>
      <c r="D211" s="1944" t="s">
        <v>2848</v>
      </c>
      <c r="E211" s="1944" t="s">
        <v>2849</v>
      </c>
      <c r="F211" s="1944" t="s">
        <v>2831</v>
      </c>
      <c r="G211" s="1944" t="s">
        <v>2850</v>
      </c>
      <c r="H211" s="1944" t="s">
        <v>22</v>
      </c>
      <c r="I211" s="1944" t="s">
        <v>1058</v>
      </c>
    </row>
    <row customHeight="1" ht="11.25">
      <c r="A212" s="1944" t="s">
        <v>2480</v>
      </c>
      <c r="B212" s="1944" t="s">
        <v>16</v>
      </c>
      <c r="C212" s="1944" t="s">
        <v>2851</v>
      </c>
      <c r="D212" s="1944" t="s">
        <v>2852</v>
      </c>
      <c r="E212" s="1944" t="s">
        <v>2853</v>
      </c>
      <c r="F212" s="1944" t="s">
        <v>2652</v>
      </c>
      <c r="G212" s="1944" t="s">
        <v>22</v>
      </c>
      <c r="H212" s="1944" t="s">
        <v>22</v>
      </c>
      <c r="I212" s="1944" t="s">
        <v>1058</v>
      </c>
    </row>
    <row customHeight="1" ht="11.25">
      <c r="A213" s="1944" t="s">
        <v>2480</v>
      </c>
      <c r="B213" s="1944" t="s">
        <v>16</v>
      </c>
      <c r="C213" s="1944" t="s">
        <v>2864</v>
      </c>
      <c r="D213" s="1944" t="s">
        <v>2865</v>
      </c>
      <c r="E213" s="1944" t="s">
        <v>2866</v>
      </c>
      <c r="F213" s="1944" t="s">
        <v>2663</v>
      </c>
      <c r="G213" s="1944" t="s">
        <v>2867</v>
      </c>
      <c r="H213" s="1944" t="s">
        <v>22</v>
      </c>
      <c r="I213" s="1944" t="s">
        <v>1058</v>
      </c>
    </row>
    <row customHeight="1" ht="11.25">
      <c r="A214" s="1944" t="s">
        <v>2480</v>
      </c>
      <c r="B214" s="1944" t="s">
        <v>16</v>
      </c>
      <c r="C214" s="1944" t="s">
        <v>3068</v>
      </c>
      <c r="D214" s="1944" t="s">
        <v>3069</v>
      </c>
      <c r="E214" s="1944" t="s">
        <v>3070</v>
      </c>
      <c r="F214" s="1944" t="s">
        <v>2541</v>
      </c>
      <c r="G214" s="1944" t="s">
        <v>22</v>
      </c>
      <c r="H214" s="1944" t="s">
        <v>22</v>
      </c>
      <c r="I214" s="1944" t="s">
        <v>1058</v>
      </c>
    </row>
    <row customHeight="1" ht="11.25">
      <c r="A215" s="1944" t="s">
        <v>2480</v>
      </c>
      <c r="B215" s="1944" t="s">
        <v>16</v>
      </c>
      <c r="C215" s="1944" t="s">
        <v>2871</v>
      </c>
      <c r="D215" s="1944" t="s">
        <v>2872</v>
      </c>
      <c r="E215" s="1944" t="s">
        <v>2873</v>
      </c>
      <c r="F215" s="1944" t="s">
        <v>2811</v>
      </c>
      <c r="G215" s="1944" t="s">
        <v>22</v>
      </c>
      <c r="H215" s="1944" t="s">
        <v>22</v>
      </c>
      <c r="I215" s="1944" t="s">
        <v>1058</v>
      </c>
    </row>
    <row customHeight="1" ht="11.25">
      <c r="A216" s="1944" t="s">
        <v>2480</v>
      </c>
      <c r="B216" s="1944" t="s">
        <v>16</v>
      </c>
      <c r="C216" s="1944" t="s">
        <v>2887</v>
      </c>
      <c r="D216" s="1944" t="s">
        <v>2888</v>
      </c>
      <c r="E216" s="1944" t="s">
        <v>2889</v>
      </c>
      <c r="F216" s="1944" t="s">
        <v>2652</v>
      </c>
      <c r="G216" s="1944" t="s">
        <v>22</v>
      </c>
      <c r="H216" s="1944" t="s">
        <v>22</v>
      </c>
      <c r="I216" s="1944" t="s">
        <v>1058</v>
      </c>
    </row>
    <row customHeight="1" ht="11.25">
      <c r="A217" s="1944" t="s">
        <v>2480</v>
      </c>
      <c r="B217" s="1944" t="s">
        <v>16</v>
      </c>
      <c r="C217" s="1944" t="s">
        <v>2898</v>
      </c>
      <c r="D217" s="1944" t="s">
        <v>2899</v>
      </c>
      <c r="E217" s="1944" t="s">
        <v>2900</v>
      </c>
      <c r="F217" s="1944" t="s">
        <v>2652</v>
      </c>
      <c r="G217" s="1944" t="s">
        <v>22</v>
      </c>
      <c r="H217" s="1944" t="s">
        <v>22</v>
      </c>
      <c r="I217" s="1944" t="s">
        <v>1058</v>
      </c>
    </row>
    <row customHeight="1" ht="11.25">
      <c r="A218" s="1944" t="s">
        <v>2480</v>
      </c>
      <c r="B218" s="1944" t="s">
        <v>16</v>
      </c>
      <c r="C218" s="1944" t="s">
        <v>2901</v>
      </c>
      <c r="D218" s="1944" t="s">
        <v>2902</v>
      </c>
      <c r="E218" s="1944" t="s">
        <v>2903</v>
      </c>
      <c r="F218" s="1944" t="s">
        <v>2644</v>
      </c>
      <c r="G218" s="1944" t="s">
        <v>2904</v>
      </c>
      <c r="H218" s="1944" t="s">
        <v>22</v>
      </c>
      <c r="I218" s="1944" t="s">
        <v>1058</v>
      </c>
    </row>
    <row customHeight="1" ht="11.25">
      <c r="A219" s="1944" t="s">
        <v>2480</v>
      </c>
      <c r="B219" s="1944" t="s">
        <v>16</v>
      </c>
      <c r="C219" s="1944" t="s">
        <v>2925</v>
      </c>
      <c r="D219" s="1944" t="s">
        <v>2926</v>
      </c>
      <c r="E219" s="1944" t="s">
        <v>2927</v>
      </c>
      <c r="F219" s="1944" t="s">
        <v>2532</v>
      </c>
      <c r="G219" s="1944" t="s">
        <v>2928</v>
      </c>
      <c r="H219" s="1944" t="s">
        <v>22</v>
      </c>
      <c r="I219" s="1944" t="s">
        <v>1058</v>
      </c>
    </row>
    <row customHeight="1" ht="11.25">
      <c r="A220" s="1944" t="s">
        <v>2480</v>
      </c>
      <c r="B220" s="1944" t="s">
        <v>16</v>
      </c>
      <c r="C220" s="1944" t="s">
        <v>2938</v>
      </c>
      <c r="D220" s="1944" t="s">
        <v>2939</v>
      </c>
      <c r="E220" s="1944" t="s">
        <v>2940</v>
      </c>
      <c r="F220" s="1944" t="s">
        <v>2611</v>
      </c>
      <c r="G220" s="1944" t="s">
        <v>2941</v>
      </c>
      <c r="H220" s="1944" t="s">
        <v>22</v>
      </c>
      <c r="I220" s="1944" t="s">
        <v>1058</v>
      </c>
    </row>
    <row customHeight="1" ht="11.25">
      <c r="A221" s="1944" t="s">
        <v>2480</v>
      </c>
      <c r="B221" s="1944" t="s">
        <v>16</v>
      </c>
      <c r="C221" s="1944" t="s">
        <v>2950</v>
      </c>
      <c r="D221" s="1944" t="s">
        <v>2951</v>
      </c>
      <c r="E221" s="1944" t="s">
        <v>2952</v>
      </c>
      <c r="F221" s="1944" t="s">
        <v>2811</v>
      </c>
      <c r="G221" s="1944" t="s">
        <v>2953</v>
      </c>
      <c r="H221" s="1944" t="s">
        <v>22</v>
      </c>
      <c r="I221" s="1944" t="s">
        <v>1058</v>
      </c>
    </row>
    <row customHeight="1" ht="11.25">
      <c r="A222" s="1944" t="s">
        <v>2480</v>
      </c>
      <c r="B222" s="1944" t="s">
        <v>16</v>
      </c>
      <c r="C222" s="1944" t="s">
        <v>2966</v>
      </c>
      <c r="D222" s="1944" t="s">
        <v>2967</v>
      </c>
      <c r="E222" s="1944" t="s">
        <v>2968</v>
      </c>
      <c r="F222" s="1944" t="s">
        <v>2831</v>
      </c>
      <c r="G222" s="1944" t="s">
        <v>22</v>
      </c>
      <c r="H222" s="1944" t="s">
        <v>22</v>
      </c>
      <c r="I222" s="1944" t="s">
        <v>1058</v>
      </c>
    </row>
    <row customHeight="1" ht="11.25">
      <c r="A223" s="1944" t="s">
        <v>2480</v>
      </c>
      <c r="B223" s="1944" t="s">
        <v>16</v>
      </c>
      <c r="C223" s="1944" t="s">
        <v>2969</v>
      </c>
      <c r="D223" s="1944" t="s">
        <v>2970</v>
      </c>
      <c r="E223" s="1944" t="s">
        <v>2971</v>
      </c>
      <c r="F223" s="1944" t="s">
        <v>2831</v>
      </c>
      <c r="G223" s="1944" t="s">
        <v>22</v>
      </c>
      <c r="H223" s="1944" t="s">
        <v>22</v>
      </c>
      <c r="I223" s="1944" t="s">
        <v>1058</v>
      </c>
    </row>
    <row customHeight="1" ht="11.25">
      <c r="A224" s="1944" t="s">
        <v>2480</v>
      </c>
      <c r="B224" s="1944" t="s">
        <v>16</v>
      </c>
      <c r="C224" s="1944" t="s">
        <v>2972</v>
      </c>
      <c r="D224" s="1944" t="s">
        <v>2973</v>
      </c>
      <c r="E224" s="1944" t="s">
        <v>2974</v>
      </c>
      <c r="F224" s="1944" t="s">
        <v>2573</v>
      </c>
      <c r="G224" s="1944" t="s">
        <v>2975</v>
      </c>
      <c r="H224" s="1944" t="s">
        <v>22</v>
      </c>
      <c r="I224" s="1944" t="s">
        <v>1058</v>
      </c>
    </row>
    <row customHeight="1" ht="11.25">
      <c r="A225" s="1944" t="s">
        <v>2480</v>
      </c>
      <c r="B225" s="1944" t="s">
        <v>16</v>
      </c>
      <c r="C225" s="1944" t="s">
        <v>2979</v>
      </c>
      <c r="D225" s="1944" t="s">
        <v>2980</v>
      </c>
      <c r="E225" s="1944" t="s">
        <v>2981</v>
      </c>
      <c r="F225" s="1944" t="s">
        <v>2626</v>
      </c>
      <c r="G225" s="1944" t="s">
        <v>22</v>
      </c>
      <c r="H225" s="1944" t="s">
        <v>22</v>
      </c>
      <c r="I225" s="1944" t="s">
        <v>1058</v>
      </c>
    </row>
    <row customHeight="1" ht="11.25">
      <c r="A226" s="1944" t="s">
        <v>2480</v>
      </c>
      <c r="B226" s="1944" t="s">
        <v>16</v>
      </c>
      <c r="C226" s="1944" t="s">
        <v>2997</v>
      </c>
      <c r="D226" s="1944" t="s">
        <v>2998</v>
      </c>
      <c r="E226" s="1944" t="s">
        <v>2999</v>
      </c>
      <c r="F226" s="1944" t="s">
        <v>2652</v>
      </c>
      <c r="G226" s="1944" t="s">
        <v>2818</v>
      </c>
      <c r="H226" s="1944" t="s">
        <v>22</v>
      </c>
      <c r="I226" s="1944" t="s">
        <v>1058</v>
      </c>
    </row>
    <row customHeight="1" ht="11.25">
      <c r="A227" s="1944" t="s">
        <v>2480</v>
      </c>
      <c r="B227" s="1944" t="s">
        <v>16</v>
      </c>
      <c r="C227" s="1944" t="s">
        <v>3003</v>
      </c>
      <c r="D227" s="1944" t="s">
        <v>3004</v>
      </c>
      <c r="E227" s="1944" t="s">
        <v>3005</v>
      </c>
      <c r="F227" s="1944" t="s">
        <v>2602</v>
      </c>
      <c r="G227" s="1944" t="s">
        <v>22</v>
      </c>
      <c r="H227" s="1944" t="s">
        <v>22</v>
      </c>
      <c r="I227" s="1944" t="s">
        <v>1058</v>
      </c>
    </row>
    <row customHeight="1" ht="11.25">
      <c r="A228" s="1944" t="s">
        <v>2480</v>
      </c>
      <c r="B228" s="1944" t="s">
        <v>16</v>
      </c>
      <c r="C228" s="1944" t="s">
        <v>3010</v>
      </c>
      <c r="D228" s="1944" t="s">
        <v>3011</v>
      </c>
      <c r="E228" s="1944" t="s">
        <v>3012</v>
      </c>
      <c r="F228" s="1944" t="s">
        <v>2831</v>
      </c>
      <c r="G228" s="1944" t="s">
        <v>22</v>
      </c>
      <c r="H228" s="1944" t="s">
        <v>22</v>
      </c>
      <c r="I228" s="1944" t="s">
        <v>1058</v>
      </c>
    </row>
    <row customHeight="1" ht="11.25">
      <c r="A229" s="1944" t="s">
        <v>2480</v>
      </c>
      <c r="B229" s="1944" t="s">
        <v>16</v>
      </c>
      <c r="C229" s="1944" t="s">
        <v>3029</v>
      </c>
      <c r="D229" s="1944" t="s">
        <v>3030</v>
      </c>
      <c r="E229" s="1944" t="s">
        <v>3031</v>
      </c>
      <c r="F229" s="1944" t="s">
        <v>2690</v>
      </c>
      <c r="G229" s="1944" t="s">
        <v>22</v>
      </c>
      <c r="H229" s="1944" t="s">
        <v>22</v>
      </c>
      <c r="I229" s="1944" t="s">
        <v>1058</v>
      </c>
    </row>
    <row customHeight="1" ht="11.25">
      <c r="A230" s="1944" t="s">
        <v>2480</v>
      </c>
      <c r="B230" s="1944" t="s">
        <v>16</v>
      </c>
      <c r="C230" s="1944" t="s">
        <v>3035</v>
      </c>
      <c r="D230" s="1944" t="s">
        <v>3036</v>
      </c>
      <c r="E230" s="1944" t="s">
        <v>3037</v>
      </c>
      <c r="F230" s="1944" t="s">
        <v>50</v>
      </c>
      <c r="G230" s="1944" t="s">
        <v>22</v>
      </c>
      <c r="H230" s="1944" t="s">
        <v>22</v>
      </c>
      <c r="I230" s="1944" t="s">
        <v>1058</v>
      </c>
    </row>
    <row customHeight="1" ht="11.25">
      <c r="A231" s="1944" t="s">
        <v>2480</v>
      </c>
      <c r="B231" s="1944" t="s">
        <v>16</v>
      </c>
      <c r="C231" s="1944" t="s">
        <v>3038</v>
      </c>
      <c r="D231" s="1944" t="s">
        <v>3039</v>
      </c>
      <c r="E231" s="1944" t="s">
        <v>3040</v>
      </c>
      <c r="F231" s="1944" t="s">
        <v>2545</v>
      </c>
      <c r="G231" s="1944" t="s">
        <v>3041</v>
      </c>
      <c r="H231" s="1944" t="s">
        <v>22</v>
      </c>
      <c r="I231" s="1944" t="s">
        <v>1058</v>
      </c>
    </row>
    <row customHeight="1" ht="11.25">
      <c r="A232" s="1944" t="s">
        <v>2480</v>
      </c>
      <c r="B232" s="1944" t="s">
        <v>16</v>
      </c>
      <c r="C232" s="1944" t="s">
        <v>3042</v>
      </c>
      <c r="D232" s="1944" t="s">
        <v>3043</v>
      </c>
      <c r="E232" s="1944" t="s">
        <v>3044</v>
      </c>
      <c r="F232" s="1944" t="s">
        <v>50</v>
      </c>
      <c r="G232" s="1944" t="s">
        <v>22</v>
      </c>
      <c r="H232" s="1944" t="s">
        <v>22</v>
      </c>
      <c r="I232" s="1944" t="s">
        <v>1058</v>
      </c>
    </row>
    <row customHeight="1" ht="11.25">
      <c r="A233" s="1944" t="s">
        <v>2480</v>
      </c>
      <c r="B233" s="1944" t="s">
        <v>16</v>
      </c>
      <c r="C233" s="1944" t="s">
        <v>3052</v>
      </c>
      <c r="D233" s="1944" t="s">
        <v>3053</v>
      </c>
      <c r="E233" s="1944" t="s">
        <v>3054</v>
      </c>
      <c r="F233" s="1944" t="s">
        <v>3055</v>
      </c>
      <c r="G233" s="1944" t="s">
        <v>22</v>
      </c>
      <c r="H233" s="1944" t="s">
        <v>22</v>
      </c>
      <c r="I233" s="1944" t="s">
        <v>1058</v>
      </c>
    </row>
    <row customHeight="1" ht="11.25">
      <c r="A234" s="1944" t="s">
        <v>2480</v>
      </c>
      <c r="B234" s="1944" t="s">
        <v>16</v>
      </c>
      <c r="C234" s="1944" t="s">
        <v>3056</v>
      </c>
      <c r="D234" s="1944" t="s">
        <v>3057</v>
      </c>
      <c r="E234" s="1944" t="s">
        <v>3058</v>
      </c>
      <c r="F234" s="1944" t="s">
        <v>3059</v>
      </c>
      <c r="G234" s="1944" t="s">
        <v>3060</v>
      </c>
      <c r="H234" s="1944" t="s">
        <v>22</v>
      </c>
      <c r="I234" s="1944" t="s">
        <v>1058</v>
      </c>
    </row>
    <row customHeight="1" ht="11.25">
      <c r="A235" s="1944" t="s">
        <v>2480</v>
      </c>
      <c r="B235" s="1944" t="s">
        <v>16</v>
      </c>
      <c r="C235" s="1944" t="s">
        <v>3071</v>
      </c>
      <c r="D235" s="1944" t="s">
        <v>3072</v>
      </c>
      <c r="E235" s="1944" t="s">
        <v>3073</v>
      </c>
      <c r="F235" s="1944" t="s">
        <v>2811</v>
      </c>
      <c r="G235" s="1944" t="s">
        <v>2897</v>
      </c>
      <c r="H235" s="1944" t="s">
        <v>22</v>
      </c>
      <c r="I235" s="1944" t="s">
        <v>1018</v>
      </c>
    </row>
    <row customHeight="1" ht="11.25">
      <c r="A236" s="1944" t="s">
        <v>2480</v>
      </c>
      <c r="B236" s="1944" t="s">
        <v>16</v>
      </c>
      <c r="C236" s="1944" t="s">
        <v>3074</v>
      </c>
      <c r="D236" s="1944" t="s">
        <v>3075</v>
      </c>
      <c r="E236" s="1944" t="s">
        <v>3076</v>
      </c>
      <c r="F236" s="1944" t="s">
        <v>3077</v>
      </c>
      <c r="G236" s="1944" t="s">
        <v>22</v>
      </c>
      <c r="H236" s="1944" t="s">
        <v>22</v>
      </c>
      <c r="I236" s="1944" t="s">
        <v>1018</v>
      </c>
    </row>
    <row customHeight="1" ht="11.25">
      <c r="A237" s="1944" t="s">
        <v>2480</v>
      </c>
      <c r="B237" s="1944" t="s">
        <v>16</v>
      </c>
      <c r="C237" s="1944" t="s">
        <v>3078</v>
      </c>
      <c r="D237" s="1944" t="s">
        <v>3079</v>
      </c>
      <c r="E237" s="1944" t="s">
        <v>3080</v>
      </c>
      <c r="F237" s="1944" t="s">
        <v>3081</v>
      </c>
      <c r="G237" s="1944" t="s">
        <v>22</v>
      </c>
      <c r="H237" s="1944" t="s">
        <v>22</v>
      </c>
      <c r="I237" s="1944" t="s">
        <v>1018</v>
      </c>
    </row>
    <row customHeight="1" ht="11.25">
      <c r="A238" s="1944" t="s">
        <v>2480</v>
      </c>
      <c r="B238" s="1944" t="s">
        <v>16</v>
      </c>
      <c r="C238" s="1944" t="s">
        <v>2481</v>
      </c>
      <c r="D238" s="1944" t="s">
        <v>2482</v>
      </c>
      <c r="E238" s="1944" t="s">
        <v>2483</v>
      </c>
      <c r="F238" s="1944" t="s">
        <v>2484</v>
      </c>
      <c r="G238" s="1944" t="s">
        <v>2485</v>
      </c>
      <c r="H238" s="1944" t="s">
        <v>22</v>
      </c>
      <c r="I238" s="1944" t="s">
        <v>1018</v>
      </c>
    </row>
    <row customHeight="1" ht="11.25">
      <c r="A239" s="1944" t="s">
        <v>2480</v>
      </c>
      <c r="B239" s="1944" t="s">
        <v>16</v>
      </c>
      <c r="C239" s="1944" t="s">
        <v>13</v>
      </c>
      <c r="D239" s="1944" t="s">
        <v>45</v>
      </c>
      <c r="E239" s="1944" t="s">
        <v>48</v>
      </c>
      <c r="F239" s="1944" t="s">
        <v>50</v>
      </c>
      <c r="G239" s="1944" t="s">
        <v>2490</v>
      </c>
      <c r="H239" s="1944" t="s">
        <v>22</v>
      </c>
      <c r="I239" s="1944" t="s">
        <v>1018</v>
      </c>
    </row>
    <row customHeight="1" ht="11.25">
      <c r="A240" s="1944" t="s">
        <v>2480</v>
      </c>
      <c r="B240" s="1944" t="s">
        <v>16</v>
      </c>
      <c r="C240" s="1944" t="s">
        <v>2523</v>
      </c>
      <c r="D240" s="1944" t="s">
        <v>2524</v>
      </c>
      <c r="E240" s="1944" t="s">
        <v>48</v>
      </c>
      <c r="F240" s="1944" t="s">
        <v>2525</v>
      </c>
      <c r="G240" s="1944" t="s">
        <v>22</v>
      </c>
      <c r="H240" s="1944" t="s">
        <v>22</v>
      </c>
      <c r="I240" s="1944" t="s">
        <v>1018</v>
      </c>
    </row>
    <row customHeight="1" ht="11.25">
      <c r="A241" s="1944" t="s">
        <v>2480</v>
      </c>
      <c r="B241" s="1944" t="s">
        <v>16</v>
      </c>
      <c r="C241" s="1944" t="s">
        <v>3082</v>
      </c>
      <c r="D241" s="1944" t="s">
        <v>3083</v>
      </c>
      <c r="E241" s="1944" t="s">
        <v>3084</v>
      </c>
      <c r="F241" s="1944" t="s">
        <v>2831</v>
      </c>
      <c r="G241" s="1944" t="s">
        <v>22</v>
      </c>
      <c r="H241" s="1944" t="s">
        <v>22</v>
      </c>
      <c r="I241" s="1944" t="s">
        <v>1018</v>
      </c>
    </row>
    <row customHeight="1" ht="11.25">
      <c r="A242" s="1944" t="s">
        <v>2480</v>
      </c>
      <c r="B242" s="1944" t="s">
        <v>16</v>
      </c>
      <c r="C242" s="1944" t="s">
        <v>2526</v>
      </c>
      <c r="D242" s="1944" t="s">
        <v>2527</v>
      </c>
      <c r="E242" s="1944" t="s">
        <v>2528</v>
      </c>
      <c r="F242" s="1944" t="s">
        <v>2489</v>
      </c>
      <c r="G242" s="1944" t="s">
        <v>22</v>
      </c>
      <c r="H242" s="1944" t="s">
        <v>22</v>
      </c>
      <c r="I242" s="1944" t="s">
        <v>1018</v>
      </c>
    </row>
    <row customHeight="1" ht="11.25">
      <c r="A243" s="1944" t="s">
        <v>2480</v>
      </c>
      <c r="B243" s="1944" t="s">
        <v>16</v>
      </c>
      <c r="C243" s="1944" t="s">
        <v>2529</v>
      </c>
      <c r="D243" s="1944" t="s">
        <v>2530</v>
      </c>
      <c r="E243" s="1944" t="s">
        <v>2531</v>
      </c>
      <c r="F243" s="1944" t="s">
        <v>2532</v>
      </c>
      <c r="G243" s="1944" t="s">
        <v>2533</v>
      </c>
      <c r="H243" s="1944" t="s">
        <v>22</v>
      </c>
      <c r="I243" s="1944" t="s">
        <v>1018</v>
      </c>
    </row>
    <row customHeight="1" ht="11.25">
      <c r="A244" s="1944" t="s">
        <v>2480</v>
      </c>
      <c r="B244" s="1944" t="s">
        <v>16</v>
      </c>
      <c r="C244" s="1944" t="s">
        <v>2538</v>
      </c>
      <c r="D244" s="1944" t="s">
        <v>2539</v>
      </c>
      <c r="E244" s="1944" t="s">
        <v>2540</v>
      </c>
      <c r="F244" s="1944" t="s">
        <v>2541</v>
      </c>
      <c r="G244" s="1944" t="s">
        <v>22</v>
      </c>
      <c r="H244" s="1944" t="s">
        <v>22</v>
      </c>
      <c r="I244" s="1944" t="s">
        <v>1018</v>
      </c>
    </row>
    <row customHeight="1" ht="11.25">
      <c r="A245" s="1944" t="s">
        <v>2480</v>
      </c>
      <c r="B245" s="1944" t="s">
        <v>16</v>
      </c>
      <c r="C245" s="1944" t="s">
        <v>2546</v>
      </c>
      <c r="D245" s="1944" t="s">
        <v>2547</v>
      </c>
      <c r="E245" s="1944" t="s">
        <v>2548</v>
      </c>
      <c r="F245" s="1944" t="s">
        <v>2532</v>
      </c>
      <c r="G245" s="1944" t="s">
        <v>22</v>
      </c>
      <c r="H245" s="1944" t="s">
        <v>22</v>
      </c>
      <c r="I245" s="1944" t="s">
        <v>1018</v>
      </c>
    </row>
    <row customHeight="1" ht="11.25">
      <c r="A246" s="1944" t="s">
        <v>2480</v>
      </c>
      <c r="B246" s="1944" t="s">
        <v>16</v>
      </c>
      <c r="C246" s="1944" t="s">
        <v>3085</v>
      </c>
      <c r="D246" s="1944" t="s">
        <v>3086</v>
      </c>
      <c r="E246" s="1944" t="s">
        <v>3087</v>
      </c>
      <c r="F246" s="1944" t="s">
        <v>2569</v>
      </c>
      <c r="G246" s="1944" t="s">
        <v>3088</v>
      </c>
      <c r="H246" s="1944" t="s">
        <v>22</v>
      </c>
      <c r="I246" s="1944" t="s">
        <v>1018</v>
      </c>
    </row>
    <row customHeight="1" ht="11.25">
      <c r="A247" s="1944" t="s">
        <v>2480</v>
      </c>
      <c r="B247" s="1944" t="s">
        <v>16</v>
      </c>
      <c r="C247" s="1944" t="s">
        <v>3089</v>
      </c>
      <c r="D247" s="1944" t="s">
        <v>3090</v>
      </c>
      <c r="E247" s="1944" t="s">
        <v>3091</v>
      </c>
      <c r="F247" s="1944" t="s">
        <v>2652</v>
      </c>
      <c r="G247" s="1944" t="s">
        <v>22</v>
      </c>
      <c r="H247" s="1944" t="s">
        <v>22</v>
      </c>
      <c r="I247" s="1944" t="s">
        <v>1018</v>
      </c>
    </row>
    <row customHeight="1" ht="11.25">
      <c r="A248" s="1944" t="s">
        <v>2480</v>
      </c>
      <c r="B248" s="1944" t="s">
        <v>16</v>
      </c>
      <c r="C248" s="1944" t="s">
        <v>2570</v>
      </c>
      <c r="D248" s="1944" t="s">
        <v>2571</v>
      </c>
      <c r="E248" s="1944" t="s">
        <v>2572</v>
      </c>
      <c r="F248" s="1944" t="s">
        <v>2573</v>
      </c>
      <c r="G248" s="1944" t="s">
        <v>22</v>
      </c>
      <c r="H248" s="1944" t="s">
        <v>22</v>
      </c>
      <c r="I248" s="1944" t="s">
        <v>1018</v>
      </c>
    </row>
    <row customHeight="1" ht="11.25">
      <c r="A249" s="1944" t="s">
        <v>2480</v>
      </c>
      <c r="B249" s="1944" t="s">
        <v>16</v>
      </c>
      <c r="C249" s="1944" t="s">
        <v>2574</v>
      </c>
      <c r="D249" s="1944" t="s">
        <v>2575</v>
      </c>
      <c r="E249" s="1944" t="s">
        <v>2576</v>
      </c>
      <c r="F249" s="1944" t="s">
        <v>2577</v>
      </c>
      <c r="G249" s="1944" t="s">
        <v>22</v>
      </c>
      <c r="H249" s="1944" t="s">
        <v>22</v>
      </c>
      <c r="I249" s="1944" t="s">
        <v>1018</v>
      </c>
    </row>
    <row customHeight="1" ht="11.25">
      <c r="A250" s="1944" t="s">
        <v>2480</v>
      </c>
      <c r="B250" s="1944" t="s">
        <v>16</v>
      </c>
      <c r="C250" s="1944" t="s">
        <v>3092</v>
      </c>
      <c r="D250" s="1944" t="s">
        <v>3093</v>
      </c>
      <c r="E250" s="1944" t="s">
        <v>3094</v>
      </c>
      <c r="F250" s="1944" t="s">
        <v>669</v>
      </c>
      <c r="G250" s="1944" t="s">
        <v>3095</v>
      </c>
      <c r="H250" s="1944" t="s">
        <v>22</v>
      </c>
      <c r="I250" s="1944" t="s">
        <v>1018</v>
      </c>
    </row>
    <row customHeight="1" ht="11.25">
      <c r="A251" s="1944" t="s">
        <v>2480</v>
      </c>
      <c r="B251" s="1944" t="s">
        <v>16</v>
      </c>
      <c r="C251" s="1944" t="s">
        <v>3096</v>
      </c>
      <c r="D251" s="1944" t="s">
        <v>3097</v>
      </c>
      <c r="E251" s="1944" t="s">
        <v>3098</v>
      </c>
      <c r="F251" s="1944" t="s">
        <v>669</v>
      </c>
      <c r="G251" s="1944" t="s">
        <v>22</v>
      </c>
      <c r="H251" s="1944" t="s">
        <v>22</v>
      </c>
      <c r="I251" s="1944" t="s">
        <v>1018</v>
      </c>
    </row>
    <row customHeight="1" ht="11.25">
      <c r="A252" s="1944" t="s">
        <v>2480</v>
      </c>
      <c r="B252" s="1944" t="s">
        <v>16</v>
      </c>
      <c r="C252" s="1944" t="s">
        <v>3099</v>
      </c>
      <c r="D252" s="1944" t="s">
        <v>3100</v>
      </c>
      <c r="E252" s="1944" t="s">
        <v>3101</v>
      </c>
      <c r="F252" s="1944" t="s">
        <v>669</v>
      </c>
      <c r="G252" s="1944" t="s">
        <v>22</v>
      </c>
      <c r="H252" s="1944" t="s">
        <v>22</v>
      </c>
      <c r="I252" s="1944" t="s">
        <v>1018</v>
      </c>
    </row>
    <row customHeight="1" ht="11.25">
      <c r="A253" s="1944" t="s">
        <v>2480</v>
      </c>
      <c r="B253" s="1944" t="s">
        <v>16</v>
      </c>
      <c r="C253" s="1944" t="s">
        <v>2585</v>
      </c>
      <c r="D253" s="1944" t="s">
        <v>2586</v>
      </c>
      <c r="E253" s="1944" t="s">
        <v>2587</v>
      </c>
      <c r="F253" s="1944" t="s">
        <v>50</v>
      </c>
      <c r="G253" s="1944" t="s">
        <v>2588</v>
      </c>
      <c r="H253" s="1944" t="s">
        <v>22</v>
      </c>
      <c r="I253" s="1944" t="s">
        <v>1018</v>
      </c>
    </row>
    <row customHeight="1" ht="11.25">
      <c r="A254" s="1944" t="s">
        <v>2480</v>
      </c>
      <c r="B254" s="1944" t="s">
        <v>16</v>
      </c>
      <c r="C254" s="1944" t="s">
        <v>22</v>
      </c>
      <c r="D254" s="1944" t="s">
        <v>2589</v>
      </c>
      <c r="E254" s="1944" t="s">
        <v>2590</v>
      </c>
      <c r="F254" s="1944" t="s">
        <v>50</v>
      </c>
      <c r="G254" s="1944" t="s">
        <v>22</v>
      </c>
      <c r="H254" s="1944" t="s">
        <v>22</v>
      </c>
      <c r="I254" s="1944" t="s">
        <v>1018</v>
      </c>
    </row>
    <row customHeight="1" ht="11.25">
      <c r="A255" s="1944" t="s">
        <v>2480</v>
      </c>
      <c r="B255" s="1944" t="s">
        <v>16</v>
      </c>
      <c r="C255" s="1944" t="s">
        <v>3102</v>
      </c>
      <c r="D255" s="1944" t="s">
        <v>3103</v>
      </c>
      <c r="E255" s="1944" t="s">
        <v>3104</v>
      </c>
      <c r="F255" s="1944" t="s">
        <v>2615</v>
      </c>
      <c r="G255" s="1944" t="s">
        <v>3105</v>
      </c>
      <c r="H255" s="1944" t="s">
        <v>22</v>
      </c>
      <c r="I255" s="1944" t="s">
        <v>1018</v>
      </c>
    </row>
    <row customHeight="1" ht="11.25">
      <c r="A256" s="1944" t="s">
        <v>2480</v>
      </c>
      <c r="B256" s="1944" t="s">
        <v>16</v>
      </c>
      <c r="C256" s="1944" t="s">
        <v>2591</v>
      </c>
      <c r="D256" s="1944" t="s">
        <v>2592</v>
      </c>
      <c r="E256" s="1944" t="s">
        <v>2593</v>
      </c>
      <c r="F256" s="1944" t="s">
        <v>2594</v>
      </c>
      <c r="G256" s="1944" t="s">
        <v>2595</v>
      </c>
      <c r="H256" s="1944" t="s">
        <v>22</v>
      </c>
      <c r="I256" s="1944" t="s">
        <v>1018</v>
      </c>
    </row>
    <row customHeight="1" ht="11.25">
      <c r="A257" s="1944" t="s">
        <v>2480</v>
      </c>
      <c r="B257" s="1944" t="s">
        <v>16</v>
      </c>
      <c r="C257" s="1944" t="s">
        <v>2596</v>
      </c>
      <c r="D257" s="1944" t="s">
        <v>2597</v>
      </c>
      <c r="E257" s="1944" t="s">
        <v>2598</v>
      </c>
      <c r="F257" s="1944" t="s">
        <v>2594</v>
      </c>
      <c r="G257" s="1944" t="s">
        <v>22</v>
      </c>
      <c r="H257" s="1944" t="s">
        <v>22</v>
      </c>
      <c r="I257" s="1944" t="s">
        <v>1018</v>
      </c>
    </row>
    <row customHeight="1" ht="11.25">
      <c r="A258" s="1944" t="s">
        <v>2480</v>
      </c>
      <c r="B258" s="1944" t="s">
        <v>16</v>
      </c>
      <c r="C258" s="1944" t="s">
        <v>3106</v>
      </c>
      <c r="D258" s="1944" t="s">
        <v>3107</v>
      </c>
      <c r="E258" s="1944" t="s">
        <v>3108</v>
      </c>
      <c r="F258" s="1944" t="s">
        <v>2644</v>
      </c>
      <c r="G258" s="1944" t="s">
        <v>3109</v>
      </c>
      <c r="H258" s="1944" t="s">
        <v>22</v>
      </c>
      <c r="I258" s="1944" t="s">
        <v>1018</v>
      </c>
    </row>
    <row customHeight="1" ht="11.25">
      <c r="A259" s="1944" t="s">
        <v>2480</v>
      </c>
      <c r="B259" s="1944" t="s">
        <v>16</v>
      </c>
      <c r="C259" s="1944" t="s">
        <v>2599</v>
      </c>
      <c r="D259" s="1944" t="s">
        <v>2600</v>
      </c>
      <c r="E259" s="1944" t="s">
        <v>2601</v>
      </c>
      <c r="F259" s="1944" t="s">
        <v>2602</v>
      </c>
      <c r="G259" s="1944" t="s">
        <v>22</v>
      </c>
      <c r="H259" s="1944" t="s">
        <v>22</v>
      </c>
      <c r="I259" s="1944" t="s">
        <v>1018</v>
      </c>
    </row>
    <row customHeight="1" ht="11.25">
      <c r="A260" s="1944" t="s">
        <v>2480</v>
      </c>
      <c r="B260" s="1944" t="s">
        <v>16</v>
      </c>
      <c r="C260" s="1944" t="s">
        <v>2603</v>
      </c>
      <c r="D260" s="1944" t="s">
        <v>2604</v>
      </c>
      <c r="E260" s="1944" t="s">
        <v>2605</v>
      </c>
      <c r="F260" s="1944" t="s">
        <v>2606</v>
      </c>
      <c r="G260" s="1944" t="s">
        <v>2607</v>
      </c>
      <c r="H260" s="1944" t="s">
        <v>22</v>
      </c>
      <c r="I260" s="1944" t="s">
        <v>1018</v>
      </c>
    </row>
    <row customHeight="1" ht="11.25">
      <c r="A261" s="1944" t="s">
        <v>2480</v>
      </c>
      <c r="B261" s="1944" t="s">
        <v>16</v>
      </c>
      <c r="C261" s="1944" t="s">
        <v>3110</v>
      </c>
      <c r="D261" s="1944" t="s">
        <v>3111</v>
      </c>
      <c r="E261" s="1944" t="s">
        <v>3112</v>
      </c>
      <c r="F261" s="1944" t="s">
        <v>2606</v>
      </c>
      <c r="G261" s="1944" t="s">
        <v>3113</v>
      </c>
      <c r="H261" s="1944" t="s">
        <v>22</v>
      </c>
      <c r="I261" s="1944" t="s">
        <v>1018</v>
      </c>
    </row>
    <row customHeight="1" ht="11.25">
      <c r="A262" s="1944" t="s">
        <v>2480</v>
      </c>
      <c r="B262" s="1944" t="s">
        <v>16</v>
      </c>
      <c r="C262" s="1944" t="s">
        <v>2612</v>
      </c>
      <c r="D262" s="1944" t="s">
        <v>2613</v>
      </c>
      <c r="E262" s="1944" t="s">
        <v>2614</v>
      </c>
      <c r="F262" s="1944" t="s">
        <v>2615</v>
      </c>
      <c r="G262" s="1944" t="s">
        <v>2616</v>
      </c>
      <c r="H262" s="1944" t="s">
        <v>22</v>
      </c>
      <c r="I262" s="1944" t="s">
        <v>1018</v>
      </c>
    </row>
    <row customHeight="1" ht="11.25">
      <c r="A263" s="1944" t="s">
        <v>2480</v>
      </c>
      <c r="B263" s="1944" t="s">
        <v>16</v>
      </c>
      <c r="C263" s="1944" t="s">
        <v>2617</v>
      </c>
      <c r="D263" s="1944" t="s">
        <v>2618</v>
      </c>
      <c r="E263" s="1944" t="s">
        <v>2619</v>
      </c>
      <c r="F263" s="1944" t="s">
        <v>2541</v>
      </c>
      <c r="G263" s="1944" t="s">
        <v>22</v>
      </c>
      <c r="H263" s="1944" t="s">
        <v>22</v>
      </c>
      <c r="I263" s="1944" t="s">
        <v>1018</v>
      </c>
    </row>
    <row customHeight="1" ht="11.25">
      <c r="A264" s="1944" t="s">
        <v>2480</v>
      </c>
      <c r="B264" s="1944" t="s">
        <v>16</v>
      </c>
      <c r="C264" s="1944" t="s">
        <v>2620</v>
      </c>
      <c r="D264" s="1944" t="s">
        <v>2618</v>
      </c>
      <c r="E264" s="1944" t="s">
        <v>2621</v>
      </c>
      <c r="F264" s="1944" t="s">
        <v>2573</v>
      </c>
      <c r="G264" s="1944" t="s">
        <v>2622</v>
      </c>
      <c r="H264" s="1944" t="s">
        <v>22</v>
      </c>
      <c r="I264" s="1944" t="s">
        <v>1018</v>
      </c>
    </row>
    <row customHeight="1" ht="11.25">
      <c r="A265" s="1944" t="s">
        <v>2480</v>
      </c>
      <c r="B265" s="1944" t="s">
        <v>16</v>
      </c>
      <c r="C265" s="1944" t="s">
        <v>3114</v>
      </c>
      <c r="D265" s="1944" t="s">
        <v>3115</v>
      </c>
      <c r="E265" s="1944" t="s">
        <v>3116</v>
      </c>
      <c r="F265" s="1944" t="s">
        <v>2652</v>
      </c>
      <c r="G265" s="1944" t="s">
        <v>3117</v>
      </c>
      <c r="H265" s="1944" t="s">
        <v>22</v>
      </c>
      <c r="I265" s="1944" t="s">
        <v>1018</v>
      </c>
    </row>
    <row customHeight="1" ht="11.25">
      <c r="A266" s="1944" t="s">
        <v>2480</v>
      </c>
      <c r="B266" s="1944" t="s">
        <v>16</v>
      </c>
      <c r="C266" s="1944" t="s">
        <v>3118</v>
      </c>
      <c r="D266" s="1944" t="s">
        <v>3119</v>
      </c>
      <c r="E266" s="1944" t="s">
        <v>3120</v>
      </c>
      <c r="F266" s="1944" t="s">
        <v>2626</v>
      </c>
      <c r="G266" s="1944" t="s">
        <v>22</v>
      </c>
      <c r="H266" s="1944" t="s">
        <v>22</v>
      </c>
      <c r="I266" s="1944" t="s">
        <v>1018</v>
      </c>
    </row>
    <row customHeight="1" ht="11.25">
      <c r="A267" s="1944" t="s">
        <v>2480</v>
      </c>
      <c r="B267" s="1944" t="s">
        <v>16</v>
      </c>
      <c r="C267" s="1944" t="s">
        <v>3121</v>
      </c>
      <c r="D267" s="1944" t="s">
        <v>3122</v>
      </c>
      <c r="E267" s="1944" t="s">
        <v>3123</v>
      </c>
      <c r="F267" s="1944" t="s">
        <v>2690</v>
      </c>
      <c r="G267" s="1944" t="s">
        <v>22</v>
      </c>
      <c r="H267" s="1944" t="s">
        <v>22</v>
      </c>
      <c r="I267" s="1944" t="s">
        <v>1018</v>
      </c>
    </row>
    <row customHeight="1" ht="11.25">
      <c r="A268" s="1944" t="s">
        <v>2480</v>
      </c>
      <c r="B268" s="1944" t="s">
        <v>16</v>
      </c>
      <c r="C268" s="1944" t="s">
        <v>2627</v>
      </c>
      <c r="D268" s="1944" t="s">
        <v>2628</v>
      </c>
      <c r="E268" s="1944" t="s">
        <v>2629</v>
      </c>
      <c r="F268" s="1944" t="s">
        <v>2569</v>
      </c>
      <c r="G268" s="1944" t="s">
        <v>2630</v>
      </c>
      <c r="H268" s="1944" t="s">
        <v>22</v>
      </c>
      <c r="I268" s="1944" t="s">
        <v>1018</v>
      </c>
    </row>
    <row customHeight="1" ht="11.25">
      <c r="A269" s="1944" t="s">
        <v>2480</v>
      </c>
      <c r="B269" s="1944" t="s">
        <v>16</v>
      </c>
      <c r="C269" s="1944" t="s">
        <v>2631</v>
      </c>
      <c r="D269" s="1944" t="s">
        <v>2632</v>
      </c>
      <c r="E269" s="1944" t="s">
        <v>2633</v>
      </c>
      <c r="F269" s="1944" t="s">
        <v>2615</v>
      </c>
      <c r="G269" s="1944" t="s">
        <v>22</v>
      </c>
      <c r="H269" s="1944" t="s">
        <v>22</v>
      </c>
      <c r="I269" s="1944" t="s">
        <v>1018</v>
      </c>
    </row>
    <row customHeight="1" ht="11.25">
      <c r="A270" s="1944" t="s">
        <v>2480</v>
      </c>
      <c r="B270" s="1944" t="s">
        <v>16</v>
      </c>
      <c r="C270" s="1944" t="s">
        <v>2638</v>
      </c>
      <c r="D270" s="1944" t="s">
        <v>2639</v>
      </c>
      <c r="E270" s="1944" t="s">
        <v>2640</v>
      </c>
      <c r="F270" s="1944" t="s">
        <v>2594</v>
      </c>
      <c r="G270" s="1944" t="s">
        <v>22</v>
      </c>
      <c r="H270" s="1944" t="s">
        <v>22</v>
      </c>
      <c r="I270" s="1944" t="s">
        <v>1018</v>
      </c>
    </row>
    <row customHeight="1" ht="11.25">
      <c r="A271" s="1944" t="s">
        <v>2480</v>
      </c>
      <c r="B271" s="1944" t="s">
        <v>16</v>
      </c>
      <c r="C271" s="1944" t="s">
        <v>2641</v>
      </c>
      <c r="D271" s="1944" t="s">
        <v>2642</v>
      </c>
      <c r="E271" s="1944" t="s">
        <v>2643</v>
      </c>
      <c r="F271" s="1944" t="s">
        <v>2644</v>
      </c>
      <c r="G271" s="1944" t="s">
        <v>22</v>
      </c>
      <c r="H271" s="1944" t="s">
        <v>22</v>
      </c>
      <c r="I271" s="1944" t="s">
        <v>1018</v>
      </c>
    </row>
    <row customHeight="1" ht="11.25">
      <c r="A272" s="1944" t="s">
        <v>2480</v>
      </c>
      <c r="B272" s="1944" t="s">
        <v>16</v>
      </c>
      <c r="C272" s="1944" t="s">
        <v>2645</v>
      </c>
      <c r="D272" s="1944" t="s">
        <v>2646</v>
      </c>
      <c r="E272" s="1944" t="s">
        <v>2647</v>
      </c>
      <c r="F272" s="1944" t="s">
        <v>2626</v>
      </c>
      <c r="G272" s="1944" t="s">
        <v>2648</v>
      </c>
      <c r="H272" s="1944" t="s">
        <v>22</v>
      </c>
      <c r="I272" s="1944" t="s">
        <v>1018</v>
      </c>
    </row>
    <row customHeight="1" ht="11.25">
      <c r="A273" s="1944" t="s">
        <v>2480</v>
      </c>
      <c r="B273" s="1944" t="s">
        <v>16</v>
      </c>
      <c r="C273" s="1944" t="s">
        <v>2649</v>
      </c>
      <c r="D273" s="1944" t="s">
        <v>2650</v>
      </c>
      <c r="E273" s="1944" t="s">
        <v>2651</v>
      </c>
      <c r="F273" s="1944" t="s">
        <v>2652</v>
      </c>
      <c r="G273" s="1944" t="s">
        <v>22</v>
      </c>
      <c r="H273" s="1944" t="s">
        <v>22</v>
      </c>
      <c r="I273" s="1944" t="s">
        <v>1018</v>
      </c>
    </row>
    <row customHeight="1" ht="11.25">
      <c r="A274" s="1944" t="s">
        <v>2480</v>
      </c>
      <c r="B274" s="1944" t="s">
        <v>16</v>
      </c>
      <c r="C274" s="1944" t="s">
        <v>2653</v>
      </c>
      <c r="D274" s="1944" t="s">
        <v>2654</v>
      </c>
      <c r="E274" s="1944" t="s">
        <v>2655</v>
      </c>
      <c r="F274" s="1944" t="s">
        <v>2652</v>
      </c>
      <c r="G274" s="1944" t="s">
        <v>2656</v>
      </c>
      <c r="H274" s="1944" t="s">
        <v>22</v>
      </c>
      <c r="I274" s="1944" t="s">
        <v>1018</v>
      </c>
    </row>
    <row customHeight="1" ht="11.25">
      <c r="A275" s="1944" t="s">
        <v>2480</v>
      </c>
      <c r="B275" s="1944" t="s">
        <v>16</v>
      </c>
      <c r="C275" s="1944" t="s">
        <v>2657</v>
      </c>
      <c r="D275" s="1944" t="s">
        <v>2658</v>
      </c>
      <c r="E275" s="1944" t="s">
        <v>2659</v>
      </c>
      <c r="F275" s="1944" t="s">
        <v>2626</v>
      </c>
      <c r="G275" s="1944" t="s">
        <v>22</v>
      </c>
      <c r="H275" s="1944" t="s">
        <v>22</v>
      </c>
      <c r="I275" s="1944" t="s">
        <v>1018</v>
      </c>
    </row>
    <row customHeight="1" ht="11.25">
      <c r="A276" s="1944" t="s">
        <v>2480</v>
      </c>
      <c r="B276" s="1944" t="s">
        <v>16</v>
      </c>
      <c r="C276" s="1944" t="s">
        <v>2660</v>
      </c>
      <c r="D276" s="1944" t="s">
        <v>2661</v>
      </c>
      <c r="E276" s="1944" t="s">
        <v>2662</v>
      </c>
      <c r="F276" s="1944" t="s">
        <v>2663</v>
      </c>
      <c r="G276" s="1944" t="s">
        <v>2664</v>
      </c>
      <c r="H276" s="1944" t="s">
        <v>22</v>
      </c>
      <c r="I276" s="1944" t="s">
        <v>1018</v>
      </c>
    </row>
    <row customHeight="1" ht="11.25">
      <c r="A277" s="1944" t="s">
        <v>2480</v>
      </c>
      <c r="B277" s="1944" t="s">
        <v>16</v>
      </c>
      <c r="C277" s="1944" t="s">
        <v>3124</v>
      </c>
      <c r="D277" s="1944" t="s">
        <v>3125</v>
      </c>
      <c r="E277" s="1944" t="s">
        <v>3126</v>
      </c>
      <c r="F277" s="1944" t="s">
        <v>2626</v>
      </c>
      <c r="G277" s="1944" t="s">
        <v>3127</v>
      </c>
      <c r="H277" s="1944" t="s">
        <v>22</v>
      </c>
      <c r="I277" s="1944" t="s">
        <v>1018</v>
      </c>
    </row>
    <row customHeight="1" ht="11.25">
      <c r="A278" s="1944" t="s">
        <v>2480</v>
      </c>
      <c r="B278" s="1944" t="s">
        <v>16</v>
      </c>
      <c r="C278" s="1944" t="s">
        <v>3128</v>
      </c>
      <c r="D278" s="1944" t="s">
        <v>3129</v>
      </c>
      <c r="E278" s="1944" t="s">
        <v>3130</v>
      </c>
      <c r="F278" s="1944" t="s">
        <v>2663</v>
      </c>
      <c r="G278" s="1944" t="s">
        <v>3131</v>
      </c>
      <c r="H278" s="1944" t="s">
        <v>22</v>
      </c>
      <c r="I278" s="1944" t="s">
        <v>1018</v>
      </c>
    </row>
    <row customHeight="1" ht="11.25">
      <c r="A279" s="1944" t="s">
        <v>2480</v>
      </c>
      <c r="B279" s="1944" t="s">
        <v>16</v>
      </c>
      <c r="C279" s="1944" t="s">
        <v>2669</v>
      </c>
      <c r="D279" s="1944" t="s">
        <v>2670</v>
      </c>
      <c r="E279" s="1944" t="s">
        <v>2671</v>
      </c>
      <c r="F279" s="1944" t="s">
        <v>2672</v>
      </c>
      <c r="G279" s="1944" t="s">
        <v>22</v>
      </c>
      <c r="H279" s="1944" t="s">
        <v>22</v>
      </c>
      <c r="I279" s="1944" t="s">
        <v>1018</v>
      </c>
    </row>
    <row customHeight="1" ht="11.25">
      <c r="A280" s="1944" t="s">
        <v>2480</v>
      </c>
      <c r="B280" s="1944" t="s">
        <v>16</v>
      </c>
      <c r="C280" s="1944" t="s">
        <v>3132</v>
      </c>
      <c r="D280" s="1944" t="s">
        <v>3133</v>
      </c>
      <c r="E280" s="1944" t="s">
        <v>3134</v>
      </c>
      <c r="F280" s="1944" t="s">
        <v>2663</v>
      </c>
      <c r="G280" s="1944" t="s">
        <v>22</v>
      </c>
      <c r="H280" s="1944" t="s">
        <v>22</v>
      </c>
      <c r="I280" s="1944" t="s">
        <v>1018</v>
      </c>
    </row>
    <row customHeight="1" ht="11.25">
      <c r="A281" s="1944" t="s">
        <v>2480</v>
      </c>
      <c r="B281" s="1944" t="s">
        <v>16</v>
      </c>
      <c r="C281" s="1944" t="s">
        <v>2673</v>
      </c>
      <c r="D281" s="1944" t="s">
        <v>2674</v>
      </c>
      <c r="E281" s="1944" t="s">
        <v>2675</v>
      </c>
      <c r="F281" s="1944" t="s">
        <v>2663</v>
      </c>
      <c r="G281" s="1944" t="s">
        <v>2676</v>
      </c>
      <c r="H281" s="1944" t="s">
        <v>22</v>
      </c>
      <c r="I281" s="1944" t="s">
        <v>1018</v>
      </c>
    </row>
    <row customHeight="1" ht="11.25">
      <c r="A282" s="1944" t="s">
        <v>2480</v>
      </c>
      <c r="B282" s="1944" t="s">
        <v>16</v>
      </c>
      <c r="C282" s="1944" t="s">
        <v>2677</v>
      </c>
      <c r="D282" s="1944" t="s">
        <v>2678</v>
      </c>
      <c r="E282" s="1944" t="s">
        <v>2679</v>
      </c>
      <c r="F282" s="1944" t="s">
        <v>2652</v>
      </c>
      <c r="G282" s="1944" t="s">
        <v>2680</v>
      </c>
      <c r="H282" s="1944" t="s">
        <v>22</v>
      </c>
      <c r="I282" s="1944" t="s">
        <v>1018</v>
      </c>
    </row>
    <row customHeight="1" ht="11.25">
      <c r="A283" s="1944" t="s">
        <v>2480</v>
      </c>
      <c r="B283" s="1944" t="s">
        <v>16</v>
      </c>
      <c r="C283" s="1944" t="s">
        <v>2681</v>
      </c>
      <c r="D283" s="1944" t="s">
        <v>2682</v>
      </c>
      <c r="E283" s="1944" t="s">
        <v>2683</v>
      </c>
      <c r="F283" s="1944" t="s">
        <v>2652</v>
      </c>
      <c r="G283" s="1944" t="s">
        <v>22</v>
      </c>
      <c r="H283" s="1944" t="s">
        <v>22</v>
      </c>
      <c r="I283" s="1944" t="s">
        <v>1018</v>
      </c>
    </row>
    <row customHeight="1" ht="11.25">
      <c r="A284" s="1944" t="s">
        <v>2480</v>
      </c>
      <c r="B284" s="1944" t="s">
        <v>16</v>
      </c>
      <c r="C284" s="1944" t="s">
        <v>2684</v>
      </c>
      <c r="D284" s="1944" t="s">
        <v>2685</v>
      </c>
      <c r="E284" s="1944" t="s">
        <v>2686</v>
      </c>
      <c r="F284" s="1944" t="s">
        <v>2573</v>
      </c>
      <c r="G284" s="1944" t="s">
        <v>22</v>
      </c>
      <c r="H284" s="1944" t="s">
        <v>22</v>
      </c>
      <c r="I284" s="1944" t="s">
        <v>1018</v>
      </c>
    </row>
    <row customHeight="1" ht="11.25">
      <c r="A285" s="1944" t="s">
        <v>2480</v>
      </c>
      <c r="B285" s="1944" t="s">
        <v>16</v>
      </c>
      <c r="C285" s="1944" t="s">
        <v>2691</v>
      </c>
      <c r="D285" s="1944" t="s">
        <v>2692</v>
      </c>
      <c r="E285" s="1944" t="s">
        <v>2693</v>
      </c>
      <c r="F285" s="1944" t="s">
        <v>2652</v>
      </c>
      <c r="G285" s="1944" t="s">
        <v>2694</v>
      </c>
      <c r="H285" s="1944" t="s">
        <v>22</v>
      </c>
      <c r="I285" s="1944" t="s">
        <v>1018</v>
      </c>
    </row>
    <row customHeight="1" ht="11.25">
      <c r="A286" s="1944" t="s">
        <v>2480</v>
      </c>
      <c r="B286" s="1944" t="s">
        <v>16</v>
      </c>
      <c r="C286" s="1944" t="s">
        <v>2698</v>
      </c>
      <c r="D286" s="1944" t="s">
        <v>2699</v>
      </c>
      <c r="E286" s="1944" t="s">
        <v>2700</v>
      </c>
      <c r="F286" s="1944" t="s">
        <v>2663</v>
      </c>
      <c r="G286" s="1944" t="s">
        <v>22</v>
      </c>
      <c r="H286" s="1944" t="s">
        <v>22</v>
      </c>
      <c r="I286" s="1944" t="s">
        <v>1018</v>
      </c>
    </row>
    <row customHeight="1" ht="11.25">
      <c r="A287" s="1944" t="s">
        <v>2480</v>
      </c>
      <c r="B287" s="1944" t="s">
        <v>16</v>
      </c>
      <c r="C287" s="1944" t="s">
        <v>2701</v>
      </c>
      <c r="D287" s="1944" t="s">
        <v>2702</v>
      </c>
      <c r="E287" s="1944" t="s">
        <v>2703</v>
      </c>
      <c r="F287" s="1944" t="s">
        <v>2690</v>
      </c>
      <c r="G287" s="1944" t="s">
        <v>22</v>
      </c>
      <c r="H287" s="1944" t="s">
        <v>22</v>
      </c>
      <c r="I287" s="1944" t="s">
        <v>1018</v>
      </c>
    </row>
    <row customHeight="1" ht="11.25">
      <c r="A288" s="1944" t="s">
        <v>2480</v>
      </c>
      <c r="B288" s="1944" t="s">
        <v>16</v>
      </c>
      <c r="C288" s="1944" t="s">
        <v>2704</v>
      </c>
      <c r="D288" s="1944" t="s">
        <v>2705</v>
      </c>
      <c r="E288" s="1944" t="s">
        <v>2706</v>
      </c>
      <c r="F288" s="1944" t="s">
        <v>2652</v>
      </c>
      <c r="G288" s="1944" t="s">
        <v>2707</v>
      </c>
      <c r="H288" s="1944" t="s">
        <v>22</v>
      </c>
      <c r="I288" s="1944" t="s">
        <v>1018</v>
      </c>
    </row>
    <row customHeight="1" ht="11.25">
      <c r="A289" s="1944" t="s">
        <v>2480</v>
      </c>
      <c r="B289" s="1944" t="s">
        <v>16</v>
      </c>
      <c r="C289" s="1944" t="s">
        <v>2708</v>
      </c>
      <c r="D289" s="1944" t="s">
        <v>2709</v>
      </c>
      <c r="E289" s="1944" t="s">
        <v>2710</v>
      </c>
      <c r="F289" s="1944" t="s">
        <v>2663</v>
      </c>
      <c r="G289" s="1944" t="s">
        <v>2711</v>
      </c>
      <c r="H289" s="1944" t="s">
        <v>22</v>
      </c>
      <c r="I289" s="1944" t="s">
        <v>1018</v>
      </c>
    </row>
    <row customHeight="1" ht="11.25">
      <c r="A290" s="1944" t="s">
        <v>2480</v>
      </c>
      <c r="B290" s="1944" t="s">
        <v>16</v>
      </c>
      <c r="C290" s="1944" t="s">
        <v>2712</v>
      </c>
      <c r="D290" s="1944" t="s">
        <v>2709</v>
      </c>
      <c r="E290" s="1944" t="s">
        <v>2713</v>
      </c>
      <c r="F290" s="1944" t="s">
        <v>2541</v>
      </c>
      <c r="G290" s="1944" t="s">
        <v>2714</v>
      </c>
      <c r="H290" s="1944" t="s">
        <v>22</v>
      </c>
      <c r="I290" s="1944" t="s">
        <v>1018</v>
      </c>
    </row>
    <row customHeight="1" ht="11.25">
      <c r="A291" s="1944" t="s">
        <v>2480</v>
      </c>
      <c r="B291" s="1944" t="s">
        <v>16</v>
      </c>
      <c r="C291" s="1944" t="s">
        <v>2715</v>
      </c>
      <c r="D291" s="1944" t="s">
        <v>2716</v>
      </c>
      <c r="E291" s="1944" t="s">
        <v>2717</v>
      </c>
      <c r="F291" s="1944" t="s">
        <v>2644</v>
      </c>
      <c r="G291" s="1944" t="s">
        <v>22</v>
      </c>
      <c r="H291" s="1944" t="s">
        <v>22</v>
      </c>
      <c r="I291" s="1944" t="s">
        <v>1018</v>
      </c>
    </row>
    <row customHeight="1" ht="11.25">
      <c r="A292" s="1944" t="s">
        <v>2480</v>
      </c>
      <c r="B292" s="1944" t="s">
        <v>16</v>
      </c>
      <c r="C292" s="1944" t="s">
        <v>2718</v>
      </c>
      <c r="D292" s="1944" t="s">
        <v>2719</v>
      </c>
      <c r="E292" s="1944" t="s">
        <v>2720</v>
      </c>
      <c r="F292" s="1944" t="s">
        <v>2644</v>
      </c>
      <c r="G292" s="1944" t="s">
        <v>2721</v>
      </c>
      <c r="H292" s="1944" t="s">
        <v>22</v>
      </c>
      <c r="I292" s="1944" t="s">
        <v>1018</v>
      </c>
    </row>
    <row customHeight="1" ht="11.25">
      <c r="A293" s="1944" t="s">
        <v>2480</v>
      </c>
      <c r="B293" s="1944" t="s">
        <v>16</v>
      </c>
      <c r="C293" s="1944" t="s">
        <v>2722</v>
      </c>
      <c r="D293" s="1944" t="s">
        <v>2723</v>
      </c>
      <c r="E293" s="1944" t="s">
        <v>2724</v>
      </c>
      <c r="F293" s="1944" t="s">
        <v>2606</v>
      </c>
      <c r="G293" s="1944" t="s">
        <v>22</v>
      </c>
      <c r="H293" s="1944" t="s">
        <v>22</v>
      </c>
      <c r="I293" s="1944" t="s">
        <v>1018</v>
      </c>
    </row>
    <row customHeight="1" ht="11.25">
      <c r="A294" s="1944" t="s">
        <v>2480</v>
      </c>
      <c r="B294" s="1944" t="s">
        <v>16</v>
      </c>
      <c r="C294" s="1944" t="s">
        <v>2725</v>
      </c>
      <c r="D294" s="1944" t="s">
        <v>2726</v>
      </c>
      <c r="E294" s="1944" t="s">
        <v>2727</v>
      </c>
      <c r="F294" s="1944" t="s">
        <v>2615</v>
      </c>
      <c r="G294" s="1944" t="s">
        <v>2728</v>
      </c>
      <c r="H294" s="1944" t="s">
        <v>22</v>
      </c>
      <c r="I294" s="1944" t="s">
        <v>1018</v>
      </c>
    </row>
    <row customHeight="1" ht="11.25">
      <c r="A295" s="1944" t="s">
        <v>2480</v>
      </c>
      <c r="B295" s="1944" t="s">
        <v>16</v>
      </c>
      <c r="C295" s="1944" t="s">
        <v>2729</v>
      </c>
      <c r="D295" s="1944" t="s">
        <v>2730</v>
      </c>
      <c r="E295" s="1944" t="s">
        <v>2731</v>
      </c>
      <c r="F295" s="1944" t="s">
        <v>2606</v>
      </c>
      <c r="G295" s="1944" t="s">
        <v>2732</v>
      </c>
      <c r="H295" s="1944" t="s">
        <v>22</v>
      </c>
      <c r="I295" s="1944" t="s">
        <v>1018</v>
      </c>
    </row>
    <row customHeight="1" ht="11.25">
      <c r="A296" s="1944" t="s">
        <v>2480</v>
      </c>
      <c r="B296" s="1944" t="s">
        <v>16</v>
      </c>
      <c r="C296" s="1944" t="s">
        <v>2733</v>
      </c>
      <c r="D296" s="1944" t="s">
        <v>2734</v>
      </c>
      <c r="E296" s="1944" t="s">
        <v>2735</v>
      </c>
      <c r="F296" s="1944" t="s">
        <v>2626</v>
      </c>
      <c r="G296" s="1944" t="s">
        <v>2736</v>
      </c>
      <c r="H296" s="1944" t="s">
        <v>22</v>
      </c>
      <c r="I296" s="1944" t="s">
        <v>1018</v>
      </c>
    </row>
    <row customHeight="1" ht="11.25">
      <c r="A297" s="1944" t="s">
        <v>2480</v>
      </c>
      <c r="B297" s="1944" t="s">
        <v>16</v>
      </c>
      <c r="C297" s="1944" t="s">
        <v>3135</v>
      </c>
      <c r="D297" s="1944" t="s">
        <v>3136</v>
      </c>
      <c r="E297" s="1944" t="s">
        <v>3137</v>
      </c>
      <c r="F297" s="1944" t="s">
        <v>50</v>
      </c>
      <c r="G297" s="1944" t="s">
        <v>22</v>
      </c>
      <c r="H297" s="1944" t="s">
        <v>22</v>
      </c>
      <c r="I297" s="1944" t="s">
        <v>1018</v>
      </c>
    </row>
    <row customHeight="1" ht="11.25">
      <c r="A298" s="1944" t="s">
        <v>2480</v>
      </c>
      <c r="B298" s="1944" t="s">
        <v>16</v>
      </c>
      <c r="C298" s="1944" t="s">
        <v>2740</v>
      </c>
      <c r="D298" s="1944" t="s">
        <v>2741</v>
      </c>
      <c r="E298" s="1944" t="s">
        <v>2742</v>
      </c>
      <c r="F298" s="1944" t="s">
        <v>2672</v>
      </c>
      <c r="G298" s="1944" t="s">
        <v>22</v>
      </c>
      <c r="H298" s="1944" t="s">
        <v>22</v>
      </c>
      <c r="I298" s="1944" t="s">
        <v>1018</v>
      </c>
    </row>
    <row customHeight="1" ht="11.25">
      <c r="A299" s="1944" t="s">
        <v>2480</v>
      </c>
      <c r="B299" s="1944" t="s">
        <v>16</v>
      </c>
      <c r="C299" s="1944" t="s">
        <v>2746</v>
      </c>
      <c r="D299" s="1944" t="s">
        <v>2747</v>
      </c>
      <c r="E299" s="1944" t="s">
        <v>2748</v>
      </c>
      <c r="F299" s="1944" t="s">
        <v>2541</v>
      </c>
      <c r="G299" s="1944" t="s">
        <v>2749</v>
      </c>
      <c r="H299" s="1944" t="s">
        <v>22</v>
      </c>
      <c r="I299" s="1944" t="s">
        <v>1018</v>
      </c>
    </row>
    <row customHeight="1" ht="11.25">
      <c r="A300" s="1944" t="s">
        <v>2480</v>
      </c>
      <c r="B300" s="1944" t="s">
        <v>16</v>
      </c>
      <c r="C300" s="1944" t="s">
        <v>2753</v>
      </c>
      <c r="D300" s="1944" t="s">
        <v>2754</v>
      </c>
      <c r="E300" s="1944" t="s">
        <v>2755</v>
      </c>
      <c r="F300" s="1944" t="s">
        <v>2652</v>
      </c>
      <c r="G300" s="1944" t="s">
        <v>22</v>
      </c>
      <c r="H300" s="1944" t="s">
        <v>22</v>
      </c>
      <c r="I300" s="1944" t="s">
        <v>1018</v>
      </c>
    </row>
    <row customHeight="1" ht="11.25">
      <c r="A301" s="1944" t="s">
        <v>2480</v>
      </c>
      <c r="B301" s="1944" t="s">
        <v>16</v>
      </c>
      <c r="C301" s="1944" t="s">
        <v>2759</v>
      </c>
      <c r="D301" s="1944" t="s">
        <v>2760</v>
      </c>
      <c r="E301" s="1944" t="s">
        <v>2576</v>
      </c>
      <c r="F301" s="1944" t="s">
        <v>2761</v>
      </c>
      <c r="G301" s="1944" t="s">
        <v>22</v>
      </c>
      <c r="H301" s="1944" t="s">
        <v>22</v>
      </c>
      <c r="I301" s="1944" t="s">
        <v>1018</v>
      </c>
    </row>
    <row customHeight="1" ht="11.25">
      <c r="A302" s="1944" t="s">
        <v>2480</v>
      </c>
      <c r="B302" s="1944" t="s">
        <v>16</v>
      </c>
      <c r="C302" s="1944" t="s">
        <v>2766</v>
      </c>
      <c r="D302" s="1944" t="s">
        <v>2767</v>
      </c>
      <c r="E302" s="1944" t="s">
        <v>2768</v>
      </c>
      <c r="F302" s="1944" t="s">
        <v>2769</v>
      </c>
      <c r="G302" s="1944" t="s">
        <v>2770</v>
      </c>
      <c r="H302" s="1944" t="s">
        <v>22</v>
      </c>
      <c r="I302" s="1944" t="s">
        <v>1018</v>
      </c>
    </row>
    <row customHeight="1" ht="11.25">
      <c r="A303" s="1944" t="s">
        <v>2480</v>
      </c>
      <c r="B303" s="1944" t="s">
        <v>16</v>
      </c>
      <c r="C303" s="1944" t="s">
        <v>2771</v>
      </c>
      <c r="D303" s="1944" t="s">
        <v>2772</v>
      </c>
      <c r="E303" s="1944" t="s">
        <v>2773</v>
      </c>
      <c r="F303" s="1944" t="s">
        <v>2541</v>
      </c>
      <c r="G303" s="1944" t="s">
        <v>22</v>
      </c>
      <c r="H303" s="1944" t="s">
        <v>22</v>
      </c>
      <c r="I303" s="1944" t="s">
        <v>1018</v>
      </c>
    </row>
    <row customHeight="1" ht="11.25">
      <c r="A304" s="1944" t="s">
        <v>2480</v>
      </c>
      <c r="B304" s="1944" t="s">
        <v>16</v>
      </c>
      <c r="C304" s="1944" t="s">
        <v>2774</v>
      </c>
      <c r="D304" s="1944" t="s">
        <v>2775</v>
      </c>
      <c r="E304" s="1944" t="s">
        <v>2776</v>
      </c>
      <c r="F304" s="1944" t="s">
        <v>2606</v>
      </c>
      <c r="G304" s="1944" t="s">
        <v>22</v>
      </c>
      <c r="H304" s="1944" t="s">
        <v>22</v>
      </c>
      <c r="I304" s="1944" t="s">
        <v>1018</v>
      </c>
    </row>
    <row customHeight="1" ht="11.25">
      <c r="A305" s="1944" t="s">
        <v>2480</v>
      </c>
      <c r="B305" s="1944" t="s">
        <v>16</v>
      </c>
      <c r="C305" s="1944" t="s">
        <v>2777</v>
      </c>
      <c r="D305" s="1944" t="s">
        <v>2778</v>
      </c>
      <c r="E305" s="1944" t="s">
        <v>2779</v>
      </c>
      <c r="F305" s="1944" t="s">
        <v>2606</v>
      </c>
      <c r="G305" s="1944" t="s">
        <v>22</v>
      </c>
      <c r="H305" s="1944" t="s">
        <v>22</v>
      </c>
      <c r="I305" s="1944" t="s">
        <v>1018</v>
      </c>
    </row>
    <row customHeight="1" ht="11.25">
      <c r="A306" s="1944" t="s">
        <v>2480</v>
      </c>
      <c r="B306" s="1944" t="s">
        <v>16</v>
      </c>
      <c r="C306" s="1944" t="s">
        <v>3138</v>
      </c>
      <c r="D306" s="1944" t="s">
        <v>3139</v>
      </c>
      <c r="E306" s="1944" t="s">
        <v>3140</v>
      </c>
      <c r="F306" s="1944" t="s">
        <v>2811</v>
      </c>
      <c r="G306" s="1944" t="s">
        <v>22</v>
      </c>
      <c r="H306" s="1944" t="s">
        <v>22</v>
      </c>
      <c r="I306" s="1944" t="s">
        <v>1018</v>
      </c>
    </row>
    <row customHeight="1" ht="11.25">
      <c r="A307" s="1944" t="s">
        <v>2480</v>
      </c>
      <c r="B307" s="1944" t="s">
        <v>16</v>
      </c>
      <c r="C307" s="1944" t="s">
        <v>3141</v>
      </c>
      <c r="D307" s="1944" t="s">
        <v>3142</v>
      </c>
      <c r="E307" s="1944" t="s">
        <v>3143</v>
      </c>
      <c r="F307" s="1944" t="s">
        <v>50</v>
      </c>
      <c r="G307" s="1944" t="s">
        <v>3144</v>
      </c>
      <c r="H307" s="1944" t="s">
        <v>22</v>
      </c>
      <c r="I307" s="1944" t="s">
        <v>1018</v>
      </c>
    </row>
    <row customHeight="1" ht="11.25">
      <c r="A308" s="1944" t="s">
        <v>2480</v>
      </c>
      <c r="B308" s="1944" t="s">
        <v>16</v>
      </c>
      <c r="C308" s="1944" t="s">
        <v>3145</v>
      </c>
      <c r="D308" s="1944" t="s">
        <v>3146</v>
      </c>
      <c r="E308" s="1944" t="s">
        <v>3147</v>
      </c>
      <c r="F308" s="1944" t="s">
        <v>2811</v>
      </c>
      <c r="G308" s="1944" t="s">
        <v>22</v>
      </c>
      <c r="H308" s="1944" t="s">
        <v>22</v>
      </c>
      <c r="I308" s="1944" t="s">
        <v>1018</v>
      </c>
    </row>
    <row customHeight="1" ht="11.25">
      <c r="A309" s="1944" t="s">
        <v>2480</v>
      </c>
      <c r="B309" s="1944" t="s">
        <v>16</v>
      </c>
      <c r="C309" s="1944" t="s">
        <v>3148</v>
      </c>
      <c r="D309" s="1944" t="s">
        <v>3146</v>
      </c>
      <c r="E309" s="1944" t="s">
        <v>3149</v>
      </c>
      <c r="F309" s="1944" t="s">
        <v>2573</v>
      </c>
      <c r="G309" s="1944" t="s">
        <v>22</v>
      </c>
      <c r="H309" s="1944" t="s">
        <v>22</v>
      </c>
      <c r="I309" s="1944" t="s">
        <v>1018</v>
      </c>
    </row>
    <row customHeight="1" ht="11.25">
      <c r="A310" s="1944" t="s">
        <v>2480</v>
      </c>
      <c r="B310" s="1944" t="s">
        <v>16</v>
      </c>
      <c r="C310" s="1944" t="s">
        <v>3150</v>
      </c>
      <c r="D310" s="1944" t="s">
        <v>3151</v>
      </c>
      <c r="E310" s="1944" t="s">
        <v>3152</v>
      </c>
      <c r="F310" s="1944" t="s">
        <v>2569</v>
      </c>
      <c r="G310" s="1944" t="s">
        <v>22</v>
      </c>
      <c r="H310" s="1944" t="s">
        <v>22</v>
      </c>
      <c r="I310" s="1944" t="s">
        <v>1018</v>
      </c>
    </row>
    <row customHeight="1" ht="11.25">
      <c r="A311" s="1944" t="s">
        <v>2480</v>
      </c>
      <c r="B311" s="1944" t="s">
        <v>16</v>
      </c>
      <c r="C311" s="1944" t="s">
        <v>3153</v>
      </c>
      <c r="D311" s="1944" t="s">
        <v>3154</v>
      </c>
      <c r="E311" s="1944" t="s">
        <v>3155</v>
      </c>
      <c r="F311" s="1944" t="s">
        <v>2811</v>
      </c>
      <c r="G311" s="1944" t="s">
        <v>3156</v>
      </c>
      <c r="H311" s="1944" t="s">
        <v>22</v>
      </c>
      <c r="I311" s="1944" t="s">
        <v>1018</v>
      </c>
    </row>
    <row customHeight="1" ht="11.25">
      <c r="A312" s="1944" t="s">
        <v>2480</v>
      </c>
      <c r="B312" s="1944" t="s">
        <v>16</v>
      </c>
      <c r="C312" s="1944" t="s">
        <v>2805</v>
      </c>
      <c r="D312" s="1944" t="s">
        <v>2806</v>
      </c>
      <c r="E312" s="1944" t="s">
        <v>2807</v>
      </c>
      <c r="F312" s="1944" t="s">
        <v>2652</v>
      </c>
      <c r="G312" s="1944" t="s">
        <v>22</v>
      </c>
      <c r="H312" s="1944" t="s">
        <v>22</v>
      </c>
      <c r="I312" s="1944" t="s">
        <v>1018</v>
      </c>
    </row>
    <row customHeight="1" ht="11.25">
      <c r="A313" s="1944" t="s">
        <v>2480</v>
      </c>
      <c r="B313" s="1944" t="s">
        <v>16</v>
      </c>
      <c r="C313" s="1944" t="s">
        <v>2808</v>
      </c>
      <c r="D313" s="1944" t="s">
        <v>2809</v>
      </c>
      <c r="E313" s="1944" t="s">
        <v>2810</v>
      </c>
      <c r="F313" s="1944" t="s">
        <v>2811</v>
      </c>
      <c r="G313" s="1944" t="s">
        <v>22</v>
      </c>
      <c r="H313" s="1944" t="s">
        <v>22</v>
      </c>
      <c r="I313" s="1944" t="s">
        <v>1018</v>
      </c>
    </row>
    <row customHeight="1" ht="11.25">
      <c r="A314" s="1944" t="s">
        <v>2480</v>
      </c>
      <c r="B314" s="1944" t="s">
        <v>16</v>
      </c>
      <c r="C314" s="1944" t="s">
        <v>3157</v>
      </c>
      <c r="D314" s="1944" t="s">
        <v>3158</v>
      </c>
      <c r="E314" s="1944" t="s">
        <v>3159</v>
      </c>
      <c r="F314" s="1944" t="s">
        <v>2663</v>
      </c>
      <c r="G314" s="1944" t="s">
        <v>3160</v>
      </c>
      <c r="H314" s="1944" t="s">
        <v>22</v>
      </c>
      <c r="I314" s="1944" t="s">
        <v>1018</v>
      </c>
    </row>
    <row customHeight="1" ht="11.25">
      <c r="A315" s="1944" t="s">
        <v>2480</v>
      </c>
      <c r="B315" s="1944" t="s">
        <v>16</v>
      </c>
      <c r="C315" s="1944" t="s">
        <v>2828</v>
      </c>
      <c r="D315" s="1944" t="s">
        <v>2829</v>
      </c>
      <c r="E315" s="1944" t="s">
        <v>2830</v>
      </c>
      <c r="F315" s="1944" t="s">
        <v>2831</v>
      </c>
      <c r="G315" s="1944" t="s">
        <v>22</v>
      </c>
      <c r="H315" s="1944" t="s">
        <v>22</v>
      </c>
      <c r="I315" s="1944" t="s">
        <v>1018</v>
      </c>
    </row>
    <row customHeight="1" ht="11.25">
      <c r="A316" s="1944" t="s">
        <v>2480</v>
      </c>
      <c r="B316" s="1944" t="s">
        <v>16</v>
      </c>
      <c r="C316" s="1944" t="s">
        <v>2832</v>
      </c>
      <c r="D316" s="1944" t="s">
        <v>2833</v>
      </c>
      <c r="E316" s="1944" t="s">
        <v>2834</v>
      </c>
      <c r="F316" s="1944" t="s">
        <v>2831</v>
      </c>
      <c r="G316" s="1944" t="s">
        <v>22</v>
      </c>
      <c r="H316" s="1944" t="s">
        <v>22</v>
      </c>
      <c r="I316" s="1944" t="s">
        <v>1018</v>
      </c>
    </row>
    <row customHeight="1" ht="11.25">
      <c r="A317" s="1944" t="s">
        <v>2480</v>
      </c>
      <c r="B317" s="1944" t="s">
        <v>16</v>
      </c>
      <c r="C317" s="1944" t="s">
        <v>3161</v>
      </c>
      <c r="D317" s="1944" t="s">
        <v>3162</v>
      </c>
      <c r="E317" s="1944" t="s">
        <v>3163</v>
      </c>
      <c r="F317" s="1944" t="s">
        <v>2611</v>
      </c>
      <c r="G317" s="1944" t="s">
        <v>22</v>
      </c>
      <c r="H317" s="1944" t="s">
        <v>22</v>
      </c>
      <c r="I317" s="1944" t="s">
        <v>1018</v>
      </c>
    </row>
    <row customHeight="1" ht="11.25">
      <c r="A318" s="1944" t="s">
        <v>2480</v>
      </c>
      <c r="B318" s="1944" t="s">
        <v>16</v>
      </c>
      <c r="C318" s="1944" t="s">
        <v>2847</v>
      </c>
      <c r="D318" s="1944" t="s">
        <v>2848</v>
      </c>
      <c r="E318" s="1944" t="s">
        <v>2849</v>
      </c>
      <c r="F318" s="1944" t="s">
        <v>2831</v>
      </c>
      <c r="G318" s="1944" t="s">
        <v>2850</v>
      </c>
      <c r="H318" s="1944" t="s">
        <v>22</v>
      </c>
      <c r="I318" s="1944" t="s">
        <v>1018</v>
      </c>
    </row>
    <row customHeight="1" ht="11.25">
      <c r="A319" s="1944" t="s">
        <v>2480</v>
      </c>
      <c r="B319" s="1944" t="s">
        <v>16</v>
      </c>
      <c r="C319" s="1944" t="s">
        <v>2851</v>
      </c>
      <c r="D319" s="1944" t="s">
        <v>2852</v>
      </c>
      <c r="E319" s="1944" t="s">
        <v>2853</v>
      </c>
      <c r="F319" s="1944" t="s">
        <v>2652</v>
      </c>
      <c r="G319" s="1944" t="s">
        <v>22</v>
      </c>
      <c r="H319" s="1944" t="s">
        <v>22</v>
      </c>
      <c r="I319" s="1944" t="s">
        <v>1018</v>
      </c>
    </row>
    <row customHeight="1" ht="11.25">
      <c r="A320" s="1944" t="s">
        <v>2480</v>
      </c>
      <c r="B320" s="1944" t="s">
        <v>16</v>
      </c>
      <c r="C320" s="1944" t="s">
        <v>2854</v>
      </c>
      <c r="D320" s="1944" t="s">
        <v>2855</v>
      </c>
      <c r="E320" s="1944" t="s">
        <v>2856</v>
      </c>
      <c r="F320" s="1944" t="s">
        <v>2652</v>
      </c>
      <c r="G320" s="1944" t="s">
        <v>2857</v>
      </c>
      <c r="H320" s="1944" t="s">
        <v>22</v>
      </c>
      <c r="I320" s="1944" t="s">
        <v>1018</v>
      </c>
    </row>
    <row customHeight="1" ht="11.25">
      <c r="A321" s="1944" t="s">
        <v>2480</v>
      </c>
      <c r="B321" s="1944" t="s">
        <v>16</v>
      </c>
      <c r="C321" s="1944" t="s">
        <v>2858</v>
      </c>
      <c r="D321" s="1944" t="s">
        <v>2859</v>
      </c>
      <c r="E321" s="1944" t="s">
        <v>2860</v>
      </c>
      <c r="F321" s="1944" t="s">
        <v>2652</v>
      </c>
      <c r="G321" s="1944" t="s">
        <v>22</v>
      </c>
      <c r="H321" s="1944" t="s">
        <v>22</v>
      </c>
      <c r="I321" s="1944" t="s">
        <v>1018</v>
      </c>
    </row>
    <row customHeight="1" ht="11.25">
      <c r="A322" s="1944" t="s">
        <v>2480</v>
      </c>
      <c r="B322" s="1944" t="s">
        <v>16</v>
      </c>
      <c r="C322" s="1944" t="s">
        <v>2864</v>
      </c>
      <c r="D322" s="1944" t="s">
        <v>2865</v>
      </c>
      <c r="E322" s="1944" t="s">
        <v>2866</v>
      </c>
      <c r="F322" s="1944" t="s">
        <v>2663</v>
      </c>
      <c r="G322" s="1944" t="s">
        <v>2867</v>
      </c>
      <c r="H322" s="1944" t="s">
        <v>22</v>
      </c>
      <c r="I322" s="1944" t="s">
        <v>1018</v>
      </c>
    </row>
    <row customHeight="1" ht="11.25">
      <c r="A323" s="1944" t="s">
        <v>2480</v>
      </c>
      <c r="B323" s="1944" t="s">
        <v>16</v>
      </c>
      <c r="C323" s="1944" t="s">
        <v>3068</v>
      </c>
      <c r="D323" s="1944" t="s">
        <v>3069</v>
      </c>
      <c r="E323" s="1944" t="s">
        <v>3070</v>
      </c>
      <c r="F323" s="1944" t="s">
        <v>2541</v>
      </c>
      <c r="G323" s="1944" t="s">
        <v>22</v>
      </c>
      <c r="H323" s="1944" t="s">
        <v>22</v>
      </c>
      <c r="I323" s="1944" t="s">
        <v>1018</v>
      </c>
    </row>
    <row customHeight="1" ht="11.25">
      <c r="A324" s="1944" t="s">
        <v>2480</v>
      </c>
      <c r="B324" s="1944" t="s">
        <v>16</v>
      </c>
      <c r="C324" s="1944" t="s">
        <v>3164</v>
      </c>
      <c r="D324" s="1944" t="s">
        <v>3165</v>
      </c>
      <c r="E324" s="1944" t="s">
        <v>3166</v>
      </c>
      <c r="F324" s="1944" t="s">
        <v>2652</v>
      </c>
      <c r="G324" s="1944" t="s">
        <v>22</v>
      </c>
      <c r="H324" s="1944" t="s">
        <v>22</v>
      </c>
      <c r="I324" s="1944" t="s">
        <v>1018</v>
      </c>
    </row>
    <row customHeight="1" ht="11.25">
      <c r="A325" s="1944" t="s">
        <v>2480</v>
      </c>
      <c r="B325" s="1944" t="s">
        <v>16</v>
      </c>
      <c r="C325" s="1944" t="s">
        <v>3167</v>
      </c>
      <c r="D325" s="1944" t="s">
        <v>3168</v>
      </c>
      <c r="E325" s="1944" t="s">
        <v>3169</v>
      </c>
      <c r="F325" s="1944" t="s">
        <v>2569</v>
      </c>
      <c r="G325" s="1944" t="s">
        <v>22</v>
      </c>
      <c r="H325" s="1944" t="s">
        <v>22</v>
      </c>
      <c r="I325" s="1944" t="s">
        <v>1018</v>
      </c>
    </row>
    <row customHeight="1" ht="11.25">
      <c r="A326" s="1944" t="s">
        <v>2480</v>
      </c>
      <c r="B326" s="1944" t="s">
        <v>16</v>
      </c>
      <c r="C326" s="1944" t="s">
        <v>3170</v>
      </c>
      <c r="D326" s="1944" t="s">
        <v>3171</v>
      </c>
      <c r="E326" s="1944" t="s">
        <v>3172</v>
      </c>
      <c r="F326" s="1944" t="s">
        <v>2652</v>
      </c>
      <c r="G326" s="1944" t="s">
        <v>22</v>
      </c>
      <c r="H326" s="1944" t="s">
        <v>22</v>
      </c>
      <c r="I326" s="1944" t="s">
        <v>1018</v>
      </c>
    </row>
    <row customHeight="1" ht="11.25">
      <c r="A327" s="1944" t="s">
        <v>2480</v>
      </c>
      <c r="B327" s="1944" t="s">
        <v>16</v>
      </c>
      <c r="C327" s="1944" t="s">
        <v>2871</v>
      </c>
      <c r="D327" s="1944" t="s">
        <v>2872</v>
      </c>
      <c r="E327" s="1944" t="s">
        <v>2873</v>
      </c>
      <c r="F327" s="1944" t="s">
        <v>2811</v>
      </c>
      <c r="G327" s="1944" t="s">
        <v>22</v>
      </c>
      <c r="H327" s="1944" t="s">
        <v>22</v>
      </c>
      <c r="I327" s="1944" t="s">
        <v>1018</v>
      </c>
    </row>
    <row customHeight="1" ht="11.25">
      <c r="A328" s="1944" t="s">
        <v>2480</v>
      </c>
      <c r="B328" s="1944" t="s">
        <v>16</v>
      </c>
      <c r="C328" s="1944" t="s">
        <v>2874</v>
      </c>
      <c r="D328" s="1944" t="s">
        <v>2875</v>
      </c>
      <c r="E328" s="1944" t="s">
        <v>2876</v>
      </c>
      <c r="F328" s="1944" t="s">
        <v>2811</v>
      </c>
      <c r="G328" s="1944" t="s">
        <v>22</v>
      </c>
      <c r="H328" s="1944" t="s">
        <v>22</v>
      </c>
      <c r="I328" s="1944" t="s">
        <v>1018</v>
      </c>
    </row>
    <row customHeight="1" ht="11.25">
      <c r="A329" s="1944" t="s">
        <v>2480</v>
      </c>
      <c r="B329" s="1944" t="s">
        <v>16</v>
      </c>
      <c r="C329" s="1944" t="s">
        <v>2884</v>
      </c>
      <c r="D329" s="1944" t="s">
        <v>2885</v>
      </c>
      <c r="E329" s="1944" t="s">
        <v>2886</v>
      </c>
      <c r="F329" s="1944" t="s">
        <v>2573</v>
      </c>
      <c r="G329" s="1944" t="s">
        <v>22</v>
      </c>
      <c r="H329" s="1944" t="s">
        <v>22</v>
      </c>
      <c r="I329" s="1944" t="s">
        <v>1018</v>
      </c>
    </row>
    <row customHeight="1" ht="11.25">
      <c r="A330" s="1944" t="s">
        <v>2480</v>
      </c>
      <c r="B330" s="1944" t="s">
        <v>16</v>
      </c>
      <c r="C330" s="1944" t="s">
        <v>3173</v>
      </c>
      <c r="D330" s="1944" t="s">
        <v>3174</v>
      </c>
      <c r="E330" s="1944" t="s">
        <v>3175</v>
      </c>
      <c r="F330" s="1944" t="s">
        <v>2663</v>
      </c>
      <c r="G330" s="1944" t="s">
        <v>3176</v>
      </c>
      <c r="H330" s="1944" t="s">
        <v>22</v>
      </c>
      <c r="I330" s="1944" t="s">
        <v>1018</v>
      </c>
    </row>
    <row customHeight="1" ht="11.25">
      <c r="A331" s="1944" t="s">
        <v>2480</v>
      </c>
      <c r="B331" s="1944" t="s">
        <v>16</v>
      </c>
      <c r="C331" s="1944" t="s">
        <v>3177</v>
      </c>
      <c r="D331" s="1944" t="s">
        <v>3178</v>
      </c>
      <c r="E331" s="1944" t="s">
        <v>3179</v>
      </c>
      <c r="F331" s="1944" t="s">
        <v>2606</v>
      </c>
      <c r="G331" s="1944" t="s">
        <v>3180</v>
      </c>
      <c r="H331" s="1944" t="s">
        <v>22</v>
      </c>
      <c r="I331" s="1944" t="s">
        <v>1018</v>
      </c>
    </row>
    <row customHeight="1" ht="11.25">
      <c r="A332" s="1944" t="s">
        <v>2480</v>
      </c>
      <c r="B332" s="1944" t="s">
        <v>16</v>
      </c>
      <c r="C332" s="1944" t="s">
        <v>2890</v>
      </c>
      <c r="D332" s="1944" t="s">
        <v>2891</v>
      </c>
      <c r="E332" s="1944" t="s">
        <v>2892</v>
      </c>
      <c r="F332" s="1944" t="s">
        <v>2652</v>
      </c>
      <c r="G332" s="1944" t="s">
        <v>2893</v>
      </c>
      <c r="H332" s="1944" t="s">
        <v>22</v>
      </c>
      <c r="I332" s="1944" t="s">
        <v>1018</v>
      </c>
    </row>
    <row customHeight="1" ht="11.25">
      <c r="A333" s="1944" t="s">
        <v>2480</v>
      </c>
      <c r="B333" s="1944" t="s">
        <v>16</v>
      </c>
      <c r="C333" s="1944" t="s">
        <v>3181</v>
      </c>
      <c r="D333" s="1944" t="s">
        <v>3182</v>
      </c>
      <c r="E333" s="1944" t="s">
        <v>3183</v>
      </c>
      <c r="F333" s="1944" t="s">
        <v>2769</v>
      </c>
      <c r="G333" s="1944" t="s">
        <v>22</v>
      </c>
      <c r="H333" s="1944" t="s">
        <v>22</v>
      </c>
      <c r="I333" s="1944" t="s">
        <v>1018</v>
      </c>
    </row>
    <row customHeight="1" ht="11.25">
      <c r="A334" s="1944" t="s">
        <v>2480</v>
      </c>
      <c r="B334" s="1944" t="s">
        <v>16</v>
      </c>
      <c r="C334" s="1944" t="s">
        <v>2901</v>
      </c>
      <c r="D334" s="1944" t="s">
        <v>2902</v>
      </c>
      <c r="E334" s="1944" t="s">
        <v>2903</v>
      </c>
      <c r="F334" s="1944" t="s">
        <v>2644</v>
      </c>
      <c r="G334" s="1944" t="s">
        <v>2904</v>
      </c>
      <c r="H334" s="1944" t="s">
        <v>22</v>
      </c>
      <c r="I334" s="1944" t="s">
        <v>1018</v>
      </c>
    </row>
    <row customHeight="1" ht="11.25">
      <c r="A335" s="1944" t="s">
        <v>2480</v>
      </c>
      <c r="B335" s="1944" t="s">
        <v>16</v>
      </c>
      <c r="C335" s="1944" t="s">
        <v>2905</v>
      </c>
      <c r="D335" s="1944" t="s">
        <v>2906</v>
      </c>
      <c r="E335" s="1944" t="s">
        <v>2907</v>
      </c>
      <c r="F335" s="1944" t="s">
        <v>2606</v>
      </c>
      <c r="G335" s="1944" t="s">
        <v>2908</v>
      </c>
      <c r="H335" s="1944" t="s">
        <v>22</v>
      </c>
      <c r="I335" s="1944" t="s">
        <v>1018</v>
      </c>
    </row>
    <row customHeight="1" ht="11.25">
      <c r="A336" s="1944" t="s">
        <v>2480</v>
      </c>
      <c r="B336" s="1944" t="s">
        <v>16</v>
      </c>
      <c r="C336" s="1944" t="s">
        <v>2909</v>
      </c>
      <c r="D336" s="1944" t="s">
        <v>2910</v>
      </c>
      <c r="E336" s="1944" t="s">
        <v>2911</v>
      </c>
      <c r="F336" s="1944" t="s">
        <v>2663</v>
      </c>
      <c r="G336" s="1944" t="s">
        <v>2912</v>
      </c>
      <c r="H336" s="1944" t="s">
        <v>22</v>
      </c>
      <c r="I336" s="1944" t="s">
        <v>1018</v>
      </c>
    </row>
    <row customHeight="1" ht="11.25">
      <c r="A337" s="1944" t="s">
        <v>2480</v>
      </c>
      <c r="B337" s="1944" t="s">
        <v>16</v>
      </c>
      <c r="C337" s="1944" t="s">
        <v>2929</v>
      </c>
      <c r="D337" s="1944" t="s">
        <v>2930</v>
      </c>
      <c r="E337" s="1944" t="s">
        <v>2931</v>
      </c>
      <c r="F337" s="1944" t="s">
        <v>2652</v>
      </c>
      <c r="G337" s="1944" t="s">
        <v>22</v>
      </c>
      <c r="H337" s="1944" t="s">
        <v>22</v>
      </c>
      <c r="I337" s="1944" t="s">
        <v>1018</v>
      </c>
    </row>
    <row customHeight="1" ht="11.25">
      <c r="A338" s="1944" t="s">
        <v>2480</v>
      </c>
      <c r="B338" s="1944" t="s">
        <v>16</v>
      </c>
      <c r="C338" s="1944" t="s">
        <v>2932</v>
      </c>
      <c r="D338" s="1944" t="s">
        <v>2933</v>
      </c>
      <c r="E338" s="1944" t="s">
        <v>2934</v>
      </c>
      <c r="F338" s="1944" t="s">
        <v>2594</v>
      </c>
      <c r="G338" s="1944" t="s">
        <v>22</v>
      </c>
      <c r="H338" s="1944" t="s">
        <v>22</v>
      </c>
      <c r="I338" s="1944" t="s">
        <v>1018</v>
      </c>
    </row>
    <row customHeight="1" ht="11.25">
      <c r="A339" s="1944" t="s">
        <v>2480</v>
      </c>
      <c r="B339" s="1944" t="s">
        <v>16</v>
      </c>
      <c r="C339" s="1944" t="s">
        <v>2935</v>
      </c>
      <c r="D339" s="1944" t="s">
        <v>2936</v>
      </c>
      <c r="E339" s="1944" t="s">
        <v>2937</v>
      </c>
      <c r="F339" s="1944" t="s">
        <v>2556</v>
      </c>
      <c r="G339" s="1944" t="s">
        <v>22</v>
      </c>
      <c r="H339" s="1944" t="s">
        <v>22</v>
      </c>
      <c r="I339" s="1944" t="s">
        <v>1018</v>
      </c>
    </row>
    <row customHeight="1" ht="11.25">
      <c r="A340" s="1944" t="s">
        <v>2480</v>
      </c>
      <c r="B340" s="1944" t="s">
        <v>16</v>
      </c>
      <c r="C340" s="1944" t="s">
        <v>2938</v>
      </c>
      <c r="D340" s="1944" t="s">
        <v>2939</v>
      </c>
      <c r="E340" s="1944" t="s">
        <v>2940</v>
      </c>
      <c r="F340" s="1944" t="s">
        <v>2611</v>
      </c>
      <c r="G340" s="1944" t="s">
        <v>2941</v>
      </c>
      <c r="H340" s="1944" t="s">
        <v>22</v>
      </c>
      <c r="I340" s="1944" t="s">
        <v>1018</v>
      </c>
    </row>
    <row customHeight="1" ht="11.25">
      <c r="A341" s="1944" t="s">
        <v>2480</v>
      </c>
      <c r="B341" s="1944" t="s">
        <v>16</v>
      </c>
      <c r="C341" s="1944" t="s">
        <v>2942</v>
      </c>
      <c r="D341" s="1944" t="s">
        <v>2943</v>
      </c>
      <c r="E341" s="1944" t="s">
        <v>2944</v>
      </c>
      <c r="F341" s="1944" t="s">
        <v>2606</v>
      </c>
      <c r="G341" s="1944" t="s">
        <v>2945</v>
      </c>
      <c r="H341" s="1944" t="s">
        <v>22</v>
      </c>
      <c r="I341" s="1944" t="s">
        <v>1018</v>
      </c>
    </row>
    <row customHeight="1" ht="11.25">
      <c r="A342" s="1944" t="s">
        <v>2480</v>
      </c>
      <c r="B342" s="1944" t="s">
        <v>16</v>
      </c>
      <c r="C342" s="1944" t="s">
        <v>3184</v>
      </c>
      <c r="D342" s="1944" t="s">
        <v>3185</v>
      </c>
      <c r="E342" s="1944" t="s">
        <v>3186</v>
      </c>
      <c r="F342" s="1944" t="s">
        <v>2811</v>
      </c>
      <c r="G342" s="1944" t="s">
        <v>22</v>
      </c>
      <c r="H342" s="1944" t="s">
        <v>22</v>
      </c>
      <c r="I342" s="1944" t="s">
        <v>1018</v>
      </c>
    </row>
    <row customHeight="1" ht="11.25">
      <c r="A343" s="1944" t="s">
        <v>2480</v>
      </c>
      <c r="B343" s="1944" t="s">
        <v>16</v>
      </c>
      <c r="C343" s="1944" t="s">
        <v>2962</v>
      </c>
      <c r="D343" s="1944" t="s">
        <v>2963</v>
      </c>
      <c r="E343" s="1944" t="s">
        <v>2964</v>
      </c>
      <c r="F343" s="1944" t="s">
        <v>2615</v>
      </c>
      <c r="G343" s="1944" t="s">
        <v>2965</v>
      </c>
      <c r="H343" s="1944" t="s">
        <v>22</v>
      </c>
      <c r="I343" s="1944" t="s">
        <v>1018</v>
      </c>
    </row>
    <row customHeight="1" ht="11.25">
      <c r="A344" s="1944" t="s">
        <v>2480</v>
      </c>
      <c r="B344" s="1944" t="s">
        <v>16</v>
      </c>
      <c r="C344" s="1944" t="s">
        <v>2969</v>
      </c>
      <c r="D344" s="1944" t="s">
        <v>2970</v>
      </c>
      <c r="E344" s="1944" t="s">
        <v>2971</v>
      </c>
      <c r="F344" s="1944" t="s">
        <v>2831</v>
      </c>
      <c r="G344" s="1944" t="s">
        <v>22</v>
      </c>
      <c r="H344" s="1944" t="s">
        <v>22</v>
      </c>
      <c r="I344" s="1944" t="s">
        <v>1018</v>
      </c>
    </row>
    <row customHeight="1" ht="11.25">
      <c r="A345" s="1944" t="s">
        <v>2480</v>
      </c>
      <c r="B345" s="1944" t="s">
        <v>16</v>
      </c>
      <c r="C345" s="1944" t="s">
        <v>3187</v>
      </c>
      <c r="D345" s="1944" t="s">
        <v>3188</v>
      </c>
      <c r="E345" s="1944" t="s">
        <v>3189</v>
      </c>
      <c r="F345" s="1944" t="s">
        <v>2626</v>
      </c>
      <c r="G345" s="1944" t="s">
        <v>3190</v>
      </c>
      <c r="H345" s="1944" t="s">
        <v>22</v>
      </c>
      <c r="I345" s="1944" t="s">
        <v>1018</v>
      </c>
    </row>
    <row customHeight="1" ht="11.25">
      <c r="A346" s="1944" t="s">
        <v>2480</v>
      </c>
      <c r="B346" s="1944" t="s">
        <v>16</v>
      </c>
      <c r="C346" s="1944" t="s">
        <v>2976</v>
      </c>
      <c r="D346" s="1944" t="s">
        <v>2977</v>
      </c>
      <c r="E346" s="1944" t="s">
        <v>2978</v>
      </c>
      <c r="F346" s="1944" t="s">
        <v>2626</v>
      </c>
      <c r="G346" s="1944" t="s">
        <v>22</v>
      </c>
      <c r="H346" s="1944" t="s">
        <v>22</v>
      </c>
      <c r="I346" s="1944" t="s">
        <v>1018</v>
      </c>
    </row>
    <row customHeight="1" ht="11.25">
      <c r="A347" s="1944" t="s">
        <v>2480</v>
      </c>
      <c r="B347" s="1944" t="s">
        <v>16</v>
      </c>
      <c r="C347" s="1944" t="s">
        <v>2979</v>
      </c>
      <c r="D347" s="1944" t="s">
        <v>2980</v>
      </c>
      <c r="E347" s="1944" t="s">
        <v>2981</v>
      </c>
      <c r="F347" s="1944" t="s">
        <v>2626</v>
      </c>
      <c r="G347" s="1944" t="s">
        <v>22</v>
      </c>
      <c r="H347" s="1944" t="s">
        <v>22</v>
      </c>
      <c r="I347" s="1944" t="s">
        <v>1018</v>
      </c>
    </row>
    <row customHeight="1" ht="11.25">
      <c r="A348" s="1944" t="s">
        <v>2480</v>
      </c>
      <c r="B348" s="1944" t="s">
        <v>16</v>
      </c>
      <c r="C348" s="1944" t="s">
        <v>2982</v>
      </c>
      <c r="D348" s="1944" t="s">
        <v>2983</v>
      </c>
      <c r="E348" s="1944" t="s">
        <v>2984</v>
      </c>
      <c r="F348" s="1944" t="s">
        <v>2652</v>
      </c>
      <c r="G348" s="1944" t="s">
        <v>2985</v>
      </c>
      <c r="H348" s="1944" t="s">
        <v>22</v>
      </c>
      <c r="I348" s="1944" t="s">
        <v>1018</v>
      </c>
    </row>
    <row customHeight="1" ht="11.25">
      <c r="A349" s="1944" t="s">
        <v>2480</v>
      </c>
      <c r="B349" s="1944" t="s">
        <v>16</v>
      </c>
      <c r="C349" s="1944" t="s">
        <v>2986</v>
      </c>
      <c r="D349" s="1944" t="s">
        <v>2987</v>
      </c>
      <c r="E349" s="1944" t="s">
        <v>2988</v>
      </c>
      <c r="F349" s="1944" t="s">
        <v>50</v>
      </c>
      <c r="G349" s="1944" t="s">
        <v>22</v>
      </c>
      <c r="H349" s="1944" t="s">
        <v>22</v>
      </c>
      <c r="I349" s="1944" t="s">
        <v>1018</v>
      </c>
    </row>
    <row customHeight="1" ht="11.25">
      <c r="A350" s="1944" t="s">
        <v>2480</v>
      </c>
      <c r="B350" s="1944" t="s">
        <v>16</v>
      </c>
      <c r="C350" s="1944" t="s">
        <v>2989</v>
      </c>
      <c r="D350" s="1944" t="s">
        <v>2990</v>
      </c>
      <c r="E350" s="1944" t="s">
        <v>2991</v>
      </c>
      <c r="F350" s="1944" t="s">
        <v>2672</v>
      </c>
      <c r="G350" s="1944" t="s">
        <v>2992</v>
      </c>
      <c r="H350" s="1944" t="s">
        <v>22</v>
      </c>
      <c r="I350" s="1944" t="s">
        <v>1018</v>
      </c>
    </row>
    <row customHeight="1" ht="11.25">
      <c r="A351" s="1944" t="s">
        <v>2480</v>
      </c>
      <c r="B351" s="1944" t="s">
        <v>16</v>
      </c>
      <c r="C351" s="1944" t="s">
        <v>2993</v>
      </c>
      <c r="D351" s="1944" t="s">
        <v>2994</v>
      </c>
      <c r="E351" s="1944" t="s">
        <v>2995</v>
      </c>
      <c r="F351" s="1944" t="s">
        <v>2606</v>
      </c>
      <c r="G351" s="1944" t="s">
        <v>2996</v>
      </c>
      <c r="H351" s="1944" t="s">
        <v>22</v>
      </c>
      <c r="I351" s="1944" t="s">
        <v>1018</v>
      </c>
    </row>
    <row customHeight="1" ht="11.25">
      <c r="A352" s="1944" t="s">
        <v>2480</v>
      </c>
      <c r="B352" s="1944" t="s">
        <v>16</v>
      </c>
      <c r="C352" s="1944" t="s">
        <v>3000</v>
      </c>
      <c r="D352" s="1944" t="s">
        <v>3001</v>
      </c>
      <c r="E352" s="1944" t="s">
        <v>3002</v>
      </c>
      <c r="F352" s="1944" t="s">
        <v>2831</v>
      </c>
      <c r="G352" s="1944" t="s">
        <v>22</v>
      </c>
      <c r="H352" s="1944" t="s">
        <v>22</v>
      </c>
      <c r="I352" s="1944" t="s">
        <v>1018</v>
      </c>
    </row>
    <row customHeight="1" ht="11.25">
      <c r="A353" s="1944" t="s">
        <v>2480</v>
      </c>
      <c r="B353" s="1944" t="s">
        <v>16</v>
      </c>
      <c r="C353" s="1944" t="s">
        <v>3003</v>
      </c>
      <c r="D353" s="1944" t="s">
        <v>3004</v>
      </c>
      <c r="E353" s="1944" t="s">
        <v>3005</v>
      </c>
      <c r="F353" s="1944" t="s">
        <v>2602</v>
      </c>
      <c r="G353" s="1944" t="s">
        <v>22</v>
      </c>
      <c r="H353" s="1944" t="s">
        <v>22</v>
      </c>
      <c r="I353" s="1944" t="s">
        <v>1018</v>
      </c>
    </row>
    <row customHeight="1" ht="11.25">
      <c r="A354" s="1944" t="s">
        <v>2480</v>
      </c>
      <c r="B354" s="1944" t="s">
        <v>16</v>
      </c>
      <c r="C354" s="1944" t="s">
        <v>3191</v>
      </c>
      <c r="D354" s="1944" t="s">
        <v>3192</v>
      </c>
      <c r="E354" s="1944" t="s">
        <v>3193</v>
      </c>
      <c r="F354" s="1944" t="s">
        <v>2626</v>
      </c>
      <c r="G354" s="1944" t="s">
        <v>3194</v>
      </c>
      <c r="H354" s="1944" t="s">
        <v>22</v>
      </c>
      <c r="I354" s="1944" t="s">
        <v>1018</v>
      </c>
    </row>
    <row customHeight="1" ht="11.25">
      <c r="A355" s="1944" t="s">
        <v>2480</v>
      </c>
      <c r="B355" s="1944" t="s">
        <v>16</v>
      </c>
      <c r="C355" s="1944" t="s">
        <v>3010</v>
      </c>
      <c r="D355" s="1944" t="s">
        <v>3011</v>
      </c>
      <c r="E355" s="1944" t="s">
        <v>3012</v>
      </c>
      <c r="F355" s="1944" t="s">
        <v>2831</v>
      </c>
      <c r="G355" s="1944" t="s">
        <v>22</v>
      </c>
      <c r="H355" s="1944" t="s">
        <v>22</v>
      </c>
      <c r="I355" s="1944" t="s">
        <v>1018</v>
      </c>
    </row>
    <row customHeight="1" ht="11.25">
      <c r="A356" s="1944" t="s">
        <v>2480</v>
      </c>
      <c r="B356" s="1944" t="s">
        <v>16</v>
      </c>
      <c r="C356" s="1944" t="s">
        <v>3195</v>
      </c>
      <c r="D356" s="1944" t="s">
        <v>3196</v>
      </c>
      <c r="E356" s="1944" t="s">
        <v>3197</v>
      </c>
      <c r="F356" s="1944" t="s">
        <v>2626</v>
      </c>
      <c r="G356" s="1944" t="s">
        <v>3198</v>
      </c>
      <c r="H356" s="1944" t="s">
        <v>22</v>
      </c>
      <c r="I356" s="1944" t="s">
        <v>1018</v>
      </c>
    </row>
    <row customHeight="1" ht="11.25">
      <c r="A357" s="1944" t="s">
        <v>2480</v>
      </c>
      <c r="B357" s="1944" t="s">
        <v>16</v>
      </c>
      <c r="C357" s="1944" t="s">
        <v>3199</v>
      </c>
      <c r="D357" s="1944" t="s">
        <v>3200</v>
      </c>
      <c r="E357" s="1944" t="s">
        <v>3201</v>
      </c>
      <c r="F357" s="1944" t="s">
        <v>2769</v>
      </c>
      <c r="G357" s="1944" t="s">
        <v>3202</v>
      </c>
      <c r="H357" s="1944" t="s">
        <v>22</v>
      </c>
      <c r="I357" s="1944" t="s">
        <v>1018</v>
      </c>
    </row>
    <row customHeight="1" ht="11.25">
      <c r="A358" s="1944" t="s">
        <v>2480</v>
      </c>
      <c r="B358" s="1944" t="s">
        <v>16</v>
      </c>
      <c r="C358" s="1944" t="s">
        <v>3203</v>
      </c>
      <c r="D358" s="1944" t="s">
        <v>3204</v>
      </c>
      <c r="E358" s="1944" t="s">
        <v>3205</v>
      </c>
      <c r="F358" s="1944" t="s">
        <v>2532</v>
      </c>
      <c r="G358" s="1944" t="s">
        <v>3206</v>
      </c>
      <c r="H358" s="1944" t="s">
        <v>22</v>
      </c>
      <c r="I358" s="1944" t="s">
        <v>1018</v>
      </c>
    </row>
    <row customHeight="1" ht="11.25">
      <c r="A359" s="1944" t="s">
        <v>2480</v>
      </c>
      <c r="B359" s="1944" t="s">
        <v>16</v>
      </c>
      <c r="C359" s="1944" t="s">
        <v>3017</v>
      </c>
      <c r="D359" s="1944" t="s">
        <v>3018</v>
      </c>
      <c r="E359" s="1944" t="s">
        <v>3019</v>
      </c>
      <c r="F359" s="1944" t="s">
        <v>2556</v>
      </c>
      <c r="G359" s="1944" t="s">
        <v>3020</v>
      </c>
      <c r="H359" s="1944" t="s">
        <v>22</v>
      </c>
      <c r="I359" s="1944" t="s">
        <v>1018</v>
      </c>
    </row>
    <row customHeight="1" ht="11.25">
      <c r="A360" s="1944" t="s">
        <v>2480</v>
      </c>
      <c r="B360" s="1944" t="s">
        <v>16</v>
      </c>
      <c r="C360" s="1944" t="s">
        <v>3021</v>
      </c>
      <c r="D360" s="1944" t="s">
        <v>3022</v>
      </c>
      <c r="E360" s="1944" t="s">
        <v>3023</v>
      </c>
      <c r="F360" s="1944" t="s">
        <v>2644</v>
      </c>
      <c r="G360" s="1944" t="s">
        <v>22</v>
      </c>
      <c r="H360" s="1944" t="s">
        <v>22</v>
      </c>
      <c r="I360" s="1944" t="s">
        <v>1018</v>
      </c>
    </row>
    <row customHeight="1" ht="11.25">
      <c r="A361" s="1944" t="s">
        <v>2480</v>
      </c>
      <c r="B361" s="1944" t="s">
        <v>16</v>
      </c>
      <c r="C361" s="1944" t="s">
        <v>3207</v>
      </c>
      <c r="D361" s="1944" t="s">
        <v>3208</v>
      </c>
      <c r="E361" s="1944" t="s">
        <v>2576</v>
      </c>
      <c r="F361" s="1944" t="s">
        <v>3209</v>
      </c>
      <c r="G361" s="1944" t="s">
        <v>3210</v>
      </c>
      <c r="H361" s="1944" t="s">
        <v>22</v>
      </c>
      <c r="I361" s="1944" t="s">
        <v>1018</v>
      </c>
    </row>
    <row customHeight="1" ht="11.25">
      <c r="A362" s="1944" t="s">
        <v>2480</v>
      </c>
      <c r="B362" s="1944" t="s">
        <v>16</v>
      </c>
      <c r="C362" s="1944" t="s">
        <v>3211</v>
      </c>
      <c r="D362" s="1944" t="s">
        <v>3212</v>
      </c>
      <c r="E362" s="1944" t="s">
        <v>3213</v>
      </c>
      <c r="F362" s="1944" t="s">
        <v>2569</v>
      </c>
      <c r="G362" s="1944" t="s">
        <v>22</v>
      </c>
      <c r="H362" s="1944" t="s">
        <v>22</v>
      </c>
      <c r="I362" s="1944" t="s">
        <v>1018</v>
      </c>
    </row>
    <row customHeight="1" ht="11.25">
      <c r="A363" s="1944" t="s">
        <v>2480</v>
      </c>
      <c r="B363" s="1944" t="s">
        <v>16</v>
      </c>
      <c r="C363" s="1944" t="s">
        <v>3214</v>
      </c>
      <c r="D363" s="1944" t="s">
        <v>3215</v>
      </c>
      <c r="E363" s="1944" t="s">
        <v>3216</v>
      </c>
      <c r="F363" s="1944" t="s">
        <v>2606</v>
      </c>
      <c r="G363" s="1944" t="s">
        <v>22</v>
      </c>
      <c r="H363" s="1944" t="s">
        <v>22</v>
      </c>
      <c r="I363" s="1944" t="s">
        <v>1018</v>
      </c>
    </row>
    <row customHeight="1" ht="11.25">
      <c r="A364" s="1944" t="s">
        <v>2480</v>
      </c>
      <c r="B364" s="1944" t="s">
        <v>16</v>
      </c>
      <c r="C364" s="1944" t="s">
        <v>3024</v>
      </c>
      <c r="D364" s="1944" t="s">
        <v>3025</v>
      </c>
      <c r="E364" s="1944" t="s">
        <v>3026</v>
      </c>
      <c r="F364" s="1944" t="s">
        <v>3027</v>
      </c>
      <c r="G364" s="1944" t="s">
        <v>3028</v>
      </c>
      <c r="H364" s="1944" t="s">
        <v>22</v>
      </c>
      <c r="I364" s="1944" t="s">
        <v>1018</v>
      </c>
    </row>
    <row customHeight="1" ht="11.25">
      <c r="A365" s="1944" t="s">
        <v>2480</v>
      </c>
      <c r="B365" s="1944" t="s">
        <v>16</v>
      </c>
      <c r="C365" s="1944" t="s">
        <v>3032</v>
      </c>
      <c r="D365" s="1944" t="s">
        <v>3033</v>
      </c>
      <c r="E365" s="1944" t="s">
        <v>3034</v>
      </c>
      <c r="F365" s="1944" t="s">
        <v>2644</v>
      </c>
      <c r="G365" s="1944" t="s">
        <v>22</v>
      </c>
      <c r="H365" s="1944" t="s">
        <v>22</v>
      </c>
      <c r="I365" s="1944" t="s">
        <v>1018</v>
      </c>
    </row>
    <row customHeight="1" ht="11.25">
      <c r="A366" s="1944" t="s">
        <v>2480</v>
      </c>
      <c r="B366" s="1944" t="s">
        <v>16</v>
      </c>
      <c r="C366" s="1944" t="s">
        <v>3035</v>
      </c>
      <c r="D366" s="1944" t="s">
        <v>3036</v>
      </c>
      <c r="E366" s="1944" t="s">
        <v>3037</v>
      </c>
      <c r="F366" s="1944" t="s">
        <v>50</v>
      </c>
      <c r="G366" s="1944" t="s">
        <v>22</v>
      </c>
      <c r="H366" s="1944" t="s">
        <v>22</v>
      </c>
      <c r="I366" s="1944" t="s">
        <v>1018</v>
      </c>
    </row>
    <row customHeight="1" ht="11.25">
      <c r="A367" s="1944" t="s">
        <v>2480</v>
      </c>
      <c r="B367" s="1944" t="s">
        <v>16</v>
      </c>
      <c r="C367" s="1944" t="s">
        <v>3038</v>
      </c>
      <c r="D367" s="1944" t="s">
        <v>3039</v>
      </c>
      <c r="E367" s="1944" t="s">
        <v>3040</v>
      </c>
      <c r="F367" s="1944" t="s">
        <v>2545</v>
      </c>
      <c r="G367" s="1944" t="s">
        <v>3041</v>
      </c>
      <c r="H367" s="1944" t="s">
        <v>22</v>
      </c>
      <c r="I367" s="1944" t="s">
        <v>1018</v>
      </c>
    </row>
    <row customHeight="1" ht="11.25">
      <c r="A368" s="1944" t="s">
        <v>2480</v>
      </c>
      <c r="B368" s="1944" t="s">
        <v>16</v>
      </c>
      <c r="C368" s="1944" t="s">
        <v>3045</v>
      </c>
      <c r="D368" s="1944" t="s">
        <v>3046</v>
      </c>
      <c r="E368" s="1944" t="s">
        <v>3047</v>
      </c>
      <c r="F368" s="1944" t="s">
        <v>3048</v>
      </c>
      <c r="G368" s="1944" t="s">
        <v>22</v>
      </c>
      <c r="H368" s="1944" t="s">
        <v>22</v>
      </c>
      <c r="I368" s="1944" t="s">
        <v>1018</v>
      </c>
    </row>
    <row customHeight="1" ht="11.25">
      <c r="A369" s="1944" t="s">
        <v>2480</v>
      </c>
      <c r="B369" s="1944" t="s">
        <v>16</v>
      </c>
      <c r="C369" s="1944" t="s">
        <v>3056</v>
      </c>
      <c r="D369" s="1944" t="s">
        <v>3057</v>
      </c>
      <c r="E369" s="1944" t="s">
        <v>3058</v>
      </c>
      <c r="F369" s="1944" t="s">
        <v>3059</v>
      </c>
      <c r="G369" s="1944" t="s">
        <v>3060</v>
      </c>
      <c r="H369" s="1944" t="s">
        <v>22</v>
      </c>
      <c r="I369" s="1944" t="s">
        <v>1018</v>
      </c>
    </row>
    <row customHeight="1" ht="11.25">
      <c r="A370" s="1944" t="s">
        <v>2480</v>
      </c>
      <c r="B370" s="1944" t="s">
        <v>16</v>
      </c>
      <c r="C370" s="1944" t="s">
        <v>3065</v>
      </c>
      <c r="D370" s="1944" t="s">
        <v>3066</v>
      </c>
      <c r="E370" s="1944" t="s">
        <v>3067</v>
      </c>
      <c r="F370" s="1944" t="s">
        <v>2652</v>
      </c>
      <c r="G370" s="1944" t="s">
        <v>22</v>
      </c>
      <c r="H370" s="1944" t="s">
        <v>22</v>
      </c>
      <c r="I370" s="1944" t="s">
        <v>1018</v>
      </c>
    </row>
    <row customHeight="1" ht="11.25">
      <c r="A371" s="1944" t="s">
        <v>2480</v>
      </c>
      <c r="B371" s="1944" t="s">
        <v>16</v>
      </c>
      <c r="C371" s="1944" t="s">
        <v>3071</v>
      </c>
      <c r="D371" s="1944" t="s">
        <v>3072</v>
      </c>
      <c r="E371" s="1944" t="s">
        <v>3073</v>
      </c>
      <c r="F371" s="1944" t="s">
        <v>2811</v>
      </c>
      <c r="G371" s="1944" t="s">
        <v>2897</v>
      </c>
      <c r="H371" s="1944" t="s">
        <v>22</v>
      </c>
      <c r="I371" s="1944" t="s">
        <v>1071</v>
      </c>
    </row>
    <row customHeight="1" ht="11.25">
      <c r="A372" s="1944" t="s">
        <v>2480</v>
      </c>
      <c r="B372" s="1944" t="s">
        <v>16</v>
      </c>
      <c r="C372" s="1944" t="s">
        <v>3074</v>
      </c>
      <c r="D372" s="1944" t="s">
        <v>3075</v>
      </c>
      <c r="E372" s="1944" t="s">
        <v>3076</v>
      </c>
      <c r="F372" s="1944" t="s">
        <v>3077</v>
      </c>
      <c r="G372" s="1944" t="s">
        <v>22</v>
      </c>
      <c r="H372" s="1944" t="s">
        <v>22</v>
      </c>
      <c r="I372" s="1944" t="s">
        <v>1071</v>
      </c>
    </row>
    <row customHeight="1" ht="11.25">
      <c r="A373" s="1944" t="s">
        <v>2480</v>
      </c>
      <c r="B373" s="1944" t="s">
        <v>16</v>
      </c>
      <c r="C373" s="1944" t="s">
        <v>3078</v>
      </c>
      <c r="D373" s="1944" t="s">
        <v>3079</v>
      </c>
      <c r="E373" s="1944" t="s">
        <v>3080</v>
      </c>
      <c r="F373" s="1944" t="s">
        <v>3081</v>
      </c>
      <c r="G373" s="1944" t="s">
        <v>22</v>
      </c>
      <c r="H373" s="1944" t="s">
        <v>22</v>
      </c>
      <c r="I373" s="1944" t="s">
        <v>1071</v>
      </c>
    </row>
    <row customHeight="1" ht="11.25">
      <c r="A374" s="1944" t="s">
        <v>2480</v>
      </c>
      <c r="B374" s="1944" t="s">
        <v>16</v>
      </c>
      <c r="C374" s="1944" t="s">
        <v>2481</v>
      </c>
      <c r="D374" s="1944" t="s">
        <v>2482</v>
      </c>
      <c r="E374" s="1944" t="s">
        <v>2483</v>
      </c>
      <c r="F374" s="1944" t="s">
        <v>2484</v>
      </c>
      <c r="G374" s="1944" t="s">
        <v>2485</v>
      </c>
      <c r="H374" s="1944" t="s">
        <v>22</v>
      </c>
      <c r="I374" s="1944" t="s">
        <v>1071</v>
      </c>
    </row>
    <row customHeight="1" ht="11.25">
      <c r="A375" s="1944" t="s">
        <v>2480</v>
      </c>
      <c r="B375" s="1944" t="s">
        <v>16</v>
      </c>
      <c r="C375" s="1944" t="s">
        <v>13</v>
      </c>
      <c r="D375" s="1944" t="s">
        <v>45</v>
      </c>
      <c r="E375" s="1944" t="s">
        <v>48</v>
      </c>
      <c r="F375" s="1944" t="s">
        <v>50</v>
      </c>
      <c r="G375" s="1944" t="s">
        <v>2490</v>
      </c>
      <c r="H375" s="1944" t="s">
        <v>22</v>
      </c>
      <c r="I375" s="1944" t="s">
        <v>1071</v>
      </c>
    </row>
    <row customHeight="1" ht="11.25">
      <c r="A376" s="1944" t="s">
        <v>2480</v>
      </c>
      <c r="B376" s="1944" t="s">
        <v>16</v>
      </c>
      <c r="C376" s="1944" t="s">
        <v>2493</v>
      </c>
      <c r="D376" s="1944" t="s">
        <v>2494</v>
      </c>
      <c r="E376" s="1944" t="s">
        <v>48</v>
      </c>
      <c r="F376" s="1944" t="s">
        <v>2495</v>
      </c>
      <c r="G376" s="1944" t="s">
        <v>22</v>
      </c>
      <c r="H376" s="1944" t="s">
        <v>22</v>
      </c>
      <c r="I376" s="1944" t="s">
        <v>1071</v>
      </c>
    </row>
    <row customHeight="1" ht="11.25">
      <c r="A377" s="1944" t="s">
        <v>2480</v>
      </c>
      <c r="B377" s="1944" t="s">
        <v>16</v>
      </c>
      <c r="C377" s="1944" t="s">
        <v>2505</v>
      </c>
      <c r="D377" s="1944" t="s">
        <v>2506</v>
      </c>
      <c r="E377" s="1944" t="s">
        <v>48</v>
      </c>
      <c r="F377" s="1944" t="s">
        <v>2507</v>
      </c>
      <c r="G377" s="1944" t="s">
        <v>22</v>
      </c>
      <c r="H377" s="1944" t="s">
        <v>22</v>
      </c>
      <c r="I377" s="1944" t="s">
        <v>1071</v>
      </c>
    </row>
    <row customHeight="1" ht="11.25">
      <c r="A378" s="1944" t="s">
        <v>2480</v>
      </c>
      <c r="B378" s="1944" t="s">
        <v>16</v>
      </c>
      <c r="C378" s="1944" t="s">
        <v>2523</v>
      </c>
      <c r="D378" s="1944" t="s">
        <v>2524</v>
      </c>
      <c r="E378" s="1944" t="s">
        <v>48</v>
      </c>
      <c r="F378" s="1944" t="s">
        <v>2525</v>
      </c>
      <c r="G378" s="1944" t="s">
        <v>22</v>
      </c>
      <c r="H378" s="1944" t="s">
        <v>22</v>
      </c>
      <c r="I378" s="1944" t="s">
        <v>1071</v>
      </c>
    </row>
    <row customHeight="1" ht="11.25">
      <c r="A379" s="1944" t="s">
        <v>2480</v>
      </c>
      <c r="B379" s="1944" t="s">
        <v>16</v>
      </c>
      <c r="C379" s="1944" t="s">
        <v>3217</v>
      </c>
      <c r="D379" s="1944" t="s">
        <v>3218</v>
      </c>
      <c r="E379" s="1944" t="s">
        <v>3219</v>
      </c>
      <c r="F379" s="1944" t="s">
        <v>2690</v>
      </c>
      <c r="G379" s="1944" t="s">
        <v>22</v>
      </c>
      <c r="H379" s="1944" t="s">
        <v>22</v>
      </c>
      <c r="I379" s="1944" t="s">
        <v>1071</v>
      </c>
    </row>
    <row customHeight="1" ht="11.25">
      <c r="A380" s="1944" t="s">
        <v>2480</v>
      </c>
      <c r="B380" s="1944" t="s">
        <v>16</v>
      </c>
      <c r="C380" s="1944" t="s">
        <v>3082</v>
      </c>
      <c r="D380" s="1944" t="s">
        <v>3083</v>
      </c>
      <c r="E380" s="1944" t="s">
        <v>3084</v>
      </c>
      <c r="F380" s="1944" t="s">
        <v>2831</v>
      </c>
      <c r="G380" s="1944" t="s">
        <v>22</v>
      </c>
      <c r="H380" s="1944" t="s">
        <v>22</v>
      </c>
      <c r="I380" s="1944" t="s">
        <v>1071</v>
      </c>
    </row>
    <row customHeight="1" ht="11.25">
      <c r="A381" s="1944" t="s">
        <v>2480</v>
      </c>
      <c r="B381" s="1944" t="s">
        <v>16</v>
      </c>
      <c r="C381" s="1944" t="s">
        <v>2526</v>
      </c>
      <c r="D381" s="1944" t="s">
        <v>2527</v>
      </c>
      <c r="E381" s="1944" t="s">
        <v>2528</v>
      </c>
      <c r="F381" s="1944" t="s">
        <v>2489</v>
      </c>
      <c r="G381" s="1944" t="s">
        <v>22</v>
      </c>
      <c r="H381" s="1944" t="s">
        <v>22</v>
      </c>
      <c r="I381" s="1944" t="s">
        <v>1071</v>
      </c>
    </row>
    <row customHeight="1" ht="11.25">
      <c r="A382" s="1944" t="s">
        <v>2480</v>
      </c>
      <c r="B382" s="1944" t="s">
        <v>16</v>
      </c>
      <c r="C382" s="1944" t="s">
        <v>2529</v>
      </c>
      <c r="D382" s="1944" t="s">
        <v>2530</v>
      </c>
      <c r="E382" s="1944" t="s">
        <v>2531</v>
      </c>
      <c r="F382" s="1944" t="s">
        <v>2532</v>
      </c>
      <c r="G382" s="1944" t="s">
        <v>2533</v>
      </c>
      <c r="H382" s="1944" t="s">
        <v>22</v>
      </c>
      <c r="I382" s="1944" t="s">
        <v>1071</v>
      </c>
    </row>
    <row customHeight="1" ht="11.25">
      <c r="A383" s="1944" t="s">
        <v>2480</v>
      </c>
      <c r="B383" s="1944" t="s">
        <v>16</v>
      </c>
      <c r="C383" s="1944" t="s">
        <v>2538</v>
      </c>
      <c r="D383" s="1944" t="s">
        <v>2539</v>
      </c>
      <c r="E383" s="1944" t="s">
        <v>2540</v>
      </c>
      <c r="F383" s="1944" t="s">
        <v>2541</v>
      </c>
      <c r="G383" s="1944" t="s">
        <v>22</v>
      </c>
      <c r="H383" s="1944" t="s">
        <v>22</v>
      </c>
      <c r="I383" s="1944" t="s">
        <v>1071</v>
      </c>
    </row>
    <row customHeight="1" ht="11.25">
      <c r="A384" s="1944" t="s">
        <v>2480</v>
      </c>
      <c r="B384" s="1944" t="s">
        <v>16</v>
      </c>
      <c r="C384" s="1944" t="s">
        <v>2546</v>
      </c>
      <c r="D384" s="1944" t="s">
        <v>2547</v>
      </c>
      <c r="E384" s="1944" t="s">
        <v>2548</v>
      </c>
      <c r="F384" s="1944" t="s">
        <v>2532</v>
      </c>
      <c r="G384" s="1944" t="s">
        <v>22</v>
      </c>
      <c r="H384" s="1944" t="s">
        <v>22</v>
      </c>
      <c r="I384" s="1944" t="s">
        <v>1071</v>
      </c>
    </row>
    <row customHeight="1" ht="11.25">
      <c r="A385" s="1944" t="s">
        <v>2480</v>
      </c>
      <c r="B385" s="1944" t="s">
        <v>16</v>
      </c>
      <c r="C385" s="1944" t="s">
        <v>3089</v>
      </c>
      <c r="D385" s="1944" t="s">
        <v>3090</v>
      </c>
      <c r="E385" s="1944" t="s">
        <v>3091</v>
      </c>
      <c r="F385" s="1944" t="s">
        <v>2652</v>
      </c>
      <c r="G385" s="1944" t="s">
        <v>22</v>
      </c>
      <c r="H385" s="1944" t="s">
        <v>22</v>
      </c>
      <c r="I385" s="1944" t="s">
        <v>1071</v>
      </c>
    </row>
    <row customHeight="1" ht="11.25">
      <c r="A386" s="1944" t="s">
        <v>2480</v>
      </c>
      <c r="B386" s="1944" t="s">
        <v>16</v>
      </c>
      <c r="C386" s="1944" t="s">
        <v>2570</v>
      </c>
      <c r="D386" s="1944" t="s">
        <v>2571</v>
      </c>
      <c r="E386" s="1944" t="s">
        <v>2572</v>
      </c>
      <c r="F386" s="1944" t="s">
        <v>2573</v>
      </c>
      <c r="G386" s="1944" t="s">
        <v>22</v>
      </c>
      <c r="H386" s="1944" t="s">
        <v>22</v>
      </c>
      <c r="I386" s="1944" t="s">
        <v>1071</v>
      </c>
    </row>
    <row customHeight="1" ht="11.25">
      <c r="A387" s="1944" t="s">
        <v>2480</v>
      </c>
      <c r="B387" s="1944" t="s">
        <v>16</v>
      </c>
      <c r="C387" s="1944" t="s">
        <v>2574</v>
      </c>
      <c r="D387" s="1944" t="s">
        <v>2575</v>
      </c>
      <c r="E387" s="1944" t="s">
        <v>2576</v>
      </c>
      <c r="F387" s="1944" t="s">
        <v>2577</v>
      </c>
      <c r="G387" s="1944" t="s">
        <v>22</v>
      </c>
      <c r="H387" s="1944" t="s">
        <v>22</v>
      </c>
      <c r="I387" s="1944" t="s">
        <v>1071</v>
      </c>
    </row>
    <row customHeight="1" ht="11.25">
      <c r="A388" s="1944" t="s">
        <v>2480</v>
      </c>
      <c r="B388" s="1944" t="s">
        <v>16</v>
      </c>
      <c r="C388" s="1944" t="s">
        <v>3220</v>
      </c>
      <c r="D388" s="1944" t="s">
        <v>3221</v>
      </c>
      <c r="E388" s="1944" t="s">
        <v>3222</v>
      </c>
      <c r="F388" s="1944" t="s">
        <v>2532</v>
      </c>
      <c r="G388" s="1944" t="s">
        <v>22</v>
      </c>
      <c r="H388" s="1944" t="s">
        <v>22</v>
      </c>
      <c r="I388" s="1944" t="s">
        <v>1071</v>
      </c>
    </row>
    <row customHeight="1" ht="11.25">
      <c r="A389" s="1944" t="s">
        <v>2480</v>
      </c>
      <c r="B389" s="1944" t="s">
        <v>16</v>
      </c>
      <c r="C389" s="1944" t="s">
        <v>2585</v>
      </c>
      <c r="D389" s="1944" t="s">
        <v>2586</v>
      </c>
      <c r="E389" s="1944" t="s">
        <v>2587</v>
      </c>
      <c r="F389" s="1944" t="s">
        <v>50</v>
      </c>
      <c r="G389" s="1944" t="s">
        <v>2588</v>
      </c>
      <c r="H389" s="1944" t="s">
        <v>22</v>
      </c>
      <c r="I389" s="1944" t="s">
        <v>1071</v>
      </c>
    </row>
    <row customHeight="1" ht="11.25">
      <c r="A390" s="1944" t="s">
        <v>2480</v>
      </c>
      <c r="B390" s="1944" t="s">
        <v>16</v>
      </c>
      <c r="C390" s="1944" t="s">
        <v>22</v>
      </c>
      <c r="D390" s="1944" t="s">
        <v>2589</v>
      </c>
      <c r="E390" s="1944" t="s">
        <v>2590</v>
      </c>
      <c r="F390" s="1944" t="s">
        <v>50</v>
      </c>
      <c r="G390" s="1944" t="s">
        <v>22</v>
      </c>
      <c r="H390" s="1944" t="s">
        <v>22</v>
      </c>
      <c r="I390" s="1944" t="s">
        <v>1071</v>
      </c>
    </row>
    <row customHeight="1" ht="11.25">
      <c r="A391" s="1944" t="s">
        <v>2480</v>
      </c>
      <c r="B391" s="1944" t="s">
        <v>16</v>
      </c>
      <c r="C391" s="1944" t="s">
        <v>2591</v>
      </c>
      <c r="D391" s="1944" t="s">
        <v>2592</v>
      </c>
      <c r="E391" s="1944" t="s">
        <v>2593</v>
      </c>
      <c r="F391" s="1944" t="s">
        <v>2594</v>
      </c>
      <c r="G391" s="1944" t="s">
        <v>2595</v>
      </c>
      <c r="H391" s="1944" t="s">
        <v>22</v>
      </c>
      <c r="I391" s="1944" t="s">
        <v>1071</v>
      </c>
    </row>
    <row customHeight="1" ht="11.25">
      <c r="A392" s="1944" t="s">
        <v>2480</v>
      </c>
      <c r="B392" s="1944" t="s">
        <v>16</v>
      </c>
      <c r="C392" s="1944" t="s">
        <v>2596</v>
      </c>
      <c r="D392" s="1944" t="s">
        <v>2597</v>
      </c>
      <c r="E392" s="1944" t="s">
        <v>2598</v>
      </c>
      <c r="F392" s="1944" t="s">
        <v>2594</v>
      </c>
      <c r="G392" s="1944" t="s">
        <v>22</v>
      </c>
      <c r="H392" s="1944" t="s">
        <v>22</v>
      </c>
      <c r="I392" s="1944" t="s">
        <v>1071</v>
      </c>
    </row>
    <row customHeight="1" ht="11.25">
      <c r="A393" s="1944" t="s">
        <v>2480</v>
      </c>
      <c r="B393" s="1944" t="s">
        <v>16</v>
      </c>
      <c r="C393" s="1944" t="s">
        <v>2599</v>
      </c>
      <c r="D393" s="1944" t="s">
        <v>2600</v>
      </c>
      <c r="E393" s="1944" t="s">
        <v>2601</v>
      </c>
      <c r="F393" s="1944" t="s">
        <v>2602</v>
      </c>
      <c r="G393" s="1944" t="s">
        <v>22</v>
      </c>
      <c r="H393" s="1944" t="s">
        <v>22</v>
      </c>
      <c r="I393" s="1944" t="s">
        <v>1071</v>
      </c>
    </row>
    <row customHeight="1" ht="11.25">
      <c r="A394" s="1944" t="s">
        <v>2480</v>
      </c>
      <c r="B394" s="1944" t="s">
        <v>16</v>
      </c>
      <c r="C394" s="1944" t="s">
        <v>2612</v>
      </c>
      <c r="D394" s="1944" t="s">
        <v>2613</v>
      </c>
      <c r="E394" s="1944" t="s">
        <v>2614</v>
      </c>
      <c r="F394" s="1944" t="s">
        <v>2615</v>
      </c>
      <c r="G394" s="1944" t="s">
        <v>2616</v>
      </c>
      <c r="H394" s="1944" t="s">
        <v>22</v>
      </c>
      <c r="I394" s="1944" t="s">
        <v>1071</v>
      </c>
    </row>
    <row customHeight="1" ht="11.25">
      <c r="A395" s="1944" t="s">
        <v>2480</v>
      </c>
      <c r="B395" s="1944" t="s">
        <v>16</v>
      </c>
      <c r="C395" s="1944" t="s">
        <v>2617</v>
      </c>
      <c r="D395" s="1944" t="s">
        <v>2618</v>
      </c>
      <c r="E395" s="1944" t="s">
        <v>2619</v>
      </c>
      <c r="F395" s="1944" t="s">
        <v>2541</v>
      </c>
      <c r="G395" s="1944" t="s">
        <v>22</v>
      </c>
      <c r="H395" s="1944" t="s">
        <v>22</v>
      </c>
      <c r="I395" s="1944" t="s">
        <v>1071</v>
      </c>
    </row>
    <row customHeight="1" ht="11.25">
      <c r="A396" s="1944" t="s">
        <v>2480</v>
      </c>
      <c r="B396" s="1944" t="s">
        <v>16</v>
      </c>
      <c r="C396" s="1944" t="s">
        <v>2620</v>
      </c>
      <c r="D396" s="1944" t="s">
        <v>2618</v>
      </c>
      <c r="E396" s="1944" t="s">
        <v>2621</v>
      </c>
      <c r="F396" s="1944" t="s">
        <v>2573</v>
      </c>
      <c r="G396" s="1944" t="s">
        <v>2622</v>
      </c>
      <c r="H396" s="1944" t="s">
        <v>22</v>
      </c>
      <c r="I396" s="1944" t="s">
        <v>1071</v>
      </c>
    </row>
    <row customHeight="1" ht="11.25">
      <c r="A397" s="1944" t="s">
        <v>2480</v>
      </c>
      <c r="B397" s="1944" t="s">
        <v>16</v>
      </c>
      <c r="C397" s="1944" t="s">
        <v>3114</v>
      </c>
      <c r="D397" s="1944" t="s">
        <v>3115</v>
      </c>
      <c r="E397" s="1944" t="s">
        <v>3116</v>
      </c>
      <c r="F397" s="1944" t="s">
        <v>2652</v>
      </c>
      <c r="G397" s="1944" t="s">
        <v>3117</v>
      </c>
      <c r="H397" s="1944" t="s">
        <v>22</v>
      </c>
      <c r="I397" s="1944" t="s">
        <v>1071</v>
      </c>
    </row>
    <row customHeight="1" ht="11.25">
      <c r="A398" s="1944" t="s">
        <v>2480</v>
      </c>
      <c r="B398" s="1944" t="s">
        <v>16</v>
      </c>
      <c r="C398" s="1944" t="s">
        <v>3118</v>
      </c>
      <c r="D398" s="1944" t="s">
        <v>3119</v>
      </c>
      <c r="E398" s="1944" t="s">
        <v>3120</v>
      </c>
      <c r="F398" s="1944" t="s">
        <v>2626</v>
      </c>
      <c r="G398" s="1944" t="s">
        <v>22</v>
      </c>
      <c r="H398" s="1944" t="s">
        <v>22</v>
      </c>
      <c r="I398" s="1944" t="s">
        <v>1071</v>
      </c>
    </row>
    <row customHeight="1" ht="11.25">
      <c r="A399" s="1944" t="s">
        <v>2480</v>
      </c>
      <c r="B399" s="1944" t="s">
        <v>16</v>
      </c>
      <c r="C399" s="1944" t="s">
        <v>3121</v>
      </c>
      <c r="D399" s="1944" t="s">
        <v>3122</v>
      </c>
      <c r="E399" s="1944" t="s">
        <v>3123</v>
      </c>
      <c r="F399" s="1944" t="s">
        <v>2690</v>
      </c>
      <c r="G399" s="1944" t="s">
        <v>22</v>
      </c>
      <c r="H399" s="1944" t="s">
        <v>22</v>
      </c>
      <c r="I399" s="1944" t="s">
        <v>1071</v>
      </c>
    </row>
    <row customHeight="1" ht="11.25">
      <c r="A400" s="1944" t="s">
        <v>2480</v>
      </c>
      <c r="B400" s="1944" t="s">
        <v>16</v>
      </c>
      <c r="C400" s="1944" t="s">
        <v>2627</v>
      </c>
      <c r="D400" s="1944" t="s">
        <v>2628</v>
      </c>
      <c r="E400" s="1944" t="s">
        <v>2629</v>
      </c>
      <c r="F400" s="1944" t="s">
        <v>2569</v>
      </c>
      <c r="G400" s="1944" t="s">
        <v>2630</v>
      </c>
      <c r="H400" s="1944" t="s">
        <v>22</v>
      </c>
      <c r="I400" s="1944" t="s">
        <v>1071</v>
      </c>
    </row>
    <row customHeight="1" ht="11.25">
      <c r="A401" s="1944" t="s">
        <v>2480</v>
      </c>
      <c r="B401" s="1944" t="s">
        <v>16</v>
      </c>
      <c r="C401" s="1944" t="s">
        <v>2638</v>
      </c>
      <c r="D401" s="1944" t="s">
        <v>2639</v>
      </c>
      <c r="E401" s="1944" t="s">
        <v>2640</v>
      </c>
      <c r="F401" s="1944" t="s">
        <v>2594</v>
      </c>
      <c r="G401" s="1944" t="s">
        <v>22</v>
      </c>
      <c r="H401" s="1944" t="s">
        <v>22</v>
      </c>
      <c r="I401" s="1944" t="s">
        <v>1071</v>
      </c>
    </row>
    <row customHeight="1" ht="11.25">
      <c r="A402" s="1944" t="s">
        <v>2480</v>
      </c>
      <c r="B402" s="1944" t="s">
        <v>16</v>
      </c>
      <c r="C402" s="1944" t="s">
        <v>2641</v>
      </c>
      <c r="D402" s="1944" t="s">
        <v>2642</v>
      </c>
      <c r="E402" s="1944" t="s">
        <v>2643</v>
      </c>
      <c r="F402" s="1944" t="s">
        <v>2644</v>
      </c>
      <c r="G402" s="1944" t="s">
        <v>22</v>
      </c>
      <c r="H402" s="1944" t="s">
        <v>22</v>
      </c>
      <c r="I402" s="1944" t="s">
        <v>1071</v>
      </c>
    </row>
    <row customHeight="1" ht="11.25">
      <c r="A403" s="1944" t="s">
        <v>2480</v>
      </c>
      <c r="B403" s="1944" t="s">
        <v>16</v>
      </c>
      <c r="C403" s="1944" t="s">
        <v>2645</v>
      </c>
      <c r="D403" s="1944" t="s">
        <v>2646</v>
      </c>
      <c r="E403" s="1944" t="s">
        <v>2647</v>
      </c>
      <c r="F403" s="1944" t="s">
        <v>2626</v>
      </c>
      <c r="G403" s="1944" t="s">
        <v>2648</v>
      </c>
      <c r="H403" s="1944" t="s">
        <v>22</v>
      </c>
      <c r="I403" s="1944" t="s">
        <v>1071</v>
      </c>
    </row>
    <row customHeight="1" ht="11.25">
      <c r="A404" s="1944" t="s">
        <v>2480</v>
      </c>
      <c r="B404" s="1944" t="s">
        <v>16</v>
      </c>
      <c r="C404" s="1944" t="s">
        <v>2649</v>
      </c>
      <c r="D404" s="1944" t="s">
        <v>2650</v>
      </c>
      <c r="E404" s="1944" t="s">
        <v>2651</v>
      </c>
      <c r="F404" s="1944" t="s">
        <v>2652</v>
      </c>
      <c r="G404" s="1944" t="s">
        <v>22</v>
      </c>
      <c r="H404" s="1944" t="s">
        <v>22</v>
      </c>
      <c r="I404" s="1944" t="s">
        <v>1071</v>
      </c>
    </row>
    <row customHeight="1" ht="11.25">
      <c r="A405" s="1944" t="s">
        <v>2480</v>
      </c>
      <c r="B405" s="1944" t="s">
        <v>16</v>
      </c>
      <c r="C405" s="1944" t="s">
        <v>2653</v>
      </c>
      <c r="D405" s="1944" t="s">
        <v>2654</v>
      </c>
      <c r="E405" s="1944" t="s">
        <v>2655</v>
      </c>
      <c r="F405" s="1944" t="s">
        <v>2652</v>
      </c>
      <c r="G405" s="1944" t="s">
        <v>2656</v>
      </c>
      <c r="H405" s="1944" t="s">
        <v>22</v>
      </c>
      <c r="I405" s="1944" t="s">
        <v>1071</v>
      </c>
    </row>
    <row customHeight="1" ht="11.25">
      <c r="A406" s="1944" t="s">
        <v>2480</v>
      </c>
      <c r="B406" s="1944" t="s">
        <v>16</v>
      </c>
      <c r="C406" s="1944" t="s">
        <v>2657</v>
      </c>
      <c r="D406" s="1944" t="s">
        <v>2658</v>
      </c>
      <c r="E406" s="1944" t="s">
        <v>2659</v>
      </c>
      <c r="F406" s="1944" t="s">
        <v>2626</v>
      </c>
      <c r="G406" s="1944" t="s">
        <v>22</v>
      </c>
      <c r="H406" s="1944" t="s">
        <v>22</v>
      </c>
      <c r="I406" s="1944" t="s">
        <v>1071</v>
      </c>
    </row>
    <row customHeight="1" ht="11.25">
      <c r="A407" s="1944" t="s">
        <v>2480</v>
      </c>
      <c r="B407" s="1944" t="s">
        <v>16</v>
      </c>
      <c r="C407" s="1944" t="s">
        <v>2660</v>
      </c>
      <c r="D407" s="1944" t="s">
        <v>2661</v>
      </c>
      <c r="E407" s="1944" t="s">
        <v>2662</v>
      </c>
      <c r="F407" s="1944" t="s">
        <v>2663</v>
      </c>
      <c r="G407" s="1944" t="s">
        <v>2664</v>
      </c>
      <c r="H407" s="1944" t="s">
        <v>22</v>
      </c>
      <c r="I407" s="1944" t="s">
        <v>1071</v>
      </c>
    </row>
    <row customHeight="1" ht="11.25">
      <c r="A408" s="1944" t="s">
        <v>2480</v>
      </c>
      <c r="B408" s="1944" t="s">
        <v>16</v>
      </c>
      <c r="C408" s="1944" t="s">
        <v>3124</v>
      </c>
      <c r="D408" s="1944" t="s">
        <v>3125</v>
      </c>
      <c r="E408" s="1944" t="s">
        <v>3126</v>
      </c>
      <c r="F408" s="1944" t="s">
        <v>2626</v>
      </c>
      <c r="G408" s="1944" t="s">
        <v>3127</v>
      </c>
      <c r="H408" s="1944" t="s">
        <v>22</v>
      </c>
      <c r="I408" s="1944" t="s">
        <v>1071</v>
      </c>
    </row>
    <row customHeight="1" ht="11.25">
      <c r="A409" s="1944" t="s">
        <v>2480</v>
      </c>
      <c r="B409" s="1944" t="s">
        <v>16</v>
      </c>
      <c r="C409" s="1944" t="s">
        <v>3128</v>
      </c>
      <c r="D409" s="1944" t="s">
        <v>3129</v>
      </c>
      <c r="E409" s="1944" t="s">
        <v>3130</v>
      </c>
      <c r="F409" s="1944" t="s">
        <v>2663</v>
      </c>
      <c r="G409" s="1944" t="s">
        <v>3131</v>
      </c>
      <c r="H409" s="1944" t="s">
        <v>22</v>
      </c>
      <c r="I409" s="1944" t="s">
        <v>1071</v>
      </c>
    </row>
    <row customHeight="1" ht="11.25">
      <c r="A410" s="1944" t="s">
        <v>2480</v>
      </c>
      <c r="B410" s="1944" t="s">
        <v>16</v>
      </c>
      <c r="C410" s="1944" t="s">
        <v>2669</v>
      </c>
      <c r="D410" s="1944" t="s">
        <v>2670</v>
      </c>
      <c r="E410" s="1944" t="s">
        <v>2671</v>
      </c>
      <c r="F410" s="1944" t="s">
        <v>2672</v>
      </c>
      <c r="G410" s="1944" t="s">
        <v>22</v>
      </c>
      <c r="H410" s="1944" t="s">
        <v>22</v>
      </c>
      <c r="I410" s="1944" t="s">
        <v>1071</v>
      </c>
    </row>
    <row customHeight="1" ht="11.25">
      <c r="A411" s="1944" t="s">
        <v>2480</v>
      </c>
      <c r="B411" s="1944" t="s">
        <v>16</v>
      </c>
      <c r="C411" s="1944" t="s">
        <v>3223</v>
      </c>
      <c r="D411" s="1944" t="s">
        <v>3224</v>
      </c>
      <c r="E411" s="1944" t="s">
        <v>3225</v>
      </c>
      <c r="F411" s="1944" t="s">
        <v>2663</v>
      </c>
      <c r="G411" s="1944" t="s">
        <v>3226</v>
      </c>
      <c r="H411" s="1944" t="s">
        <v>22</v>
      </c>
      <c r="I411" s="1944" t="s">
        <v>1071</v>
      </c>
    </row>
    <row customHeight="1" ht="11.25">
      <c r="A412" s="1944" t="s">
        <v>2480</v>
      </c>
      <c r="B412" s="1944" t="s">
        <v>16</v>
      </c>
      <c r="C412" s="1944" t="s">
        <v>2677</v>
      </c>
      <c r="D412" s="1944" t="s">
        <v>2678</v>
      </c>
      <c r="E412" s="1944" t="s">
        <v>2679</v>
      </c>
      <c r="F412" s="1944" t="s">
        <v>2652</v>
      </c>
      <c r="G412" s="1944" t="s">
        <v>2680</v>
      </c>
      <c r="H412" s="1944" t="s">
        <v>22</v>
      </c>
      <c r="I412" s="1944" t="s">
        <v>1071</v>
      </c>
    </row>
    <row customHeight="1" ht="11.25">
      <c r="A413" s="1944" t="s">
        <v>2480</v>
      </c>
      <c r="B413" s="1944" t="s">
        <v>16</v>
      </c>
      <c r="C413" s="1944" t="s">
        <v>2681</v>
      </c>
      <c r="D413" s="1944" t="s">
        <v>2682</v>
      </c>
      <c r="E413" s="1944" t="s">
        <v>2683</v>
      </c>
      <c r="F413" s="1944" t="s">
        <v>2652</v>
      </c>
      <c r="G413" s="1944" t="s">
        <v>22</v>
      </c>
      <c r="H413" s="1944" t="s">
        <v>22</v>
      </c>
      <c r="I413" s="1944" t="s">
        <v>1071</v>
      </c>
    </row>
    <row customHeight="1" ht="11.25">
      <c r="A414" s="1944" t="s">
        <v>2480</v>
      </c>
      <c r="B414" s="1944" t="s">
        <v>16</v>
      </c>
      <c r="C414" s="1944" t="s">
        <v>2684</v>
      </c>
      <c r="D414" s="1944" t="s">
        <v>2685</v>
      </c>
      <c r="E414" s="1944" t="s">
        <v>2686</v>
      </c>
      <c r="F414" s="1944" t="s">
        <v>2573</v>
      </c>
      <c r="G414" s="1944" t="s">
        <v>22</v>
      </c>
      <c r="H414" s="1944" t="s">
        <v>22</v>
      </c>
      <c r="I414" s="1944" t="s">
        <v>1071</v>
      </c>
    </row>
    <row customHeight="1" ht="11.25">
      <c r="A415" s="1944" t="s">
        <v>2480</v>
      </c>
      <c r="B415" s="1944" t="s">
        <v>16</v>
      </c>
      <c r="C415" s="1944" t="s">
        <v>3227</v>
      </c>
      <c r="D415" s="1944" t="s">
        <v>3228</v>
      </c>
      <c r="E415" s="1944" t="s">
        <v>3229</v>
      </c>
      <c r="F415" s="1944" t="s">
        <v>2594</v>
      </c>
      <c r="G415" s="1944" t="s">
        <v>3230</v>
      </c>
      <c r="H415" s="1944" t="s">
        <v>22</v>
      </c>
      <c r="I415" s="1944" t="s">
        <v>1071</v>
      </c>
    </row>
    <row customHeight="1" ht="11.25">
      <c r="A416" s="1944" t="s">
        <v>2480</v>
      </c>
      <c r="B416" s="1944" t="s">
        <v>16</v>
      </c>
      <c r="C416" s="1944" t="s">
        <v>2691</v>
      </c>
      <c r="D416" s="1944" t="s">
        <v>2692</v>
      </c>
      <c r="E416" s="1944" t="s">
        <v>2693</v>
      </c>
      <c r="F416" s="1944" t="s">
        <v>2652</v>
      </c>
      <c r="G416" s="1944" t="s">
        <v>2694</v>
      </c>
      <c r="H416" s="1944" t="s">
        <v>22</v>
      </c>
      <c r="I416" s="1944" t="s">
        <v>1071</v>
      </c>
    </row>
    <row customHeight="1" ht="11.25">
      <c r="A417" s="1944" t="s">
        <v>2480</v>
      </c>
      <c r="B417" s="1944" t="s">
        <v>16</v>
      </c>
      <c r="C417" s="1944" t="s">
        <v>2698</v>
      </c>
      <c r="D417" s="1944" t="s">
        <v>2699</v>
      </c>
      <c r="E417" s="1944" t="s">
        <v>2700</v>
      </c>
      <c r="F417" s="1944" t="s">
        <v>2663</v>
      </c>
      <c r="G417" s="1944" t="s">
        <v>22</v>
      </c>
      <c r="H417" s="1944" t="s">
        <v>22</v>
      </c>
      <c r="I417" s="1944" t="s">
        <v>1071</v>
      </c>
    </row>
    <row customHeight="1" ht="11.25">
      <c r="A418" s="1944" t="s">
        <v>2480</v>
      </c>
      <c r="B418" s="1944" t="s">
        <v>16</v>
      </c>
      <c r="C418" s="1944" t="s">
        <v>2701</v>
      </c>
      <c r="D418" s="1944" t="s">
        <v>2702</v>
      </c>
      <c r="E418" s="1944" t="s">
        <v>2703</v>
      </c>
      <c r="F418" s="1944" t="s">
        <v>2690</v>
      </c>
      <c r="G418" s="1944" t="s">
        <v>22</v>
      </c>
      <c r="H418" s="1944" t="s">
        <v>22</v>
      </c>
      <c r="I418" s="1944" t="s">
        <v>1071</v>
      </c>
    </row>
    <row customHeight="1" ht="11.25">
      <c r="A419" s="1944" t="s">
        <v>2480</v>
      </c>
      <c r="B419" s="1944" t="s">
        <v>16</v>
      </c>
      <c r="C419" s="1944" t="s">
        <v>2704</v>
      </c>
      <c r="D419" s="1944" t="s">
        <v>2705</v>
      </c>
      <c r="E419" s="1944" t="s">
        <v>2706</v>
      </c>
      <c r="F419" s="1944" t="s">
        <v>2652</v>
      </c>
      <c r="G419" s="1944" t="s">
        <v>2707</v>
      </c>
      <c r="H419" s="1944" t="s">
        <v>22</v>
      </c>
      <c r="I419" s="1944" t="s">
        <v>1071</v>
      </c>
    </row>
    <row customHeight="1" ht="11.25">
      <c r="A420" s="1944" t="s">
        <v>2480</v>
      </c>
      <c r="B420" s="1944" t="s">
        <v>16</v>
      </c>
      <c r="C420" s="1944" t="s">
        <v>2708</v>
      </c>
      <c r="D420" s="1944" t="s">
        <v>2709</v>
      </c>
      <c r="E420" s="1944" t="s">
        <v>2710</v>
      </c>
      <c r="F420" s="1944" t="s">
        <v>2663</v>
      </c>
      <c r="G420" s="1944" t="s">
        <v>2711</v>
      </c>
      <c r="H420" s="1944" t="s">
        <v>22</v>
      </c>
      <c r="I420" s="1944" t="s">
        <v>1071</v>
      </c>
    </row>
    <row customHeight="1" ht="11.25">
      <c r="A421" s="1944" t="s">
        <v>2480</v>
      </c>
      <c r="B421" s="1944" t="s">
        <v>16</v>
      </c>
      <c r="C421" s="1944" t="s">
        <v>2712</v>
      </c>
      <c r="D421" s="1944" t="s">
        <v>2709</v>
      </c>
      <c r="E421" s="1944" t="s">
        <v>2713</v>
      </c>
      <c r="F421" s="1944" t="s">
        <v>2541</v>
      </c>
      <c r="G421" s="1944" t="s">
        <v>2714</v>
      </c>
      <c r="H421" s="1944" t="s">
        <v>22</v>
      </c>
      <c r="I421" s="1944" t="s">
        <v>1071</v>
      </c>
    </row>
    <row customHeight="1" ht="11.25">
      <c r="A422" s="1944" t="s">
        <v>2480</v>
      </c>
      <c r="B422" s="1944" t="s">
        <v>16</v>
      </c>
      <c r="C422" s="1944" t="s">
        <v>2715</v>
      </c>
      <c r="D422" s="1944" t="s">
        <v>2716</v>
      </c>
      <c r="E422" s="1944" t="s">
        <v>2717</v>
      </c>
      <c r="F422" s="1944" t="s">
        <v>2644</v>
      </c>
      <c r="G422" s="1944" t="s">
        <v>22</v>
      </c>
      <c r="H422" s="1944" t="s">
        <v>22</v>
      </c>
      <c r="I422" s="1944" t="s">
        <v>1071</v>
      </c>
    </row>
    <row customHeight="1" ht="11.25">
      <c r="A423" s="1944" t="s">
        <v>2480</v>
      </c>
      <c r="B423" s="1944" t="s">
        <v>16</v>
      </c>
      <c r="C423" s="1944" t="s">
        <v>2718</v>
      </c>
      <c r="D423" s="1944" t="s">
        <v>2719</v>
      </c>
      <c r="E423" s="1944" t="s">
        <v>2720</v>
      </c>
      <c r="F423" s="1944" t="s">
        <v>2644</v>
      </c>
      <c r="G423" s="1944" t="s">
        <v>2721</v>
      </c>
      <c r="H423" s="1944" t="s">
        <v>22</v>
      </c>
      <c r="I423" s="1944" t="s">
        <v>1071</v>
      </c>
    </row>
    <row customHeight="1" ht="11.25">
      <c r="A424" s="1944" t="s">
        <v>2480</v>
      </c>
      <c r="B424" s="1944" t="s">
        <v>16</v>
      </c>
      <c r="C424" s="1944" t="s">
        <v>2722</v>
      </c>
      <c r="D424" s="1944" t="s">
        <v>2723</v>
      </c>
      <c r="E424" s="1944" t="s">
        <v>2724</v>
      </c>
      <c r="F424" s="1944" t="s">
        <v>2606</v>
      </c>
      <c r="G424" s="1944" t="s">
        <v>22</v>
      </c>
      <c r="H424" s="1944" t="s">
        <v>22</v>
      </c>
      <c r="I424" s="1944" t="s">
        <v>1071</v>
      </c>
    </row>
    <row customHeight="1" ht="11.25">
      <c r="A425" s="1944" t="s">
        <v>2480</v>
      </c>
      <c r="B425" s="1944" t="s">
        <v>16</v>
      </c>
      <c r="C425" s="1944" t="s">
        <v>2733</v>
      </c>
      <c r="D425" s="1944" t="s">
        <v>2734</v>
      </c>
      <c r="E425" s="1944" t="s">
        <v>2735</v>
      </c>
      <c r="F425" s="1944" t="s">
        <v>2626</v>
      </c>
      <c r="G425" s="1944" t="s">
        <v>2736</v>
      </c>
      <c r="H425" s="1944" t="s">
        <v>22</v>
      </c>
      <c r="I425" s="1944" t="s">
        <v>1071</v>
      </c>
    </row>
    <row customHeight="1" ht="11.25">
      <c r="A426" s="1944" t="s">
        <v>2480</v>
      </c>
      <c r="B426" s="1944" t="s">
        <v>16</v>
      </c>
      <c r="C426" s="1944" t="s">
        <v>3135</v>
      </c>
      <c r="D426" s="1944" t="s">
        <v>3136</v>
      </c>
      <c r="E426" s="1944" t="s">
        <v>3137</v>
      </c>
      <c r="F426" s="1944" t="s">
        <v>50</v>
      </c>
      <c r="G426" s="1944" t="s">
        <v>22</v>
      </c>
      <c r="H426" s="1944" t="s">
        <v>22</v>
      </c>
      <c r="I426" s="1944" t="s">
        <v>1071</v>
      </c>
    </row>
    <row customHeight="1" ht="11.25">
      <c r="A427" s="1944" t="s">
        <v>2480</v>
      </c>
      <c r="B427" s="1944" t="s">
        <v>16</v>
      </c>
      <c r="C427" s="1944" t="s">
        <v>2740</v>
      </c>
      <c r="D427" s="1944" t="s">
        <v>2741</v>
      </c>
      <c r="E427" s="1944" t="s">
        <v>2742</v>
      </c>
      <c r="F427" s="1944" t="s">
        <v>2672</v>
      </c>
      <c r="G427" s="1944" t="s">
        <v>22</v>
      </c>
      <c r="H427" s="1944" t="s">
        <v>22</v>
      </c>
      <c r="I427" s="1944" t="s">
        <v>1071</v>
      </c>
    </row>
    <row customHeight="1" ht="11.25">
      <c r="A428" s="1944" t="s">
        <v>2480</v>
      </c>
      <c r="B428" s="1944" t="s">
        <v>16</v>
      </c>
      <c r="C428" s="1944" t="s">
        <v>2746</v>
      </c>
      <c r="D428" s="1944" t="s">
        <v>2747</v>
      </c>
      <c r="E428" s="1944" t="s">
        <v>2748</v>
      </c>
      <c r="F428" s="1944" t="s">
        <v>2541</v>
      </c>
      <c r="G428" s="1944" t="s">
        <v>2749</v>
      </c>
      <c r="H428" s="1944" t="s">
        <v>22</v>
      </c>
      <c r="I428" s="1944" t="s">
        <v>1071</v>
      </c>
    </row>
    <row customHeight="1" ht="11.25">
      <c r="A429" s="1944" t="s">
        <v>2480</v>
      </c>
      <c r="B429" s="1944" t="s">
        <v>16</v>
      </c>
      <c r="C429" s="1944" t="s">
        <v>2753</v>
      </c>
      <c r="D429" s="1944" t="s">
        <v>2754</v>
      </c>
      <c r="E429" s="1944" t="s">
        <v>2755</v>
      </c>
      <c r="F429" s="1944" t="s">
        <v>2652</v>
      </c>
      <c r="G429" s="1944" t="s">
        <v>22</v>
      </c>
      <c r="H429" s="1944" t="s">
        <v>22</v>
      </c>
      <c r="I429" s="1944" t="s">
        <v>1071</v>
      </c>
    </row>
    <row customHeight="1" ht="11.25">
      <c r="A430" s="1944" t="s">
        <v>2480</v>
      </c>
      <c r="B430" s="1944" t="s">
        <v>16</v>
      </c>
      <c r="C430" s="1944" t="s">
        <v>2766</v>
      </c>
      <c r="D430" s="1944" t="s">
        <v>2767</v>
      </c>
      <c r="E430" s="1944" t="s">
        <v>2768</v>
      </c>
      <c r="F430" s="1944" t="s">
        <v>2769</v>
      </c>
      <c r="G430" s="1944" t="s">
        <v>2770</v>
      </c>
      <c r="H430" s="1944" t="s">
        <v>22</v>
      </c>
      <c r="I430" s="1944" t="s">
        <v>1071</v>
      </c>
    </row>
    <row customHeight="1" ht="11.25">
      <c r="A431" s="1944" t="s">
        <v>2480</v>
      </c>
      <c r="B431" s="1944" t="s">
        <v>16</v>
      </c>
      <c r="C431" s="1944" t="s">
        <v>2771</v>
      </c>
      <c r="D431" s="1944" t="s">
        <v>2772</v>
      </c>
      <c r="E431" s="1944" t="s">
        <v>2773</v>
      </c>
      <c r="F431" s="1944" t="s">
        <v>2541</v>
      </c>
      <c r="G431" s="1944" t="s">
        <v>22</v>
      </c>
      <c r="H431" s="1944" t="s">
        <v>22</v>
      </c>
      <c r="I431" s="1944" t="s">
        <v>1071</v>
      </c>
    </row>
    <row customHeight="1" ht="11.25">
      <c r="A432" s="1944" t="s">
        <v>2480</v>
      </c>
      <c r="B432" s="1944" t="s">
        <v>16</v>
      </c>
      <c r="C432" s="1944" t="s">
        <v>2777</v>
      </c>
      <c r="D432" s="1944" t="s">
        <v>2778</v>
      </c>
      <c r="E432" s="1944" t="s">
        <v>2779</v>
      </c>
      <c r="F432" s="1944" t="s">
        <v>2606</v>
      </c>
      <c r="G432" s="1944" t="s">
        <v>22</v>
      </c>
      <c r="H432" s="1944" t="s">
        <v>22</v>
      </c>
      <c r="I432" s="1944" t="s">
        <v>1071</v>
      </c>
    </row>
    <row customHeight="1" ht="11.25">
      <c r="A433" s="1944" t="s">
        <v>2480</v>
      </c>
      <c r="B433" s="1944" t="s">
        <v>16</v>
      </c>
      <c r="C433" s="1944" t="s">
        <v>2783</v>
      </c>
      <c r="D433" s="1944" t="s">
        <v>2784</v>
      </c>
      <c r="E433" s="1944" t="s">
        <v>2785</v>
      </c>
      <c r="F433" s="1944" t="s">
        <v>50</v>
      </c>
      <c r="G433" s="1944" t="s">
        <v>2786</v>
      </c>
      <c r="H433" s="1944" t="s">
        <v>22</v>
      </c>
      <c r="I433" s="1944" t="s">
        <v>1071</v>
      </c>
    </row>
    <row customHeight="1" ht="11.25">
      <c r="A434" s="1944" t="s">
        <v>2480</v>
      </c>
      <c r="B434" s="1944" t="s">
        <v>16</v>
      </c>
      <c r="C434" s="1944" t="s">
        <v>3138</v>
      </c>
      <c r="D434" s="1944" t="s">
        <v>3139</v>
      </c>
      <c r="E434" s="1944" t="s">
        <v>3140</v>
      </c>
      <c r="F434" s="1944" t="s">
        <v>2811</v>
      </c>
      <c r="G434" s="1944" t="s">
        <v>22</v>
      </c>
      <c r="H434" s="1944" t="s">
        <v>22</v>
      </c>
      <c r="I434" s="1944" t="s">
        <v>1071</v>
      </c>
    </row>
    <row customHeight="1" ht="11.25">
      <c r="A435" s="1944" t="s">
        <v>2480</v>
      </c>
      <c r="B435" s="1944" t="s">
        <v>16</v>
      </c>
      <c r="C435" s="1944" t="s">
        <v>3141</v>
      </c>
      <c r="D435" s="1944" t="s">
        <v>3142</v>
      </c>
      <c r="E435" s="1944" t="s">
        <v>3143</v>
      </c>
      <c r="F435" s="1944" t="s">
        <v>50</v>
      </c>
      <c r="G435" s="1944" t="s">
        <v>3144</v>
      </c>
      <c r="H435" s="1944" t="s">
        <v>22</v>
      </c>
      <c r="I435" s="1944" t="s">
        <v>1071</v>
      </c>
    </row>
    <row customHeight="1" ht="11.25">
      <c r="A436" s="1944" t="s">
        <v>2480</v>
      </c>
      <c r="B436" s="1944" t="s">
        <v>16</v>
      </c>
      <c r="C436" s="1944" t="s">
        <v>3145</v>
      </c>
      <c r="D436" s="1944" t="s">
        <v>3146</v>
      </c>
      <c r="E436" s="1944" t="s">
        <v>3147</v>
      </c>
      <c r="F436" s="1944" t="s">
        <v>2811</v>
      </c>
      <c r="G436" s="1944" t="s">
        <v>22</v>
      </c>
      <c r="H436" s="1944" t="s">
        <v>22</v>
      </c>
      <c r="I436" s="1944" t="s">
        <v>1071</v>
      </c>
    </row>
    <row customHeight="1" ht="11.25">
      <c r="A437" s="1944" t="s">
        <v>2480</v>
      </c>
      <c r="B437" s="1944" t="s">
        <v>16</v>
      </c>
      <c r="C437" s="1944" t="s">
        <v>3148</v>
      </c>
      <c r="D437" s="1944" t="s">
        <v>3146</v>
      </c>
      <c r="E437" s="1944" t="s">
        <v>3149</v>
      </c>
      <c r="F437" s="1944" t="s">
        <v>2573</v>
      </c>
      <c r="G437" s="1944" t="s">
        <v>22</v>
      </c>
      <c r="H437" s="1944" t="s">
        <v>22</v>
      </c>
      <c r="I437" s="1944" t="s">
        <v>1071</v>
      </c>
    </row>
    <row customHeight="1" ht="11.25">
      <c r="A438" s="1944" t="s">
        <v>2480</v>
      </c>
      <c r="B438" s="1944" t="s">
        <v>16</v>
      </c>
      <c r="C438" s="1944" t="s">
        <v>3150</v>
      </c>
      <c r="D438" s="1944" t="s">
        <v>3151</v>
      </c>
      <c r="E438" s="1944" t="s">
        <v>3152</v>
      </c>
      <c r="F438" s="1944" t="s">
        <v>2569</v>
      </c>
      <c r="G438" s="1944" t="s">
        <v>22</v>
      </c>
      <c r="H438" s="1944" t="s">
        <v>22</v>
      </c>
      <c r="I438" s="1944" t="s">
        <v>1071</v>
      </c>
    </row>
    <row customHeight="1" ht="11.25">
      <c r="A439" s="1944" t="s">
        <v>2480</v>
      </c>
      <c r="B439" s="1944" t="s">
        <v>16</v>
      </c>
      <c r="C439" s="1944" t="s">
        <v>2805</v>
      </c>
      <c r="D439" s="1944" t="s">
        <v>2806</v>
      </c>
      <c r="E439" s="1944" t="s">
        <v>2807</v>
      </c>
      <c r="F439" s="1944" t="s">
        <v>2652</v>
      </c>
      <c r="G439" s="1944" t="s">
        <v>22</v>
      </c>
      <c r="H439" s="1944" t="s">
        <v>22</v>
      </c>
      <c r="I439" s="1944" t="s">
        <v>1071</v>
      </c>
    </row>
    <row customHeight="1" ht="11.25">
      <c r="A440" s="1944" t="s">
        <v>2480</v>
      </c>
      <c r="B440" s="1944" t="s">
        <v>16</v>
      </c>
      <c r="C440" s="1944" t="s">
        <v>2808</v>
      </c>
      <c r="D440" s="1944" t="s">
        <v>2809</v>
      </c>
      <c r="E440" s="1944" t="s">
        <v>2810</v>
      </c>
      <c r="F440" s="1944" t="s">
        <v>2811</v>
      </c>
      <c r="G440" s="1944" t="s">
        <v>22</v>
      </c>
      <c r="H440" s="1944" t="s">
        <v>22</v>
      </c>
      <c r="I440" s="1944" t="s">
        <v>1071</v>
      </c>
    </row>
    <row customHeight="1" ht="11.25">
      <c r="A441" s="1944" t="s">
        <v>2480</v>
      </c>
      <c r="B441" s="1944" t="s">
        <v>16</v>
      </c>
      <c r="C441" s="1944" t="s">
        <v>3231</v>
      </c>
      <c r="D441" s="1944" t="s">
        <v>3232</v>
      </c>
      <c r="E441" s="1944" t="s">
        <v>3233</v>
      </c>
      <c r="F441" s="1944" t="s">
        <v>2652</v>
      </c>
      <c r="G441" s="1944" t="s">
        <v>3234</v>
      </c>
      <c r="H441" s="1944" t="s">
        <v>22</v>
      </c>
      <c r="I441" s="1944" t="s">
        <v>1071</v>
      </c>
    </row>
    <row customHeight="1" ht="11.25">
      <c r="A442" s="1944" t="s">
        <v>2480</v>
      </c>
      <c r="B442" s="1944" t="s">
        <v>16</v>
      </c>
      <c r="C442" s="1944" t="s">
        <v>2828</v>
      </c>
      <c r="D442" s="1944" t="s">
        <v>2829</v>
      </c>
      <c r="E442" s="1944" t="s">
        <v>2830</v>
      </c>
      <c r="F442" s="1944" t="s">
        <v>2831</v>
      </c>
      <c r="G442" s="1944" t="s">
        <v>22</v>
      </c>
      <c r="H442" s="1944" t="s">
        <v>22</v>
      </c>
      <c r="I442" s="1944" t="s">
        <v>1071</v>
      </c>
    </row>
    <row customHeight="1" ht="11.25">
      <c r="A443" s="1944" t="s">
        <v>2480</v>
      </c>
      <c r="B443" s="1944" t="s">
        <v>16</v>
      </c>
      <c r="C443" s="1944" t="s">
        <v>2832</v>
      </c>
      <c r="D443" s="1944" t="s">
        <v>2833</v>
      </c>
      <c r="E443" s="1944" t="s">
        <v>2834</v>
      </c>
      <c r="F443" s="1944" t="s">
        <v>2831</v>
      </c>
      <c r="G443" s="1944" t="s">
        <v>22</v>
      </c>
      <c r="H443" s="1944" t="s">
        <v>22</v>
      </c>
      <c r="I443" s="1944" t="s">
        <v>1071</v>
      </c>
    </row>
    <row customHeight="1" ht="11.25">
      <c r="A444" s="1944" t="s">
        <v>2480</v>
      </c>
      <c r="B444" s="1944" t="s">
        <v>16</v>
      </c>
      <c r="C444" s="1944" t="s">
        <v>3161</v>
      </c>
      <c r="D444" s="1944" t="s">
        <v>3162</v>
      </c>
      <c r="E444" s="1944" t="s">
        <v>3163</v>
      </c>
      <c r="F444" s="1944" t="s">
        <v>2611</v>
      </c>
      <c r="G444" s="1944" t="s">
        <v>22</v>
      </c>
      <c r="H444" s="1944" t="s">
        <v>22</v>
      </c>
      <c r="I444" s="1944" t="s">
        <v>1071</v>
      </c>
    </row>
    <row customHeight="1" ht="11.25">
      <c r="A445" s="1944" t="s">
        <v>2480</v>
      </c>
      <c r="B445" s="1944" t="s">
        <v>16</v>
      </c>
      <c r="C445" s="1944" t="s">
        <v>2851</v>
      </c>
      <c r="D445" s="1944" t="s">
        <v>2852</v>
      </c>
      <c r="E445" s="1944" t="s">
        <v>2853</v>
      </c>
      <c r="F445" s="1944" t="s">
        <v>2652</v>
      </c>
      <c r="G445" s="1944" t="s">
        <v>22</v>
      </c>
      <c r="H445" s="1944" t="s">
        <v>22</v>
      </c>
      <c r="I445" s="1944" t="s">
        <v>1071</v>
      </c>
    </row>
    <row customHeight="1" ht="11.25">
      <c r="A446" s="1944" t="s">
        <v>2480</v>
      </c>
      <c r="B446" s="1944" t="s">
        <v>16</v>
      </c>
      <c r="C446" s="1944" t="s">
        <v>2854</v>
      </c>
      <c r="D446" s="1944" t="s">
        <v>2855</v>
      </c>
      <c r="E446" s="1944" t="s">
        <v>2856</v>
      </c>
      <c r="F446" s="1944" t="s">
        <v>2652</v>
      </c>
      <c r="G446" s="1944" t="s">
        <v>2857</v>
      </c>
      <c r="H446" s="1944" t="s">
        <v>22</v>
      </c>
      <c r="I446" s="1944" t="s">
        <v>1071</v>
      </c>
    </row>
    <row customHeight="1" ht="11.25">
      <c r="A447" s="1944" t="s">
        <v>2480</v>
      </c>
      <c r="B447" s="1944" t="s">
        <v>16</v>
      </c>
      <c r="C447" s="1944" t="s">
        <v>2858</v>
      </c>
      <c r="D447" s="1944" t="s">
        <v>2859</v>
      </c>
      <c r="E447" s="1944" t="s">
        <v>2860</v>
      </c>
      <c r="F447" s="1944" t="s">
        <v>2652</v>
      </c>
      <c r="G447" s="1944" t="s">
        <v>22</v>
      </c>
      <c r="H447" s="1944" t="s">
        <v>22</v>
      </c>
      <c r="I447" s="1944" t="s">
        <v>1071</v>
      </c>
    </row>
    <row customHeight="1" ht="11.25">
      <c r="A448" s="1944" t="s">
        <v>2480</v>
      </c>
      <c r="B448" s="1944" t="s">
        <v>16</v>
      </c>
      <c r="C448" s="1944" t="s">
        <v>2864</v>
      </c>
      <c r="D448" s="1944" t="s">
        <v>2865</v>
      </c>
      <c r="E448" s="1944" t="s">
        <v>2866</v>
      </c>
      <c r="F448" s="1944" t="s">
        <v>2663</v>
      </c>
      <c r="G448" s="1944" t="s">
        <v>2867</v>
      </c>
      <c r="H448" s="1944" t="s">
        <v>22</v>
      </c>
      <c r="I448" s="1944" t="s">
        <v>1071</v>
      </c>
    </row>
    <row customHeight="1" ht="11.25">
      <c r="A449" s="1944" t="s">
        <v>2480</v>
      </c>
      <c r="B449" s="1944" t="s">
        <v>16</v>
      </c>
      <c r="C449" s="1944" t="s">
        <v>3068</v>
      </c>
      <c r="D449" s="1944" t="s">
        <v>3069</v>
      </c>
      <c r="E449" s="1944" t="s">
        <v>3070</v>
      </c>
      <c r="F449" s="1944" t="s">
        <v>2541</v>
      </c>
      <c r="G449" s="1944" t="s">
        <v>22</v>
      </c>
      <c r="H449" s="1944" t="s">
        <v>22</v>
      </c>
      <c r="I449" s="1944" t="s">
        <v>1071</v>
      </c>
    </row>
    <row customHeight="1" ht="11.25">
      <c r="A450" s="1944" t="s">
        <v>2480</v>
      </c>
      <c r="B450" s="1944" t="s">
        <v>16</v>
      </c>
      <c r="C450" s="1944" t="s">
        <v>3164</v>
      </c>
      <c r="D450" s="1944" t="s">
        <v>3165</v>
      </c>
      <c r="E450" s="1944" t="s">
        <v>3166</v>
      </c>
      <c r="F450" s="1944" t="s">
        <v>2652</v>
      </c>
      <c r="G450" s="1944" t="s">
        <v>22</v>
      </c>
      <c r="H450" s="1944" t="s">
        <v>22</v>
      </c>
      <c r="I450" s="1944" t="s">
        <v>1071</v>
      </c>
    </row>
    <row customHeight="1" ht="11.25">
      <c r="A451" s="1944" t="s">
        <v>2480</v>
      </c>
      <c r="B451" s="1944" t="s">
        <v>16</v>
      </c>
      <c r="C451" s="1944" t="s">
        <v>3170</v>
      </c>
      <c r="D451" s="1944" t="s">
        <v>3171</v>
      </c>
      <c r="E451" s="1944" t="s">
        <v>3172</v>
      </c>
      <c r="F451" s="1944" t="s">
        <v>2652</v>
      </c>
      <c r="G451" s="1944" t="s">
        <v>22</v>
      </c>
      <c r="H451" s="1944" t="s">
        <v>22</v>
      </c>
      <c r="I451" s="1944" t="s">
        <v>1071</v>
      </c>
    </row>
    <row customHeight="1" ht="11.25">
      <c r="A452" s="1944" t="s">
        <v>2480</v>
      </c>
      <c r="B452" s="1944" t="s">
        <v>16</v>
      </c>
      <c r="C452" s="1944" t="s">
        <v>2871</v>
      </c>
      <c r="D452" s="1944" t="s">
        <v>2872</v>
      </c>
      <c r="E452" s="1944" t="s">
        <v>2873</v>
      </c>
      <c r="F452" s="1944" t="s">
        <v>2811</v>
      </c>
      <c r="G452" s="1944" t="s">
        <v>22</v>
      </c>
      <c r="H452" s="1944" t="s">
        <v>22</v>
      </c>
      <c r="I452" s="1944" t="s">
        <v>1071</v>
      </c>
    </row>
    <row customHeight="1" ht="11.25">
      <c r="A453" s="1944" t="s">
        <v>2480</v>
      </c>
      <c r="B453" s="1944" t="s">
        <v>16</v>
      </c>
      <c r="C453" s="1944" t="s">
        <v>2874</v>
      </c>
      <c r="D453" s="1944" t="s">
        <v>2875</v>
      </c>
      <c r="E453" s="1944" t="s">
        <v>2876</v>
      </c>
      <c r="F453" s="1944" t="s">
        <v>2811</v>
      </c>
      <c r="G453" s="1944" t="s">
        <v>22</v>
      </c>
      <c r="H453" s="1944" t="s">
        <v>22</v>
      </c>
      <c r="I453" s="1944" t="s">
        <v>1071</v>
      </c>
    </row>
    <row customHeight="1" ht="11.25">
      <c r="A454" s="1944" t="s">
        <v>2480</v>
      </c>
      <c r="B454" s="1944" t="s">
        <v>16</v>
      </c>
      <c r="C454" s="1944" t="s">
        <v>3235</v>
      </c>
      <c r="D454" s="1944" t="s">
        <v>3236</v>
      </c>
      <c r="E454" s="1944" t="s">
        <v>3237</v>
      </c>
      <c r="F454" s="1944" t="s">
        <v>2652</v>
      </c>
      <c r="G454" s="1944" t="s">
        <v>22</v>
      </c>
      <c r="H454" s="1944" t="s">
        <v>22</v>
      </c>
      <c r="I454" s="1944" t="s">
        <v>1071</v>
      </c>
    </row>
    <row customHeight="1" ht="11.25">
      <c r="A455" s="1944" t="s">
        <v>2480</v>
      </c>
      <c r="B455" s="1944" t="s">
        <v>16</v>
      </c>
      <c r="C455" s="1944" t="s">
        <v>2884</v>
      </c>
      <c r="D455" s="1944" t="s">
        <v>2885</v>
      </c>
      <c r="E455" s="1944" t="s">
        <v>2886</v>
      </c>
      <c r="F455" s="1944" t="s">
        <v>2573</v>
      </c>
      <c r="G455" s="1944" t="s">
        <v>22</v>
      </c>
      <c r="H455" s="1944" t="s">
        <v>22</v>
      </c>
      <c r="I455" s="1944" t="s">
        <v>1071</v>
      </c>
    </row>
    <row customHeight="1" ht="11.25">
      <c r="A456" s="1944" t="s">
        <v>2480</v>
      </c>
      <c r="B456" s="1944" t="s">
        <v>16</v>
      </c>
      <c r="C456" s="1944" t="s">
        <v>3173</v>
      </c>
      <c r="D456" s="1944" t="s">
        <v>3174</v>
      </c>
      <c r="E456" s="1944" t="s">
        <v>3175</v>
      </c>
      <c r="F456" s="1944" t="s">
        <v>2663</v>
      </c>
      <c r="G456" s="1944" t="s">
        <v>3176</v>
      </c>
      <c r="H456" s="1944" t="s">
        <v>22</v>
      </c>
      <c r="I456" s="1944" t="s">
        <v>1071</v>
      </c>
    </row>
    <row customHeight="1" ht="11.25">
      <c r="A457" s="1944" t="s">
        <v>2480</v>
      </c>
      <c r="B457" s="1944" t="s">
        <v>16</v>
      </c>
      <c r="C457" s="1944" t="s">
        <v>3177</v>
      </c>
      <c r="D457" s="1944" t="s">
        <v>3178</v>
      </c>
      <c r="E457" s="1944" t="s">
        <v>3179</v>
      </c>
      <c r="F457" s="1944" t="s">
        <v>2606</v>
      </c>
      <c r="G457" s="1944" t="s">
        <v>3180</v>
      </c>
      <c r="H457" s="1944" t="s">
        <v>22</v>
      </c>
      <c r="I457" s="1944" t="s">
        <v>1071</v>
      </c>
    </row>
    <row customHeight="1" ht="11.25">
      <c r="A458" s="1944" t="s">
        <v>2480</v>
      </c>
      <c r="B458" s="1944" t="s">
        <v>16</v>
      </c>
      <c r="C458" s="1944" t="s">
        <v>3238</v>
      </c>
      <c r="D458" s="1944" t="s">
        <v>3239</v>
      </c>
      <c r="E458" s="1944" t="s">
        <v>3240</v>
      </c>
      <c r="F458" s="1944" t="s">
        <v>2594</v>
      </c>
      <c r="G458" s="1944" t="s">
        <v>22</v>
      </c>
      <c r="H458" s="1944" t="s">
        <v>22</v>
      </c>
      <c r="I458" s="1944" t="s">
        <v>1071</v>
      </c>
    </row>
    <row customHeight="1" ht="11.25">
      <c r="A459" s="1944" t="s">
        <v>2480</v>
      </c>
      <c r="B459" s="1944" t="s">
        <v>16</v>
      </c>
      <c r="C459" s="1944" t="s">
        <v>2901</v>
      </c>
      <c r="D459" s="1944" t="s">
        <v>2902</v>
      </c>
      <c r="E459" s="1944" t="s">
        <v>2903</v>
      </c>
      <c r="F459" s="1944" t="s">
        <v>2644</v>
      </c>
      <c r="G459" s="1944" t="s">
        <v>2904</v>
      </c>
      <c r="H459" s="1944" t="s">
        <v>22</v>
      </c>
      <c r="I459" s="1944" t="s">
        <v>1071</v>
      </c>
    </row>
    <row customHeight="1" ht="11.25">
      <c r="A460" s="1944" t="s">
        <v>2480</v>
      </c>
      <c r="B460" s="1944" t="s">
        <v>16</v>
      </c>
      <c r="C460" s="1944" t="s">
        <v>2929</v>
      </c>
      <c r="D460" s="1944" t="s">
        <v>2930</v>
      </c>
      <c r="E460" s="1944" t="s">
        <v>2931</v>
      </c>
      <c r="F460" s="1944" t="s">
        <v>2652</v>
      </c>
      <c r="G460" s="1944" t="s">
        <v>22</v>
      </c>
      <c r="H460" s="1944" t="s">
        <v>22</v>
      </c>
      <c r="I460" s="1944" t="s">
        <v>1071</v>
      </c>
    </row>
    <row customHeight="1" ht="11.25">
      <c r="A461" s="1944" t="s">
        <v>2480</v>
      </c>
      <c r="B461" s="1944" t="s">
        <v>16</v>
      </c>
      <c r="C461" s="1944" t="s">
        <v>2932</v>
      </c>
      <c r="D461" s="1944" t="s">
        <v>2933</v>
      </c>
      <c r="E461" s="1944" t="s">
        <v>2934</v>
      </c>
      <c r="F461" s="1944" t="s">
        <v>2594</v>
      </c>
      <c r="G461" s="1944" t="s">
        <v>22</v>
      </c>
      <c r="H461" s="1944" t="s">
        <v>22</v>
      </c>
      <c r="I461" s="1944" t="s">
        <v>1071</v>
      </c>
    </row>
    <row customHeight="1" ht="11.25">
      <c r="A462" s="1944" t="s">
        <v>2480</v>
      </c>
      <c r="B462" s="1944" t="s">
        <v>16</v>
      </c>
      <c r="C462" s="1944" t="s">
        <v>2938</v>
      </c>
      <c r="D462" s="1944" t="s">
        <v>2939</v>
      </c>
      <c r="E462" s="1944" t="s">
        <v>2940</v>
      </c>
      <c r="F462" s="1944" t="s">
        <v>2611</v>
      </c>
      <c r="G462" s="1944" t="s">
        <v>2941</v>
      </c>
      <c r="H462" s="1944" t="s">
        <v>22</v>
      </c>
      <c r="I462" s="1944" t="s">
        <v>1071</v>
      </c>
    </row>
    <row customHeight="1" ht="11.25">
      <c r="A463" s="1944" t="s">
        <v>2480</v>
      </c>
      <c r="B463" s="1944" t="s">
        <v>16</v>
      </c>
      <c r="C463" s="1944" t="s">
        <v>3184</v>
      </c>
      <c r="D463" s="1944" t="s">
        <v>3185</v>
      </c>
      <c r="E463" s="1944" t="s">
        <v>3186</v>
      </c>
      <c r="F463" s="1944" t="s">
        <v>2811</v>
      </c>
      <c r="G463" s="1944" t="s">
        <v>22</v>
      </c>
      <c r="H463" s="1944" t="s">
        <v>22</v>
      </c>
      <c r="I463" s="1944" t="s">
        <v>1071</v>
      </c>
    </row>
    <row customHeight="1" ht="11.25">
      <c r="A464" s="1944" t="s">
        <v>2480</v>
      </c>
      <c r="B464" s="1944" t="s">
        <v>16</v>
      </c>
      <c r="C464" s="1944" t="s">
        <v>3187</v>
      </c>
      <c r="D464" s="1944" t="s">
        <v>3188</v>
      </c>
      <c r="E464" s="1944" t="s">
        <v>3189</v>
      </c>
      <c r="F464" s="1944" t="s">
        <v>2626</v>
      </c>
      <c r="G464" s="1944" t="s">
        <v>3190</v>
      </c>
      <c r="H464" s="1944" t="s">
        <v>22</v>
      </c>
      <c r="I464" s="1944" t="s">
        <v>1071</v>
      </c>
    </row>
    <row customHeight="1" ht="11.25">
      <c r="A465" s="1944" t="s">
        <v>2480</v>
      </c>
      <c r="B465" s="1944" t="s">
        <v>16</v>
      </c>
      <c r="C465" s="1944" t="s">
        <v>2976</v>
      </c>
      <c r="D465" s="1944" t="s">
        <v>2977</v>
      </c>
      <c r="E465" s="1944" t="s">
        <v>2978</v>
      </c>
      <c r="F465" s="1944" t="s">
        <v>2626</v>
      </c>
      <c r="G465" s="1944" t="s">
        <v>22</v>
      </c>
      <c r="H465" s="1944" t="s">
        <v>22</v>
      </c>
      <c r="I465" s="1944" t="s">
        <v>1071</v>
      </c>
    </row>
    <row customHeight="1" ht="11.25">
      <c r="A466" s="1944" t="s">
        <v>2480</v>
      </c>
      <c r="B466" s="1944" t="s">
        <v>16</v>
      </c>
      <c r="C466" s="1944" t="s">
        <v>2982</v>
      </c>
      <c r="D466" s="1944" t="s">
        <v>2983</v>
      </c>
      <c r="E466" s="1944" t="s">
        <v>2984</v>
      </c>
      <c r="F466" s="1944" t="s">
        <v>2652</v>
      </c>
      <c r="G466" s="1944" t="s">
        <v>2985</v>
      </c>
      <c r="H466" s="1944" t="s">
        <v>22</v>
      </c>
      <c r="I466" s="1944" t="s">
        <v>1071</v>
      </c>
    </row>
    <row customHeight="1" ht="11.25">
      <c r="A467" s="1944" t="s">
        <v>2480</v>
      </c>
      <c r="B467" s="1944" t="s">
        <v>16</v>
      </c>
      <c r="C467" s="1944" t="s">
        <v>2986</v>
      </c>
      <c r="D467" s="1944" t="s">
        <v>2987</v>
      </c>
      <c r="E467" s="1944" t="s">
        <v>2988</v>
      </c>
      <c r="F467" s="1944" t="s">
        <v>50</v>
      </c>
      <c r="G467" s="1944" t="s">
        <v>22</v>
      </c>
      <c r="H467" s="1944" t="s">
        <v>22</v>
      </c>
      <c r="I467" s="1944" t="s">
        <v>1071</v>
      </c>
    </row>
    <row customHeight="1" ht="11.25">
      <c r="A468" s="1944" t="s">
        <v>2480</v>
      </c>
      <c r="B468" s="1944" t="s">
        <v>16</v>
      </c>
      <c r="C468" s="1944" t="s">
        <v>2989</v>
      </c>
      <c r="D468" s="1944" t="s">
        <v>2990</v>
      </c>
      <c r="E468" s="1944" t="s">
        <v>2991</v>
      </c>
      <c r="F468" s="1944" t="s">
        <v>2672</v>
      </c>
      <c r="G468" s="1944" t="s">
        <v>2992</v>
      </c>
      <c r="H468" s="1944" t="s">
        <v>22</v>
      </c>
      <c r="I468" s="1944" t="s">
        <v>1071</v>
      </c>
    </row>
    <row customHeight="1" ht="11.25">
      <c r="A469" s="1944" t="s">
        <v>2480</v>
      </c>
      <c r="B469" s="1944" t="s">
        <v>16</v>
      </c>
      <c r="C469" s="1944" t="s">
        <v>3241</v>
      </c>
      <c r="D469" s="1944" t="s">
        <v>3242</v>
      </c>
      <c r="E469" s="1944" t="s">
        <v>3243</v>
      </c>
      <c r="F469" s="1944" t="s">
        <v>2831</v>
      </c>
      <c r="G469" s="1944" t="s">
        <v>22</v>
      </c>
      <c r="H469" s="1944" t="s">
        <v>22</v>
      </c>
      <c r="I469" s="1944" t="s">
        <v>1071</v>
      </c>
    </row>
    <row customHeight="1" ht="11.25">
      <c r="A470" s="1944" t="s">
        <v>2480</v>
      </c>
      <c r="B470" s="1944" t="s">
        <v>16</v>
      </c>
      <c r="C470" s="1944" t="s">
        <v>3000</v>
      </c>
      <c r="D470" s="1944" t="s">
        <v>3001</v>
      </c>
      <c r="E470" s="1944" t="s">
        <v>3002</v>
      </c>
      <c r="F470" s="1944" t="s">
        <v>2831</v>
      </c>
      <c r="G470" s="1944" t="s">
        <v>22</v>
      </c>
      <c r="H470" s="1944" t="s">
        <v>22</v>
      </c>
      <c r="I470" s="1944" t="s">
        <v>1071</v>
      </c>
    </row>
    <row customHeight="1" ht="11.25">
      <c r="A471" s="1944" t="s">
        <v>2480</v>
      </c>
      <c r="B471" s="1944" t="s">
        <v>16</v>
      </c>
      <c r="C471" s="1944" t="s">
        <v>3003</v>
      </c>
      <c r="D471" s="1944" t="s">
        <v>3004</v>
      </c>
      <c r="E471" s="1944" t="s">
        <v>3005</v>
      </c>
      <c r="F471" s="1944" t="s">
        <v>2602</v>
      </c>
      <c r="G471" s="1944" t="s">
        <v>22</v>
      </c>
      <c r="H471" s="1944" t="s">
        <v>22</v>
      </c>
      <c r="I471" s="1944" t="s">
        <v>1071</v>
      </c>
    </row>
    <row customHeight="1" ht="11.25">
      <c r="A472" s="1944" t="s">
        <v>2480</v>
      </c>
      <c r="B472" s="1944" t="s">
        <v>16</v>
      </c>
      <c r="C472" s="1944" t="s">
        <v>3191</v>
      </c>
      <c r="D472" s="1944" t="s">
        <v>3192</v>
      </c>
      <c r="E472" s="1944" t="s">
        <v>3193</v>
      </c>
      <c r="F472" s="1944" t="s">
        <v>2626</v>
      </c>
      <c r="G472" s="1944" t="s">
        <v>3194</v>
      </c>
      <c r="H472" s="1944" t="s">
        <v>22</v>
      </c>
      <c r="I472" s="1944" t="s">
        <v>1071</v>
      </c>
    </row>
    <row customHeight="1" ht="11.25">
      <c r="A473" s="1944" t="s">
        <v>2480</v>
      </c>
      <c r="B473" s="1944" t="s">
        <v>16</v>
      </c>
      <c r="C473" s="1944" t="s">
        <v>3010</v>
      </c>
      <c r="D473" s="1944" t="s">
        <v>3011</v>
      </c>
      <c r="E473" s="1944" t="s">
        <v>3012</v>
      </c>
      <c r="F473" s="1944" t="s">
        <v>2831</v>
      </c>
      <c r="G473" s="1944" t="s">
        <v>22</v>
      </c>
      <c r="H473" s="1944" t="s">
        <v>22</v>
      </c>
      <c r="I473" s="1944" t="s">
        <v>1071</v>
      </c>
    </row>
    <row customHeight="1" ht="11.25">
      <c r="A474" s="1944" t="s">
        <v>2480</v>
      </c>
      <c r="B474" s="1944" t="s">
        <v>16</v>
      </c>
      <c r="C474" s="1944" t="s">
        <v>3199</v>
      </c>
      <c r="D474" s="1944" t="s">
        <v>3200</v>
      </c>
      <c r="E474" s="1944" t="s">
        <v>3201</v>
      </c>
      <c r="F474" s="1944" t="s">
        <v>2769</v>
      </c>
      <c r="G474" s="1944" t="s">
        <v>3202</v>
      </c>
      <c r="H474" s="1944" t="s">
        <v>22</v>
      </c>
      <c r="I474" s="1944" t="s">
        <v>1071</v>
      </c>
    </row>
    <row customHeight="1" ht="11.25">
      <c r="A475" s="1944" t="s">
        <v>2480</v>
      </c>
      <c r="B475" s="1944" t="s">
        <v>16</v>
      </c>
      <c r="C475" s="1944" t="s">
        <v>3021</v>
      </c>
      <c r="D475" s="1944" t="s">
        <v>3022</v>
      </c>
      <c r="E475" s="1944" t="s">
        <v>3023</v>
      </c>
      <c r="F475" s="1944" t="s">
        <v>2644</v>
      </c>
      <c r="G475" s="1944" t="s">
        <v>22</v>
      </c>
      <c r="H475" s="1944" t="s">
        <v>22</v>
      </c>
      <c r="I475" s="1944" t="s">
        <v>1071</v>
      </c>
    </row>
    <row customHeight="1" ht="11.25">
      <c r="A476" s="1944" t="s">
        <v>2480</v>
      </c>
      <c r="B476" s="1944" t="s">
        <v>16</v>
      </c>
      <c r="C476" s="1944" t="s">
        <v>3244</v>
      </c>
      <c r="D476" s="1944" t="s">
        <v>3245</v>
      </c>
      <c r="E476" s="1944" t="s">
        <v>3246</v>
      </c>
      <c r="F476" s="1944" t="s">
        <v>2690</v>
      </c>
      <c r="G476" s="1944" t="s">
        <v>22</v>
      </c>
      <c r="H476" s="1944" t="s">
        <v>22</v>
      </c>
      <c r="I476" s="1944" t="s">
        <v>1071</v>
      </c>
    </row>
    <row customHeight="1" ht="11.25">
      <c r="A477" s="1944" t="s">
        <v>2480</v>
      </c>
      <c r="B477" s="1944" t="s">
        <v>16</v>
      </c>
      <c r="C477" s="1944" t="s">
        <v>3211</v>
      </c>
      <c r="D477" s="1944" t="s">
        <v>3212</v>
      </c>
      <c r="E477" s="1944" t="s">
        <v>3213</v>
      </c>
      <c r="F477" s="1944" t="s">
        <v>2569</v>
      </c>
      <c r="G477" s="1944" t="s">
        <v>22</v>
      </c>
      <c r="H477" s="1944" t="s">
        <v>22</v>
      </c>
      <c r="I477" s="1944" t="s">
        <v>1071</v>
      </c>
    </row>
    <row customHeight="1" ht="11.25">
      <c r="A478" s="1944" t="s">
        <v>2480</v>
      </c>
      <c r="B478" s="1944" t="s">
        <v>16</v>
      </c>
      <c r="C478" s="1944" t="s">
        <v>3247</v>
      </c>
      <c r="D478" s="1944" t="s">
        <v>3248</v>
      </c>
      <c r="E478" s="1944" t="s">
        <v>3249</v>
      </c>
      <c r="F478" s="1944" t="s">
        <v>2811</v>
      </c>
      <c r="G478" s="1944" t="s">
        <v>3250</v>
      </c>
      <c r="H478" s="1944" t="s">
        <v>22</v>
      </c>
      <c r="I478" s="1944" t="s">
        <v>1071</v>
      </c>
    </row>
    <row customHeight="1" ht="11.25">
      <c r="A479" s="1944" t="s">
        <v>2480</v>
      </c>
      <c r="B479" s="1944" t="s">
        <v>16</v>
      </c>
      <c r="C479" s="1944" t="s">
        <v>3029</v>
      </c>
      <c r="D479" s="1944" t="s">
        <v>3030</v>
      </c>
      <c r="E479" s="1944" t="s">
        <v>3031</v>
      </c>
      <c r="F479" s="1944" t="s">
        <v>2690</v>
      </c>
      <c r="G479" s="1944" t="s">
        <v>22</v>
      </c>
      <c r="H479" s="1944" t="s">
        <v>22</v>
      </c>
      <c r="I479" s="1944" t="s">
        <v>1071</v>
      </c>
    </row>
    <row customHeight="1" ht="11.25">
      <c r="A480" s="1944" t="s">
        <v>2480</v>
      </c>
      <c r="B480" s="1944" t="s">
        <v>16</v>
      </c>
      <c r="C480" s="1944" t="s">
        <v>3035</v>
      </c>
      <c r="D480" s="1944" t="s">
        <v>3036</v>
      </c>
      <c r="E480" s="1944" t="s">
        <v>3037</v>
      </c>
      <c r="F480" s="1944" t="s">
        <v>50</v>
      </c>
      <c r="G480" s="1944" t="s">
        <v>22</v>
      </c>
      <c r="H480" s="1944" t="s">
        <v>22</v>
      </c>
      <c r="I480" s="1944" t="s">
        <v>1071</v>
      </c>
    </row>
    <row customHeight="1" ht="11.25">
      <c r="A481" s="1944" t="s">
        <v>2480</v>
      </c>
      <c r="B481" s="1944" t="s">
        <v>16</v>
      </c>
      <c r="C481" s="1944" t="s">
        <v>3038</v>
      </c>
      <c r="D481" s="1944" t="s">
        <v>3039</v>
      </c>
      <c r="E481" s="1944" t="s">
        <v>3040</v>
      </c>
      <c r="F481" s="1944" t="s">
        <v>2545</v>
      </c>
      <c r="G481" s="1944" t="s">
        <v>3041</v>
      </c>
      <c r="H481" s="1944" t="s">
        <v>22</v>
      </c>
      <c r="I481" s="1944" t="s">
        <v>1071</v>
      </c>
    </row>
    <row customHeight="1" ht="11.25">
      <c r="A482" s="1944" t="s">
        <v>2480</v>
      </c>
      <c r="B482" s="1944" t="s">
        <v>16</v>
      </c>
      <c r="C482" s="1944" t="s">
        <v>3045</v>
      </c>
      <c r="D482" s="1944" t="s">
        <v>3046</v>
      </c>
      <c r="E482" s="1944" t="s">
        <v>3047</v>
      </c>
      <c r="F482" s="1944" t="s">
        <v>3048</v>
      </c>
      <c r="G482" s="1944" t="s">
        <v>22</v>
      </c>
      <c r="H482" s="1944" t="s">
        <v>22</v>
      </c>
      <c r="I482" s="1944" t="s">
        <v>1071</v>
      </c>
    </row>
    <row customHeight="1" ht="11.25">
      <c r="A483" s="1944" t="s">
        <v>2480</v>
      </c>
      <c r="B483" s="1944" t="s">
        <v>16</v>
      </c>
      <c r="C483" s="1944" t="s">
        <v>3056</v>
      </c>
      <c r="D483" s="1944" t="s">
        <v>3057</v>
      </c>
      <c r="E483" s="1944" t="s">
        <v>3058</v>
      </c>
      <c r="F483" s="1944" t="s">
        <v>3059</v>
      </c>
      <c r="G483" s="1944" t="s">
        <v>3060</v>
      </c>
      <c r="H483" s="1944" t="s">
        <v>22</v>
      </c>
      <c r="I483" s="1944" t="s">
        <v>1071</v>
      </c>
    </row>
    <row customHeight="1" ht="11.25">
      <c r="A484" s="1944" t="s">
        <v>2480</v>
      </c>
      <c r="B484" s="1944" t="s">
        <v>16</v>
      </c>
      <c r="C484" s="1944" t="s">
        <v>3065</v>
      </c>
      <c r="D484" s="1944" t="s">
        <v>3066</v>
      </c>
      <c r="E484" s="1944" t="s">
        <v>3067</v>
      </c>
      <c r="F484" s="1944" t="s">
        <v>2652</v>
      </c>
      <c r="G484" s="1944" t="s">
        <v>22</v>
      </c>
      <c r="H484" s="1944" t="s">
        <v>22</v>
      </c>
      <c r="I484" s="1944" t="s">
        <v>1071</v>
      </c>
    </row>
    <row customHeight="1" ht="11.25">
      <c r="A485" s="1944" t="s">
        <v>2480</v>
      </c>
      <c r="B485" s="1944" t="s">
        <v>16</v>
      </c>
      <c r="C485" s="1944" t="s">
        <v>2534</v>
      </c>
      <c r="D485" s="1944" t="s">
        <v>2535</v>
      </c>
      <c r="E485" s="1944" t="s">
        <v>2536</v>
      </c>
      <c r="F485" s="1944" t="s">
        <v>2532</v>
      </c>
      <c r="G485" s="1944" t="s">
        <v>2537</v>
      </c>
      <c r="H485" s="1944" t="s">
        <v>22</v>
      </c>
      <c r="I485" s="1944" t="s">
        <v>1871</v>
      </c>
    </row>
    <row customHeight="1" ht="11.25">
      <c r="A486" s="1944" t="s">
        <v>2480</v>
      </c>
      <c r="B486" s="1944" t="s">
        <v>16</v>
      </c>
      <c r="C486" s="1944" t="s">
        <v>22</v>
      </c>
      <c r="D486" s="1944" t="s">
        <v>2589</v>
      </c>
      <c r="E486" s="1944" t="s">
        <v>2590</v>
      </c>
      <c r="F486" s="1944" t="s">
        <v>50</v>
      </c>
      <c r="G486" s="1944" t="s">
        <v>22</v>
      </c>
      <c r="H486" s="1944" t="s">
        <v>22</v>
      </c>
      <c r="I486" s="1944" t="s">
        <v>1871</v>
      </c>
    </row>
    <row customHeight="1" ht="11.25">
      <c r="A487" s="1944" t="s">
        <v>2480</v>
      </c>
      <c r="B487" s="1944" t="s">
        <v>16</v>
      </c>
      <c r="C487" s="1944" t="s">
        <v>3251</v>
      </c>
      <c r="D487" s="1944" t="s">
        <v>3252</v>
      </c>
      <c r="E487" s="1944" t="s">
        <v>3253</v>
      </c>
      <c r="F487" s="1944" t="s">
        <v>2690</v>
      </c>
      <c r="G487" s="1944" t="s">
        <v>22</v>
      </c>
      <c r="H487" s="1944" t="s">
        <v>22</v>
      </c>
      <c r="I487" s="1944" t="s">
        <v>1871</v>
      </c>
    </row>
    <row customHeight="1" ht="11.25">
      <c r="A488" s="1944" t="s">
        <v>2480</v>
      </c>
      <c r="B488" s="1944" t="s">
        <v>16</v>
      </c>
      <c r="C488" s="1944" t="s">
        <v>3254</v>
      </c>
      <c r="D488" s="1944" t="s">
        <v>3255</v>
      </c>
      <c r="E488" s="1944" t="s">
        <v>3256</v>
      </c>
      <c r="F488" s="1944" t="s">
        <v>2532</v>
      </c>
      <c r="G488" s="1944" t="s">
        <v>3257</v>
      </c>
      <c r="H488" s="1944" t="s">
        <v>22</v>
      </c>
      <c r="I488" s="1944" t="s">
        <v>1871</v>
      </c>
    </row>
    <row customHeight="1" ht="11.25">
      <c r="A489" s="1944" t="s">
        <v>2480</v>
      </c>
      <c r="B489" s="1944" t="s">
        <v>16</v>
      </c>
      <c r="C489" s="1944" t="s">
        <v>3258</v>
      </c>
      <c r="D489" s="1944" t="s">
        <v>3259</v>
      </c>
      <c r="E489" s="1944" t="s">
        <v>3260</v>
      </c>
      <c r="F489" s="1944" t="s">
        <v>50</v>
      </c>
      <c r="G489" s="1944" t="s">
        <v>22</v>
      </c>
      <c r="H489" s="1944" t="s">
        <v>22</v>
      </c>
      <c r="I489" s="1944" t="s">
        <v>1871</v>
      </c>
    </row>
    <row customHeight="1" ht="11.25">
      <c r="A490" s="1944" t="s">
        <v>2480</v>
      </c>
      <c r="B490" s="1944" t="s">
        <v>16</v>
      </c>
      <c r="C490" s="1944" t="s">
        <v>3261</v>
      </c>
      <c r="D490" s="1944" t="s">
        <v>3262</v>
      </c>
      <c r="E490" s="1944" t="s">
        <v>3263</v>
      </c>
      <c r="F490" s="1944" t="s">
        <v>2652</v>
      </c>
      <c r="G490" s="1944" t="s">
        <v>22</v>
      </c>
      <c r="H490" s="1944" t="s">
        <v>22</v>
      </c>
      <c r="I490" s="1944" t="s">
        <v>1871</v>
      </c>
    </row>
    <row customHeight="1" ht="11.25">
      <c r="A491" s="1944" t="s">
        <v>2480</v>
      </c>
      <c r="B491" s="1944" t="s">
        <v>16</v>
      </c>
      <c r="C491" s="1944" t="s">
        <v>3264</v>
      </c>
      <c r="D491" s="1944" t="s">
        <v>3265</v>
      </c>
      <c r="E491" s="1944" t="s">
        <v>3266</v>
      </c>
      <c r="F491" s="1944" t="s">
        <v>2532</v>
      </c>
      <c r="G491" s="1944" t="s">
        <v>22</v>
      </c>
      <c r="H491" s="1944" t="s">
        <v>22</v>
      </c>
      <c r="I491" s="1944" t="s">
        <v>1871</v>
      </c>
    </row>
    <row customHeight="1" ht="11.25">
      <c r="A492" s="1944" t="s">
        <v>2480</v>
      </c>
      <c r="B492" s="1944" t="s">
        <v>16</v>
      </c>
      <c r="C492" s="1944" t="s">
        <v>3267</v>
      </c>
      <c r="D492" s="1944" t="s">
        <v>3268</v>
      </c>
      <c r="E492" s="1944" t="s">
        <v>3269</v>
      </c>
      <c r="F492" s="1944" t="s">
        <v>2532</v>
      </c>
      <c r="G492" s="1944" t="s">
        <v>22</v>
      </c>
      <c r="H492" s="1944" t="s">
        <v>22</v>
      </c>
      <c r="I492" s="1944" t="s">
        <v>1871</v>
      </c>
    </row>
    <row customHeight="1" ht="11.25">
      <c r="A493" s="1944" t="s">
        <v>2480</v>
      </c>
      <c r="B493" s="1944" t="s">
        <v>16</v>
      </c>
      <c r="C493" s="1944" t="s">
        <v>3270</v>
      </c>
      <c r="D493" s="1944" t="s">
        <v>3271</v>
      </c>
      <c r="E493" s="1944" t="s">
        <v>3272</v>
      </c>
      <c r="F493" s="1944" t="s">
        <v>2611</v>
      </c>
      <c r="G493" s="1944" t="s">
        <v>3273</v>
      </c>
      <c r="H493" s="1944" t="s">
        <v>22</v>
      </c>
      <c r="I493" s="1944" t="s">
        <v>1871</v>
      </c>
    </row>
    <row customHeight="1" ht="11.25">
      <c r="A494" s="1944" t="s">
        <v>2480</v>
      </c>
      <c r="B494" s="1944" t="s">
        <v>16</v>
      </c>
      <c r="C494" s="1944" t="s">
        <v>3274</v>
      </c>
      <c r="D494" s="1944" t="s">
        <v>3275</v>
      </c>
      <c r="E494" s="1944" t="s">
        <v>3276</v>
      </c>
      <c r="F494" s="1944" t="s">
        <v>2594</v>
      </c>
      <c r="G494" s="1944" t="s">
        <v>22</v>
      </c>
      <c r="H494" s="1944" t="s">
        <v>22</v>
      </c>
      <c r="I494" s="1944" t="s">
        <v>1871</v>
      </c>
    </row>
    <row customHeight="1" ht="11.25">
      <c r="A495" s="1944" t="s">
        <v>2480</v>
      </c>
      <c r="B495" s="1944" t="s">
        <v>16</v>
      </c>
      <c r="C495" s="1944" t="s">
        <v>2954</v>
      </c>
      <c r="D495" s="1944" t="s">
        <v>2955</v>
      </c>
      <c r="E495" s="1944" t="s">
        <v>2956</v>
      </c>
      <c r="F495" s="1944" t="s">
        <v>2532</v>
      </c>
      <c r="G495" s="1944" t="s">
        <v>2957</v>
      </c>
      <c r="H495" s="1944" t="s">
        <v>22</v>
      </c>
      <c r="I495" s="1944" t="s">
        <v>1871</v>
      </c>
    </row>
    <row customHeight="1" ht="11.25">
      <c r="A496" s="1944" t="s">
        <v>2480</v>
      </c>
      <c r="B496" s="1944" t="s">
        <v>16</v>
      </c>
      <c r="C496" s="1944" t="s">
        <v>3277</v>
      </c>
      <c r="D496" s="1944" t="s">
        <v>3278</v>
      </c>
      <c r="E496" s="1944" t="s">
        <v>3279</v>
      </c>
      <c r="F496" s="1944" t="s">
        <v>2541</v>
      </c>
      <c r="G496" s="1944" t="s">
        <v>22</v>
      </c>
      <c r="H496" s="1944" t="s">
        <v>22</v>
      </c>
      <c r="I496" s="1944" t="s">
        <v>1871</v>
      </c>
    </row>
    <row customHeight="1" ht="11.25">
      <c r="A497" s="1944" t="s">
        <v>2480</v>
      </c>
      <c r="B497" s="1944" t="s">
        <v>16</v>
      </c>
      <c r="C497" s="1944" t="s">
        <v>3280</v>
      </c>
      <c r="D497" s="1944" t="s">
        <v>3281</v>
      </c>
      <c r="E497" s="1944" t="s">
        <v>3282</v>
      </c>
      <c r="F497" s="1944" t="s">
        <v>2769</v>
      </c>
      <c r="G497" s="1944" t="s">
        <v>3283</v>
      </c>
      <c r="H497" s="1944" t="s">
        <v>22</v>
      </c>
      <c r="I497" s="1944" t="s">
        <v>1871</v>
      </c>
    </row>
    <row customHeight="1" ht="11.25">
      <c r="A498" s="1944" t="s">
        <v>2480</v>
      </c>
      <c r="B498" s="1944" t="s">
        <v>16</v>
      </c>
      <c r="C498" s="1944" t="s">
        <v>3284</v>
      </c>
      <c r="D498" s="1944" t="s">
        <v>3285</v>
      </c>
      <c r="E498" s="1944" t="s">
        <v>3286</v>
      </c>
      <c r="F498" s="1944" t="s">
        <v>50</v>
      </c>
      <c r="G498" s="1944" t="s">
        <v>3287</v>
      </c>
      <c r="H498" s="1944" t="s">
        <v>22</v>
      </c>
      <c r="I498" s="1944" t="s">
        <v>1871</v>
      </c>
    </row>
    <row customHeight="1" ht="11.25">
      <c r="A499" s="1944" t="s">
        <v>2480</v>
      </c>
      <c r="B499" s="1944" t="s">
        <v>16</v>
      </c>
      <c r="C499" s="1944" t="s">
        <v>3288</v>
      </c>
      <c r="D499" s="1944" t="s">
        <v>3289</v>
      </c>
      <c r="E499" s="1944" t="s">
        <v>3290</v>
      </c>
      <c r="F499" s="1944" t="s">
        <v>2769</v>
      </c>
      <c r="G499" s="1944" t="s">
        <v>3291</v>
      </c>
      <c r="H499" s="1944" t="s">
        <v>22</v>
      </c>
      <c r="I499" s="1944" t="s">
        <v>1871</v>
      </c>
    </row>
    <row customHeight="1" ht="11.25">
      <c r="A500" s="1944" t="s">
        <v>2480</v>
      </c>
      <c r="B500" s="1944" t="s">
        <v>16</v>
      </c>
      <c r="C500" s="1944" t="s">
        <v>3292</v>
      </c>
      <c r="D500" s="1944" t="s">
        <v>3293</v>
      </c>
      <c r="E500" s="1944" t="s">
        <v>3294</v>
      </c>
      <c r="F500" s="1944" t="s">
        <v>2541</v>
      </c>
      <c r="G500" s="1944" t="s">
        <v>22</v>
      </c>
      <c r="H500" s="1944" t="s">
        <v>22</v>
      </c>
      <c r="I500" s="1944" t="s">
        <v>1871</v>
      </c>
    </row>
  </sheetData>
  <sheetProtection formatColumns="0" formatRows="0" autoFilter="0" sort="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2653C-14EF-0B19-1209-CEFCA9DBC095}" mc:Ignorable="x14ac xr xr2 xr3">
  <sheetPr>
    <tabColor rgb="FFFFCC99"/>
  </sheetPr>
  <dimension ref="A1:G240"/>
  <sheetViews>
    <sheetView topLeftCell="A1" showGridLines="0" workbookViewId="0">
      <selection activeCell="A1" sqref="A1"/>
    </sheetView>
  </sheetViews>
  <sheetFormatPr customHeight="1" defaultRowHeight="11.25"/>
  <cols>
    <col min="1" max="1" style="10365" width="9.140625"/>
  </cols>
  <sheetData>
    <row customHeight="1" ht="11.25">
      <c r="A1" s="480" t="s">
        <v>3295</v>
      </c>
      <c r="B1" s="175" t="s">
        <v>3296</v>
      </c>
      <c r="C1" s="175" t="s">
        <v>3297</v>
      </c>
      <c r="D1" s="175" t="s">
        <v>3298</v>
      </c>
      <c r="E1" s="170" t="s">
        <v>3299</v>
      </c>
      <c r="F1" s="170" t="s">
        <v>3300</v>
      </c>
      <c r="G1" s="170" t="s">
        <v>3301</v>
      </c>
    </row>
    <row customHeight="1" ht="11.25">
      <c r="A2" s="480" t="s">
        <v>16</v>
      </c>
      <c r="B2" s="0" t="s">
        <v>113</v>
      </c>
      <c r="C2" s="0" t="s">
        <v>3302</v>
      </c>
      <c r="D2" s="0" t="s">
        <v>113</v>
      </c>
      <c r="E2" s="0" t="s">
        <v>3302</v>
      </c>
      <c r="F2" s="0" t="s">
        <v>3303</v>
      </c>
      <c r="G2" s="0" t="s">
        <v>144</v>
      </c>
    </row>
    <row customHeight="1" ht="11.25">
      <c r="A3" s="480" t="s">
        <v>16</v>
      </c>
      <c r="B3" s="0" t="s">
        <v>113</v>
      </c>
      <c r="C3" s="0" t="s">
        <v>3302</v>
      </c>
      <c r="D3" s="0" t="s">
        <v>3304</v>
      </c>
      <c r="E3" s="0" t="s">
        <v>3305</v>
      </c>
      <c r="F3" s="0" t="s">
        <v>3306</v>
      </c>
      <c r="G3" s="0" t="s">
        <v>102</v>
      </c>
    </row>
    <row customHeight="1" ht="11.25">
      <c r="A4" s="480" t="s">
        <v>16</v>
      </c>
      <c r="B4" s="0" t="s">
        <v>113</v>
      </c>
      <c r="C4" s="0" t="s">
        <v>3302</v>
      </c>
      <c r="D4" s="0" t="s">
        <v>3307</v>
      </c>
      <c r="E4" s="0" t="s">
        <v>3308</v>
      </c>
      <c r="F4" s="0" t="s">
        <v>3306</v>
      </c>
      <c r="G4" s="0" t="s">
        <v>90</v>
      </c>
    </row>
    <row customHeight="1" ht="11.25">
      <c r="A5" s="480" t="s">
        <v>16</v>
      </c>
      <c r="B5" s="0" t="s">
        <v>113</v>
      </c>
      <c r="C5" s="0" t="s">
        <v>3302</v>
      </c>
      <c r="D5" s="0" t="s">
        <v>114</v>
      </c>
      <c r="E5" s="0" t="s">
        <v>115</v>
      </c>
      <c r="F5" s="0" t="s">
        <v>3309</v>
      </c>
      <c r="G5" s="0" t="s">
        <v>91</v>
      </c>
    </row>
    <row customHeight="1" ht="11.25">
      <c r="A6" s="480" t="s">
        <v>16</v>
      </c>
      <c r="B6" s="0" t="s">
        <v>113</v>
      </c>
      <c r="C6" s="0" t="s">
        <v>3302</v>
      </c>
      <c r="D6" s="0" t="s">
        <v>3310</v>
      </c>
      <c r="E6" s="0" t="s">
        <v>3311</v>
      </c>
      <c r="F6" s="0" t="s">
        <v>3306</v>
      </c>
      <c r="G6" s="0" t="s">
        <v>121</v>
      </c>
    </row>
    <row customHeight="1" ht="11.25">
      <c r="A7" s="480" t="s">
        <v>16</v>
      </c>
      <c r="B7" s="0" t="s">
        <v>113</v>
      </c>
      <c r="C7" s="0" t="s">
        <v>3302</v>
      </c>
      <c r="D7" s="0" t="s">
        <v>3312</v>
      </c>
      <c r="E7" s="0" t="s">
        <v>3313</v>
      </c>
      <c r="F7" s="0" t="s">
        <v>3306</v>
      </c>
      <c r="G7" s="0" t="s">
        <v>92</v>
      </c>
    </row>
    <row customHeight="1" ht="11.25">
      <c r="A8" s="480" t="s">
        <v>16</v>
      </c>
      <c r="B8" s="0" t="s">
        <v>113</v>
      </c>
      <c r="C8" s="0" t="s">
        <v>3302</v>
      </c>
      <c r="D8" s="0" t="s">
        <v>3314</v>
      </c>
      <c r="E8" s="0" t="s">
        <v>3315</v>
      </c>
      <c r="F8" s="0" t="s">
        <v>3306</v>
      </c>
      <c r="G8" s="0" t="s">
        <v>93</v>
      </c>
    </row>
    <row customHeight="1" ht="11.25">
      <c r="A9" s="480" t="s">
        <v>16</v>
      </c>
      <c r="B9" s="0" t="s">
        <v>113</v>
      </c>
      <c r="C9" s="0" t="s">
        <v>3302</v>
      </c>
      <c r="D9" s="0" t="s">
        <v>3316</v>
      </c>
      <c r="E9" s="0" t="s">
        <v>3317</v>
      </c>
      <c r="F9" s="0" t="s">
        <v>3306</v>
      </c>
      <c r="G9" s="0" t="s">
        <v>136</v>
      </c>
    </row>
    <row customHeight="1" ht="11.25">
      <c r="A10" s="480" t="s">
        <v>16</v>
      </c>
      <c r="B10" s="0" t="s">
        <v>113</v>
      </c>
      <c r="C10" s="0" t="s">
        <v>3302</v>
      </c>
      <c r="D10" s="0" t="s">
        <v>3318</v>
      </c>
      <c r="E10" s="0" t="s">
        <v>3319</v>
      </c>
      <c r="F10" s="0" t="s">
        <v>3306</v>
      </c>
      <c r="G10" s="0" t="s">
        <v>235</v>
      </c>
    </row>
    <row customHeight="1" ht="11.25">
      <c r="A11" s="480" t="s">
        <v>16</v>
      </c>
      <c r="B11" s="0" t="s">
        <v>113</v>
      </c>
      <c r="C11" s="0" t="s">
        <v>3302</v>
      </c>
      <c r="D11" s="0" t="s">
        <v>3320</v>
      </c>
      <c r="E11" s="0" t="s">
        <v>3321</v>
      </c>
      <c r="F11" s="0" t="s">
        <v>3322</v>
      </c>
      <c r="G11" s="0" t="s">
        <v>236</v>
      </c>
    </row>
    <row customHeight="1" ht="11.25">
      <c r="A12" s="480" t="s">
        <v>16</v>
      </c>
      <c r="B12" s="0" t="s">
        <v>113</v>
      </c>
      <c r="C12" s="0" t="s">
        <v>3302</v>
      </c>
      <c r="D12" s="0" t="s">
        <v>3323</v>
      </c>
      <c r="E12" s="0" t="s">
        <v>3324</v>
      </c>
      <c r="F12" s="0" t="s">
        <v>3306</v>
      </c>
      <c r="G12" s="0" t="s">
        <v>237</v>
      </c>
    </row>
    <row customHeight="1" ht="11.25">
      <c r="A13" s="480" t="s">
        <v>16</v>
      </c>
      <c r="B13" s="0" t="s">
        <v>3325</v>
      </c>
      <c r="C13" s="0" t="s">
        <v>3326</v>
      </c>
      <c r="D13" s="0" t="s">
        <v>3327</v>
      </c>
      <c r="E13" s="0" t="s">
        <v>3328</v>
      </c>
      <c r="F13" s="0" t="s">
        <v>3306</v>
      </c>
      <c r="G13" s="0" t="s">
        <v>238</v>
      </c>
    </row>
    <row customHeight="1" ht="11.25">
      <c r="A14" s="480" t="s">
        <v>16</v>
      </c>
      <c r="B14" s="0" t="s">
        <v>3325</v>
      </c>
      <c r="C14" s="0" t="s">
        <v>3326</v>
      </c>
      <c r="D14" s="0" t="s">
        <v>3325</v>
      </c>
      <c r="E14" s="0" t="s">
        <v>3326</v>
      </c>
      <c r="F14" s="0" t="s">
        <v>3303</v>
      </c>
      <c r="G14" s="0" t="s">
        <v>239</v>
      </c>
    </row>
    <row customHeight="1" ht="11.25">
      <c r="A15" s="480" t="s">
        <v>16</v>
      </c>
      <c r="B15" s="0" t="s">
        <v>3325</v>
      </c>
      <c r="C15" s="0" t="s">
        <v>3326</v>
      </c>
      <c r="D15" s="0" t="s">
        <v>3329</v>
      </c>
      <c r="E15" s="0" t="s">
        <v>3330</v>
      </c>
      <c r="F15" s="0" t="s">
        <v>3306</v>
      </c>
      <c r="G15" s="0" t="s">
        <v>240</v>
      </c>
    </row>
    <row customHeight="1" ht="11.25">
      <c r="A16" s="480" t="s">
        <v>16</v>
      </c>
      <c r="B16" s="0" t="s">
        <v>3325</v>
      </c>
      <c r="C16" s="0" t="s">
        <v>3326</v>
      </c>
      <c r="D16" s="0" t="s">
        <v>3331</v>
      </c>
      <c r="E16" s="0" t="s">
        <v>3332</v>
      </c>
      <c r="F16" s="0" t="s">
        <v>3333</v>
      </c>
      <c r="G16" s="0" t="s">
        <v>1228</v>
      </c>
    </row>
    <row customHeight="1" ht="11.25">
      <c r="A17" s="480" t="s">
        <v>16</v>
      </c>
      <c r="B17" s="0" t="s">
        <v>3325</v>
      </c>
      <c r="C17" s="0" t="s">
        <v>3326</v>
      </c>
      <c r="D17" s="0" t="s">
        <v>3334</v>
      </c>
      <c r="E17" s="0" t="s">
        <v>3335</v>
      </c>
      <c r="F17" s="0" t="s">
        <v>3306</v>
      </c>
      <c r="G17" s="0" t="s">
        <v>1230</v>
      </c>
    </row>
    <row customHeight="1" ht="11.25">
      <c r="A18" s="480" t="s">
        <v>16</v>
      </c>
      <c r="B18" s="0" t="s">
        <v>3325</v>
      </c>
      <c r="C18" s="0" t="s">
        <v>3326</v>
      </c>
      <c r="D18" s="0" t="s">
        <v>3336</v>
      </c>
      <c r="E18" s="0" t="s">
        <v>3337</v>
      </c>
      <c r="F18" s="0" t="s">
        <v>3306</v>
      </c>
      <c r="G18" s="0" t="s">
        <v>1232</v>
      </c>
    </row>
    <row customHeight="1" ht="11.25">
      <c r="A19" s="480" t="s">
        <v>16</v>
      </c>
      <c r="B19" s="0" t="s">
        <v>3338</v>
      </c>
      <c r="C19" s="0" t="s">
        <v>3339</v>
      </c>
      <c r="D19" s="0" t="s">
        <v>3338</v>
      </c>
      <c r="E19" s="0" t="s">
        <v>3339</v>
      </c>
      <c r="F19" s="0" t="s">
        <v>3303</v>
      </c>
      <c r="G19" s="0" t="s">
        <v>1234</v>
      </c>
    </row>
    <row customHeight="1" ht="11.25">
      <c r="A20" s="480" t="s">
        <v>16</v>
      </c>
      <c r="B20" s="0" t="s">
        <v>3338</v>
      </c>
      <c r="C20" s="0" t="s">
        <v>3339</v>
      </c>
      <c r="D20" s="0" t="s">
        <v>3340</v>
      </c>
      <c r="E20" s="0" t="s">
        <v>3341</v>
      </c>
      <c r="F20" s="0" t="s">
        <v>3306</v>
      </c>
      <c r="G20" s="0" t="s">
        <v>1237</v>
      </c>
    </row>
    <row customHeight="1" ht="11.25">
      <c r="A21" s="480" t="s">
        <v>16</v>
      </c>
      <c r="B21" s="0" t="s">
        <v>3338</v>
      </c>
      <c r="C21" s="0" t="s">
        <v>3339</v>
      </c>
      <c r="D21" s="0" t="s">
        <v>3342</v>
      </c>
      <c r="E21" s="0" t="s">
        <v>3343</v>
      </c>
      <c r="F21" s="0" t="s">
        <v>3309</v>
      </c>
      <c r="G21" s="0" t="s">
        <v>1240</v>
      </c>
    </row>
    <row customHeight="1" ht="11.25">
      <c r="A22" s="480" t="s">
        <v>16</v>
      </c>
      <c r="B22" s="0" t="s">
        <v>3338</v>
      </c>
      <c r="C22" s="0" t="s">
        <v>3339</v>
      </c>
      <c r="D22" s="0" t="s">
        <v>3344</v>
      </c>
      <c r="E22" s="0" t="s">
        <v>3345</v>
      </c>
      <c r="F22" s="0" t="s">
        <v>3306</v>
      </c>
      <c r="G22" s="0" t="s">
        <v>1243</v>
      </c>
    </row>
    <row customHeight="1" ht="11.25">
      <c r="A23" s="480" t="s">
        <v>16</v>
      </c>
      <c r="B23" s="0" t="s">
        <v>3338</v>
      </c>
      <c r="C23" s="0" t="s">
        <v>3339</v>
      </c>
      <c r="D23" s="0" t="s">
        <v>3346</v>
      </c>
      <c r="E23" s="0" t="s">
        <v>3347</v>
      </c>
      <c r="F23" s="0" t="s">
        <v>3306</v>
      </c>
      <c r="G23" s="0" t="s">
        <v>1246</v>
      </c>
    </row>
    <row customHeight="1" ht="11.25">
      <c r="A24" s="480" t="s">
        <v>16</v>
      </c>
      <c r="B24" s="0" t="s">
        <v>3338</v>
      </c>
      <c r="C24" s="0" t="s">
        <v>3339</v>
      </c>
      <c r="D24" s="0" t="s">
        <v>3348</v>
      </c>
      <c r="E24" s="0" t="s">
        <v>3349</v>
      </c>
      <c r="F24" s="0" t="s">
        <v>3306</v>
      </c>
      <c r="G24" s="0" t="s">
        <v>1248</v>
      </c>
    </row>
    <row customHeight="1" ht="11.25">
      <c r="A25" s="480" t="s">
        <v>16</v>
      </c>
      <c r="B25" s="0" t="s">
        <v>3338</v>
      </c>
      <c r="C25" s="0" t="s">
        <v>3339</v>
      </c>
      <c r="D25" s="0" t="s">
        <v>3350</v>
      </c>
      <c r="E25" s="0" t="s">
        <v>3351</v>
      </c>
      <c r="F25" s="0" t="s">
        <v>3306</v>
      </c>
      <c r="G25" s="0" t="s">
        <v>1250</v>
      </c>
    </row>
    <row customHeight="1" ht="11.25">
      <c r="A26" s="480" t="s">
        <v>16</v>
      </c>
      <c r="B26" s="0" t="s">
        <v>3338</v>
      </c>
      <c r="C26" s="0" t="s">
        <v>3339</v>
      </c>
      <c r="D26" s="0" t="s">
        <v>3352</v>
      </c>
      <c r="E26" s="0" t="s">
        <v>3353</v>
      </c>
      <c r="F26" s="0" t="s">
        <v>3306</v>
      </c>
      <c r="G26" s="0" t="s">
        <v>1252</v>
      </c>
    </row>
    <row customHeight="1" ht="11.25">
      <c r="A27" s="480" t="s">
        <v>16</v>
      </c>
      <c r="B27" s="0" t="s">
        <v>3338</v>
      </c>
      <c r="C27" s="0" t="s">
        <v>3339</v>
      </c>
      <c r="D27" s="0" t="s">
        <v>3354</v>
      </c>
      <c r="E27" s="0" t="s">
        <v>3355</v>
      </c>
      <c r="F27" s="0" t="s">
        <v>3306</v>
      </c>
      <c r="G27" s="0" t="s">
        <v>1254</v>
      </c>
    </row>
    <row customHeight="1" ht="11.25">
      <c r="A28" s="480" t="s">
        <v>16</v>
      </c>
      <c r="B28" s="0" t="s">
        <v>3338</v>
      </c>
      <c r="C28" s="0" t="s">
        <v>3339</v>
      </c>
      <c r="D28" s="0" t="s">
        <v>3356</v>
      </c>
      <c r="E28" s="0" t="s">
        <v>3357</v>
      </c>
      <c r="F28" s="0" t="s">
        <v>3306</v>
      </c>
      <c r="G28" s="0" t="s">
        <v>1256</v>
      </c>
    </row>
    <row customHeight="1" ht="11.25">
      <c r="A29" s="480" t="s">
        <v>16</v>
      </c>
      <c r="B29" s="0" t="s">
        <v>3358</v>
      </c>
      <c r="C29" s="0" t="s">
        <v>3359</v>
      </c>
      <c r="D29" s="0" t="s">
        <v>3358</v>
      </c>
      <c r="E29" s="0" t="s">
        <v>3359</v>
      </c>
      <c r="F29" s="0" t="s">
        <v>3303</v>
      </c>
      <c r="G29" s="0" t="s">
        <v>1258</v>
      </c>
    </row>
    <row customHeight="1" ht="11.25">
      <c r="A30" s="480" t="s">
        <v>16</v>
      </c>
      <c r="B30" s="0" t="s">
        <v>3358</v>
      </c>
      <c r="C30" s="0" t="s">
        <v>3359</v>
      </c>
      <c r="D30" s="0" t="s">
        <v>3360</v>
      </c>
      <c r="E30" s="0" t="s">
        <v>3361</v>
      </c>
      <c r="F30" s="0" t="s">
        <v>3306</v>
      </c>
      <c r="G30" s="0" t="s">
        <v>1261</v>
      </c>
    </row>
    <row customHeight="1" ht="11.25">
      <c r="A31" s="480" t="s">
        <v>16</v>
      </c>
      <c r="B31" s="0" t="s">
        <v>3358</v>
      </c>
      <c r="C31" s="0" t="s">
        <v>3359</v>
      </c>
      <c r="D31" s="0" t="s">
        <v>3362</v>
      </c>
      <c r="E31" s="0" t="s">
        <v>3363</v>
      </c>
      <c r="F31" s="0" t="s">
        <v>3306</v>
      </c>
      <c r="G31" s="0" t="s">
        <v>1263</v>
      </c>
    </row>
    <row customHeight="1" ht="11.25">
      <c r="A32" s="480" t="s">
        <v>16</v>
      </c>
      <c r="B32" s="0" t="s">
        <v>3358</v>
      </c>
      <c r="C32" s="0" t="s">
        <v>3359</v>
      </c>
      <c r="D32" s="0" t="s">
        <v>3364</v>
      </c>
      <c r="E32" s="0" t="s">
        <v>3365</v>
      </c>
      <c r="F32" s="0" t="s">
        <v>3306</v>
      </c>
      <c r="G32" s="0" t="s">
        <v>1265</v>
      </c>
    </row>
    <row customHeight="1" ht="11.25">
      <c r="A33" s="480" t="s">
        <v>16</v>
      </c>
      <c r="B33" s="0" t="s">
        <v>3358</v>
      </c>
      <c r="C33" s="0" t="s">
        <v>3359</v>
      </c>
      <c r="D33" s="0" t="s">
        <v>3366</v>
      </c>
      <c r="E33" s="0" t="s">
        <v>3367</v>
      </c>
      <c r="F33" s="0" t="s">
        <v>3322</v>
      </c>
      <c r="G33" s="0" t="s">
        <v>1267</v>
      </c>
    </row>
    <row customHeight="1" ht="11.25">
      <c r="A34" s="480" t="s">
        <v>16</v>
      </c>
      <c r="B34" s="0" t="s">
        <v>3358</v>
      </c>
      <c r="C34" s="0" t="s">
        <v>3359</v>
      </c>
      <c r="D34" s="0" t="s">
        <v>3368</v>
      </c>
      <c r="E34" s="0" t="s">
        <v>3369</v>
      </c>
      <c r="F34" s="0" t="s">
        <v>3322</v>
      </c>
      <c r="G34" s="0" t="s">
        <v>1269</v>
      </c>
    </row>
    <row customHeight="1" ht="11.25">
      <c r="A35" s="480" t="s">
        <v>16</v>
      </c>
      <c r="B35" s="0" t="s">
        <v>3358</v>
      </c>
      <c r="C35" s="0" t="s">
        <v>3359</v>
      </c>
      <c r="D35" s="0" t="s">
        <v>3370</v>
      </c>
      <c r="E35" s="0" t="s">
        <v>3371</v>
      </c>
      <c r="F35" s="0" t="s">
        <v>3322</v>
      </c>
      <c r="G35" s="0" t="s">
        <v>1271</v>
      </c>
    </row>
    <row customHeight="1" ht="11.25">
      <c r="A36" s="480" t="s">
        <v>16</v>
      </c>
      <c r="B36" s="0" t="s">
        <v>3358</v>
      </c>
      <c r="C36" s="0" t="s">
        <v>3359</v>
      </c>
      <c r="D36" s="0" t="s">
        <v>3372</v>
      </c>
      <c r="E36" s="0" t="s">
        <v>3373</v>
      </c>
      <c r="F36" s="0" t="s">
        <v>3306</v>
      </c>
      <c r="G36" s="0" t="s">
        <v>1274</v>
      </c>
    </row>
    <row customHeight="1" ht="11.25">
      <c r="A37" s="480" t="s">
        <v>16</v>
      </c>
      <c r="B37" s="0" t="s">
        <v>3358</v>
      </c>
      <c r="C37" s="0" t="s">
        <v>3359</v>
      </c>
      <c r="D37" s="0" t="s">
        <v>3374</v>
      </c>
      <c r="E37" s="0" t="s">
        <v>3375</v>
      </c>
      <c r="F37" s="0" t="s">
        <v>3306</v>
      </c>
      <c r="G37" s="0" t="s">
        <v>1277</v>
      </c>
    </row>
    <row customHeight="1" ht="11.25">
      <c r="A38" s="480" t="s">
        <v>16</v>
      </c>
      <c r="B38" s="0" t="s">
        <v>3358</v>
      </c>
      <c r="C38" s="0" t="s">
        <v>3359</v>
      </c>
      <c r="D38" s="0" t="s">
        <v>3376</v>
      </c>
      <c r="E38" s="0" t="s">
        <v>3377</v>
      </c>
      <c r="F38" s="0" t="s">
        <v>3306</v>
      </c>
      <c r="G38" s="0" t="s">
        <v>1279</v>
      </c>
    </row>
    <row customHeight="1" ht="11.25">
      <c r="A39" s="480" t="s">
        <v>16</v>
      </c>
      <c r="B39" s="0" t="s">
        <v>3358</v>
      </c>
      <c r="C39" s="0" t="s">
        <v>3359</v>
      </c>
      <c r="D39" s="0" t="s">
        <v>3378</v>
      </c>
      <c r="E39" s="0" t="s">
        <v>3379</v>
      </c>
      <c r="F39" s="0" t="s">
        <v>3306</v>
      </c>
      <c r="G39" s="0" t="s">
        <v>1281</v>
      </c>
    </row>
    <row customHeight="1" ht="11.25">
      <c r="A40" s="480" t="s">
        <v>16</v>
      </c>
      <c r="B40" s="0" t="s">
        <v>129</v>
      </c>
      <c r="C40" s="0" t="s">
        <v>3380</v>
      </c>
      <c r="D40" s="0" t="s">
        <v>3381</v>
      </c>
      <c r="E40" s="0" t="s">
        <v>3382</v>
      </c>
      <c r="F40" s="0" t="s">
        <v>3306</v>
      </c>
      <c r="G40" s="0" t="s">
        <v>1283</v>
      </c>
    </row>
    <row customHeight="1" ht="11.25">
      <c r="A41" s="480" t="s">
        <v>16</v>
      </c>
      <c r="B41" s="0" t="s">
        <v>129</v>
      </c>
      <c r="C41" s="0" t="s">
        <v>3380</v>
      </c>
      <c r="D41" s="0" t="s">
        <v>3383</v>
      </c>
      <c r="E41" s="0" t="s">
        <v>3384</v>
      </c>
      <c r="F41" s="0" t="s">
        <v>3306</v>
      </c>
      <c r="G41" s="0" t="s">
        <v>1285</v>
      </c>
    </row>
    <row customHeight="1" ht="11.25">
      <c r="A42" s="480" t="s">
        <v>16</v>
      </c>
      <c r="B42" s="0" t="s">
        <v>129</v>
      </c>
      <c r="C42" s="0" t="s">
        <v>3380</v>
      </c>
      <c r="D42" s="0" t="s">
        <v>129</v>
      </c>
      <c r="E42" s="0" t="s">
        <v>3380</v>
      </c>
      <c r="F42" s="0" t="s">
        <v>3303</v>
      </c>
      <c r="G42" s="0" t="s">
        <v>1288</v>
      </c>
    </row>
    <row customHeight="1" ht="11.25">
      <c r="A43" s="480" t="s">
        <v>16</v>
      </c>
      <c r="B43" s="0" t="s">
        <v>129</v>
      </c>
      <c r="C43" s="0" t="s">
        <v>3380</v>
      </c>
      <c r="D43" s="0" t="s">
        <v>3385</v>
      </c>
      <c r="E43" s="0" t="s">
        <v>3386</v>
      </c>
      <c r="F43" s="0" t="s">
        <v>3306</v>
      </c>
      <c r="G43" s="0" t="s">
        <v>1290</v>
      </c>
    </row>
    <row customHeight="1" ht="11.25">
      <c r="A44" s="480" t="s">
        <v>16</v>
      </c>
      <c r="B44" s="0" t="s">
        <v>129</v>
      </c>
      <c r="C44" s="0" t="s">
        <v>3380</v>
      </c>
      <c r="D44" s="0" t="s">
        <v>3387</v>
      </c>
      <c r="E44" s="0" t="s">
        <v>3388</v>
      </c>
      <c r="F44" s="0" t="s">
        <v>3333</v>
      </c>
      <c r="G44" s="0" t="s">
        <v>1292</v>
      </c>
    </row>
    <row customHeight="1" ht="11.25">
      <c r="A45" s="480" t="s">
        <v>16</v>
      </c>
      <c r="B45" s="0" t="s">
        <v>129</v>
      </c>
      <c r="C45" s="0" t="s">
        <v>3380</v>
      </c>
      <c r="D45" s="0" t="s">
        <v>3389</v>
      </c>
      <c r="E45" s="0" t="s">
        <v>3390</v>
      </c>
      <c r="F45" s="0" t="s">
        <v>3322</v>
      </c>
      <c r="G45" s="0" t="s">
        <v>1295</v>
      </c>
    </row>
    <row customHeight="1" ht="11.25">
      <c r="A46" s="480" t="s">
        <v>16</v>
      </c>
      <c r="B46" s="0" t="s">
        <v>129</v>
      </c>
      <c r="C46" s="0" t="s">
        <v>3380</v>
      </c>
      <c r="D46" s="0" t="s">
        <v>130</v>
      </c>
      <c r="E46" s="0" t="s">
        <v>131</v>
      </c>
      <c r="F46" s="0" t="s">
        <v>3322</v>
      </c>
      <c r="G46" s="0" t="s">
        <v>128</v>
      </c>
    </row>
    <row customHeight="1" ht="11.25">
      <c r="A47" s="480" t="s">
        <v>16</v>
      </c>
      <c r="B47" s="0" t="s">
        <v>129</v>
      </c>
      <c r="C47" s="0" t="s">
        <v>3380</v>
      </c>
      <c r="D47" s="0" t="s">
        <v>3391</v>
      </c>
      <c r="E47" s="0" t="s">
        <v>3392</v>
      </c>
      <c r="F47" s="0" t="s">
        <v>3306</v>
      </c>
      <c r="G47" s="0" t="s">
        <v>1298</v>
      </c>
    </row>
    <row customHeight="1" ht="11.25">
      <c r="A48" s="480" t="s">
        <v>16</v>
      </c>
      <c r="B48" s="0" t="s">
        <v>129</v>
      </c>
      <c r="C48" s="0" t="s">
        <v>3380</v>
      </c>
      <c r="D48" s="0" t="s">
        <v>3393</v>
      </c>
      <c r="E48" s="0" t="s">
        <v>3394</v>
      </c>
      <c r="F48" s="0" t="s">
        <v>3306</v>
      </c>
      <c r="G48" s="0" t="s">
        <v>1300</v>
      </c>
    </row>
    <row customHeight="1" ht="11.25">
      <c r="A49" s="480" t="s">
        <v>16</v>
      </c>
      <c r="B49" s="0" t="s">
        <v>129</v>
      </c>
      <c r="C49" s="0" t="s">
        <v>3380</v>
      </c>
      <c r="D49" s="0" t="s">
        <v>3395</v>
      </c>
      <c r="E49" s="0" t="s">
        <v>3396</v>
      </c>
      <c r="F49" s="0" t="s">
        <v>3306</v>
      </c>
      <c r="G49" s="0" t="s">
        <v>1302</v>
      </c>
    </row>
    <row customHeight="1" ht="11.25">
      <c r="A50" s="480" t="s">
        <v>16</v>
      </c>
      <c r="B50" s="0" t="s">
        <v>129</v>
      </c>
      <c r="C50" s="0" t="s">
        <v>3380</v>
      </c>
      <c r="D50" s="0" t="s">
        <v>3397</v>
      </c>
      <c r="E50" s="0" t="s">
        <v>3398</v>
      </c>
      <c r="F50" s="0" t="s">
        <v>3306</v>
      </c>
      <c r="G50" s="0" t="s">
        <v>1911</v>
      </c>
    </row>
    <row customHeight="1" ht="11.25">
      <c r="A51" s="480" t="s">
        <v>16</v>
      </c>
      <c r="B51" s="0" t="s">
        <v>129</v>
      </c>
      <c r="C51" s="0" t="s">
        <v>3380</v>
      </c>
      <c r="D51" s="0" t="s">
        <v>3399</v>
      </c>
      <c r="E51" s="0" t="s">
        <v>3400</v>
      </c>
      <c r="F51" s="0" t="s">
        <v>3306</v>
      </c>
      <c r="G51" s="0" t="s">
        <v>1916</v>
      </c>
    </row>
    <row customHeight="1" ht="11.25">
      <c r="A52" s="480" t="s">
        <v>16</v>
      </c>
      <c r="B52" s="0" t="s">
        <v>129</v>
      </c>
      <c r="C52" s="0" t="s">
        <v>3380</v>
      </c>
      <c r="D52" s="0" t="s">
        <v>3401</v>
      </c>
      <c r="E52" s="0" t="s">
        <v>3402</v>
      </c>
      <c r="F52" s="0" t="s">
        <v>3306</v>
      </c>
      <c r="G52" s="0" t="s">
        <v>1920</v>
      </c>
    </row>
    <row customHeight="1" ht="11.25">
      <c r="A53" s="480" t="s">
        <v>16</v>
      </c>
      <c r="B53" s="0" t="s">
        <v>129</v>
      </c>
      <c r="C53" s="0" t="s">
        <v>3380</v>
      </c>
      <c r="D53" s="0" t="s">
        <v>3403</v>
      </c>
      <c r="E53" s="0" t="s">
        <v>3404</v>
      </c>
      <c r="F53" s="0" t="s">
        <v>3306</v>
      </c>
      <c r="G53" s="0" t="s">
        <v>1922</v>
      </c>
    </row>
    <row customHeight="1" ht="11.25">
      <c r="A54" s="480" t="s">
        <v>16</v>
      </c>
      <c r="B54" s="0" t="s">
        <v>129</v>
      </c>
      <c r="C54" s="0" t="s">
        <v>3380</v>
      </c>
      <c r="D54" s="0" t="s">
        <v>3405</v>
      </c>
      <c r="E54" s="0" t="s">
        <v>3406</v>
      </c>
      <c r="F54" s="0" t="s">
        <v>3306</v>
      </c>
      <c r="G54" s="0" t="s">
        <v>1925</v>
      </c>
    </row>
    <row customHeight="1" ht="11.25">
      <c r="A55" s="480" t="s">
        <v>16</v>
      </c>
      <c r="B55" s="0" t="s">
        <v>3407</v>
      </c>
      <c r="C55" s="0" t="s">
        <v>3408</v>
      </c>
      <c r="D55" s="0" t="s">
        <v>3409</v>
      </c>
      <c r="E55" s="0" t="s">
        <v>3410</v>
      </c>
      <c r="F55" s="0" t="s">
        <v>3306</v>
      </c>
      <c r="G55" s="0" t="s">
        <v>1930</v>
      </c>
    </row>
    <row customHeight="1" ht="11.25">
      <c r="A56" s="480" t="s">
        <v>16</v>
      </c>
      <c r="B56" s="0" t="s">
        <v>3407</v>
      </c>
      <c r="C56" s="0" t="s">
        <v>3408</v>
      </c>
      <c r="D56" s="0" t="s">
        <v>3411</v>
      </c>
      <c r="E56" s="0" t="s">
        <v>3412</v>
      </c>
      <c r="F56" s="0" t="s">
        <v>3306</v>
      </c>
      <c r="G56" s="0" t="s">
        <v>1934</v>
      </c>
    </row>
    <row customHeight="1" ht="11.25">
      <c r="A57" s="480" t="s">
        <v>16</v>
      </c>
      <c r="B57" s="0" t="s">
        <v>3407</v>
      </c>
      <c r="C57" s="0" t="s">
        <v>3408</v>
      </c>
      <c r="D57" s="0" t="s">
        <v>3413</v>
      </c>
      <c r="E57" s="0" t="s">
        <v>3414</v>
      </c>
      <c r="F57" s="0" t="s">
        <v>3306</v>
      </c>
      <c r="G57" s="0" t="s">
        <v>1937</v>
      </c>
    </row>
    <row customHeight="1" ht="11.25">
      <c r="A58" s="480" t="s">
        <v>16</v>
      </c>
      <c r="B58" s="0" t="s">
        <v>3407</v>
      </c>
      <c r="C58" s="0" t="s">
        <v>3408</v>
      </c>
      <c r="D58" s="0" t="s">
        <v>3415</v>
      </c>
      <c r="E58" s="0" t="s">
        <v>3416</v>
      </c>
      <c r="F58" s="0" t="s">
        <v>3306</v>
      </c>
      <c r="G58" s="0" t="s">
        <v>1940</v>
      </c>
    </row>
    <row customHeight="1" ht="11.25">
      <c r="A59" s="480" t="s">
        <v>16</v>
      </c>
      <c r="B59" s="0" t="s">
        <v>3407</v>
      </c>
      <c r="C59" s="0" t="s">
        <v>3408</v>
      </c>
      <c r="D59" s="0" t="s">
        <v>3407</v>
      </c>
      <c r="E59" s="0" t="s">
        <v>3408</v>
      </c>
      <c r="F59" s="0" t="s">
        <v>3303</v>
      </c>
      <c r="G59" s="0" t="s">
        <v>1944</v>
      </c>
    </row>
    <row customHeight="1" ht="11.25">
      <c r="A60" s="480" t="s">
        <v>16</v>
      </c>
      <c r="B60" s="0" t="s">
        <v>3407</v>
      </c>
      <c r="C60" s="0" t="s">
        <v>3408</v>
      </c>
      <c r="D60" s="0" t="s">
        <v>3417</v>
      </c>
      <c r="E60" s="0" t="s">
        <v>3418</v>
      </c>
      <c r="F60" s="0" t="s">
        <v>3306</v>
      </c>
      <c r="G60" s="0" t="s">
        <v>1947</v>
      </c>
    </row>
    <row customHeight="1" ht="11.25">
      <c r="A61" s="480" t="s">
        <v>16</v>
      </c>
      <c r="B61" s="0" t="s">
        <v>3407</v>
      </c>
      <c r="C61" s="0" t="s">
        <v>3408</v>
      </c>
      <c r="D61" s="0" t="s">
        <v>3419</v>
      </c>
      <c r="E61" s="0" t="s">
        <v>3420</v>
      </c>
      <c r="F61" s="0" t="s">
        <v>3309</v>
      </c>
      <c r="G61" s="0" t="s">
        <v>3421</v>
      </c>
    </row>
    <row customHeight="1" ht="11.25">
      <c r="A62" s="480" t="s">
        <v>16</v>
      </c>
      <c r="B62" s="0" t="s">
        <v>3407</v>
      </c>
      <c r="C62" s="0" t="s">
        <v>3408</v>
      </c>
      <c r="D62" s="0" t="s">
        <v>3422</v>
      </c>
      <c r="E62" s="0" t="s">
        <v>3423</v>
      </c>
      <c r="F62" s="0" t="s">
        <v>3306</v>
      </c>
      <c r="G62" s="0" t="s">
        <v>3424</v>
      </c>
    </row>
    <row customHeight="1" ht="11.25">
      <c r="A63" s="480" t="s">
        <v>16</v>
      </c>
      <c r="B63" s="0" t="s">
        <v>3407</v>
      </c>
      <c r="C63" s="0" t="s">
        <v>3408</v>
      </c>
      <c r="D63" s="0" t="s">
        <v>3425</v>
      </c>
      <c r="E63" s="0" t="s">
        <v>3426</v>
      </c>
      <c r="F63" s="0" t="s">
        <v>3306</v>
      </c>
      <c r="G63" s="0" t="s">
        <v>3427</v>
      </c>
    </row>
    <row customHeight="1" ht="11.25">
      <c r="A64" s="480" t="s">
        <v>16</v>
      </c>
      <c r="B64" s="0" t="s">
        <v>3407</v>
      </c>
      <c r="C64" s="0" t="s">
        <v>3408</v>
      </c>
      <c r="D64" s="0" t="s">
        <v>3428</v>
      </c>
      <c r="E64" s="0" t="s">
        <v>3429</v>
      </c>
      <c r="F64" s="0" t="s">
        <v>3306</v>
      </c>
      <c r="G64" s="0" t="s">
        <v>3430</v>
      </c>
    </row>
    <row customHeight="1" ht="11.25">
      <c r="A65" s="480" t="s">
        <v>16</v>
      </c>
      <c r="B65" s="0" t="s">
        <v>3407</v>
      </c>
      <c r="C65" s="0" t="s">
        <v>3408</v>
      </c>
      <c r="D65" s="0" t="s">
        <v>3431</v>
      </c>
      <c r="E65" s="0" t="s">
        <v>3432</v>
      </c>
      <c r="F65" s="0" t="s">
        <v>3306</v>
      </c>
      <c r="G65" s="0" t="s">
        <v>3433</v>
      </c>
    </row>
    <row customHeight="1" ht="11.25">
      <c r="A66" s="480" t="s">
        <v>16</v>
      </c>
      <c r="B66" s="0" t="s">
        <v>3407</v>
      </c>
      <c r="C66" s="0" t="s">
        <v>3408</v>
      </c>
      <c r="D66" s="0" t="s">
        <v>3434</v>
      </c>
      <c r="E66" s="0" t="s">
        <v>3435</v>
      </c>
      <c r="F66" s="0" t="s">
        <v>3306</v>
      </c>
      <c r="G66" s="0" t="s">
        <v>3436</v>
      </c>
    </row>
    <row customHeight="1" ht="11.25">
      <c r="A67" s="480" t="s">
        <v>16</v>
      </c>
      <c r="B67" s="0" t="s">
        <v>3407</v>
      </c>
      <c r="C67" s="0" t="s">
        <v>3408</v>
      </c>
      <c r="D67" s="0" t="s">
        <v>3437</v>
      </c>
      <c r="E67" s="0" t="s">
        <v>3438</v>
      </c>
      <c r="F67" s="0" t="s">
        <v>3306</v>
      </c>
      <c r="G67" s="0" t="s">
        <v>2257</v>
      </c>
    </row>
    <row customHeight="1" ht="11.25">
      <c r="A68" s="480" t="s">
        <v>16</v>
      </c>
      <c r="B68" s="0" t="s">
        <v>3407</v>
      </c>
      <c r="C68" s="0" t="s">
        <v>3408</v>
      </c>
      <c r="D68" s="0" t="s">
        <v>3439</v>
      </c>
      <c r="E68" s="0" t="s">
        <v>3440</v>
      </c>
      <c r="F68" s="0" t="s">
        <v>3306</v>
      </c>
      <c r="G68" s="0" t="s">
        <v>3441</v>
      </c>
    </row>
    <row customHeight="1" ht="11.25">
      <c r="A69" s="480" t="s">
        <v>16</v>
      </c>
      <c r="B69" s="0" t="s">
        <v>3407</v>
      </c>
      <c r="C69" s="0" t="s">
        <v>3408</v>
      </c>
      <c r="D69" s="0" t="s">
        <v>3442</v>
      </c>
      <c r="E69" s="0" t="s">
        <v>3443</v>
      </c>
      <c r="F69" s="0" t="s">
        <v>3306</v>
      </c>
      <c r="G69" s="0" t="s">
        <v>2457</v>
      </c>
    </row>
    <row customHeight="1" ht="11.25">
      <c r="A70" s="480" t="s">
        <v>16</v>
      </c>
      <c r="B70" s="0" t="s">
        <v>3407</v>
      </c>
      <c r="C70" s="0" t="s">
        <v>3408</v>
      </c>
      <c r="D70" s="0" t="s">
        <v>3444</v>
      </c>
      <c r="E70" s="0" t="s">
        <v>3445</v>
      </c>
      <c r="F70" s="0" t="s">
        <v>3306</v>
      </c>
      <c r="G70" s="0" t="s">
        <v>3446</v>
      </c>
    </row>
    <row customHeight="1" ht="11.25">
      <c r="A71" s="480" t="s">
        <v>16</v>
      </c>
      <c r="B71" s="0" t="s">
        <v>3407</v>
      </c>
      <c r="C71" s="0" t="s">
        <v>3408</v>
      </c>
      <c r="D71" s="0" t="s">
        <v>3447</v>
      </c>
      <c r="E71" s="0" t="s">
        <v>3448</v>
      </c>
      <c r="F71" s="0" t="s">
        <v>3306</v>
      </c>
      <c r="G71" s="0" t="s">
        <v>3449</v>
      </c>
    </row>
    <row customHeight="1" ht="11.25">
      <c r="A72" s="480" t="s">
        <v>16</v>
      </c>
      <c r="B72" s="0" t="s">
        <v>3407</v>
      </c>
      <c r="C72" s="0" t="s">
        <v>3408</v>
      </c>
      <c r="D72" s="0" t="s">
        <v>3450</v>
      </c>
      <c r="E72" s="0" t="s">
        <v>3451</v>
      </c>
      <c r="F72" s="0" t="s">
        <v>3306</v>
      </c>
      <c r="G72" s="0" t="s">
        <v>3452</v>
      </c>
    </row>
    <row customHeight="1" ht="11.25">
      <c r="A73" s="480" t="s">
        <v>16</v>
      </c>
      <c r="B73" s="0" t="s">
        <v>3407</v>
      </c>
      <c r="C73" s="0" t="s">
        <v>3408</v>
      </c>
      <c r="D73" s="0" t="s">
        <v>3453</v>
      </c>
      <c r="E73" s="0" t="s">
        <v>3454</v>
      </c>
      <c r="F73" s="0" t="s">
        <v>3306</v>
      </c>
      <c r="G73" s="0" t="s">
        <v>3455</v>
      </c>
    </row>
    <row customHeight="1" ht="11.25">
      <c r="A74" s="480" t="s">
        <v>16</v>
      </c>
      <c r="B74" s="0" t="s">
        <v>3407</v>
      </c>
      <c r="C74" s="0" t="s">
        <v>3408</v>
      </c>
      <c r="D74" s="0" t="s">
        <v>3456</v>
      </c>
      <c r="E74" s="0" t="s">
        <v>3457</v>
      </c>
      <c r="F74" s="0" t="s">
        <v>3306</v>
      </c>
      <c r="G74" s="0" t="s">
        <v>3458</v>
      </c>
    </row>
    <row customHeight="1" ht="11.25">
      <c r="A75" s="480" t="s">
        <v>16</v>
      </c>
      <c r="B75" s="0" t="s">
        <v>110</v>
      </c>
      <c r="C75" s="0" t="s">
        <v>111</v>
      </c>
      <c r="D75" s="0" t="s">
        <v>110</v>
      </c>
      <c r="E75" s="0" t="s">
        <v>111</v>
      </c>
      <c r="F75" s="0" t="s">
        <v>3459</v>
      </c>
      <c r="G75" s="0" t="s">
        <v>109</v>
      </c>
    </row>
    <row customHeight="1" ht="11.25">
      <c r="A76" s="480" t="s">
        <v>16</v>
      </c>
      <c r="B76" s="0" t="s">
        <v>100</v>
      </c>
      <c r="C76" s="0" t="s">
        <v>101</v>
      </c>
      <c r="D76" s="0" t="s">
        <v>100</v>
      </c>
      <c r="E76" s="0" t="s">
        <v>101</v>
      </c>
      <c r="F76" s="0" t="s">
        <v>3459</v>
      </c>
      <c r="G76" s="0" t="s">
        <v>99</v>
      </c>
    </row>
    <row customHeight="1" ht="11.25">
      <c r="A77" s="480" t="s">
        <v>16</v>
      </c>
      <c r="B77" s="0" t="s">
        <v>3460</v>
      </c>
      <c r="C77" s="0" t="s">
        <v>3461</v>
      </c>
      <c r="D77" s="0" t="s">
        <v>3462</v>
      </c>
      <c r="E77" s="0" t="s">
        <v>3463</v>
      </c>
      <c r="F77" s="0" t="s">
        <v>3306</v>
      </c>
      <c r="G77" s="0" t="s">
        <v>3464</v>
      </c>
    </row>
    <row customHeight="1" ht="11.25">
      <c r="A78" s="480" t="s">
        <v>16</v>
      </c>
      <c r="B78" s="0" t="s">
        <v>3460</v>
      </c>
      <c r="C78" s="0" t="s">
        <v>3461</v>
      </c>
      <c r="D78" s="0" t="s">
        <v>3465</v>
      </c>
      <c r="E78" s="0" t="s">
        <v>3466</v>
      </c>
      <c r="F78" s="0" t="s">
        <v>3306</v>
      </c>
      <c r="G78" s="0" t="s">
        <v>3467</v>
      </c>
    </row>
    <row customHeight="1" ht="11.25">
      <c r="A79" s="480" t="s">
        <v>16</v>
      </c>
      <c r="B79" s="0" t="s">
        <v>3460</v>
      </c>
      <c r="C79" s="0" t="s">
        <v>3461</v>
      </c>
      <c r="D79" s="0" t="s">
        <v>3468</v>
      </c>
      <c r="E79" s="0" t="s">
        <v>3469</v>
      </c>
      <c r="F79" s="0" t="s">
        <v>3306</v>
      </c>
      <c r="G79" s="0" t="s">
        <v>3470</v>
      </c>
    </row>
    <row customHeight="1" ht="11.25">
      <c r="A80" s="480" t="s">
        <v>16</v>
      </c>
      <c r="B80" s="0" t="s">
        <v>3460</v>
      </c>
      <c r="C80" s="0" t="s">
        <v>3461</v>
      </c>
      <c r="D80" s="0" t="s">
        <v>3471</v>
      </c>
      <c r="E80" s="0" t="s">
        <v>3472</v>
      </c>
      <c r="F80" s="0" t="s">
        <v>3306</v>
      </c>
      <c r="G80" s="0" t="s">
        <v>3473</v>
      </c>
    </row>
    <row customHeight="1" ht="11.25">
      <c r="A81" s="480" t="s">
        <v>16</v>
      </c>
      <c r="B81" s="0" t="s">
        <v>3460</v>
      </c>
      <c r="C81" s="0" t="s">
        <v>3461</v>
      </c>
      <c r="D81" s="0" t="s">
        <v>3474</v>
      </c>
      <c r="E81" s="0" t="s">
        <v>3475</v>
      </c>
      <c r="F81" s="0" t="s">
        <v>3306</v>
      </c>
      <c r="G81" s="0" t="s">
        <v>3476</v>
      </c>
    </row>
    <row customHeight="1" ht="11.25">
      <c r="A82" s="480" t="s">
        <v>16</v>
      </c>
      <c r="B82" s="0" t="s">
        <v>3460</v>
      </c>
      <c r="C82" s="0" t="s">
        <v>3461</v>
      </c>
      <c r="D82" s="0" t="s">
        <v>3477</v>
      </c>
      <c r="E82" s="0" t="s">
        <v>3478</v>
      </c>
      <c r="F82" s="0" t="s">
        <v>3306</v>
      </c>
      <c r="G82" s="0" t="s">
        <v>3479</v>
      </c>
    </row>
    <row customHeight="1" ht="11.25">
      <c r="A83" s="480" t="s">
        <v>16</v>
      </c>
      <c r="B83" s="0" t="s">
        <v>3460</v>
      </c>
      <c r="C83" s="0" t="s">
        <v>3461</v>
      </c>
      <c r="D83" s="0" t="s">
        <v>3480</v>
      </c>
      <c r="E83" s="0" t="s">
        <v>3481</v>
      </c>
      <c r="F83" s="0" t="s">
        <v>3306</v>
      </c>
      <c r="G83" s="0" t="s">
        <v>3482</v>
      </c>
    </row>
    <row customHeight="1" ht="11.25">
      <c r="A84" s="480" t="s">
        <v>16</v>
      </c>
      <c r="B84" s="0" t="s">
        <v>3460</v>
      </c>
      <c r="C84" s="0" t="s">
        <v>3461</v>
      </c>
      <c r="D84" s="0" t="s">
        <v>3483</v>
      </c>
      <c r="E84" s="0" t="s">
        <v>3484</v>
      </c>
      <c r="F84" s="0" t="s">
        <v>3306</v>
      </c>
      <c r="G84" s="0" t="s">
        <v>3485</v>
      </c>
    </row>
    <row customHeight="1" ht="11.25">
      <c r="A85" s="480" t="s">
        <v>16</v>
      </c>
      <c r="B85" s="0" t="s">
        <v>3460</v>
      </c>
      <c r="C85" s="0" t="s">
        <v>3461</v>
      </c>
      <c r="D85" s="0" t="s">
        <v>3486</v>
      </c>
      <c r="E85" s="0" t="s">
        <v>3487</v>
      </c>
      <c r="F85" s="0" t="s">
        <v>3306</v>
      </c>
      <c r="G85" s="0" t="s">
        <v>3488</v>
      </c>
    </row>
    <row customHeight="1" ht="11.25">
      <c r="A86" s="480" t="s">
        <v>16</v>
      </c>
      <c r="B86" s="0" t="s">
        <v>3460</v>
      </c>
      <c r="C86" s="0" t="s">
        <v>3461</v>
      </c>
      <c r="D86" s="0" t="s">
        <v>3460</v>
      </c>
      <c r="E86" s="0" t="s">
        <v>3461</v>
      </c>
      <c r="F86" s="0" t="s">
        <v>3303</v>
      </c>
      <c r="G86" s="0" t="s">
        <v>3489</v>
      </c>
    </row>
    <row customHeight="1" ht="11.25">
      <c r="A87" s="480" t="s">
        <v>16</v>
      </c>
      <c r="B87" s="0" t="s">
        <v>3460</v>
      </c>
      <c r="C87" s="0" t="s">
        <v>3461</v>
      </c>
      <c r="D87" s="0" t="s">
        <v>3490</v>
      </c>
      <c r="E87" s="0" t="s">
        <v>3491</v>
      </c>
      <c r="F87" s="0" t="s">
        <v>3306</v>
      </c>
      <c r="G87" s="0" t="s">
        <v>3492</v>
      </c>
    </row>
    <row customHeight="1" ht="11.25">
      <c r="A88" s="480" t="s">
        <v>16</v>
      </c>
      <c r="B88" s="0" t="s">
        <v>3460</v>
      </c>
      <c r="C88" s="0" t="s">
        <v>3461</v>
      </c>
      <c r="D88" s="0" t="s">
        <v>3493</v>
      </c>
      <c r="E88" s="0" t="s">
        <v>3494</v>
      </c>
      <c r="F88" s="0" t="s">
        <v>3306</v>
      </c>
      <c r="G88" s="0" t="s">
        <v>3495</v>
      </c>
    </row>
    <row customHeight="1" ht="11.25">
      <c r="A89" s="480" t="s">
        <v>16</v>
      </c>
      <c r="B89" s="0" t="s">
        <v>3460</v>
      </c>
      <c r="C89" s="0" t="s">
        <v>3461</v>
      </c>
      <c r="D89" s="0" t="s">
        <v>3496</v>
      </c>
      <c r="E89" s="0" t="s">
        <v>3497</v>
      </c>
      <c r="F89" s="0" t="s">
        <v>3306</v>
      </c>
      <c r="G89" s="0" t="s">
        <v>3498</v>
      </c>
    </row>
    <row customHeight="1" ht="11.25">
      <c r="A90" s="480" t="s">
        <v>16</v>
      </c>
      <c r="B90" s="0" t="s">
        <v>3460</v>
      </c>
      <c r="C90" s="0" t="s">
        <v>3461</v>
      </c>
      <c r="D90" s="0" t="s">
        <v>3499</v>
      </c>
      <c r="E90" s="0" t="s">
        <v>3500</v>
      </c>
      <c r="F90" s="0" t="s">
        <v>3306</v>
      </c>
      <c r="G90" s="0" t="s">
        <v>3501</v>
      </c>
    </row>
    <row customHeight="1" ht="11.25">
      <c r="A91" s="480" t="s">
        <v>16</v>
      </c>
      <c r="B91" s="0" t="s">
        <v>3460</v>
      </c>
      <c r="C91" s="0" t="s">
        <v>3461</v>
      </c>
      <c r="D91" s="0" t="s">
        <v>3502</v>
      </c>
      <c r="E91" s="0" t="s">
        <v>3503</v>
      </c>
      <c r="F91" s="0" t="s">
        <v>3306</v>
      </c>
      <c r="G91" s="0" t="s">
        <v>3504</v>
      </c>
    </row>
    <row customHeight="1" ht="11.25">
      <c r="A92" s="480" t="s">
        <v>16</v>
      </c>
      <c r="B92" s="0" t="s">
        <v>3460</v>
      </c>
      <c r="C92" s="0" t="s">
        <v>3461</v>
      </c>
      <c r="D92" s="0" t="s">
        <v>3505</v>
      </c>
      <c r="E92" s="0" t="s">
        <v>3506</v>
      </c>
      <c r="F92" s="0" t="s">
        <v>3306</v>
      </c>
      <c r="G92" s="0" t="s">
        <v>3507</v>
      </c>
    </row>
    <row customHeight="1" ht="11.25">
      <c r="A93" s="480" t="s">
        <v>16</v>
      </c>
      <c r="B93" s="0" t="s">
        <v>3460</v>
      </c>
      <c r="C93" s="0" t="s">
        <v>3461</v>
      </c>
      <c r="D93" s="0" t="s">
        <v>3508</v>
      </c>
      <c r="E93" s="0" t="s">
        <v>3509</v>
      </c>
      <c r="F93" s="0" t="s">
        <v>3306</v>
      </c>
      <c r="G93" s="0" t="s">
        <v>3510</v>
      </c>
    </row>
    <row customHeight="1" ht="11.25">
      <c r="A94" s="480" t="s">
        <v>16</v>
      </c>
      <c r="B94" s="0" t="s">
        <v>3460</v>
      </c>
      <c r="C94" s="0" t="s">
        <v>3461</v>
      </c>
      <c r="D94" s="0" t="s">
        <v>3511</v>
      </c>
      <c r="E94" s="0" t="s">
        <v>3512</v>
      </c>
      <c r="F94" s="0" t="s">
        <v>3306</v>
      </c>
      <c r="G94" s="0" t="s">
        <v>3513</v>
      </c>
    </row>
    <row customHeight="1" ht="11.25">
      <c r="A95" s="480" t="s">
        <v>16</v>
      </c>
      <c r="B95" s="0" t="s">
        <v>3460</v>
      </c>
      <c r="C95" s="0" t="s">
        <v>3461</v>
      </c>
      <c r="D95" s="0" t="s">
        <v>3514</v>
      </c>
      <c r="E95" s="0" t="s">
        <v>3515</v>
      </c>
      <c r="F95" s="0" t="s">
        <v>3306</v>
      </c>
      <c r="G95" s="0" t="s">
        <v>3516</v>
      </c>
    </row>
    <row customHeight="1" ht="11.25">
      <c r="A96" s="480" t="s">
        <v>16</v>
      </c>
      <c r="B96" s="0" t="s">
        <v>3460</v>
      </c>
      <c r="C96" s="0" t="s">
        <v>3461</v>
      </c>
      <c r="D96" s="0" t="s">
        <v>3517</v>
      </c>
      <c r="E96" s="0" t="s">
        <v>3518</v>
      </c>
      <c r="F96" s="0" t="s">
        <v>3306</v>
      </c>
      <c r="G96" s="0" t="s">
        <v>3519</v>
      </c>
    </row>
    <row customHeight="1" ht="11.25">
      <c r="A97" s="480" t="s">
        <v>16</v>
      </c>
      <c r="B97" s="0" t="s">
        <v>3460</v>
      </c>
      <c r="C97" s="0" t="s">
        <v>3461</v>
      </c>
      <c r="D97" s="0" t="s">
        <v>3520</v>
      </c>
      <c r="E97" s="0" t="s">
        <v>3521</v>
      </c>
      <c r="F97" s="0" t="s">
        <v>3306</v>
      </c>
      <c r="G97" s="0" t="s">
        <v>3522</v>
      </c>
    </row>
    <row customHeight="1" ht="11.25">
      <c r="A98" s="480" t="s">
        <v>16</v>
      </c>
      <c r="B98" s="0" t="s">
        <v>3460</v>
      </c>
      <c r="C98" s="0" t="s">
        <v>3461</v>
      </c>
      <c r="D98" s="0" t="s">
        <v>3523</v>
      </c>
      <c r="E98" s="0" t="s">
        <v>3524</v>
      </c>
      <c r="F98" s="0" t="s">
        <v>3306</v>
      </c>
      <c r="G98" s="0" t="s">
        <v>3525</v>
      </c>
    </row>
    <row customHeight="1" ht="11.25">
      <c r="A99" s="480" t="s">
        <v>16</v>
      </c>
      <c r="B99" s="0" t="s">
        <v>3526</v>
      </c>
      <c r="C99" s="0" t="s">
        <v>3527</v>
      </c>
      <c r="D99" s="0" t="s">
        <v>3528</v>
      </c>
      <c r="E99" s="0" t="s">
        <v>3529</v>
      </c>
      <c r="F99" s="0" t="s">
        <v>3306</v>
      </c>
      <c r="G99" s="0" t="s">
        <v>3530</v>
      </c>
    </row>
    <row customHeight="1" ht="11.25">
      <c r="A100" s="480" t="s">
        <v>16</v>
      </c>
      <c r="B100" s="0" t="s">
        <v>3526</v>
      </c>
      <c r="C100" s="0" t="s">
        <v>3527</v>
      </c>
      <c r="D100" s="0" t="s">
        <v>3531</v>
      </c>
      <c r="E100" s="0" t="s">
        <v>3532</v>
      </c>
      <c r="F100" s="0" t="s">
        <v>3306</v>
      </c>
      <c r="G100" s="0" t="s">
        <v>3533</v>
      </c>
    </row>
    <row customHeight="1" ht="11.25">
      <c r="A101" s="480" t="s">
        <v>16</v>
      </c>
      <c r="B101" s="0" t="s">
        <v>3526</v>
      </c>
      <c r="C101" s="0" t="s">
        <v>3527</v>
      </c>
      <c r="D101" s="0" t="s">
        <v>3534</v>
      </c>
      <c r="E101" s="0" t="s">
        <v>3535</v>
      </c>
      <c r="F101" s="0" t="s">
        <v>3306</v>
      </c>
      <c r="G101" s="0" t="s">
        <v>3536</v>
      </c>
    </row>
    <row customHeight="1" ht="11.25">
      <c r="A102" s="480" t="s">
        <v>16</v>
      </c>
      <c r="B102" s="0" t="s">
        <v>3526</v>
      </c>
      <c r="C102" s="0" t="s">
        <v>3527</v>
      </c>
      <c r="D102" s="0" t="s">
        <v>3537</v>
      </c>
      <c r="E102" s="0" t="s">
        <v>3538</v>
      </c>
      <c r="F102" s="0" t="s">
        <v>3306</v>
      </c>
      <c r="G102" s="0" t="s">
        <v>3539</v>
      </c>
    </row>
    <row customHeight="1" ht="11.25">
      <c r="A103" s="480" t="s">
        <v>16</v>
      </c>
      <c r="B103" s="0" t="s">
        <v>3526</v>
      </c>
      <c r="C103" s="0" t="s">
        <v>3527</v>
      </c>
      <c r="D103" s="0" t="s">
        <v>3540</v>
      </c>
      <c r="E103" s="0" t="s">
        <v>3541</v>
      </c>
      <c r="F103" s="0" t="s">
        <v>3306</v>
      </c>
      <c r="G103" s="0" t="s">
        <v>3542</v>
      </c>
    </row>
    <row customHeight="1" ht="11.25">
      <c r="A104" s="480" t="s">
        <v>16</v>
      </c>
      <c r="B104" s="0" t="s">
        <v>3526</v>
      </c>
      <c r="C104" s="0" t="s">
        <v>3527</v>
      </c>
      <c r="D104" s="0" t="s">
        <v>3543</v>
      </c>
      <c r="E104" s="0" t="s">
        <v>3544</v>
      </c>
      <c r="F104" s="0" t="s">
        <v>3306</v>
      </c>
      <c r="G104" s="0" t="s">
        <v>3545</v>
      </c>
    </row>
    <row customHeight="1" ht="11.25">
      <c r="A105" s="480" t="s">
        <v>16</v>
      </c>
      <c r="B105" s="0" t="s">
        <v>3526</v>
      </c>
      <c r="C105" s="0" t="s">
        <v>3527</v>
      </c>
      <c r="D105" s="0" t="s">
        <v>3546</v>
      </c>
      <c r="E105" s="0" t="s">
        <v>3547</v>
      </c>
      <c r="F105" s="0" t="s">
        <v>3306</v>
      </c>
      <c r="G105" s="0" t="s">
        <v>3548</v>
      </c>
    </row>
    <row customHeight="1" ht="11.25">
      <c r="A106" s="480" t="s">
        <v>16</v>
      </c>
      <c r="B106" s="0" t="s">
        <v>3526</v>
      </c>
      <c r="C106" s="0" t="s">
        <v>3527</v>
      </c>
      <c r="D106" s="0" t="s">
        <v>3549</v>
      </c>
      <c r="E106" s="0" t="s">
        <v>3550</v>
      </c>
      <c r="F106" s="0" t="s">
        <v>3306</v>
      </c>
      <c r="G106" s="0" t="s">
        <v>3551</v>
      </c>
    </row>
    <row customHeight="1" ht="11.25">
      <c r="A107" s="480" t="s">
        <v>16</v>
      </c>
      <c r="B107" s="0" t="s">
        <v>3526</v>
      </c>
      <c r="C107" s="0" t="s">
        <v>3527</v>
      </c>
      <c r="D107" s="0" t="s">
        <v>3552</v>
      </c>
      <c r="E107" s="0" t="s">
        <v>3553</v>
      </c>
      <c r="F107" s="0" t="s">
        <v>3306</v>
      </c>
      <c r="G107" s="0" t="s">
        <v>3554</v>
      </c>
    </row>
    <row customHeight="1" ht="11.25">
      <c r="A108" s="480" t="s">
        <v>16</v>
      </c>
      <c r="B108" s="0" t="s">
        <v>3526</v>
      </c>
      <c r="C108" s="0" t="s">
        <v>3527</v>
      </c>
      <c r="D108" s="0" t="s">
        <v>3555</v>
      </c>
      <c r="E108" s="0" t="s">
        <v>3556</v>
      </c>
      <c r="F108" s="0" t="s">
        <v>3306</v>
      </c>
      <c r="G108" s="0" t="s">
        <v>3557</v>
      </c>
    </row>
    <row customHeight="1" ht="11.25">
      <c r="A109" s="480" t="s">
        <v>16</v>
      </c>
      <c r="B109" s="0" t="s">
        <v>3526</v>
      </c>
      <c r="C109" s="0" t="s">
        <v>3527</v>
      </c>
      <c r="D109" s="0" t="s">
        <v>3558</v>
      </c>
      <c r="E109" s="0" t="s">
        <v>3559</v>
      </c>
      <c r="F109" s="0" t="s">
        <v>3306</v>
      </c>
      <c r="G109" s="0" t="s">
        <v>3560</v>
      </c>
    </row>
    <row customHeight="1" ht="11.25">
      <c r="A110" s="480" t="s">
        <v>16</v>
      </c>
      <c r="B110" s="0" t="s">
        <v>3526</v>
      </c>
      <c r="C110" s="0" t="s">
        <v>3527</v>
      </c>
      <c r="D110" s="0" t="s">
        <v>3526</v>
      </c>
      <c r="E110" s="0" t="s">
        <v>3527</v>
      </c>
      <c r="F110" s="0" t="s">
        <v>3303</v>
      </c>
      <c r="G110" s="0" t="s">
        <v>3561</v>
      </c>
    </row>
    <row customHeight="1" ht="11.25">
      <c r="A111" s="480" t="s">
        <v>16</v>
      </c>
      <c r="B111" s="0" t="s">
        <v>3526</v>
      </c>
      <c r="C111" s="0" t="s">
        <v>3527</v>
      </c>
      <c r="D111" s="0" t="s">
        <v>3562</v>
      </c>
      <c r="E111" s="0" t="s">
        <v>3563</v>
      </c>
      <c r="F111" s="0" t="s">
        <v>3306</v>
      </c>
      <c r="G111" s="0" t="s">
        <v>3564</v>
      </c>
    </row>
    <row customHeight="1" ht="11.25">
      <c r="A112" s="480" t="s">
        <v>16</v>
      </c>
      <c r="B112" s="0" t="s">
        <v>3526</v>
      </c>
      <c r="C112" s="0" t="s">
        <v>3527</v>
      </c>
      <c r="D112" s="0" t="s">
        <v>3565</v>
      </c>
      <c r="E112" s="0" t="s">
        <v>3566</v>
      </c>
      <c r="F112" s="0" t="s">
        <v>3306</v>
      </c>
      <c r="G112" s="0" t="s">
        <v>3567</v>
      </c>
    </row>
    <row customHeight="1" ht="11.25">
      <c r="A113" s="480" t="s">
        <v>16</v>
      </c>
      <c r="B113" s="0" t="s">
        <v>3526</v>
      </c>
      <c r="C113" s="0" t="s">
        <v>3527</v>
      </c>
      <c r="D113" s="0" t="s">
        <v>3568</v>
      </c>
      <c r="E113" s="0" t="s">
        <v>3569</v>
      </c>
      <c r="F113" s="0" t="s">
        <v>3306</v>
      </c>
      <c r="G113" s="0" t="s">
        <v>3570</v>
      </c>
    </row>
    <row customHeight="1" ht="11.25">
      <c r="A114" s="480" t="s">
        <v>16</v>
      </c>
      <c r="B114" s="0" t="s">
        <v>124</v>
      </c>
      <c r="C114" s="0" t="s">
        <v>3571</v>
      </c>
      <c r="D114" s="0" t="s">
        <v>125</v>
      </c>
      <c r="E114" s="0" t="s">
        <v>126</v>
      </c>
      <c r="F114" s="0" t="s">
        <v>3309</v>
      </c>
      <c r="G114" s="0" t="s">
        <v>123</v>
      </c>
    </row>
    <row customHeight="1" ht="11.25">
      <c r="A115" s="480" t="s">
        <v>16</v>
      </c>
      <c r="B115" s="0" t="s">
        <v>124</v>
      </c>
      <c r="C115" s="0" t="s">
        <v>3571</v>
      </c>
      <c r="D115" s="0" t="s">
        <v>3549</v>
      </c>
      <c r="E115" s="0" t="s">
        <v>3572</v>
      </c>
      <c r="F115" s="0" t="s">
        <v>3306</v>
      </c>
      <c r="G115" s="0" t="s">
        <v>3573</v>
      </c>
    </row>
    <row customHeight="1" ht="11.25">
      <c r="A116" s="480" t="s">
        <v>16</v>
      </c>
      <c r="B116" s="0" t="s">
        <v>124</v>
      </c>
      <c r="C116" s="0" t="s">
        <v>3571</v>
      </c>
      <c r="D116" s="0" t="s">
        <v>3574</v>
      </c>
      <c r="E116" s="0" t="s">
        <v>3575</v>
      </c>
      <c r="F116" s="0" t="s">
        <v>3306</v>
      </c>
      <c r="G116" s="0" t="s">
        <v>3576</v>
      </c>
    </row>
    <row customHeight="1" ht="11.25">
      <c r="A117" s="480" t="s">
        <v>16</v>
      </c>
      <c r="B117" s="0" t="s">
        <v>124</v>
      </c>
      <c r="C117" s="0" t="s">
        <v>3571</v>
      </c>
      <c r="D117" s="0" t="s">
        <v>3577</v>
      </c>
      <c r="E117" s="0" t="s">
        <v>3578</v>
      </c>
      <c r="F117" s="0" t="s">
        <v>3306</v>
      </c>
      <c r="G117" s="0" t="s">
        <v>3579</v>
      </c>
    </row>
    <row customHeight="1" ht="11.25">
      <c r="A118" s="480" t="s">
        <v>16</v>
      </c>
      <c r="B118" s="0" t="s">
        <v>124</v>
      </c>
      <c r="C118" s="0" t="s">
        <v>3571</v>
      </c>
      <c r="D118" s="0" t="s">
        <v>3580</v>
      </c>
      <c r="E118" s="0" t="s">
        <v>3581</v>
      </c>
      <c r="F118" s="0" t="s">
        <v>3306</v>
      </c>
      <c r="G118" s="0" t="s">
        <v>3582</v>
      </c>
    </row>
    <row customHeight="1" ht="11.25">
      <c r="A119" s="480" t="s">
        <v>16</v>
      </c>
      <c r="B119" s="0" t="s">
        <v>124</v>
      </c>
      <c r="C119" s="0" t="s">
        <v>3571</v>
      </c>
      <c r="D119" s="0" t="s">
        <v>3583</v>
      </c>
      <c r="E119" s="0" t="s">
        <v>3584</v>
      </c>
      <c r="F119" s="0" t="s">
        <v>3333</v>
      </c>
      <c r="G119" s="0" t="s">
        <v>3585</v>
      </c>
    </row>
    <row customHeight="1" ht="11.25">
      <c r="A120" s="480" t="s">
        <v>16</v>
      </c>
      <c r="B120" s="0" t="s">
        <v>124</v>
      </c>
      <c r="C120" s="0" t="s">
        <v>3571</v>
      </c>
      <c r="D120" s="0" t="s">
        <v>3586</v>
      </c>
      <c r="E120" s="0" t="s">
        <v>3587</v>
      </c>
      <c r="F120" s="0" t="s">
        <v>3306</v>
      </c>
      <c r="G120" s="0" t="s">
        <v>3588</v>
      </c>
    </row>
    <row customHeight="1" ht="11.25">
      <c r="A121" s="480" t="s">
        <v>16</v>
      </c>
      <c r="B121" s="0" t="s">
        <v>124</v>
      </c>
      <c r="C121" s="0" t="s">
        <v>3571</v>
      </c>
      <c r="D121" s="0" t="s">
        <v>3589</v>
      </c>
      <c r="E121" s="0" t="s">
        <v>3590</v>
      </c>
      <c r="F121" s="0" t="s">
        <v>3306</v>
      </c>
      <c r="G121" s="0" t="s">
        <v>3591</v>
      </c>
    </row>
    <row customHeight="1" ht="11.25">
      <c r="A122" s="480" t="s">
        <v>16</v>
      </c>
      <c r="B122" s="0" t="s">
        <v>124</v>
      </c>
      <c r="C122" s="0" t="s">
        <v>3571</v>
      </c>
      <c r="D122" s="0" t="s">
        <v>124</v>
      </c>
      <c r="E122" s="0" t="s">
        <v>3571</v>
      </c>
      <c r="F122" s="0" t="s">
        <v>3303</v>
      </c>
      <c r="G122" s="0" t="s">
        <v>3592</v>
      </c>
    </row>
    <row customHeight="1" ht="11.25">
      <c r="A123" s="480" t="s">
        <v>16</v>
      </c>
      <c r="B123" s="0" t="s">
        <v>124</v>
      </c>
      <c r="C123" s="0" t="s">
        <v>3571</v>
      </c>
      <c r="D123" s="0" t="s">
        <v>3593</v>
      </c>
      <c r="E123" s="0" t="s">
        <v>3594</v>
      </c>
      <c r="F123" s="0" t="s">
        <v>3306</v>
      </c>
      <c r="G123" s="0" t="s">
        <v>3595</v>
      </c>
    </row>
    <row customHeight="1" ht="11.25">
      <c r="A124" s="480" t="s">
        <v>16</v>
      </c>
      <c r="B124" s="0" t="s">
        <v>124</v>
      </c>
      <c r="C124" s="0" t="s">
        <v>3571</v>
      </c>
      <c r="D124" s="0" t="s">
        <v>3596</v>
      </c>
      <c r="E124" s="0" t="s">
        <v>3597</v>
      </c>
      <c r="F124" s="0" t="s">
        <v>3306</v>
      </c>
      <c r="G124" s="0" t="s">
        <v>3598</v>
      </c>
    </row>
    <row customHeight="1" ht="11.25">
      <c r="A125" s="480" t="s">
        <v>16</v>
      </c>
      <c r="B125" s="0" t="s">
        <v>124</v>
      </c>
      <c r="C125" s="0" t="s">
        <v>3571</v>
      </c>
      <c r="D125" s="0" t="s">
        <v>3599</v>
      </c>
      <c r="E125" s="0" t="s">
        <v>3600</v>
      </c>
      <c r="F125" s="0" t="s">
        <v>3306</v>
      </c>
      <c r="G125" s="0" t="s">
        <v>3601</v>
      </c>
    </row>
    <row customHeight="1" ht="11.25">
      <c r="A126" s="480" t="s">
        <v>16</v>
      </c>
      <c r="B126" s="0" t="s">
        <v>124</v>
      </c>
      <c r="C126" s="0" t="s">
        <v>3571</v>
      </c>
      <c r="D126" s="0" t="s">
        <v>3602</v>
      </c>
      <c r="E126" s="0" t="s">
        <v>3603</v>
      </c>
      <c r="F126" s="0" t="s">
        <v>3322</v>
      </c>
      <c r="G126" s="0" t="s">
        <v>3604</v>
      </c>
    </row>
    <row customHeight="1" ht="11.25">
      <c r="A127" s="480" t="s">
        <v>16</v>
      </c>
      <c r="B127" s="0" t="s">
        <v>124</v>
      </c>
      <c r="C127" s="0" t="s">
        <v>3571</v>
      </c>
      <c r="D127" s="0" t="s">
        <v>3605</v>
      </c>
      <c r="E127" s="0" t="s">
        <v>3606</v>
      </c>
      <c r="F127" s="0" t="s">
        <v>3322</v>
      </c>
      <c r="G127" s="0" t="s">
        <v>3607</v>
      </c>
    </row>
    <row customHeight="1" ht="11.25">
      <c r="A128" s="480" t="s">
        <v>16</v>
      </c>
      <c r="B128" s="0" t="s">
        <v>124</v>
      </c>
      <c r="C128" s="0" t="s">
        <v>3571</v>
      </c>
      <c r="D128" s="0" t="s">
        <v>3608</v>
      </c>
      <c r="E128" s="0" t="s">
        <v>3609</v>
      </c>
      <c r="F128" s="0" t="s">
        <v>3306</v>
      </c>
      <c r="G128" s="0" t="s">
        <v>3610</v>
      </c>
    </row>
    <row customHeight="1" ht="11.25">
      <c r="A129" s="480" t="s">
        <v>16</v>
      </c>
      <c r="B129" s="0" t="s">
        <v>124</v>
      </c>
      <c r="C129" s="0" t="s">
        <v>3571</v>
      </c>
      <c r="D129" s="0" t="s">
        <v>3611</v>
      </c>
      <c r="E129" s="0" t="s">
        <v>3612</v>
      </c>
      <c r="F129" s="0" t="s">
        <v>3306</v>
      </c>
      <c r="G129" s="0" t="s">
        <v>3613</v>
      </c>
    </row>
    <row customHeight="1" ht="11.25">
      <c r="A130" s="480" t="s">
        <v>16</v>
      </c>
      <c r="B130" s="0" t="s">
        <v>3614</v>
      </c>
      <c r="C130" s="0" t="s">
        <v>3615</v>
      </c>
      <c r="D130" s="0" t="s">
        <v>3614</v>
      </c>
      <c r="E130" s="0" t="s">
        <v>3615</v>
      </c>
      <c r="F130" s="0" t="s">
        <v>3616</v>
      </c>
      <c r="G130" s="0" t="s">
        <v>3617</v>
      </c>
    </row>
    <row customHeight="1" ht="11.25">
      <c r="A131" s="480" t="s">
        <v>16</v>
      </c>
      <c r="B131" s="0" t="s">
        <v>3618</v>
      </c>
      <c r="C131" s="0" t="s">
        <v>3619</v>
      </c>
      <c r="D131" s="0" t="s">
        <v>3620</v>
      </c>
      <c r="E131" s="0" t="s">
        <v>3621</v>
      </c>
      <c r="F131" s="0" t="s">
        <v>3306</v>
      </c>
      <c r="G131" s="0" t="s">
        <v>3622</v>
      </c>
    </row>
    <row customHeight="1" ht="11.25">
      <c r="A132" s="480" t="s">
        <v>16</v>
      </c>
      <c r="B132" s="0" t="s">
        <v>3618</v>
      </c>
      <c r="C132" s="0" t="s">
        <v>3619</v>
      </c>
      <c r="D132" s="0" t="s">
        <v>3623</v>
      </c>
      <c r="E132" s="0" t="s">
        <v>3624</v>
      </c>
      <c r="F132" s="0" t="s">
        <v>3306</v>
      </c>
      <c r="G132" s="0" t="s">
        <v>3625</v>
      </c>
    </row>
    <row customHeight="1" ht="11.25">
      <c r="A133" s="480" t="s">
        <v>16</v>
      </c>
      <c r="B133" s="0" t="s">
        <v>3618</v>
      </c>
      <c r="C133" s="0" t="s">
        <v>3619</v>
      </c>
      <c r="D133" s="0" t="s">
        <v>3626</v>
      </c>
      <c r="E133" s="0" t="s">
        <v>3627</v>
      </c>
      <c r="F133" s="0" t="s">
        <v>3306</v>
      </c>
      <c r="G133" s="0" t="s">
        <v>3628</v>
      </c>
    </row>
    <row customHeight="1" ht="11.25">
      <c r="A134" s="480" t="s">
        <v>16</v>
      </c>
      <c r="B134" s="0" t="s">
        <v>3618</v>
      </c>
      <c r="C134" s="0" t="s">
        <v>3619</v>
      </c>
      <c r="D134" s="0" t="s">
        <v>3629</v>
      </c>
      <c r="E134" s="0" t="s">
        <v>3630</v>
      </c>
      <c r="F134" s="0" t="s">
        <v>3306</v>
      </c>
      <c r="G134" s="0" t="s">
        <v>3631</v>
      </c>
    </row>
    <row customHeight="1" ht="11.25">
      <c r="A135" s="480" t="s">
        <v>16</v>
      </c>
      <c r="B135" s="0" t="s">
        <v>3618</v>
      </c>
      <c r="C135" s="0" t="s">
        <v>3619</v>
      </c>
      <c r="D135" s="0" t="s">
        <v>3632</v>
      </c>
      <c r="E135" s="0" t="s">
        <v>3633</v>
      </c>
      <c r="F135" s="0" t="s">
        <v>3306</v>
      </c>
      <c r="G135" s="0" t="s">
        <v>3634</v>
      </c>
    </row>
    <row customHeight="1" ht="11.25">
      <c r="A136" s="480" t="s">
        <v>16</v>
      </c>
      <c r="B136" s="0" t="s">
        <v>3618</v>
      </c>
      <c r="C136" s="0" t="s">
        <v>3619</v>
      </c>
      <c r="D136" s="0" t="s">
        <v>3635</v>
      </c>
      <c r="E136" s="0" t="s">
        <v>3636</v>
      </c>
      <c r="F136" s="0" t="s">
        <v>3306</v>
      </c>
      <c r="G136" s="0" t="s">
        <v>3637</v>
      </c>
    </row>
    <row customHeight="1" ht="11.25">
      <c r="A137" s="480" t="s">
        <v>16</v>
      </c>
      <c r="B137" s="0" t="s">
        <v>3618</v>
      </c>
      <c r="C137" s="0" t="s">
        <v>3619</v>
      </c>
      <c r="D137" s="0" t="s">
        <v>3618</v>
      </c>
      <c r="E137" s="0" t="s">
        <v>3619</v>
      </c>
      <c r="F137" s="0" t="s">
        <v>3303</v>
      </c>
      <c r="G137" s="0" t="s">
        <v>3638</v>
      </c>
    </row>
    <row customHeight="1" ht="11.25">
      <c r="A138" s="480" t="s">
        <v>16</v>
      </c>
      <c r="B138" s="0" t="s">
        <v>3618</v>
      </c>
      <c r="C138" s="0" t="s">
        <v>3619</v>
      </c>
      <c r="D138" s="0" t="s">
        <v>3639</v>
      </c>
      <c r="E138" s="0" t="s">
        <v>3640</v>
      </c>
      <c r="F138" s="0" t="s">
        <v>3322</v>
      </c>
      <c r="G138" s="0" t="s">
        <v>3641</v>
      </c>
    </row>
    <row customHeight="1" ht="11.25">
      <c r="A139" s="480" t="s">
        <v>16</v>
      </c>
      <c r="B139" s="0" t="s">
        <v>3618</v>
      </c>
      <c r="C139" s="0" t="s">
        <v>3619</v>
      </c>
      <c r="D139" s="0" t="s">
        <v>3642</v>
      </c>
      <c r="E139" s="0" t="s">
        <v>3643</v>
      </c>
      <c r="F139" s="0" t="s">
        <v>3306</v>
      </c>
      <c r="G139" s="0" t="s">
        <v>3644</v>
      </c>
    </row>
    <row customHeight="1" ht="11.25">
      <c r="A140" s="480" t="s">
        <v>16</v>
      </c>
      <c r="B140" s="0" t="s">
        <v>118</v>
      </c>
      <c r="C140" s="0" t="s">
        <v>3645</v>
      </c>
      <c r="D140" s="0" t="s">
        <v>3646</v>
      </c>
      <c r="E140" s="0" t="s">
        <v>3647</v>
      </c>
      <c r="F140" s="0" t="s">
        <v>3306</v>
      </c>
      <c r="G140" s="0" t="s">
        <v>3648</v>
      </c>
    </row>
    <row customHeight="1" ht="11.25">
      <c r="A141" s="480" t="s">
        <v>16</v>
      </c>
      <c r="B141" s="0" t="s">
        <v>118</v>
      </c>
      <c r="C141" s="0" t="s">
        <v>3645</v>
      </c>
      <c r="D141" s="0" t="s">
        <v>134</v>
      </c>
      <c r="E141" s="0" t="s">
        <v>135</v>
      </c>
      <c r="F141" s="0" t="s">
        <v>3309</v>
      </c>
      <c r="G141" s="0" t="s">
        <v>133</v>
      </c>
    </row>
    <row customHeight="1" ht="11.25">
      <c r="A142" s="480" t="s">
        <v>16</v>
      </c>
      <c r="B142" s="0" t="s">
        <v>118</v>
      </c>
      <c r="C142" s="0" t="s">
        <v>3645</v>
      </c>
      <c r="D142" s="0" t="s">
        <v>3649</v>
      </c>
      <c r="E142" s="0" t="s">
        <v>3650</v>
      </c>
      <c r="F142" s="0" t="s">
        <v>3333</v>
      </c>
      <c r="G142" s="0" t="s">
        <v>3651</v>
      </c>
    </row>
    <row customHeight="1" ht="11.25">
      <c r="A143" s="480" t="s">
        <v>16</v>
      </c>
      <c r="B143" s="0" t="s">
        <v>118</v>
      </c>
      <c r="C143" s="0" t="s">
        <v>3645</v>
      </c>
      <c r="D143" s="0" t="s">
        <v>3652</v>
      </c>
      <c r="E143" s="0" t="s">
        <v>3653</v>
      </c>
      <c r="F143" s="0" t="s">
        <v>3322</v>
      </c>
      <c r="G143" s="0" t="s">
        <v>3654</v>
      </c>
    </row>
    <row customHeight="1" ht="11.25">
      <c r="A144" s="480" t="s">
        <v>16</v>
      </c>
      <c r="B144" s="0" t="s">
        <v>118</v>
      </c>
      <c r="C144" s="0" t="s">
        <v>3645</v>
      </c>
      <c r="D144" s="0" t="s">
        <v>3655</v>
      </c>
      <c r="E144" s="0" t="s">
        <v>3656</v>
      </c>
      <c r="F144" s="0" t="s">
        <v>3322</v>
      </c>
      <c r="G144" s="0" t="s">
        <v>3657</v>
      </c>
    </row>
    <row customHeight="1" ht="11.25">
      <c r="A145" s="480" t="s">
        <v>16</v>
      </c>
      <c r="B145" s="0" t="s">
        <v>118</v>
      </c>
      <c r="C145" s="0" t="s">
        <v>3645</v>
      </c>
      <c r="D145" s="0" t="s">
        <v>119</v>
      </c>
      <c r="E145" s="0" t="s">
        <v>120</v>
      </c>
      <c r="F145" s="0" t="s">
        <v>3322</v>
      </c>
      <c r="G145" s="0" t="s">
        <v>117</v>
      </c>
    </row>
    <row customHeight="1" ht="11.25">
      <c r="A146" s="480" t="s">
        <v>16</v>
      </c>
      <c r="B146" s="0" t="s">
        <v>118</v>
      </c>
      <c r="C146" s="0" t="s">
        <v>3645</v>
      </c>
      <c r="D146" s="0" t="s">
        <v>118</v>
      </c>
      <c r="E146" s="0" t="s">
        <v>3645</v>
      </c>
      <c r="F146" s="0" t="s">
        <v>3303</v>
      </c>
      <c r="G146" s="0" t="s">
        <v>3658</v>
      </c>
    </row>
    <row customHeight="1" ht="11.25">
      <c r="A147" s="480" t="s">
        <v>16</v>
      </c>
      <c r="B147" s="0" t="s">
        <v>3659</v>
      </c>
      <c r="C147" s="0" t="s">
        <v>3660</v>
      </c>
      <c r="D147" s="0" t="s">
        <v>3661</v>
      </c>
      <c r="E147" s="0" t="s">
        <v>3662</v>
      </c>
      <c r="F147" s="0" t="s">
        <v>3306</v>
      </c>
      <c r="G147" s="0" t="s">
        <v>3663</v>
      </c>
    </row>
    <row customHeight="1" ht="11.25">
      <c r="A148" s="480" t="s">
        <v>16</v>
      </c>
      <c r="B148" s="0" t="s">
        <v>3659</v>
      </c>
      <c r="C148" s="0" t="s">
        <v>3660</v>
      </c>
      <c r="D148" s="0" t="s">
        <v>3664</v>
      </c>
      <c r="E148" s="0" t="s">
        <v>3665</v>
      </c>
      <c r="F148" s="0" t="s">
        <v>3306</v>
      </c>
      <c r="G148" s="0" t="s">
        <v>3666</v>
      </c>
    </row>
    <row customHeight="1" ht="11.25">
      <c r="A149" s="480" t="s">
        <v>16</v>
      </c>
      <c r="B149" s="0" t="s">
        <v>3659</v>
      </c>
      <c r="C149" s="0" t="s">
        <v>3660</v>
      </c>
      <c r="D149" s="0" t="s">
        <v>3667</v>
      </c>
      <c r="E149" s="0" t="s">
        <v>3668</v>
      </c>
      <c r="F149" s="0" t="s">
        <v>3306</v>
      </c>
      <c r="G149" s="0" t="s">
        <v>3669</v>
      </c>
    </row>
    <row customHeight="1" ht="11.25">
      <c r="A150" s="480" t="s">
        <v>16</v>
      </c>
      <c r="B150" s="0" t="s">
        <v>3659</v>
      </c>
      <c r="C150" s="0" t="s">
        <v>3660</v>
      </c>
      <c r="D150" s="0" t="s">
        <v>3670</v>
      </c>
      <c r="E150" s="0" t="s">
        <v>3671</v>
      </c>
      <c r="F150" s="0" t="s">
        <v>3306</v>
      </c>
      <c r="G150" s="0" t="s">
        <v>3672</v>
      </c>
    </row>
    <row customHeight="1" ht="11.25">
      <c r="A151" s="480" t="s">
        <v>16</v>
      </c>
      <c r="B151" s="0" t="s">
        <v>3659</v>
      </c>
      <c r="C151" s="0" t="s">
        <v>3660</v>
      </c>
      <c r="D151" s="0" t="s">
        <v>3673</v>
      </c>
      <c r="E151" s="0" t="s">
        <v>3674</v>
      </c>
      <c r="F151" s="0" t="s">
        <v>3306</v>
      </c>
      <c r="G151" s="0" t="s">
        <v>3675</v>
      </c>
    </row>
    <row customHeight="1" ht="11.25">
      <c r="A152" s="480" t="s">
        <v>16</v>
      </c>
      <c r="B152" s="0" t="s">
        <v>3659</v>
      </c>
      <c r="C152" s="0" t="s">
        <v>3660</v>
      </c>
      <c r="D152" s="0" t="s">
        <v>3676</v>
      </c>
      <c r="E152" s="0" t="s">
        <v>3677</v>
      </c>
      <c r="F152" s="0" t="s">
        <v>3306</v>
      </c>
      <c r="G152" s="0" t="s">
        <v>3678</v>
      </c>
    </row>
    <row customHeight="1" ht="11.25">
      <c r="A153" s="480" t="s">
        <v>16</v>
      </c>
      <c r="B153" s="0" t="s">
        <v>3659</v>
      </c>
      <c r="C153" s="0" t="s">
        <v>3660</v>
      </c>
      <c r="D153" s="0" t="s">
        <v>3679</v>
      </c>
      <c r="E153" s="0" t="s">
        <v>3680</v>
      </c>
      <c r="F153" s="0" t="s">
        <v>3306</v>
      </c>
      <c r="G153" s="0" t="s">
        <v>3681</v>
      </c>
    </row>
    <row customHeight="1" ht="11.25">
      <c r="A154" s="480" t="s">
        <v>16</v>
      </c>
      <c r="B154" s="0" t="s">
        <v>3659</v>
      </c>
      <c r="C154" s="0" t="s">
        <v>3660</v>
      </c>
      <c r="D154" s="0" t="s">
        <v>3682</v>
      </c>
      <c r="E154" s="0" t="s">
        <v>3683</v>
      </c>
      <c r="F154" s="0" t="s">
        <v>3322</v>
      </c>
      <c r="G154" s="0" t="s">
        <v>3684</v>
      </c>
    </row>
    <row customHeight="1" ht="11.25">
      <c r="A155" s="480" t="s">
        <v>16</v>
      </c>
      <c r="B155" s="0" t="s">
        <v>3659</v>
      </c>
      <c r="C155" s="0" t="s">
        <v>3660</v>
      </c>
      <c r="D155" s="0" t="s">
        <v>3659</v>
      </c>
      <c r="E155" s="0" t="s">
        <v>3660</v>
      </c>
      <c r="F155" s="0" t="s">
        <v>3303</v>
      </c>
      <c r="G155" s="0" t="s">
        <v>3685</v>
      </c>
    </row>
    <row customHeight="1" ht="11.25">
      <c r="A156" s="480" t="s">
        <v>16</v>
      </c>
      <c r="B156" s="0" t="s">
        <v>3659</v>
      </c>
      <c r="C156" s="0" t="s">
        <v>3660</v>
      </c>
      <c r="D156" s="0" t="s">
        <v>3686</v>
      </c>
      <c r="E156" s="0" t="s">
        <v>3687</v>
      </c>
      <c r="F156" s="0" t="s">
        <v>3306</v>
      </c>
      <c r="G156" s="0" t="s">
        <v>3688</v>
      </c>
    </row>
    <row customHeight="1" ht="11.25">
      <c r="A157" s="480" t="s">
        <v>16</v>
      </c>
      <c r="B157" s="0" t="s">
        <v>3659</v>
      </c>
      <c r="C157" s="0" t="s">
        <v>3660</v>
      </c>
      <c r="D157" s="0" t="s">
        <v>3689</v>
      </c>
      <c r="E157" s="0" t="s">
        <v>3690</v>
      </c>
      <c r="F157" s="0" t="s">
        <v>3306</v>
      </c>
      <c r="G157" s="0" t="s">
        <v>3691</v>
      </c>
    </row>
    <row customHeight="1" ht="11.25">
      <c r="A158" s="480" t="s">
        <v>16</v>
      </c>
      <c r="B158" s="0" t="s">
        <v>3659</v>
      </c>
      <c r="C158" s="0" t="s">
        <v>3660</v>
      </c>
      <c r="D158" s="0" t="s">
        <v>3692</v>
      </c>
      <c r="E158" s="0" t="s">
        <v>3693</v>
      </c>
      <c r="F158" s="0" t="s">
        <v>3306</v>
      </c>
      <c r="G158" s="0" t="s">
        <v>3694</v>
      </c>
    </row>
    <row customHeight="1" ht="11.25">
      <c r="A159" s="480" t="s">
        <v>16</v>
      </c>
      <c r="B159" s="0" t="s">
        <v>3695</v>
      </c>
      <c r="C159" s="0" t="s">
        <v>3696</v>
      </c>
      <c r="D159" s="0" t="s">
        <v>3697</v>
      </c>
      <c r="E159" s="0" t="s">
        <v>3698</v>
      </c>
      <c r="F159" s="0" t="s">
        <v>3306</v>
      </c>
      <c r="G159" s="0" t="s">
        <v>3699</v>
      </c>
    </row>
    <row customHeight="1" ht="11.25">
      <c r="A160" s="480" t="s">
        <v>16</v>
      </c>
      <c r="B160" s="0" t="s">
        <v>3695</v>
      </c>
      <c r="C160" s="0" t="s">
        <v>3696</v>
      </c>
      <c r="D160" s="0" t="s">
        <v>3700</v>
      </c>
      <c r="E160" s="0" t="s">
        <v>3701</v>
      </c>
      <c r="F160" s="0" t="s">
        <v>3333</v>
      </c>
      <c r="G160" s="0" t="s">
        <v>3702</v>
      </c>
    </row>
    <row customHeight="1" ht="11.25">
      <c r="A161" s="480" t="s">
        <v>16</v>
      </c>
      <c r="B161" s="0" t="s">
        <v>3695</v>
      </c>
      <c r="C161" s="0" t="s">
        <v>3696</v>
      </c>
      <c r="D161" s="0" t="s">
        <v>3703</v>
      </c>
      <c r="E161" s="0" t="s">
        <v>3704</v>
      </c>
      <c r="F161" s="0" t="s">
        <v>3306</v>
      </c>
      <c r="G161" s="0" t="s">
        <v>3705</v>
      </c>
    </row>
    <row customHeight="1" ht="11.25">
      <c r="A162" s="480" t="s">
        <v>16</v>
      </c>
      <c r="B162" s="0" t="s">
        <v>3695</v>
      </c>
      <c r="C162" s="0" t="s">
        <v>3696</v>
      </c>
      <c r="D162" s="0" t="s">
        <v>3695</v>
      </c>
      <c r="E162" s="0" t="s">
        <v>3696</v>
      </c>
      <c r="F162" s="0" t="s">
        <v>3303</v>
      </c>
      <c r="G162" s="0" t="s">
        <v>3706</v>
      </c>
    </row>
    <row customHeight="1" ht="11.25">
      <c r="A163" s="480" t="s">
        <v>16</v>
      </c>
      <c r="B163" s="0" t="s">
        <v>3695</v>
      </c>
      <c r="C163" s="0" t="s">
        <v>3696</v>
      </c>
      <c r="D163" s="0" t="s">
        <v>3707</v>
      </c>
      <c r="E163" s="0" t="s">
        <v>3708</v>
      </c>
      <c r="F163" s="0" t="s">
        <v>3306</v>
      </c>
      <c r="G163" s="0" t="s">
        <v>3709</v>
      </c>
    </row>
    <row customHeight="1" ht="11.25">
      <c r="A164" s="480" t="s">
        <v>16</v>
      </c>
      <c r="B164" s="0" t="s">
        <v>3695</v>
      </c>
      <c r="C164" s="0" t="s">
        <v>3696</v>
      </c>
      <c r="D164" s="0" t="s">
        <v>3710</v>
      </c>
      <c r="E164" s="0" t="s">
        <v>3711</v>
      </c>
      <c r="F164" s="0" t="s">
        <v>3306</v>
      </c>
      <c r="G164" s="0" t="s">
        <v>3712</v>
      </c>
    </row>
    <row customHeight="1" ht="11.25">
      <c r="A165" s="480" t="s">
        <v>16</v>
      </c>
      <c r="B165" s="0" t="s">
        <v>3695</v>
      </c>
      <c r="C165" s="0" t="s">
        <v>3696</v>
      </c>
      <c r="D165" s="0" t="s">
        <v>3713</v>
      </c>
      <c r="E165" s="0" t="s">
        <v>3714</v>
      </c>
      <c r="F165" s="0" t="s">
        <v>3306</v>
      </c>
      <c r="G165" s="0" t="s">
        <v>3715</v>
      </c>
    </row>
    <row customHeight="1" ht="11.25">
      <c r="A166" s="480" t="s">
        <v>16</v>
      </c>
      <c r="B166" s="0" t="s">
        <v>3716</v>
      </c>
      <c r="C166" s="0" t="s">
        <v>3717</v>
      </c>
      <c r="D166" s="0" t="s">
        <v>3718</v>
      </c>
      <c r="E166" s="0" t="s">
        <v>3719</v>
      </c>
      <c r="F166" s="0" t="s">
        <v>3306</v>
      </c>
      <c r="G166" s="0" t="s">
        <v>3720</v>
      </c>
    </row>
    <row customHeight="1" ht="11.25">
      <c r="A167" s="480" t="s">
        <v>16</v>
      </c>
      <c r="B167" s="0" t="s">
        <v>3716</v>
      </c>
      <c r="C167" s="0" t="s">
        <v>3717</v>
      </c>
      <c r="D167" s="0" t="s">
        <v>3721</v>
      </c>
      <c r="E167" s="0" t="s">
        <v>3722</v>
      </c>
      <c r="F167" s="0" t="s">
        <v>3306</v>
      </c>
      <c r="G167" s="0" t="s">
        <v>3723</v>
      </c>
    </row>
    <row customHeight="1" ht="11.25">
      <c r="A168" s="480" t="s">
        <v>16</v>
      </c>
      <c r="B168" s="0" t="s">
        <v>3716</v>
      </c>
      <c r="C168" s="0" t="s">
        <v>3717</v>
      </c>
      <c r="D168" s="0" t="s">
        <v>3724</v>
      </c>
      <c r="E168" s="0" t="s">
        <v>3725</v>
      </c>
      <c r="F168" s="0" t="s">
        <v>3306</v>
      </c>
      <c r="G168" s="0" t="s">
        <v>3726</v>
      </c>
    </row>
    <row customHeight="1" ht="11.25">
      <c r="A169" s="480" t="s">
        <v>16</v>
      </c>
      <c r="B169" s="0" t="s">
        <v>3716</v>
      </c>
      <c r="C169" s="0" t="s">
        <v>3717</v>
      </c>
      <c r="D169" s="0" t="s">
        <v>3727</v>
      </c>
      <c r="E169" s="0" t="s">
        <v>3728</v>
      </c>
      <c r="F169" s="0" t="s">
        <v>3306</v>
      </c>
      <c r="G169" s="0" t="s">
        <v>3729</v>
      </c>
    </row>
    <row customHeight="1" ht="11.25">
      <c r="A170" s="480" t="s">
        <v>16</v>
      </c>
      <c r="B170" s="0" t="s">
        <v>3716</v>
      </c>
      <c r="C170" s="0" t="s">
        <v>3717</v>
      </c>
      <c r="D170" s="0" t="s">
        <v>3730</v>
      </c>
      <c r="E170" s="0" t="s">
        <v>3731</v>
      </c>
      <c r="F170" s="0" t="s">
        <v>3306</v>
      </c>
      <c r="G170" s="0" t="s">
        <v>3732</v>
      </c>
    </row>
    <row customHeight="1" ht="11.25">
      <c r="A171" s="480" t="s">
        <v>16</v>
      </c>
      <c r="B171" s="0" t="s">
        <v>3716</v>
      </c>
      <c r="C171" s="0" t="s">
        <v>3717</v>
      </c>
      <c r="D171" s="0" t="s">
        <v>3733</v>
      </c>
      <c r="E171" s="0" t="s">
        <v>3734</v>
      </c>
      <c r="F171" s="0" t="s">
        <v>3306</v>
      </c>
      <c r="G171" s="0" t="s">
        <v>3735</v>
      </c>
    </row>
    <row customHeight="1" ht="11.25">
      <c r="A172" s="480" t="s">
        <v>16</v>
      </c>
      <c r="B172" s="0" t="s">
        <v>3716</v>
      </c>
      <c r="C172" s="0" t="s">
        <v>3717</v>
      </c>
      <c r="D172" s="0" t="s">
        <v>3736</v>
      </c>
      <c r="E172" s="0" t="s">
        <v>3737</v>
      </c>
      <c r="F172" s="0" t="s">
        <v>3306</v>
      </c>
      <c r="G172" s="0" t="s">
        <v>3738</v>
      </c>
    </row>
    <row customHeight="1" ht="11.25">
      <c r="A173" s="480" t="s">
        <v>16</v>
      </c>
      <c r="B173" s="0" t="s">
        <v>3716</v>
      </c>
      <c r="C173" s="0" t="s">
        <v>3717</v>
      </c>
      <c r="D173" s="0" t="s">
        <v>3739</v>
      </c>
      <c r="E173" s="0" t="s">
        <v>3740</v>
      </c>
      <c r="F173" s="0" t="s">
        <v>3306</v>
      </c>
      <c r="G173" s="0" t="s">
        <v>3741</v>
      </c>
    </row>
    <row customHeight="1" ht="11.25">
      <c r="A174" s="480" t="s">
        <v>16</v>
      </c>
      <c r="B174" s="0" t="s">
        <v>3716</v>
      </c>
      <c r="C174" s="0" t="s">
        <v>3717</v>
      </c>
      <c r="D174" s="0" t="s">
        <v>3742</v>
      </c>
      <c r="E174" s="0" t="s">
        <v>3743</v>
      </c>
      <c r="F174" s="0" t="s">
        <v>3306</v>
      </c>
      <c r="G174" s="0" t="s">
        <v>3744</v>
      </c>
    </row>
    <row customHeight="1" ht="11.25">
      <c r="A175" s="480" t="s">
        <v>16</v>
      </c>
      <c r="B175" s="0" t="s">
        <v>3716</v>
      </c>
      <c r="C175" s="0" t="s">
        <v>3717</v>
      </c>
      <c r="D175" s="0" t="s">
        <v>3745</v>
      </c>
      <c r="E175" s="0" t="s">
        <v>3746</v>
      </c>
      <c r="F175" s="0" t="s">
        <v>3306</v>
      </c>
      <c r="G175" s="0" t="s">
        <v>3747</v>
      </c>
    </row>
    <row customHeight="1" ht="11.25">
      <c r="A176" s="480" t="s">
        <v>16</v>
      </c>
      <c r="B176" s="0" t="s">
        <v>3716</v>
      </c>
      <c r="C176" s="0" t="s">
        <v>3717</v>
      </c>
      <c r="D176" s="0" t="s">
        <v>3748</v>
      </c>
      <c r="E176" s="0" t="s">
        <v>3749</v>
      </c>
      <c r="F176" s="0" t="s">
        <v>3306</v>
      </c>
      <c r="G176" s="0" t="s">
        <v>3750</v>
      </c>
    </row>
    <row customHeight="1" ht="11.25">
      <c r="A177" s="480" t="s">
        <v>16</v>
      </c>
      <c r="B177" s="0" t="s">
        <v>3716</v>
      </c>
      <c r="C177" s="0" t="s">
        <v>3717</v>
      </c>
      <c r="D177" s="0" t="s">
        <v>3751</v>
      </c>
      <c r="E177" s="0" t="s">
        <v>3752</v>
      </c>
      <c r="F177" s="0" t="s">
        <v>3306</v>
      </c>
      <c r="G177" s="0" t="s">
        <v>3753</v>
      </c>
    </row>
    <row customHeight="1" ht="11.25">
      <c r="A178" s="480" t="s">
        <v>16</v>
      </c>
      <c r="B178" s="0" t="s">
        <v>3716</v>
      </c>
      <c r="C178" s="0" t="s">
        <v>3717</v>
      </c>
      <c r="D178" s="0" t="s">
        <v>3754</v>
      </c>
      <c r="E178" s="0" t="s">
        <v>3755</v>
      </c>
      <c r="F178" s="0" t="s">
        <v>3306</v>
      </c>
      <c r="G178" s="0" t="s">
        <v>3756</v>
      </c>
    </row>
    <row customHeight="1" ht="11.25">
      <c r="A179" s="480" t="s">
        <v>16</v>
      </c>
      <c r="B179" s="0" t="s">
        <v>3716</v>
      </c>
      <c r="C179" s="0" t="s">
        <v>3717</v>
      </c>
      <c r="D179" s="0" t="s">
        <v>3757</v>
      </c>
      <c r="E179" s="0" t="s">
        <v>3758</v>
      </c>
      <c r="F179" s="0" t="s">
        <v>3306</v>
      </c>
      <c r="G179" s="0" t="s">
        <v>3759</v>
      </c>
    </row>
    <row customHeight="1" ht="11.25">
      <c r="A180" s="480" t="s">
        <v>16</v>
      </c>
      <c r="B180" s="0" t="s">
        <v>3716</v>
      </c>
      <c r="C180" s="0" t="s">
        <v>3717</v>
      </c>
      <c r="D180" s="0" t="s">
        <v>3760</v>
      </c>
      <c r="E180" s="0" t="s">
        <v>3761</v>
      </c>
      <c r="F180" s="0" t="s">
        <v>3306</v>
      </c>
      <c r="G180" s="0" t="s">
        <v>3762</v>
      </c>
    </row>
    <row customHeight="1" ht="11.25">
      <c r="A181" s="480" t="s">
        <v>16</v>
      </c>
      <c r="B181" s="0" t="s">
        <v>3716</v>
      </c>
      <c r="C181" s="0" t="s">
        <v>3717</v>
      </c>
      <c r="D181" s="0" t="s">
        <v>3763</v>
      </c>
      <c r="E181" s="0" t="s">
        <v>3764</v>
      </c>
      <c r="F181" s="0" t="s">
        <v>3306</v>
      </c>
      <c r="G181" s="0" t="s">
        <v>3765</v>
      </c>
    </row>
    <row customHeight="1" ht="11.25">
      <c r="A182" s="480" t="s">
        <v>16</v>
      </c>
      <c r="B182" s="0" t="s">
        <v>3716</v>
      </c>
      <c r="C182" s="0" t="s">
        <v>3717</v>
      </c>
      <c r="D182" s="0" t="s">
        <v>3716</v>
      </c>
      <c r="E182" s="0" t="s">
        <v>3717</v>
      </c>
      <c r="F182" s="0" t="s">
        <v>3303</v>
      </c>
      <c r="G182" s="0" t="s">
        <v>3766</v>
      </c>
    </row>
    <row customHeight="1" ht="11.25">
      <c r="A183" s="480" t="s">
        <v>16</v>
      </c>
      <c r="B183" s="0" t="s">
        <v>3716</v>
      </c>
      <c r="C183" s="0" t="s">
        <v>3717</v>
      </c>
      <c r="D183" s="0" t="s">
        <v>3767</v>
      </c>
      <c r="E183" s="0" t="s">
        <v>3768</v>
      </c>
      <c r="F183" s="0" t="s">
        <v>3306</v>
      </c>
      <c r="G183" s="0" t="s">
        <v>3769</v>
      </c>
    </row>
    <row customHeight="1" ht="11.25">
      <c r="A184" s="480" t="s">
        <v>16</v>
      </c>
      <c r="B184" s="0" t="s">
        <v>3716</v>
      </c>
      <c r="C184" s="0" t="s">
        <v>3717</v>
      </c>
      <c r="D184" s="0" t="s">
        <v>3770</v>
      </c>
      <c r="E184" s="0" t="s">
        <v>3771</v>
      </c>
      <c r="F184" s="0" t="s">
        <v>3306</v>
      </c>
      <c r="G184" s="0" t="s">
        <v>3772</v>
      </c>
    </row>
    <row customHeight="1" ht="11.25">
      <c r="A185" s="480" t="s">
        <v>16</v>
      </c>
      <c r="B185" s="0" t="s">
        <v>105</v>
      </c>
      <c r="C185" s="0" t="s">
        <v>106</v>
      </c>
      <c r="D185" s="0" t="s">
        <v>3773</v>
      </c>
      <c r="E185" s="0" t="s">
        <v>3774</v>
      </c>
      <c r="F185" s="0" t="s">
        <v>3306</v>
      </c>
      <c r="G185" s="0" t="s">
        <v>3775</v>
      </c>
    </row>
    <row customHeight="1" ht="11.25">
      <c r="A186" s="480" t="s">
        <v>16</v>
      </c>
      <c r="B186" s="0" t="s">
        <v>105</v>
      </c>
      <c r="C186" s="0" t="s">
        <v>106</v>
      </c>
      <c r="D186" s="0" t="s">
        <v>3776</v>
      </c>
      <c r="E186" s="0" t="s">
        <v>3777</v>
      </c>
      <c r="F186" s="0" t="s">
        <v>3306</v>
      </c>
      <c r="G186" s="0" t="s">
        <v>3778</v>
      </c>
    </row>
    <row customHeight="1" ht="11.25">
      <c r="A187" s="480" t="s">
        <v>16</v>
      </c>
      <c r="B187" s="0" t="s">
        <v>105</v>
      </c>
      <c r="C187" s="0" t="s">
        <v>106</v>
      </c>
      <c r="D187" s="0" t="s">
        <v>3779</v>
      </c>
      <c r="E187" s="0" t="s">
        <v>3780</v>
      </c>
      <c r="F187" s="0" t="s">
        <v>3306</v>
      </c>
      <c r="G187" s="0" t="s">
        <v>3781</v>
      </c>
    </row>
    <row customHeight="1" ht="11.25">
      <c r="A188" s="480" t="s">
        <v>16</v>
      </c>
      <c r="B188" s="0" t="s">
        <v>105</v>
      </c>
      <c r="C188" s="0" t="s">
        <v>106</v>
      </c>
      <c r="D188" s="0" t="s">
        <v>3782</v>
      </c>
      <c r="E188" s="0" t="s">
        <v>3783</v>
      </c>
      <c r="F188" s="0" t="s">
        <v>3306</v>
      </c>
      <c r="G188" s="0" t="s">
        <v>3784</v>
      </c>
    </row>
    <row customHeight="1" ht="11.25">
      <c r="A189" s="480" t="s">
        <v>16</v>
      </c>
      <c r="B189" s="0" t="s">
        <v>105</v>
      </c>
      <c r="C189" s="0" t="s">
        <v>106</v>
      </c>
      <c r="D189" s="0" t="s">
        <v>3785</v>
      </c>
      <c r="E189" s="0" t="s">
        <v>3786</v>
      </c>
      <c r="F189" s="0" t="s">
        <v>3306</v>
      </c>
      <c r="G189" s="0" t="s">
        <v>3787</v>
      </c>
    </row>
    <row customHeight="1" ht="11.25">
      <c r="A190" s="480" t="s">
        <v>16</v>
      </c>
      <c r="B190" s="0" t="s">
        <v>105</v>
      </c>
      <c r="C190" s="0" t="s">
        <v>106</v>
      </c>
      <c r="D190" s="0" t="s">
        <v>3788</v>
      </c>
      <c r="E190" s="0" t="s">
        <v>3789</v>
      </c>
      <c r="F190" s="0" t="s">
        <v>3306</v>
      </c>
      <c r="G190" s="0" t="s">
        <v>3790</v>
      </c>
    </row>
    <row customHeight="1" ht="11.25">
      <c r="A191" s="480" t="s">
        <v>16</v>
      </c>
      <c r="B191" s="0" t="s">
        <v>105</v>
      </c>
      <c r="C191" s="0" t="s">
        <v>106</v>
      </c>
      <c r="D191" s="0" t="s">
        <v>3791</v>
      </c>
      <c r="E191" s="0" t="s">
        <v>3792</v>
      </c>
      <c r="F191" s="0" t="s">
        <v>3306</v>
      </c>
      <c r="G191" s="0" t="s">
        <v>3793</v>
      </c>
    </row>
    <row customHeight="1" ht="11.25">
      <c r="A192" s="480" t="s">
        <v>16</v>
      </c>
      <c r="B192" s="0" t="s">
        <v>105</v>
      </c>
      <c r="C192" s="0" t="s">
        <v>106</v>
      </c>
      <c r="D192" s="0" t="s">
        <v>3794</v>
      </c>
      <c r="E192" s="0" t="s">
        <v>3795</v>
      </c>
      <c r="F192" s="0" t="s">
        <v>3306</v>
      </c>
      <c r="G192" s="0" t="s">
        <v>3796</v>
      </c>
    </row>
    <row customHeight="1" ht="11.25">
      <c r="A193" s="480" t="s">
        <v>16</v>
      </c>
      <c r="B193" s="0" t="s">
        <v>105</v>
      </c>
      <c r="C193" s="0" t="s">
        <v>106</v>
      </c>
      <c r="D193" s="0" t="s">
        <v>3797</v>
      </c>
      <c r="E193" s="0" t="s">
        <v>3798</v>
      </c>
      <c r="F193" s="0" t="s">
        <v>3306</v>
      </c>
      <c r="G193" s="0" t="s">
        <v>3799</v>
      </c>
    </row>
    <row customHeight="1" ht="11.25">
      <c r="A194" s="480" t="s">
        <v>16</v>
      </c>
      <c r="B194" s="0" t="s">
        <v>105</v>
      </c>
      <c r="C194" s="0" t="s">
        <v>106</v>
      </c>
      <c r="D194" s="0" t="s">
        <v>3800</v>
      </c>
      <c r="E194" s="0" t="s">
        <v>3801</v>
      </c>
      <c r="F194" s="0" t="s">
        <v>3306</v>
      </c>
      <c r="G194" s="0" t="s">
        <v>3802</v>
      </c>
    </row>
    <row customHeight="1" ht="11.25">
      <c r="A195" s="480" t="s">
        <v>16</v>
      </c>
      <c r="B195" s="0" t="s">
        <v>105</v>
      </c>
      <c r="C195" s="0" t="s">
        <v>106</v>
      </c>
      <c r="D195" s="0" t="s">
        <v>3803</v>
      </c>
      <c r="E195" s="0" t="s">
        <v>3804</v>
      </c>
      <c r="F195" s="0" t="s">
        <v>3306</v>
      </c>
      <c r="G195" s="0" t="s">
        <v>3805</v>
      </c>
    </row>
    <row customHeight="1" ht="11.25">
      <c r="A196" s="480" t="s">
        <v>16</v>
      </c>
      <c r="B196" s="0" t="s">
        <v>105</v>
      </c>
      <c r="C196" s="0" t="s">
        <v>106</v>
      </c>
      <c r="D196" s="0" t="s">
        <v>3806</v>
      </c>
      <c r="E196" s="0" t="s">
        <v>3807</v>
      </c>
      <c r="F196" s="0" t="s">
        <v>3306</v>
      </c>
      <c r="G196" s="0" t="s">
        <v>3808</v>
      </c>
    </row>
    <row customHeight="1" ht="11.25">
      <c r="A197" s="480" t="s">
        <v>16</v>
      </c>
      <c r="B197" s="0" t="s">
        <v>105</v>
      </c>
      <c r="C197" s="0" t="s">
        <v>106</v>
      </c>
      <c r="D197" s="0" t="s">
        <v>3809</v>
      </c>
      <c r="E197" s="0" t="s">
        <v>3810</v>
      </c>
      <c r="F197" s="0" t="s">
        <v>3306</v>
      </c>
      <c r="G197" s="0" t="s">
        <v>3811</v>
      </c>
    </row>
    <row customHeight="1" ht="11.25">
      <c r="A198" s="480" t="s">
        <v>16</v>
      </c>
      <c r="B198" s="0" t="s">
        <v>105</v>
      </c>
      <c r="C198" s="0" t="s">
        <v>106</v>
      </c>
      <c r="D198" s="0" t="s">
        <v>3812</v>
      </c>
      <c r="E198" s="0" t="s">
        <v>3813</v>
      </c>
      <c r="F198" s="0" t="s">
        <v>3306</v>
      </c>
      <c r="G198" s="0" t="s">
        <v>3814</v>
      </c>
    </row>
    <row customHeight="1" ht="11.25">
      <c r="A199" s="480" t="s">
        <v>16</v>
      </c>
      <c r="B199" s="0" t="s">
        <v>105</v>
      </c>
      <c r="C199" s="0" t="s">
        <v>106</v>
      </c>
      <c r="D199" s="0" t="s">
        <v>3815</v>
      </c>
      <c r="E199" s="0" t="s">
        <v>3816</v>
      </c>
      <c r="F199" s="0" t="s">
        <v>3306</v>
      </c>
      <c r="G199" s="0" t="s">
        <v>3817</v>
      </c>
    </row>
    <row customHeight="1" ht="11.25">
      <c r="A200" s="480" t="s">
        <v>16</v>
      </c>
      <c r="B200" s="0" t="s">
        <v>105</v>
      </c>
      <c r="C200" s="0" t="s">
        <v>106</v>
      </c>
      <c r="D200" s="0" t="s">
        <v>3818</v>
      </c>
      <c r="E200" s="0" t="s">
        <v>3819</v>
      </c>
      <c r="F200" s="0" t="s">
        <v>3306</v>
      </c>
      <c r="G200" s="0" t="s">
        <v>3820</v>
      </c>
    </row>
    <row customHeight="1" ht="11.25">
      <c r="A201" s="480" t="s">
        <v>16</v>
      </c>
      <c r="B201" s="0" t="s">
        <v>105</v>
      </c>
      <c r="C201" s="0" t="s">
        <v>106</v>
      </c>
      <c r="D201" s="0" t="s">
        <v>3821</v>
      </c>
      <c r="E201" s="0" t="s">
        <v>3822</v>
      </c>
      <c r="F201" s="0" t="s">
        <v>3306</v>
      </c>
      <c r="G201" s="0" t="s">
        <v>3823</v>
      </c>
    </row>
    <row customHeight="1" ht="11.25">
      <c r="A202" s="480" t="s">
        <v>16</v>
      </c>
      <c r="B202" s="0" t="s">
        <v>105</v>
      </c>
      <c r="C202" s="0" t="s">
        <v>106</v>
      </c>
      <c r="D202" s="0" t="s">
        <v>3824</v>
      </c>
      <c r="E202" s="0" t="s">
        <v>3825</v>
      </c>
      <c r="F202" s="0" t="s">
        <v>3306</v>
      </c>
      <c r="G202" s="0" t="s">
        <v>3826</v>
      </c>
    </row>
    <row customHeight="1" ht="11.25">
      <c r="A203" s="480" t="s">
        <v>16</v>
      </c>
      <c r="B203" s="0" t="s">
        <v>105</v>
      </c>
      <c r="C203" s="0" t="s">
        <v>106</v>
      </c>
      <c r="D203" s="0" t="s">
        <v>3827</v>
      </c>
      <c r="E203" s="0" t="s">
        <v>3828</v>
      </c>
      <c r="F203" s="0" t="s">
        <v>3306</v>
      </c>
      <c r="G203" s="0" t="s">
        <v>3829</v>
      </c>
    </row>
    <row customHeight="1" ht="11.25">
      <c r="A204" s="480" t="s">
        <v>16</v>
      </c>
      <c r="B204" s="0" t="s">
        <v>105</v>
      </c>
      <c r="C204" s="0" t="s">
        <v>106</v>
      </c>
      <c r="D204" s="0" t="s">
        <v>3830</v>
      </c>
      <c r="E204" s="0" t="s">
        <v>3831</v>
      </c>
      <c r="F204" s="0" t="s">
        <v>3306</v>
      </c>
      <c r="G204" s="0" t="s">
        <v>3832</v>
      </c>
    </row>
    <row customHeight="1" ht="11.25">
      <c r="A205" s="480" t="s">
        <v>16</v>
      </c>
      <c r="B205" s="0" t="s">
        <v>105</v>
      </c>
      <c r="C205" s="0" t="s">
        <v>106</v>
      </c>
      <c r="D205" s="0" t="s">
        <v>3833</v>
      </c>
      <c r="E205" s="0" t="s">
        <v>3834</v>
      </c>
      <c r="F205" s="0" t="s">
        <v>3322</v>
      </c>
      <c r="G205" s="0" t="s">
        <v>3835</v>
      </c>
    </row>
    <row customHeight="1" ht="11.25">
      <c r="A206" s="480" t="s">
        <v>16</v>
      </c>
      <c r="B206" s="0" t="s">
        <v>105</v>
      </c>
      <c r="C206" s="0" t="s">
        <v>106</v>
      </c>
      <c r="D206" s="0" t="s">
        <v>3836</v>
      </c>
      <c r="E206" s="0" t="s">
        <v>3837</v>
      </c>
      <c r="F206" s="0" t="s">
        <v>3306</v>
      </c>
      <c r="G206" s="0" t="s">
        <v>3838</v>
      </c>
    </row>
    <row customHeight="1" ht="11.25">
      <c r="A207" s="480" t="s">
        <v>16</v>
      </c>
      <c r="B207" s="0" t="s">
        <v>105</v>
      </c>
      <c r="C207" s="0" t="s">
        <v>106</v>
      </c>
      <c r="D207" s="0" t="s">
        <v>3839</v>
      </c>
      <c r="E207" s="0" t="s">
        <v>3840</v>
      </c>
      <c r="F207" s="0" t="s">
        <v>3306</v>
      </c>
      <c r="G207" s="0" t="s">
        <v>3841</v>
      </c>
    </row>
    <row customHeight="1" ht="11.25">
      <c r="A208" s="480" t="s">
        <v>16</v>
      </c>
      <c r="B208" s="0" t="s">
        <v>105</v>
      </c>
      <c r="C208" s="0" t="s">
        <v>106</v>
      </c>
      <c r="D208" s="0" t="s">
        <v>3842</v>
      </c>
      <c r="E208" s="0" t="s">
        <v>3843</v>
      </c>
      <c r="F208" s="0" t="s">
        <v>3306</v>
      </c>
      <c r="G208" s="0" t="s">
        <v>3844</v>
      </c>
    </row>
    <row customHeight="1" ht="11.25">
      <c r="A209" s="480" t="s">
        <v>16</v>
      </c>
      <c r="B209" s="0" t="s">
        <v>105</v>
      </c>
      <c r="C209" s="0" t="s">
        <v>106</v>
      </c>
      <c r="D209" s="0" t="s">
        <v>3845</v>
      </c>
      <c r="E209" s="0" t="s">
        <v>3846</v>
      </c>
      <c r="F209" s="0" t="s">
        <v>3306</v>
      </c>
      <c r="G209" s="0" t="s">
        <v>3847</v>
      </c>
    </row>
    <row customHeight="1" ht="11.25">
      <c r="A210" s="480" t="s">
        <v>16</v>
      </c>
      <c r="B210" s="0" t="s">
        <v>105</v>
      </c>
      <c r="C210" s="0" t="s">
        <v>106</v>
      </c>
      <c r="D210" s="0" t="s">
        <v>3848</v>
      </c>
      <c r="E210" s="0" t="s">
        <v>3849</v>
      </c>
      <c r="F210" s="0" t="s">
        <v>3306</v>
      </c>
      <c r="G210" s="0" t="s">
        <v>3850</v>
      </c>
    </row>
    <row customHeight="1" ht="11.25">
      <c r="A211" s="480" t="s">
        <v>16</v>
      </c>
      <c r="B211" s="0" t="s">
        <v>105</v>
      </c>
      <c r="C211" s="0" t="s">
        <v>106</v>
      </c>
      <c r="D211" s="0" t="s">
        <v>105</v>
      </c>
      <c r="E211" s="0" t="s">
        <v>106</v>
      </c>
      <c r="F211" s="0" t="s">
        <v>3303</v>
      </c>
      <c r="G211" s="0" t="s">
        <v>104</v>
      </c>
    </row>
    <row customHeight="1" ht="11.25">
      <c r="A212" s="480" t="s">
        <v>16</v>
      </c>
      <c r="B212" s="0" t="s">
        <v>105</v>
      </c>
      <c r="C212" s="0" t="s">
        <v>106</v>
      </c>
      <c r="D212" s="0" t="s">
        <v>3851</v>
      </c>
      <c r="E212" s="0" t="s">
        <v>3852</v>
      </c>
      <c r="F212" s="0" t="s">
        <v>3306</v>
      </c>
      <c r="G212" s="0" t="s">
        <v>3853</v>
      </c>
    </row>
    <row customHeight="1" ht="11.25">
      <c r="A213" s="480" t="s">
        <v>16</v>
      </c>
      <c r="B213" s="0" t="s">
        <v>3854</v>
      </c>
      <c r="C213" s="0" t="s">
        <v>3855</v>
      </c>
      <c r="D213" s="0" t="s">
        <v>3856</v>
      </c>
      <c r="E213" s="0" t="s">
        <v>3857</v>
      </c>
      <c r="F213" s="0" t="s">
        <v>3306</v>
      </c>
      <c r="G213" s="0" t="s">
        <v>3858</v>
      </c>
    </row>
    <row customHeight="1" ht="11.25">
      <c r="A214" s="480" t="s">
        <v>16</v>
      </c>
      <c r="B214" s="0" t="s">
        <v>3854</v>
      </c>
      <c r="C214" s="0" t="s">
        <v>3855</v>
      </c>
      <c r="D214" s="0" t="s">
        <v>3859</v>
      </c>
      <c r="E214" s="0" t="s">
        <v>3860</v>
      </c>
      <c r="F214" s="0" t="s">
        <v>3306</v>
      </c>
      <c r="G214" s="0" t="s">
        <v>3861</v>
      </c>
    </row>
    <row customHeight="1" ht="11.25">
      <c r="A215" s="480" t="s">
        <v>16</v>
      </c>
      <c r="B215" s="0" t="s">
        <v>3854</v>
      </c>
      <c r="C215" s="0" t="s">
        <v>3855</v>
      </c>
      <c r="D215" s="0" t="s">
        <v>3862</v>
      </c>
      <c r="E215" s="0" t="s">
        <v>3863</v>
      </c>
      <c r="F215" s="0" t="s">
        <v>3306</v>
      </c>
      <c r="G215" s="0" t="s">
        <v>3864</v>
      </c>
    </row>
    <row customHeight="1" ht="11.25">
      <c r="A216" s="480" t="s">
        <v>16</v>
      </c>
      <c r="B216" s="0" t="s">
        <v>3854</v>
      </c>
      <c r="C216" s="0" t="s">
        <v>3855</v>
      </c>
      <c r="D216" s="0" t="s">
        <v>3865</v>
      </c>
      <c r="E216" s="0" t="s">
        <v>3866</v>
      </c>
      <c r="F216" s="0" t="s">
        <v>3306</v>
      </c>
      <c r="G216" s="0" t="s">
        <v>3867</v>
      </c>
    </row>
    <row customHeight="1" ht="11.25">
      <c r="A217" s="480" t="s">
        <v>16</v>
      </c>
      <c r="B217" s="0" t="s">
        <v>3854</v>
      </c>
      <c r="C217" s="0" t="s">
        <v>3855</v>
      </c>
      <c r="D217" s="0" t="s">
        <v>3868</v>
      </c>
      <c r="E217" s="0" t="s">
        <v>3869</v>
      </c>
      <c r="F217" s="0" t="s">
        <v>3306</v>
      </c>
      <c r="G217" s="0" t="s">
        <v>3870</v>
      </c>
    </row>
    <row customHeight="1" ht="11.25">
      <c r="A218" s="480" t="s">
        <v>16</v>
      </c>
      <c r="B218" s="0" t="s">
        <v>3854</v>
      </c>
      <c r="C218" s="0" t="s">
        <v>3855</v>
      </c>
      <c r="D218" s="0" t="s">
        <v>3871</v>
      </c>
      <c r="E218" s="0" t="s">
        <v>3872</v>
      </c>
      <c r="F218" s="0" t="s">
        <v>3306</v>
      </c>
      <c r="G218" s="0" t="s">
        <v>3873</v>
      </c>
    </row>
    <row customHeight="1" ht="11.25">
      <c r="A219" s="480" t="s">
        <v>16</v>
      </c>
      <c r="B219" s="0" t="s">
        <v>3854</v>
      </c>
      <c r="C219" s="0" t="s">
        <v>3855</v>
      </c>
      <c r="D219" s="0" t="s">
        <v>3874</v>
      </c>
      <c r="E219" s="0" t="s">
        <v>3875</v>
      </c>
      <c r="F219" s="0" t="s">
        <v>3306</v>
      </c>
      <c r="G219" s="0" t="s">
        <v>3876</v>
      </c>
    </row>
    <row customHeight="1" ht="11.25">
      <c r="A220" s="480" t="s">
        <v>16</v>
      </c>
      <c r="B220" s="0" t="s">
        <v>3854</v>
      </c>
      <c r="C220" s="0" t="s">
        <v>3855</v>
      </c>
      <c r="D220" s="0" t="s">
        <v>3877</v>
      </c>
      <c r="E220" s="0" t="s">
        <v>3878</v>
      </c>
      <c r="F220" s="0" t="s">
        <v>3306</v>
      </c>
      <c r="G220" s="0" t="s">
        <v>3879</v>
      </c>
    </row>
    <row customHeight="1" ht="11.25">
      <c r="A221" s="480" t="s">
        <v>16</v>
      </c>
      <c r="B221" s="0" t="s">
        <v>3854</v>
      </c>
      <c r="C221" s="0" t="s">
        <v>3855</v>
      </c>
      <c r="D221" s="0" t="s">
        <v>3880</v>
      </c>
      <c r="E221" s="0" t="s">
        <v>3881</v>
      </c>
      <c r="F221" s="0" t="s">
        <v>3306</v>
      </c>
      <c r="G221" s="0" t="s">
        <v>3882</v>
      </c>
    </row>
    <row customHeight="1" ht="11.25">
      <c r="A222" s="480" t="s">
        <v>16</v>
      </c>
      <c r="B222" s="0" t="s">
        <v>3854</v>
      </c>
      <c r="C222" s="0" t="s">
        <v>3855</v>
      </c>
      <c r="D222" s="0" t="s">
        <v>3883</v>
      </c>
      <c r="E222" s="0" t="s">
        <v>3884</v>
      </c>
      <c r="F222" s="0" t="s">
        <v>3306</v>
      </c>
      <c r="G222" s="0" t="s">
        <v>3885</v>
      </c>
    </row>
    <row customHeight="1" ht="11.25">
      <c r="A223" s="480" t="s">
        <v>16</v>
      </c>
      <c r="B223" s="0" t="s">
        <v>3854</v>
      </c>
      <c r="C223" s="0" t="s">
        <v>3855</v>
      </c>
      <c r="D223" s="0" t="s">
        <v>3886</v>
      </c>
      <c r="E223" s="0" t="s">
        <v>3887</v>
      </c>
      <c r="F223" s="0" t="s">
        <v>3306</v>
      </c>
      <c r="G223" s="0" t="s">
        <v>3888</v>
      </c>
    </row>
    <row customHeight="1" ht="11.25">
      <c r="A224" s="480" t="s">
        <v>16</v>
      </c>
      <c r="B224" s="0" t="s">
        <v>3854</v>
      </c>
      <c r="C224" s="0" t="s">
        <v>3855</v>
      </c>
      <c r="D224" s="0" t="s">
        <v>3889</v>
      </c>
      <c r="E224" s="0" t="s">
        <v>3890</v>
      </c>
      <c r="F224" s="0" t="s">
        <v>3306</v>
      </c>
      <c r="G224" s="0" t="s">
        <v>3891</v>
      </c>
    </row>
    <row customHeight="1" ht="11.25">
      <c r="A225" s="480" t="s">
        <v>16</v>
      </c>
      <c r="B225" s="0" t="s">
        <v>3854</v>
      </c>
      <c r="C225" s="0" t="s">
        <v>3855</v>
      </c>
      <c r="D225" s="0" t="s">
        <v>3892</v>
      </c>
      <c r="E225" s="0" t="s">
        <v>3893</v>
      </c>
      <c r="F225" s="0" t="s">
        <v>3322</v>
      </c>
      <c r="G225" s="0" t="s">
        <v>3894</v>
      </c>
    </row>
    <row customHeight="1" ht="11.25">
      <c r="A226" s="480" t="s">
        <v>16</v>
      </c>
      <c r="B226" s="0" t="s">
        <v>3854</v>
      </c>
      <c r="C226" s="0" t="s">
        <v>3855</v>
      </c>
      <c r="D226" s="0" t="s">
        <v>3895</v>
      </c>
      <c r="E226" s="0" t="s">
        <v>3896</v>
      </c>
      <c r="F226" s="0" t="s">
        <v>3322</v>
      </c>
      <c r="G226" s="0" t="s">
        <v>3897</v>
      </c>
    </row>
    <row customHeight="1" ht="11.25">
      <c r="A227" s="480" t="s">
        <v>16</v>
      </c>
      <c r="B227" s="0" t="s">
        <v>3854</v>
      </c>
      <c r="C227" s="0" t="s">
        <v>3855</v>
      </c>
      <c r="D227" s="0" t="s">
        <v>3898</v>
      </c>
      <c r="E227" s="0" t="s">
        <v>3899</v>
      </c>
      <c r="F227" s="0" t="s">
        <v>3322</v>
      </c>
      <c r="G227" s="0" t="s">
        <v>3900</v>
      </c>
    </row>
    <row customHeight="1" ht="11.25">
      <c r="A228" s="480" t="s">
        <v>16</v>
      </c>
      <c r="B228" s="0" t="s">
        <v>3854</v>
      </c>
      <c r="C228" s="0" t="s">
        <v>3855</v>
      </c>
      <c r="D228" s="0" t="s">
        <v>3901</v>
      </c>
      <c r="E228" s="0" t="s">
        <v>3902</v>
      </c>
      <c r="F228" s="0" t="s">
        <v>3306</v>
      </c>
      <c r="G228" s="0" t="s">
        <v>3903</v>
      </c>
    </row>
    <row customHeight="1" ht="11.25">
      <c r="A229" s="480" t="s">
        <v>16</v>
      </c>
      <c r="B229" s="0" t="s">
        <v>3854</v>
      </c>
      <c r="C229" s="0" t="s">
        <v>3855</v>
      </c>
      <c r="D229" s="0" t="s">
        <v>3904</v>
      </c>
      <c r="E229" s="0" t="s">
        <v>3905</v>
      </c>
      <c r="F229" s="0" t="s">
        <v>3306</v>
      </c>
      <c r="G229" s="0" t="s">
        <v>3906</v>
      </c>
    </row>
    <row customHeight="1" ht="11.25">
      <c r="A230" s="480" t="s">
        <v>16</v>
      </c>
      <c r="B230" s="0" t="s">
        <v>3854</v>
      </c>
      <c r="C230" s="0" t="s">
        <v>3855</v>
      </c>
      <c r="D230" s="0" t="s">
        <v>3907</v>
      </c>
      <c r="E230" s="0" t="s">
        <v>3908</v>
      </c>
      <c r="F230" s="0" t="s">
        <v>3306</v>
      </c>
      <c r="G230" s="0" t="s">
        <v>3909</v>
      </c>
    </row>
    <row customHeight="1" ht="11.25">
      <c r="A231" s="480" t="s">
        <v>16</v>
      </c>
      <c r="B231" s="0" t="s">
        <v>3854</v>
      </c>
      <c r="C231" s="0" t="s">
        <v>3855</v>
      </c>
      <c r="D231" s="0" t="s">
        <v>3910</v>
      </c>
      <c r="E231" s="0" t="s">
        <v>3911</v>
      </c>
      <c r="F231" s="0" t="s">
        <v>3306</v>
      </c>
      <c r="G231" s="0" t="s">
        <v>3912</v>
      </c>
    </row>
    <row customHeight="1" ht="11.25">
      <c r="A232" s="480" t="s">
        <v>16</v>
      </c>
      <c r="B232" s="0" t="s">
        <v>3854</v>
      </c>
      <c r="C232" s="0" t="s">
        <v>3855</v>
      </c>
      <c r="D232" s="0" t="s">
        <v>3913</v>
      </c>
      <c r="E232" s="0" t="s">
        <v>3914</v>
      </c>
      <c r="F232" s="0" t="s">
        <v>3306</v>
      </c>
      <c r="G232" s="0" t="s">
        <v>3915</v>
      </c>
    </row>
    <row customHeight="1" ht="11.25">
      <c r="A233" s="480" t="s">
        <v>16</v>
      </c>
      <c r="B233" s="0" t="s">
        <v>3854</v>
      </c>
      <c r="C233" s="0" t="s">
        <v>3855</v>
      </c>
      <c r="D233" s="0" t="s">
        <v>3854</v>
      </c>
      <c r="E233" s="0" t="s">
        <v>3855</v>
      </c>
      <c r="F233" s="0" t="s">
        <v>3303</v>
      </c>
      <c r="G233" s="0" t="s">
        <v>3916</v>
      </c>
    </row>
    <row customHeight="1" ht="11.25">
      <c r="A234" s="480" t="s">
        <v>16</v>
      </c>
      <c r="B234" s="0" t="s">
        <v>3917</v>
      </c>
      <c r="C234" s="0" t="s">
        <v>3918</v>
      </c>
      <c r="D234" s="0" t="s">
        <v>3919</v>
      </c>
      <c r="E234" s="0" t="s">
        <v>3920</v>
      </c>
      <c r="F234" s="0" t="s">
        <v>3306</v>
      </c>
      <c r="G234" s="0" t="s">
        <v>3921</v>
      </c>
    </row>
    <row customHeight="1" ht="11.25">
      <c r="A235" s="480" t="s">
        <v>16</v>
      </c>
      <c r="B235" s="0" t="s">
        <v>3917</v>
      </c>
      <c r="C235" s="0" t="s">
        <v>3918</v>
      </c>
      <c r="D235" s="0" t="s">
        <v>3922</v>
      </c>
      <c r="E235" s="0" t="s">
        <v>3923</v>
      </c>
      <c r="F235" s="0" t="s">
        <v>3306</v>
      </c>
      <c r="G235" s="0" t="s">
        <v>3924</v>
      </c>
    </row>
    <row customHeight="1" ht="11.25">
      <c r="A236" s="480" t="s">
        <v>16</v>
      </c>
      <c r="B236" s="0" t="s">
        <v>3917</v>
      </c>
      <c r="C236" s="0" t="s">
        <v>3918</v>
      </c>
      <c r="D236" s="0" t="s">
        <v>3925</v>
      </c>
      <c r="E236" s="0" t="s">
        <v>3926</v>
      </c>
      <c r="F236" s="0" t="s">
        <v>3333</v>
      </c>
      <c r="G236" s="0" t="s">
        <v>3927</v>
      </c>
    </row>
    <row customHeight="1" ht="11.25">
      <c r="A237" s="480" t="s">
        <v>16</v>
      </c>
      <c r="B237" s="0" t="s">
        <v>3917</v>
      </c>
      <c r="C237" s="0" t="s">
        <v>3918</v>
      </c>
      <c r="D237" s="0" t="s">
        <v>3928</v>
      </c>
      <c r="E237" s="0" t="s">
        <v>3929</v>
      </c>
      <c r="F237" s="0" t="s">
        <v>3306</v>
      </c>
      <c r="G237" s="0" t="s">
        <v>3930</v>
      </c>
    </row>
    <row customHeight="1" ht="11.25">
      <c r="A238" s="480" t="s">
        <v>16</v>
      </c>
      <c r="B238" s="0" t="s">
        <v>3917</v>
      </c>
      <c r="C238" s="0" t="s">
        <v>3918</v>
      </c>
      <c r="D238" s="0" t="s">
        <v>3931</v>
      </c>
      <c r="E238" s="0" t="s">
        <v>3932</v>
      </c>
      <c r="F238" s="0" t="s">
        <v>3306</v>
      </c>
      <c r="G238" s="0" t="s">
        <v>3933</v>
      </c>
    </row>
    <row customHeight="1" ht="11.25">
      <c r="A239" s="480" t="s">
        <v>16</v>
      </c>
      <c r="B239" s="0" t="s">
        <v>3917</v>
      </c>
      <c r="C239" s="0" t="s">
        <v>3918</v>
      </c>
      <c r="D239" s="0" t="s">
        <v>3934</v>
      </c>
      <c r="E239" s="0" t="s">
        <v>3935</v>
      </c>
      <c r="F239" s="0" t="s">
        <v>3306</v>
      </c>
      <c r="G239" s="0" t="s">
        <v>3936</v>
      </c>
    </row>
    <row customHeight="1" ht="11.25">
      <c r="A240" s="480" t="s">
        <v>16</v>
      </c>
      <c r="B240" s="0" t="s">
        <v>3917</v>
      </c>
      <c r="C240" s="0" t="s">
        <v>3918</v>
      </c>
      <c r="D240" s="0" t="s">
        <v>3917</v>
      </c>
      <c r="E240" s="0" t="s">
        <v>3918</v>
      </c>
      <c r="F240" s="0" t="s">
        <v>3303</v>
      </c>
      <c r="G240" s="0" t="s">
        <v>3937</v>
      </c>
    </row>
  </sheetData>
  <sheetProtection autoFilter="0" sort="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578CB-3C43-6E06-5E64-1D22EB139E89}"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3551" width="13.8515625" customWidth="1"/>
    <col min="2" max="2" style="13551" width="10.421875" customWidth="1"/>
    <col min="3" max="3" style="13551" width="7.57421875" customWidth="1"/>
    <col min="4" max="4" style="13551" width="13.8515625" customWidth="1"/>
    <col min="5" max="5" style="13551" width="11.57421875" customWidth="1"/>
    <col min="6" max="6" style="13551" width="16.28125" customWidth="1"/>
    <col min="7" max="7" style="13551" width="16.00390625" customWidth="1"/>
    <col min="8" max="9" style="13551" width="16.140625" customWidth="1"/>
  </cols>
  <sheetData>
    <row customHeight="1" ht="11.25">
      <c r="A1" s="936" t="s">
        <v>3938</v>
      </c>
      <c r="B1" s="936" t="s">
        <v>3939</v>
      </c>
      <c r="C1" s="1255" t="s">
        <v>3940</v>
      </c>
      <c r="D1" s="936" t="s">
        <v>3941</v>
      </c>
      <c r="E1" s="936" t="s">
        <v>3942</v>
      </c>
      <c r="F1" s="1255" t="s">
        <v>3943</v>
      </c>
      <c r="G1" s="1255" t="s">
        <v>3944</v>
      </c>
      <c r="H1" s="1255" t="s">
        <v>3945</v>
      </c>
      <c r="I1" s="1255" t="s">
        <v>3946</v>
      </c>
    </row>
    <row customHeight="1" ht="11.25">
      <c r="A2" s="1787" t="s">
        <v>144</v>
      </c>
      <c r="B2" s="1787" t="s">
        <v>1148</v>
      </c>
      <c r="C2" s="1787" t="s">
        <v>3947</v>
      </c>
      <c r="D2" s="1787" t="s">
        <v>1151</v>
      </c>
      <c r="E2" s="1787" t="s">
        <v>1152</v>
      </c>
      <c r="F2" s="1787" t="s">
        <v>1153</v>
      </c>
      <c r="G2" s="1787" t="s">
        <v>1154</v>
      </c>
      <c r="H2" s="1787" t="s">
        <v>1155</v>
      </c>
      <c r="I2" s="1787" t="s">
        <v>1156</v>
      </c>
    </row>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2B431-2D5E-ADA6-1144-0CC5670FF1C3}" mc:Ignorable="x14ac xr xr2 xr3">
  <sheetPr>
    <tabColor rgb="FFFFCC99"/>
  </sheetPr>
  <dimension ref="A1:A1"/>
  <sheetViews>
    <sheetView topLeftCell="A1" workbookViewId="0">
      <selection activeCell="A1" sqref="A1"/>
    </sheetView>
  </sheetViews>
  <sheetFormatPr customHeight="1" defaultRowHeight="11.25"/>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E47A7-3F4A-F573-D5B9-3759AE9C6DC2}" mc:Ignorable="x14ac xr xr2 xr3">
  <sheetPr>
    <tabColor rgb="FFFFCC99"/>
  </sheetPr>
  <dimension ref="A1:B9"/>
  <sheetViews>
    <sheetView topLeftCell="A1" showGridLines="0" workbookViewId="0">
      <selection activeCell="A1" sqref="A1"/>
    </sheetView>
  </sheetViews>
  <sheetFormatPr defaultColWidth="9.140625" customHeight="1" defaultRowHeight="11.25"/>
  <cols>
    <col min="1" max="2" style="13554" width="9.140625"/>
  </cols>
  <sheetData>
    <row customHeight="1" ht="11.25">
      <c r="A1" s="291" t="s">
        <v>217</v>
      </c>
      <c r="B1" s="291" t="s">
        <v>3948</v>
      </c>
    </row>
    <row customHeight="1" ht="11.25">
      <c r="A2" s="6701" t="s">
        <v>98</v>
      </c>
      <c r="B2" s="6701" t="s">
        <v>3949</v>
      </c>
    </row>
    <row customHeight="1" ht="11.25">
      <c r="A3" s="6701" t="s">
        <v>108</v>
      </c>
      <c r="B3" s="6701" t="s">
        <v>3950</v>
      </c>
    </row>
    <row customHeight="1" ht="11.25">
      <c r="A4" s="6701" t="s">
        <v>112</v>
      </c>
      <c r="B4" s="6701" t="s">
        <v>3951</v>
      </c>
    </row>
    <row customHeight="1" ht="11.25">
      <c r="A5" s="6701" t="s">
        <v>116</v>
      </c>
      <c r="B5" s="6701" t="s">
        <v>3952</v>
      </c>
    </row>
    <row customHeight="1" ht="11.25">
      <c r="A6" s="6701" t="s">
        <v>122</v>
      </c>
      <c r="B6" s="6701" t="s">
        <v>3953</v>
      </c>
    </row>
    <row customHeight="1" ht="11.25">
      <c r="A7" s="6701" t="s">
        <v>127</v>
      </c>
      <c r="B7" s="6701" t="s">
        <v>3954</v>
      </c>
    </row>
    <row customHeight="1" ht="11.25">
      <c r="A8" s="6701" t="s">
        <v>132</v>
      </c>
      <c r="B8" s="6701" t="s">
        <v>3955</v>
      </c>
    </row>
    <row customHeight="1" ht="11.25">
      <c r="A9" s="6701" t="s">
        <v>137</v>
      </c>
      <c r="B9" s="6701" t="s">
        <v>3956</v>
      </c>
    </row>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D1547-8A92-836C-CCFE-1E686A8FD5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51" width="9.140625"/>
    <col min="2" max="2" style="13551" width="65.28125" customWidth="1"/>
  </cols>
  <sheetData>
    <row customHeight="1" ht="11.25">
      <c r="A1" s="936" t="s">
        <v>3957</v>
      </c>
      <c r="B1" s="936" t="s">
        <v>3958</v>
      </c>
    </row>
    <row customHeight="1" ht="11.25">
      <c r="A2" s="936">
        <v>4213775</v>
      </c>
      <c r="B2" s="936" t="s">
        <v>1514</v>
      </c>
    </row>
    <row customHeight="1" ht="11.25">
      <c r="A3" s="936">
        <v>4213784</v>
      </c>
      <c r="B3" s="936" t="s">
        <v>1547</v>
      </c>
    </row>
    <row customHeight="1" ht="11.25">
      <c r="A4" s="936">
        <v>4213781</v>
      </c>
      <c r="B4" s="936" t="s">
        <v>1540</v>
      </c>
    </row>
    <row customHeight="1" ht="11.25">
      <c r="A5" s="936">
        <v>4213776</v>
      </c>
      <c r="B5" s="936" t="s">
        <v>253</v>
      </c>
    </row>
    <row customHeight="1" ht="11.25">
      <c r="A6" s="936">
        <v>4213777</v>
      </c>
      <c r="B6" s="936" t="s">
        <v>259</v>
      </c>
    </row>
    <row customHeight="1" ht="11.25">
      <c r="A7" s="936">
        <v>4213778</v>
      </c>
      <c r="B7" s="936" t="s">
        <v>265</v>
      </c>
    </row>
    <row customHeight="1" ht="11.25">
      <c r="A8" s="936">
        <v>4213780</v>
      </c>
      <c r="B8" s="936" t="s">
        <v>271</v>
      </c>
    </row>
    <row customHeight="1" ht="11.25">
      <c r="A9" s="936">
        <v>4213779</v>
      </c>
      <c r="B9" s="936" t="s">
        <v>1674</v>
      </c>
    </row>
    <row customHeight="1" ht="11.25">
      <c r="A10" s="936">
        <v>4213783</v>
      </c>
      <c r="B10" s="936" t="s">
        <v>1687</v>
      </c>
    </row>
    <row customHeight="1" ht="11.25">
      <c r="A11" s="936">
        <v>4213782</v>
      </c>
      <c r="B11" s="936" t="s">
        <v>277</v>
      </c>
    </row>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7CD3A-403A-5C86-88FA-A25F274206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51" width="9.140625"/>
    <col min="2" max="2" style="13551" width="65.28125" customWidth="1"/>
  </cols>
  <sheetData>
    <row customHeight="1" ht="11.25">
      <c r="A1" s="936" t="s">
        <v>3957</v>
      </c>
      <c r="B1" s="936" t="s">
        <v>3959</v>
      </c>
    </row>
    <row customHeight="1" ht="11.25">
      <c r="A2" s="936" t="s">
        <v>184</v>
      </c>
      <c r="B2" s="936" t="s">
        <v>1773</v>
      </c>
    </row>
    <row customHeight="1" ht="11.25">
      <c r="A3" s="936" t="s">
        <v>3960</v>
      </c>
      <c r="B3" s="936" t="s">
        <v>1781</v>
      </c>
    </row>
    <row customHeight="1" ht="11.25">
      <c r="A4" s="936" t="s">
        <v>151</v>
      </c>
      <c r="B4" s="936" t="s">
        <v>1789</v>
      </c>
    </row>
    <row customHeight="1" ht="11.25">
      <c r="A5" s="936" t="s">
        <v>169</v>
      </c>
      <c r="B5" s="936" t="s">
        <v>1798</v>
      </c>
    </row>
    <row customHeight="1" ht="11.25">
      <c r="A6" s="936" t="s">
        <v>3961</v>
      </c>
      <c r="B6" s="936" t="s">
        <v>1803</v>
      </c>
    </row>
    <row customHeight="1" ht="11.25">
      <c r="A7" s="936" t="s">
        <v>3962</v>
      </c>
      <c r="B7" s="936" t="s">
        <v>1810</v>
      </c>
    </row>
    <row customHeight="1" ht="11.25">
      <c r="A8" s="936" t="s">
        <v>3963</v>
      </c>
      <c r="B8" s="936" t="s">
        <v>1816</v>
      </c>
    </row>
    <row customHeight="1" ht="11.25">
      <c r="A9" s="936" t="s">
        <v>3964</v>
      </c>
      <c r="B9" s="936" t="s">
        <v>1821</v>
      </c>
    </row>
    <row customHeight="1" ht="11.25">
      <c r="A10" s="936" t="s">
        <v>207</v>
      </c>
      <c r="B10" s="936" t="s">
        <v>1824</v>
      </c>
    </row>
    <row customHeight="1" ht="11.25">
      <c r="A11" s="936" t="s">
        <v>3965</v>
      </c>
      <c r="B11" s="936" t="s">
        <v>1830</v>
      </c>
    </row>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3F3CC-C02C-EF52-1184-CA76D0BEBEC3}" mc:Ignorable="x14ac xr xr2 xr3">
  <sheetPr>
    <tabColor rgb="FFFFCC99"/>
  </sheetPr>
  <dimension ref="A1:G239"/>
  <sheetViews>
    <sheetView topLeftCell="A1" showGridLines="0" workbookViewId="0">
      <selection activeCell="A1" sqref="A1"/>
    </sheetView>
  </sheetViews>
  <sheetFormatPr customHeight="1" defaultRowHeight="11.25"/>
  <sheetData>
    <row customHeight="1" ht="11.25">
      <c r="A1" s="480" t="s">
        <v>3295</v>
      </c>
      <c r="B1" s="480" t="s">
        <v>3296</v>
      </c>
      <c r="C1" s="480" t="s">
        <v>3297</v>
      </c>
      <c r="D1" s="480" t="s">
        <v>3298</v>
      </c>
      <c r="E1" s="0" t="s">
        <v>3299</v>
      </c>
      <c r="F1" s="0" t="s">
        <v>3300</v>
      </c>
      <c r="G1" s="0" t="s">
        <v>3301</v>
      </c>
    </row>
    <row customHeight="1" ht="11.25">
      <c r="A2" s="0" t="s">
        <v>16</v>
      </c>
      <c r="B2" s="0" t="s">
        <v>113</v>
      </c>
      <c r="C2" s="0" t="s">
        <v>3302</v>
      </c>
      <c r="D2" s="0" t="s">
        <v>113</v>
      </c>
      <c r="E2" s="0" t="s">
        <v>3302</v>
      </c>
      <c r="F2" s="0" t="s">
        <v>3303</v>
      </c>
      <c r="G2" s="0" t="s">
        <v>144</v>
      </c>
    </row>
    <row customHeight="1" ht="11.25">
      <c r="A3" s="0" t="s">
        <v>16</v>
      </c>
      <c r="B3" s="0" t="s">
        <v>113</v>
      </c>
      <c r="C3" s="0" t="s">
        <v>3302</v>
      </c>
      <c r="D3" s="0" t="s">
        <v>3304</v>
      </c>
      <c r="E3" s="0" t="s">
        <v>3305</v>
      </c>
      <c r="F3" s="0" t="s">
        <v>3306</v>
      </c>
      <c r="G3" s="0" t="s">
        <v>102</v>
      </c>
    </row>
    <row customHeight="1" ht="11.25">
      <c r="A4" s="0" t="s">
        <v>16</v>
      </c>
      <c r="B4" s="0" t="s">
        <v>113</v>
      </c>
      <c r="C4" s="0" t="s">
        <v>3302</v>
      </c>
      <c r="D4" s="0" t="s">
        <v>3307</v>
      </c>
      <c r="E4" s="0" t="s">
        <v>3308</v>
      </c>
      <c r="F4" s="0" t="s">
        <v>3306</v>
      </c>
      <c r="G4" s="0" t="s">
        <v>90</v>
      </c>
    </row>
    <row customHeight="1" ht="11.25">
      <c r="A5" s="0" t="s">
        <v>16</v>
      </c>
      <c r="B5" s="0" t="s">
        <v>113</v>
      </c>
      <c r="C5" s="0" t="s">
        <v>3302</v>
      </c>
      <c r="D5" s="0" t="s">
        <v>114</v>
      </c>
      <c r="E5" s="0" t="s">
        <v>115</v>
      </c>
      <c r="F5" s="0" t="s">
        <v>3309</v>
      </c>
      <c r="G5" s="0" t="s">
        <v>91</v>
      </c>
    </row>
    <row customHeight="1" ht="11.25">
      <c r="A6" s="0" t="s">
        <v>16</v>
      </c>
      <c r="B6" s="0" t="s">
        <v>113</v>
      </c>
      <c r="C6" s="0" t="s">
        <v>3302</v>
      </c>
      <c r="D6" s="0" t="s">
        <v>3310</v>
      </c>
      <c r="E6" s="0" t="s">
        <v>3311</v>
      </c>
      <c r="F6" s="0" t="s">
        <v>3306</v>
      </c>
      <c r="G6" s="0" t="s">
        <v>121</v>
      </c>
    </row>
    <row customHeight="1" ht="11.25">
      <c r="A7" s="0" t="s">
        <v>16</v>
      </c>
      <c r="B7" s="0" t="s">
        <v>113</v>
      </c>
      <c r="C7" s="0" t="s">
        <v>3302</v>
      </c>
      <c r="D7" s="0" t="s">
        <v>3312</v>
      </c>
      <c r="E7" s="0" t="s">
        <v>3313</v>
      </c>
      <c r="F7" s="0" t="s">
        <v>3306</v>
      </c>
      <c r="G7" s="0" t="s">
        <v>92</v>
      </c>
    </row>
    <row customHeight="1" ht="11.25">
      <c r="A8" s="0" t="s">
        <v>16</v>
      </c>
      <c r="B8" s="0" t="s">
        <v>113</v>
      </c>
      <c r="C8" s="0" t="s">
        <v>3302</v>
      </c>
      <c r="D8" s="0" t="s">
        <v>3314</v>
      </c>
      <c r="E8" s="0" t="s">
        <v>3315</v>
      </c>
      <c r="F8" s="0" t="s">
        <v>3306</v>
      </c>
      <c r="G8" s="0" t="s">
        <v>93</v>
      </c>
    </row>
    <row customHeight="1" ht="11.25">
      <c r="A9" s="0" t="s">
        <v>16</v>
      </c>
      <c r="B9" s="0" t="s">
        <v>113</v>
      </c>
      <c r="C9" s="0" t="s">
        <v>3302</v>
      </c>
      <c r="D9" s="0" t="s">
        <v>3316</v>
      </c>
      <c r="E9" s="0" t="s">
        <v>3317</v>
      </c>
      <c r="F9" s="0" t="s">
        <v>3306</v>
      </c>
      <c r="G9" s="0" t="s">
        <v>136</v>
      </c>
    </row>
    <row customHeight="1" ht="11.25">
      <c r="A10" s="0" t="s">
        <v>16</v>
      </c>
      <c r="B10" s="0" t="s">
        <v>113</v>
      </c>
      <c r="C10" s="0" t="s">
        <v>3302</v>
      </c>
      <c r="D10" s="0" t="s">
        <v>3318</v>
      </c>
      <c r="E10" s="0" t="s">
        <v>3319</v>
      </c>
      <c r="F10" s="0" t="s">
        <v>3306</v>
      </c>
      <c r="G10" s="0" t="s">
        <v>235</v>
      </c>
    </row>
    <row customHeight="1" ht="11.25">
      <c r="A11" s="0" t="s">
        <v>16</v>
      </c>
      <c r="B11" s="0" t="s">
        <v>113</v>
      </c>
      <c r="C11" s="0" t="s">
        <v>3302</v>
      </c>
      <c r="D11" s="0" t="s">
        <v>3320</v>
      </c>
      <c r="E11" s="0" t="s">
        <v>3321</v>
      </c>
      <c r="F11" s="0" t="s">
        <v>3322</v>
      </c>
      <c r="G11" s="0" t="s">
        <v>236</v>
      </c>
    </row>
    <row customHeight="1" ht="11.25">
      <c r="A12" s="0" t="s">
        <v>16</v>
      </c>
      <c r="B12" s="0" t="s">
        <v>113</v>
      </c>
      <c r="C12" s="0" t="s">
        <v>3302</v>
      </c>
      <c r="D12" s="0" t="s">
        <v>3323</v>
      </c>
      <c r="E12" s="0" t="s">
        <v>3324</v>
      </c>
      <c r="F12" s="0" t="s">
        <v>3306</v>
      </c>
      <c r="G12" s="0" t="s">
        <v>237</v>
      </c>
    </row>
    <row customHeight="1" ht="11.25">
      <c r="A13" s="0" t="s">
        <v>16</v>
      </c>
      <c r="B13" s="0" t="s">
        <v>3325</v>
      </c>
      <c r="C13" s="0" t="s">
        <v>3326</v>
      </c>
      <c r="D13" s="0" t="s">
        <v>3327</v>
      </c>
      <c r="E13" s="0" t="s">
        <v>3328</v>
      </c>
      <c r="F13" s="0" t="s">
        <v>3306</v>
      </c>
      <c r="G13" s="0" t="s">
        <v>238</v>
      </c>
    </row>
    <row customHeight="1" ht="11.25">
      <c r="A14" s="0" t="s">
        <v>16</v>
      </c>
      <c r="B14" s="0" t="s">
        <v>3325</v>
      </c>
      <c r="C14" s="0" t="s">
        <v>3326</v>
      </c>
      <c r="D14" s="0" t="s">
        <v>3325</v>
      </c>
      <c r="E14" s="0" t="s">
        <v>3326</v>
      </c>
      <c r="F14" s="0" t="s">
        <v>3303</v>
      </c>
      <c r="G14" s="0" t="s">
        <v>239</v>
      </c>
    </row>
    <row customHeight="1" ht="11.25">
      <c r="A15" s="0" t="s">
        <v>16</v>
      </c>
      <c r="B15" s="0" t="s">
        <v>3325</v>
      </c>
      <c r="C15" s="0" t="s">
        <v>3326</v>
      </c>
      <c r="D15" s="0" t="s">
        <v>3329</v>
      </c>
      <c r="E15" s="0" t="s">
        <v>3330</v>
      </c>
      <c r="F15" s="0" t="s">
        <v>3306</v>
      </c>
      <c r="G15" s="0" t="s">
        <v>240</v>
      </c>
    </row>
    <row customHeight="1" ht="11.25">
      <c r="A16" s="0" t="s">
        <v>16</v>
      </c>
      <c r="B16" s="0" t="s">
        <v>3325</v>
      </c>
      <c r="C16" s="0" t="s">
        <v>3326</v>
      </c>
      <c r="D16" s="0" t="s">
        <v>3331</v>
      </c>
      <c r="E16" s="0" t="s">
        <v>3332</v>
      </c>
      <c r="F16" s="0" t="s">
        <v>3333</v>
      </c>
      <c r="G16" s="0" t="s">
        <v>1228</v>
      </c>
    </row>
    <row customHeight="1" ht="11.25">
      <c r="A17" s="0" t="s">
        <v>16</v>
      </c>
      <c r="B17" s="0" t="s">
        <v>3325</v>
      </c>
      <c r="C17" s="0" t="s">
        <v>3326</v>
      </c>
      <c r="D17" s="0" t="s">
        <v>3334</v>
      </c>
      <c r="E17" s="0" t="s">
        <v>3335</v>
      </c>
      <c r="F17" s="0" t="s">
        <v>3306</v>
      </c>
      <c r="G17" s="0" t="s">
        <v>1230</v>
      </c>
    </row>
    <row customHeight="1" ht="11.25">
      <c r="A18" s="0" t="s">
        <v>16</v>
      </c>
      <c r="B18" s="0" t="s">
        <v>3325</v>
      </c>
      <c r="C18" s="0" t="s">
        <v>3326</v>
      </c>
      <c r="D18" s="0" t="s">
        <v>3336</v>
      </c>
      <c r="E18" s="0" t="s">
        <v>3337</v>
      </c>
      <c r="F18" s="0" t="s">
        <v>3306</v>
      </c>
      <c r="G18" s="0" t="s">
        <v>1232</v>
      </c>
    </row>
    <row customHeight="1" ht="11.25">
      <c r="A19" s="0" t="s">
        <v>16</v>
      </c>
      <c r="B19" s="0" t="s">
        <v>3338</v>
      </c>
      <c r="C19" s="0" t="s">
        <v>3339</v>
      </c>
      <c r="D19" s="0" t="s">
        <v>3338</v>
      </c>
      <c r="E19" s="0" t="s">
        <v>3339</v>
      </c>
      <c r="F19" s="0" t="s">
        <v>3303</v>
      </c>
      <c r="G19" s="0" t="s">
        <v>1234</v>
      </c>
    </row>
    <row customHeight="1" ht="11.25">
      <c r="A20" s="0" t="s">
        <v>16</v>
      </c>
      <c r="B20" s="0" t="s">
        <v>3338</v>
      </c>
      <c r="C20" s="0" t="s">
        <v>3339</v>
      </c>
      <c r="D20" s="0" t="s">
        <v>3340</v>
      </c>
      <c r="E20" s="0" t="s">
        <v>3341</v>
      </c>
      <c r="F20" s="0" t="s">
        <v>3306</v>
      </c>
      <c r="G20" s="0" t="s">
        <v>1237</v>
      </c>
    </row>
    <row customHeight="1" ht="11.25">
      <c r="A21" s="0" t="s">
        <v>16</v>
      </c>
      <c r="B21" s="0" t="s">
        <v>3338</v>
      </c>
      <c r="C21" s="0" t="s">
        <v>3339</v>
      </c>
      <c r="D21" s="0" t="s">
        <v>3342</v>
      </c>
      <c r="E21" s="0" t="s">
        <v>3343</v>
      </c>
      <c r="F21" s="0" t="s">
        <v>3309</v>
      </c>
      <c r="G21" s="0" t="s">
        <v>1240</v>
      </c>
    </row>
    <row customHeight="1" ht="11.25">
      <c r="A22" s="0" t="s">
        <v>16</v>
      </c>
      <c r="B22" s="0" t="s">
        <v>3338</v>
      </c>
      <c r="C22" s="0" t="s">
        <v>3339</v>
      </c>
      <c r="D22" s="0" t="s">
        <v>3344</v>
      </c>
      <c r="E22" s="0" t="s">
        <v>3345</v>
      </c>
      <c r="F22" s="0" t="s">
        <v>3306</v>
      </c>
      <c r="G22" s="0" t="s">
        <v>1243</v>
      </c>
    </row>
    <row customHeight="1" ht="11.25">
      <c r="A23" s="0" t="s">
        <v>16</v>
      </c>
      <c r="B23" s="0" t="s">
        <v>3338</v>
      </c>
      <c r="C23" s="0" t="s">
        <v>3339</v>
      </c>
      <c r="D23" s="0" t="s">
        <v>3346</v>
      </c>
      <c r="E23" s="0" t="s">
        <v>3347</v>
      </c>
      <c r="F23" s="0" t="s">
        <v>3306</v>
      </c>
      <c r="G23" s="0" t="s">
        <v>1246</v>
      </c>
    </row>
    <row customHeight="1" ht="11.25">
      <c r="A24" s="0" t="s">
        <v>16</v>
      </c>
      <c r="B24" s="0" t="s">
        <v>3338</v>
      </c>
      <c r="C24" s="0" t="s">
        <v>3339</v>
      </c>
      <c r="D24" s="0" t="s">
        <v>3348</v>
      </c>
      <c r="E24" s="0" t="s">
        <v>3349</v>
      </c>
      <c r="F24" s="0" t="s">
        <v>3306</v>
      </c>
      <c r="G24" s="0" t="s">
        <v>1248</v>
      </c>
    </row>
    <row customHeight="1" ht="11.25">
      <c r="A25" s="0" t="s">
        <v>16</v>
      </c>
      <c r="B25" s="0" t="s">
        <v>3338</v>
      </c>
      <c r="C25" s="0" t="s">
        <v>3339</v>
      </c>
      <c r="D25" s="0" t="s">
        <v>3350</v>
      </c>
      <c r="E25" s="0" t="s">
        <v>3351</v>
      </c>
      <c r="F25" s="0" t="s">
        <v>3306</v>
      </c>
      <c r="G25" s="0" t="s">
        <v>1250</v>
      </c>
    </row>
    <row customHeight="1" ht="11.25">
      <c r="A26" s="0" t="s">
        <v>16</v>
      </c>
      <c r="B26" s="0" t="s">
        <v>3338</v>
      </c>
      <c r="C26" s="0" t="s">
        <v>3339</v>
      </c>
      <c r="D26" s="0" t="s">
        <v>3352</v>
      </c>
      <c r="E26" s="0" t="s">
        <v>3353</v>
      </c>
      <c r="F26" s="0" t="s">
        <v>3306</v>
      </c>
      <c r="G26" s="0" t="s">
        <v>1252</v>
      </c>
    </row>
    <row customHeight="1" ht="11.25">
      <c r="A27" s="0" t="s">
        <v>16</v>
      </c>
      <c r="B27" s="0" t="s">
        <v>3338</v>
      </c>
      <c r="C27" s="0" t="s">
        <v>3339</v>
      </c>
      <c r="D27" s="0" t="s">
        <v>3354</v>
      </c>
      <c r="E27" s="0" t="s">
        <v>3355</v>
      </c>
      <c r="F27" s="0" t="s">
        <v>3306</v>
      </c>
      <c r="G27" s="0" t="s">
        <v>1254</v>
      </c>
    </row>
    <row customHeight="1" ht="11.25">
      <c r="A28" s="0" t="s">
        <v>16</v>
      </c>
      <c r="B28" s="0" t="s">
        <v>3338</v>
      </c>
      <c r="C28" s="0" t="s">
        <v>3339</v>
      </c>
      <c r="D28" s="0" t="s">
        <v>3356</v>
      </c>
      <c r="E28" s="0" t="s">
        <v>3357</v>
      </c>
      <c r="F28" s="0" t="s">
        <v>3306</v>
      </c>
      <c r="G28" s="0" t="s">
        <v>1256</v>
      </c>
    </row>
    <row customHeight="1" ht="11.25">
      <c r="A29" s="0" t="s">
        <v>16</v>
      </c>
      <c r="B29" s="0" t="s">
        <v>3358</v>
      </c>
      <c r="C29" s="0" t="s">
        <v>3359</v>
      </c>
      <c r="D29" s="0" t="s">
        <v>3358</v>
      </c>
      <c r="E29" s="0" t="s">
        <v>3359</v>
      </c>
      <c r="F29" s="0" t="s">
        <v>3303</v>
      </c>
      <c r="G29" s="0" t="s">
        <v>1258</v>
      </c>
    </row>
    <row customHeight="1" ht="11.25">
      <c r="A30" s="0" t="s">
        <v>16</v>
      </c>
      <c r="B30" s="0" t="s">
        <v>3358</v>
      </c>
      <c r="C30" s="0" t="s">
        <v>3359</v>
      </c>
      <c r="D30" s="0" t="s">
        <v>3360</v>
      </c>
      <c r="E30" s="0" t="s">
        <v>3361</v>
      </c>
      <c r="F30" s="0" t="s">
        <v>3306</v>
      </c>
      <c r="G30" s="0" t="s">
        <v>1261</v>
      </c>
    </row>
    <row customHeight="1" ht="11.25">
      <c r="A31" s="0" t="s">
        <v>16</v>
      </c>
      <c r="B31" s="0" t="s">
        <v>3358</v>
      </c>
      <c r="C31" s="0" t="s">
        <v>3359</v>
      </c>
      <c r="D31" s="0" t="s">
        <v>3362</v>
      </c>
      <c r="E31" s="0" t="s">
        <v>3363</v>
      </c>
      <c r="F31" s="0" t="s">
        <v>3306</v>
      </c>
      <c r="G31" s="0" t="s">
        <v>1263</v>
      </c>
    </row>
    <row customHeight="1" ht="11.25">
      <c r="A32" s="0" t="s">
        <v>16</v>
      </c>
      <c r="B32" s="0" t="s">
        <v>3358</v>
      </c>
      <c r="C32" s="0" t="s">
        <v>3359</v>
      </c>
      <c r="D32" s="0" t="s">
        <v>3364</v>
      </c>
      <c r="E32" s="0" t="s">
        <v>3365</v>
      </c>
      <c r="F32" s="0" t="s">
        <v>3306</v>
      </c>
      <c r="G32" s="0" t="s">
        <v>1265</v>
      </c>
    </row>
    <row customHeight="1" ht="11.25">
      <c r="A33" s="0" t="s">
        <v>16</v>
      </c>
      <c r="B33" s="0" t="s">
        <v>3358</v>
      </c>
      <c r="C33" s="0" t="s">
        <v>3359</v>
      </c>
      <c r="D33" s="0" t="s">
        <v>3366</v>
      </c>
      <c r="E33" s="0" t="s">
        <v>3367</v>
      </c>
      <c r="F33" s="0" t="s">
        <v>3322</v>
      </c>
      <c r="G33" s="0" t="s">
        <v>1267</v>
      </c>
    </row>
    <row customHeight="1" ht="11.25">
      <c r="A34" s="0" t="s">
        <v>16</v>
      </c>
      <c r="B34" s="0" t="s">
        <v>3358</v>
      </c>
      <c r="C34" s="0" t="s">
        <v>3359</v>
      </c>
      <c r="D34" s="0" t="s">
        <v>3368</v>
      </c>
      <c r="E34" s="0" t="s">
        <v>3369</v>
      </c>
      <c r="F34" s="0" t="s">
        <v>3322</v>
      </c>
      <c r="G34" s="0" t="s">
        <v>1269</v>
      </c>
    </row>
    <row customHeight="1" ht="11.25">
      <c r="A35" s="0" t="s">
        <v>16</v>
      </c>
      <c r="B35" s="0" t="s">
        <v>3358</v>
      </c>
      <c r="C35" s="0" t="s">
        <v>3359</v>
      </c>
      <c r="D35" s="0" t="s">
        <v>3370</v>
      </c>
      <c r="E35" s="0" t="s">
        <v>3371</v>
      </c>
      <c r="F35" s="0" t="s">
        <v>3322</v>
      </c>
      <c r="G35" s="0" t="s">
        <v>1271</v>
      </c>
    </row>
    <row customHeight="1" ht="11.25">
      <c r="A36" s="0" t="s">
        <v>16</v>
      </c>
      <c r="B36" s="0" t="s">
        <v>3358</v>
      </c>
      <c r="C36" s="0" t="s">
        <v>3359</v>
      </c>
      <c r="D36" s="0" t="s">
        <v>3372</v>
      </c>
      <c r="E36" s="0" t="s">
        <v>3373</v>
      </c>
      <c r="F36" s="0" t="s">
        <v>3306</v>
      </c>
      <c r="G36" s="0" t="s">
        <v>1274</v>
      </c>
    </row>
    <row customHeight="1" ht="11.25">
      <c r="A37" s="0" t="s">
        <v>16</v>
      </c>
      <c r="B37" s="0" t="s">
        <v>3358</v>
      </c>
      <c r="C37" s="0" t="s">
        <v>3359</v>
      </c>
      <c r="D37" s="0" t="s">
        <v>3374</v>
      </c>
      <c r="E37" s="0" t="s">
        <v>3375</v>
      </c>
      <c r="F37" s="0" t="s">
        <v>3306</v>
      </c>
      <c r="G37" s="0" t="s">
        <v>1277</v>
      </c>
    </row>
    <row customHeight="1" ht="11.25">
      <c r="A38" s="0" t="s">
        <v>16</v>
      </c>
      <c r="B38" s="0" t="s">
        <v>3358</v>
      </c>
      <c r="C38" s="0" t="s">
        <v>3359</v>
      </c>
      <c r="D38" s="0" t="s">
        <v>3376</v>
      </c>
      <c r="E38" s="0" t="s">
        <v>3377</v>
      </c>
      <c r="F38" s="0" t="s">
        <v>3306</v>
      </c>
      <c r="G38" s="0" t="s">
        <v>1279</v>
      </c>
    </row>
    <row customHeight="1" ht="11.25">
      <c r="A39" s="0" t="s">
        <v>16</v>
      </c>
      <c r="B39" s="0" t="s">
        <v>3358</v>
      </c>
      <c r="C39" s="0" t="s">
        <v>3359</v>
      </c>
      <c r="D39" s="0" t="s">
        <v>3378</v>
      </c>
      <c r="E39" s="0" t="s">
        <v>3379</v>
      </c>
      <c r="F39" s="0" t="s">
        <v>3306</v>
      </c>
      <c r="G39" s="0" t="s">
        <v>1281</v>
      </c>
    </row>
    <row customHeight="1" ht="11.25">
      <c r="A40" s="0" t="s">
        <v>16</v>
      </c>
      <c r="B40" s="0" t="s">
        <v>129</v>
      </c>
      <c r="C40" s="0" t="s">
        <v>3380</v>
      </c>
      <c r="D40" s="0" t="s">
        <v>3381</v>
      </c>
      <c r="E40" s="0" t="s">
        <v>3382</v>
      </c>
      <c r="F40" s="0" t="s">
        <v>3306</v>
      </c>
      <c r="G40" s="0" t="s">
        <v>1283</v>
      </c>
    </row>
    <row customHeight="1" ht="11.25">
      <c r="A41" s="0" t="s">
        <v>16</v>
      </c>
      <c r="B41" s="0" t="s">
        <v>129</v>
      </c>
      <c r="C41" s="0" t="s">
        <v>3380</v>
      </c>
      <c r="D41" s="0" t="s">
        <v>3383</v>
      </c>
      <c r="E41" s="0" t="s">
        <v>3384</v>
      </c>
      <c r="F41" s="0" t="s">
        <v>3306</v>
      </c>
      <c r="G41" s="0" t="s">
        <v>1285</v>
      </c>
    </row>
    <row customHeight="1" ht="11.25">
      <c r="A42" s="0" t="s">
        <v>16</v>
      </c>
      <c r="B42" s="0" t="s">
        <v>129</v>
      </c>
      <c r="C42" s="0" t="s">
        <v>3380</v>
      </c>
      <c r="D42" s="0" t="s">
        <v>129</v>
      </c>
      <c r="E42" s="0" t="s">
        <v>3380</v>
      </c>
      <c r="F42" s="0" t="s">
        <v>3303</v>
      </c>
      <c r="G42" s="0" t="s">
        <v>1288</v>
      </c>
    </row>
    <row customHeight="1" ht="11.25">
      <c r="A43" s="0" t="s">
        <v>16</v>
      </c>
      <c r="B43" s="0" t="s">
        <v>129</v>
      </c>
      <c r="C43" s="0" t="s">
        <v>3380</v>
      </c>
      <c r="D43" s="0" t="s">
        <v>3385</v>
      </c>
      <c r="E43" s="0" t="s">
        <v>3386</v>
      </c>
      <c r="F43" s="0" t="s">
        <v>3306</v>
      </c>
      <c r="G43" s="0" t="s">
        <v>1290</v>
      </c>
    </row>
    <row customHeight="1" ht="11.25">
      <c r="A44" s="0" t="s">
        <v>16</v>
      </c>
      <c r="B44" s="0" t="s">
        <v>129</v>
      </c>
      <c r="C44" s="0" t="s">
        <v>3380</v>
      </c>
      <c r="D44" s="0" t="s">
        <v>3387</v>
      </c>
      <c r="E44" s="0" t="s">
        <v>3388</v>
      </c>
      <c r="F44" s="0" t="s">
        <v>3333</v>
      </c>
      <c r="G44" s="0" t="s">
        <v>1292</v>
      </c>
    </row>
    <row customHeight="1" ht="11.25">
      <c r="A45" s="0" t="s">
        <v>16</v>
      </c>
      <c r="B45" s="0" t="s">
        <v>129</v>
      </c>
      <c r="C45" s="0" t="s">
        <v>3380</v>
      </c>
      <c r="D45" s="0" t="s">
        <v>3389</v>
      </c>
      <c r="E45" s="0" t="s">
        <v>3390</v>
      </c>
      <c r="F45" s="0" t="s">
        <v>3322</v>
      </c>
      <c r="G45" s="0" t="s">
        <v>1295</v>
      </c>
    </row>
    <row customHeight="1" ht="11.25">
      <c r="A46" s="0" t="s">
        <v>16</v>
      </c>
      <c r="B46" s="0" t="s">
        <v>129</v>
      </c>
      <c r="C46" s="0" t="s">
        <v>3380</v>
      </c>
      <c r="D46" s="0" t="s">
        <v>130</v>
      </c>
      <c r="E46" s="0" t="s">
        <v>131</v>
      </c>
      <c r="F46" s="0" t="s">
        <v>3322</v>
      </c>
      <c r="G46" s="0" t="s">
        <v>128</v>
      </c>
    </row>
    <row customHeight="1" ht="11.25">
      <c r="A47" s="0" t="s">
        <v>16</v>
      </c>
      <c r="B47" s="0" t="s">
        <v>129</v>
      </c>
      <c r="C47" s="0" t="s">
        <v>3380</v>
      </c>
      <c r="D47" s="0" t="s">
        <v>3391</v>
      </c>
      <c r="E47" s="0" t="s">
        <v>3392</v>
      </c>
      <c r="F47" s="0" t="s">
        <v>3306</v>
      </c>
      <c r="G47" s="0" t="s">
        <v>1298</v>
      </c>
    </row>
    <row customHeight="1" ht="11.25">
      <c r="A48" s="0" t="s">
        <v>16</v>
      </c>
      <c r="B48" s="0" t="s">
        <v>129</v>
      </c>
      <c r="C48" s="0" t="s">
        <v>3380</v>
      </c>
      <c r="D48" s="0" t="s">
        <v>3393</v>
      </c>
      <c r="E48" s="0" t="s">
        <v>3394</v>
      </c>
      <c r="F48" s="0" t="s">
        <v>3306</v>
      </c>
      <c r="G48" s="0" t="s">
        <v>1300</v>
      </c>
    </row>
    <row customHeight="1" ht="11.25">
      <c r="A49" s="0" t="s">
        <v>16</v>
      </c>
      <c r="B49" s="0" t="s">
        <v>129</v>
      </c>
      <c r="C49" s="0" t="s">
        <v>3380</v>
      </c>
      <c r="D49" s="0" t="s">
        <v>3395</v>
      </c>
      <c r="E49" s="0" t="s">
        <v>3396</v>
      </c>
      <c r="F49" s="0" t="s">
        <v>3306</v>
      </c>
      <c r="G49" s="0" t="s">
        <v>1302</v>
      </c>
    </row>
    <row customHeight="1" ht="11.25">
      <c r="A50" s="0" t="s">
        <v>16</v>
      </c>
      <c r="B50" s="0" t="s">
        <v>129</v>
      </c>
      <c r="C50" s="0" t="s">
        <v>3380</v>
      </c>
      <c r="D50" s="0" t="s">
        <v>3397</v>
      </c>
      <c r="E50" s="0" t="s">
        <v>3398</v>
      </c>
      <c r="F50" s="0" t="s">
        <v>3306</v>
      </c>
      <c r="G50" s="0" t="s">
        <v>1911</v>
      </c>
    </row>
    <row customHeight="1" ht="11.25">
      <c r="A51" s="0" t="s">
        <v>16</v>
      </c>
      <c r="B51" s="0" t="s">
        <v>129</v>
      </c>
      <c r="C51" s="0" t="s">
        <v>3380</v>
      </c>
      <c r="D51" s="0" t="s">
        <v>3399</v>
      </c>
      <c r="E51" s="0" t="s">
        <v>3400</v>
      </c>
      <c r="F51" s="0" t="s">
        <v>3306</v>
      </c>
      <c r="G51" s="0" t="s">
        <v>1916</v>
      </c>
    </row>
    <row customHeight="1" ht="11.25">
      <c r="A52" s="0" t="s">
        <v>16</v>
      </c>
      <c r="B52" s="0" t="s">
        <v>129</v>
      </c>
      <c r="C52" s="0" t="s">
        <v>3380</v>
      </c>
      <c r="D52" s="0" t="s">
        <v>3401</v>
      </c>
      <c r="E52" s="0" t="s">
        <v>3402</v>
      </c>
      <c r="F52" s="0" t="s">
        <v>3306</v>
      </c>
      <c r="G52" s="0" t="s">
        <v>1920</v>
      </c>
    </row>
    <row customHeight="1" ht="11.25">
      <c r="A53" s="0" t="s">
        <v>16</v>
      </c>
      <c r="B53" s="0" t="s">
        <v>129</v>
      </c>
      <c r="C53" s="0" t="s">
        <v>3380</v>
      </c>
      <c r="D53" s="0" t="s">
        <v>3403</v>
      </c>
      <c r="E53" s="0" t="s">
        <v>3404</v>
      </c>
      <c r="F53" s="0" t="s">
        <v>3306</v>
      </c>
      <c r="G53" s="0" t="s">
        <v>1922</v>
      </c>
    </row>
    <row customHeight="1" ht="11.25">
      <c r="A54" s="0" t="s">
        <v>16</v>
      </c>
      <c r="B54" s="0" t="s">
        <v>129</v>
      </c>
      <c r="C54" s="0" t="s">
        <v>3380</v>
      </c>
      <c r="D54" s="0" t="s">
        <v>3405</v>
      </c>
      <c r="E54" s="0" t="s">
        <v>3406</v>
      </c>
      <c r="F54" s="0" t="s">
        <v>3306</v>
      </c>
      <c r="G54" s="0" t="s">
        <v>1925</v>
      </c>
    </row>
    <row customHeight="1" ht="11.25">
      <c r="A55" s="0" t="s">
        <v>16</v>
      </c>
      <c r="B55" s="0" t="s">
        <v>3407</v>
      </c>
      <c r="C55" s="0" t="s">
        <v>3408</v>
      </c>
      <c r="D55" s="0" t="s">
        <v>3409</v>
      </c>
      <c r="E55" s="0" t="s">
        <v>3410</v>
      </c>
      <c r="F55" s="0" t="s">
        <v>3306</v>
      </c>
      <c r="G55" s="0" t="s">
        <v>1930</v>
      </c>
    </row>
    <row customHeight="1" ht="11.25">
      <c r="A56" s="0" t="s">
        <v>16</v>
      </c>
      <c r="B56" s="0" t="s">
        <v>3407</v>
      </c>
      <c r="C56" s="0" t="s">
        <v>3408</v>
      </c>
      <c r="D56" s="0" t="s">
        <v>3411</v>
      </c>
      <c r="E56" s="0" t="s">
        <v>3412</v>
      </c>
      <c r="F56" s="0" t="s">
        <v>3306</v>
      </c>
      <c r="G56" s="0" t="s">
        <v>1934</v>
      </c>
    </row>
    <row customHeight="1" ht="11.25">
      <c r="A57" s="0" t="s">
        <v>16</v>
      </c>
      <c r="B57" s="0" t="s">
        <v>3407</v>
      </c>
      <c r="C57" s="0" t="s">
        <v>3408</v>
      </c>
      <c r="D57" s="0" t="s">
        <v>3413</v>
      </c>
      <c r="E57" s="0" t="s">
        <v>3414</v>
      </c>
      <c r="F57" s="0" t="s">
        <v>3306</v>
      </c>
      <c r="G57" s="0" t="s">
        <v>1937</v>
      </c>
    </row>
    <row customHeight="1" ht="11.25">
      <c r="A58" s="0" t="s">
        <v>16</v>
      </c>
      <c r="B58" s="0" t="s">
        <v>3407</v>
      </c>
      <c r="C58" s="0" t="s">
        <v>3408</v>
      </c>
      <c r="D58" s="0" t="s">
        <v>3415</v>
      </c>
      <c r="E58" s="0" t="s">
        <v>3416</v>
      </c>
      <c r="F58" s="0" t="s">
        <v>3306</v>
      </c>
      <c r="G58" s="0" t="s">
        <v>1940</v>
      </c>
    </row>
    <row customHeight="1" ht="11.25">
      <c r="A59" s="0" t="s">
        <v>16</v>
      </c>
      <c r="B59" s="0" t="s">
        <v>3407</v>
      </c>
      <c r="C59" s="0" t="s">
        <v>3408</v>
      </c>
      <c r="D59" s="0" t="s">
        <v>3407</v>
      </c>
      <c r="E59" s="0" t="s">
        <v>3408</v>
      </c>
      <c r="F59" s="0" t="s">
        <v>3303</v>
      </c>
      <c r="G59" s="0" t="s">
        <v>1944</v>
      </c>
    </row>
    <row customHeight="1" ht="11.25">
      <c r="A60" s="0" t="s">
        <v>16</v>
      </c>
      <c r="B60" s="0" t="s">
        <v>3407</v>
      </c>
      <c r="C60" s="0" t="s">
        <v>3408</v>
      </c>
      <c r="D60" s="0" t="s">
        <v>3417</v>
      </c>
      <c r="E60" s="0" t="s">
        <v>3418</v>
      </c>
      <c r="F60" s="0" t="s">
        <v>3306</v>
      </c>
      <c r="G60" s="0" t="s">
        <v>1947</v>
      </c>
    </row>
    <row customHeight="1" ht="11.25">
      <c r="A61" s="0" t="s">
        <v>16</v>
      </c>
      <c r="B61" s="0" t="s">
        <v>3407</v>
      </c>
      <c r="C61" s="0" t="s">
        <v>3408</v>
      </c>
      <c r="D61" s="0" t="s">
        <v>3419</v>
      </c>
      <c r="E61" s="0" t="s">
        <v>3420</v>
      </c>
      <c r="F61" s="0" t="s">
        <v>3309</v>
      </c>
      <c r="G61" s="0" t="s">
        <v>3421</v>
      </c>
    </row>
    <row customHeight="1" ht="11.25">
      <c r="A62" s="0" t="s">
        <v>16</v>
      </c>
      <c r="B62" s="0" t="s">
        <v>3407</v>
      </c>
      <c r="C62" s="0" t="s">
        <v>3408</v>
      </c>
      <c r="D62" s="0" t="s">
        <v>3422</v>
      </c>
      <c r="E62" s="0" t="s">
        <v>3423</v>
      </c>
      <c r="F62" s="0" t="s">
        <v>3306</v>
      </c>
      <c r="G62" s="0" t="s">
        <v>3424</v>
      </c>
    </row>
    <row customHeight="1" ht="11.25">
      <c r="A63" s="0" t="s">
        <v>16</v>
      </c>
      <c r="B63" s="0" t="s">
        <v>3407</v>
      </c>
      <c r="C63" s="0" t="s">
        <v>3408</v>
      </c>
      <c r="D63" s="0" t="s">
        <v>3425</v>
      </c>
      <c r="E63" s="0" t="s">
        <v>3426</v>
      </c>
      <c r="F63" s="0" t="s">
        <v>3306</v>
      </c>
      <c r="G63" s="0" t="s">
        <v>3427</v>
      </c>
    </row>
    <row customHeight="1" ht="11.25">
      <c r="A64" s="0" t="s">
        <v>16</v>
      </c>
      <c r="B64" s="0" t="s">
        <v>3407</v>
      </c>
      <c r="C64" s="0" t="s">
        <v>3408</v>
      </c>
      <c r="D64" s="0" t="s">
        <v>3428</v>
      </c>
      <c r="E64" s="0" t="s">
        <v>3429</v>
      </c>
      <c r="F64" s="0" t="s">
        <v>3306</v>
      </c>
      <c r="G64" s="0" t="s">
        <v>3430</v>
      </c>
    </row>
    <row customHeight="1" ht="11.25">
      <c r="A65" s="0" t="s">
        <v>16</v>
      </c>
      <c r="B65" s="0" t="s">
        <v>3407</v>
      </c>
      <c r="C65" s="0" t="s">
        <v>3408</v>
      </c>
      <c r="D65" s="0" t="s">
        <v>3431</v>
      </c>
      <c r="E65" s="0" t="s">
        <v>3432</v>
      </c>
      <c r="F65" s="0" t="s">
        <v>3306</v>
      </c>
      <c r="G65" s="0" t="s">
        <v>3433</v>
      </c>
    </row>
    <row customHeight="1" ht="11.25">
      <c r="A66" s="0" t="s">
        <v>16</v>
      </c>
      <c r="B66" s="0" t="s">
        <v>3407</v>
      </c>
      <c r="C66" s="0" t="s">
        <v>3408</v>
      </c>
      <c r="D66" s="0" t="s">
        <v>3434</v>
      </c>
      <c r="E66" s="0" t="s">
        <v>3435</v>
      </c>
      <c r="F66" s="0" t="s">
        <v>3306</v>
      </c>
      <c r="G66" s="0" t="s">
        <v>3436</v>
      </c>
    </row>
    <row customHeight="1" ht="11.25">
      <c r="A67" s="0" t="s">
        <v>16</v>
      </c>
      <c r="B67" s="0" t="s">
        <v>3407</v>
      </c>
      <c r="C67" s="0" t="s">
        <v>3408</v>
      </c>
      <c r="D67" s="0" t="s">
        <v>3437</v>
      </c>
      <c r="E67" s="0" t="s">
        <v>3438</v>
      </c>
      <c r="F67" s="0" t="s">
        <v>3306</v>
      </c>
      <c r="G67" s="0" t="s">
        <v>2257</v>
      </c>
    </row>
    <row customHeight="1" ht="11.25">
      <c r="A68" s="0" t="s">
        <v>16</v>
      </c>
      <c r="B68" s="0" t="s">
        <v>3407</v>
      </c>
      <c r="C68" s="0" t="s">
        <v>3408</v>
      </c>
      <c r="D68" s="0" t="s">
        <v>3439</v>
      </c>
      <c r="E68" s="0" t="s">
        <v>3440</v>
      </c>
      <c r="F68" s="0" t="s">
        <v>3306</v>
      </c>
      <c r="G68" s="0" t="s">
        <v>3441</v>
      </c>
    </row>
    <row customHeight="1" ht="11.25">
      <c r="A69" s="0" t="s">
        <v>16</v>
      </c>
      <c r="B69" s="0" t="s">
        <v>3407</v>
      </c>
      <c r="C69" s="0" t="s">
        <v>3408</v>
      </c>
      <c r="D69" s="0" t="s">
        <v>3442</v>
      </c>
      <c r="E69" s="0" t="s">
        <v>3443</v>
      </c>
      <c r="F69" s="0" t="s">
        <v>3306</v>
      </c>
      <c r="G69" s="0" t="s">
        <v>2457</v>
      </c>
    </row>
    <row customHeight="1" ht="11.25">
      <c r="A70" s="0" t="s">
        <v>16</v>
      </c>
      <c r="B70" s="0" t="s">
        <v>3407</v>
      </c>
      <c r="C70" s="0" t="s">
        <v>3408</v>
      </c>
      <c r="D70" s="0" t="s">
        <v>3444</v>
      </c>
      <c r="E70" s="0" t="s">
        <v>3445</v>
      </c>
      <c r="F70" s="0" t="s">
        <v>3306</v>
      </c>
      <c r="G70" s="0" t="s">
        <v>3446</v>
      </c>
    </row>
    <row customHeight="1" ht="11.25">
      <c r="A71" s="0" t="s">
        <v>16</v>
      </c>
      <c r="B71" s="0" t="s">
        <v>3407</v>
      </c>
      <c r="C71" s="0" t="s">
        <v>3408</v>
      </c>
      <c r="D71" s="0" t="s">
        <v>3447</v>
      </c>
      <c r="E71" s="0" t="s">
        <v>3448</v>
      </c>
      <c r="F71" s="0" t="s">
        <v>3306</v>
      </c>
      <c r="G71" s="0" t="s">
        <v>3449</v>
      </c>
    </row>
    <row customHeight="1" ht="11.25">
      <c r="A72" s="0" t="s">
        <v>16</v>
      </c>
      <c r="B72" s="0" t="s">
        <v>3407</v>
      </c>
      <c r="C72" s="0" t="s">
        <v>3408</v>
      </c>
      <c r="D72" s="0" t="s">
        <v>3450</v>
      </c>
      <c r="E72" s="0" t="s">
        <v>3451</v>
      </c>
      <c r="F72" s="0" t="s">
        <v>3306</v>
      </c>
      <c r="G72" s="0" t="s">
        <v>3452</v>
      </c>
    </row>
    <row customHeight="1" ht="11.25">
      <c r="A73" s="0" t="s">
        <v>16</v>
      </c>
      <c r="B73" s="0" t="s">
        <v>3407</v>
      </c>
      <c r="C73" s="0" t="s">
        <v>3408</v>
      </c>
      <c r="D73" s="0" t="s">
        <v>3453</v>
      </c>
      <c r="E73" s="0" t="s">
        <v>3454</v>
      </c>
      <c r="F73" s="0" t="s">
        <v>3306</v>
      </c>
      <c r="G73" s="0" t="s">
        <v>3455</v>
      </c>
    </row>
    <row customHeight="1" ht="11.25">
      <c r="A74" s="0" t="s">
        <v>16</v>
      </c>
      <c r="B74" s="0" t="s">
        <v>3407</v>
      </c>
      <c r="C74" s="0" t="s">
        <v>3408</v>
      </c>
      <c r="D74" s="0" t="s">
        <v>3456</v>
      </c>
      <c r="E74" s="0" t="s">
        <v>3457</v>
      </c>
      <c r="F74" s="0" t="s">
        <v>3306</v>
      </c>
      <c r="G74" s="0" t="s">
        <v>3458</v>
      </c>
    </row>
    <row customHeight="1" ht="11.25">
      <c r="A75" s="0" t="s">
        <v>16</v>
      </c>
      <c r="B75" s="0" t="s">
        <v>110</v>
      </c>
      <c r="C75" s="0" t="s">
        <v>111</v>
      </c>
      <c r="D75" s="0" t="s">
        <v>110</v>
      </c>
      <c r="E75" s="0" t="s">
        <v>111</v>
      </c>
      <c r="F75" s="0" t="s">
        <v>3459</v>
      </c>
      <c r="G75" s="0" t="s">
        <v>109</v>
      </c>
    </row>
    <row customHeight="1" ht="11.25">
      <c r="A76" s="0" t="s">
        <v>16</v>
      </c>
      <c r="B76" s="0" t="s">
        <v>3460</v>
      </c>
      <c r="C76" s="0" t="s">
        <v>3461</v>
      </c>
      <c r="D76" s="0" t="s">
        <v>3462</v>
      </c>
      <c r="E76" s="0" t="s">
        <v>3463</v>
      </c>
      <c r="F76" s="0" t="s">
        <v>3306</v>
      </c>
      <c r="G76" s="0" t="s">
        <v>3464</v>
      </c>
    </row>
    <row customHeight="1" ht="11.25">
      <c r="A77" s="0" t="s">
        <v>16</v>
      </c>
      <c r="B77" s="0" t="s">
        <v>3460</v>
      </c>
      <c r="C77" s="0" t="s">
        <v>3461</v>
      </c>
      <c r="D77" s="0" t="s">
        <v>3465</v>
      </c>
      <c r="E77" s="0" t="s">
        <v>3466</v>
      </c>
      <c r="F77" s="0" t="s">
        <v>3306</v>
      </c>
      <c r="G77" s="0" t="s">
        <v>3467</v>
      </c>
    </row>
    <row customHeight="1" ht="11.25">
      <c r="A78" s="0" t="s">
        <v>16</v>
      </c>
      <c r="B78" s="0" t="s">
        <v>3460</v>
      </c>
      <c r="C78" s="0" t="s">
        <v>3461</v>
      </c>
      <c r="D78" s="0" t="s">
        <v>3468</v>
      </c>
      <c r="E78" s="0" t="s">
        <v>3469</v>
      </c>
      <c r="F78" s="0" t="s">
        <v>3306</v>
      </c>
      <c r="G78" s="0" t="s">
        <v>3470</v>
      </c>
    </row>
    <row customHeight="1" ht="11.25">
      <c r="A79" s="0" t="s">
        <v>16</v>
      </c>
      <c r="B79" s="0" t="s">
        <v>3460</v>
      </c>
      <c r="C79" s="0" t="s">
        <v>3461</v>
      </c>
      <c r="D79" s="0" t="s">
        <v>3471</v>
      </c>
      <c r="E79" s="0" t="s">
        <v>3472</v>
      </c>
      <c r="F79" s="0" t="s">
        <v>3306</v>
      </c>
      <c r="G79" s="0" t="s">
        <v>3473</v>
      </c>
    </row>
    <row customHeight="1" ht="11.25">
      <c r="A80" s="0" t="s">
        <v>16</v>
      </c>
      <c r="B80" s="0" t="s">
        <v>3460</v>
      </c>
      <c r="C80" s="0" t="s">
        <v>3461</v>
      </c>
      <c r="D80" s="0" t="s">
        <v>3474</v>
      </c>
      <c r="E80" s="0" t="s">
        <v>3475</v>
      </c>
      <c r="F80" s="0" t="s">
        <v>3306</v>
      </c>
      <c r="G80" s="0" t="s">
        <v>3476</v>
      </c>
    </row>
    <row customHeight="1" ht="11.25">
      <c r="A81" s="0" t="s">
        <v>16</v>
      </c>
      <c r="B81" s="0" t="s">
        <v>3460</v>
      </c>
      <c r="C81" s="0" t="s">
        <v>3461</v>
      </c>
      <c r="D81" s="0" t="s">
        <v>3477</v>
      </c>
      <c r="E81" s="0" t="s">
        <v>3478</v>
      </c>
      <c r="F81" s="0" t="s">
        <v>3306</v>
      </c>
      <c r="G81" s="0" t="s">
        <v>3479</v>
      </c>
    </row>
    <row customHeight="1" ht="11.25">
      <c r="A82" s="0" t="s">
        <v>16</v>
      </c>
      <c r="B82" s="0" t="s">
        <v>3460</v>
      </c>
      <c r="C82" s="0" t="s">
        <v>3461</v>
      </c>
      <c r="D82" s="0" t="s">
        <v>3480</v>
      </c>
      <c r="E82" s="0" t="s">
        <v>3481</v>
      </c>
      <c r="F82" s="0" t="s">
        <v>3306</v>
      </c>
      <c r="G82" s="0" t="s">
        <v>3482</v>
      </c>
    </row>
    <row customHeight="1" ht="11.25">
      <c r="A83" s="0" t="s">
        <v>16</v>
      </c>
      <c r="B83" s="0" t="s">
        <v>3460</v>
      </c>
      <c r="C83" s="0" t="s">
        <v>3461</v>
      </c>
      <c r="D83" s="0" t="s">
        <v>3483</v>
      </c>
      <c r="E83" s="0" t="s">
        <v>3484</v>
      </c>
      <c r="F83" s="0" t="s">
        <v>3306</v>
      </c>
      <c r="G83" s="0" t="s">
        <v>3485</v>
      </c>
    </row>
    <row customHeight="1" ht="11.25">
      <c r="A84" s="0" t="s">
        <v>16</v>
      </c>
      <c r="B84" s="0" t="s">
        <v>3460</v>
      </c>
      <c r="C84" s="0" t="s">
        <v>3461</v>
      </c>
      <c r="D84" s="0" t="s">
        <v>3486</v>
      </c>
      <c r="E84" s="0" t="s">
        <v>3487</v>
      </c>
      <c r="F84" s="0" t="s">
        <v>3306</v>
      </c>
      <c r="G84" s="0" t="s">
        <v>3488</v>
      </c>
    </row>
    <row customHeight="1" ht="11.25">
      <c r="A85" s="0" t="s">
        <v>16</v>
      </c>
      <c r="B85" s="0" t="s">
        <v>3460</v>
      </c>
      <c r="C85" s="0" t="s">
        <v>3461</v>
      </c>
      <c r="D85" s="0" t="s">
        <v>3460</v>
      </c>
      <c r="E85" s="0" t="s">
        <v>3461</v>
      </c>
      <c r="F85" s="0" t="s">
        <v>3303</v>
      </c>
      <c r="G85" s="0" t="s">
        <v>3489</v>
      </c>
    </row>
    <row customHeight="1" ht="11.25">
      <c r="A86" s="0" t="s">
        <v>16</v>
      </c>
      <c r="B86" s="0" t="s">
        <v>3460</v>
      </c>
      <c r="C86" s="0" t="s">
        <v>3461</v>
      </c>
      <c r="D86" s="0" t="s">
        <v>3490</v>
      </c>
      <c r="E86" s="0" t="s">
        <v>3491</v>
      </c>
      <c r="F86" s="0" t="s">
        <v>3306</v>
      </c>
      <c r="G86" s="0" t="s">
        <v>3492</v>
      </c>
    </row>
    <row customHeight="1" ht="11.25">
      <c r="A87" s="0" t="s">
        <v>16</v>
      </c>
      <c r="B87" s="0" t="s">
        <v>3460</v>
      </c>
      <c r="C87" s="0" t="s">
        <v>3461</v>
      </c>
      <c r="D87" s="0" t="s">
        <v>3493</v>
      </c>
      <c r="E87" s="0" t="s">
        <v>3494</v>
      </c>
      <c r="F87" s="0" t="s">
        <v>3306</v>
      </c>
      <c r="G87" s="0" t="s">
        <v>3495</v>
      </c>
    </row>
    <row customHeight="1" ht="11.25">
      <c r="A88" s="0" t="s">
        <v>16</v>
      </c>
      <c r="B88" s="0" t="s">
        <v>3460</v>
      </c>
      <c r="C88" s="0" t="s">
        <v>3461</v>
      </c>
      <c r="D88" s="0" t="s">
        <v>3496</v>
      </c>
      <c r="E88" s="0" t="s">
        <v>3497</v>
      </c>
      <c r="F88" s="0" t="s">
        <v>3306</v>
      </c>
      <c r="G88" s="0" t="s">
        <v>3498</v>
      </c>
    </row>
    <row customHeight="1" ht="11.25">
      <c r="A89" s="0" t="s">
        <v>16</v>
      </c>
      <c r="B89" s="0" t="s">
        <v>3460</v>
      </c>
      <c r="C89" s="0" t="s">
        <v>3461</v>
      </c>
      <c r="D89" s="0" t="s">
        <v>3499</v>
      </c>
      <c r="E89" s="0" t="s">
        <v>3500</v>
      </c>
      <c r="F89" s="0" t="s">
        <v>3306</v>
      </c>
      <c r="G89" s="0" t="s">
        <v>3501</v>
      </c>
    </row>
    <row customHeight="1" ht="11.25">
      <c r="A90" s="0" t="s">
        <v>16</v>
      </c>
      <c r="B90" s="0" t="s">
        <v>3460</v>
      </c>
      <c r="C90" s="0" t="s">
        <v>3461</v>
      </c>
      <c r="D90" s="0" t="s">
        <v>3502</v>
      </c>
      <c r="E90" s="0" t="s">
        <v>3503</v>
      </c>
      <c r="F90" s="0" t="s">
        <v>3306</v>
      </c>
      <c r="G90" s="0" t="s">
        <v>3504</v>
      </c>
    </row>
    <row customHeight="1" ht="11.25">
      <c r="A91" s="0" t="s">
        <v>16</v>
      </c>
      <c r="B91" s="0" t="s">
        <v>3460</v>
      </c>
      <c r="C91" s="0" t="s">
        <v>3461</v>
      </c>
      <c r="D91" s="0" t="s">
        <v>3505</v>
      </c>
      <c r="E91" s="0" t="s">
        <v>3506</v>
      </c>
      <c r="F91" s="0" t="s">
        <v>3306</v>
      </c>
      <c r="G91" s="0" t="s">
        <v>3507</v>
      </c>
    </row>
    <row customHeight="1" ht="11.25">
      <c r="A92" s="0" t="s">
        <v>16</v>
      </c>
      <c r="B92" s="0" t="s">
        <v>3460</v>
      </c>
      <c r="C92" s="0" t="s">
        <v>3461</v>
      </c>
      <c r="D92" s="0" t="s">
        <v>3508</v>
      </c>
      <c r="E92" s="0" t="s">
        <v>3509</v>
      </c>
      <c r="F92" s="0" t="s">
        <v>3306</v>
      </c>
      <c r="G92" s="0" t="s">
        <v>3510</v>
      </c>
    </row>
    <row customHeight="1" ht="11.25">
      <c r="A93" s="0" t="s">
        <v>16</v>
      </c>
      <c r="B93" s="0" t="s">
        <v>3460</v>
      </c>
      <c r="C93" s="0" t="s">
        <v>3461</v>
      </c>
      <c r="D93" s="0" t="s">
        <v>3511</v>
      </c>
      <c r="E93" s="0" t="s">
        <v>3512</v>
      </c>
      <c r="F93" s="0" t="s">
        <v>3306</v>
      </c>
      <c r="G93" s="0" t="s">
        <v>3513</v>
      </c>
    </row>
    <row customHeight="1" ht="11.25">
      <c r="A94" s="0" t="s">
        <v>16</v>
      </c>
      <c r="B94" s="0" t="s">
        <v>3460</v>
      </c>
      <c r="C94" s="0" t="s">
        <v>3461</v>
      </c>
      <c r="D94" s="0" t="s">
        <v>3514</v>
      </c>
      <c r="E94" s="0" t="s">
        <v>3515</v>
      </c>
      <c r="F94" s="0" t="s">
        <v>3306</v>
      </c>
      <c r="G94" s="0" t="s">
        <v>3516</v>
      </c>
    </row>
    <row customHeight="1" ht="11.25">
      <c r="A95" s="0" t="s">
        <v>16</v>
      </c>
      <c r="B95" s="0" t="s">
        <v>3460</v>
      </c>
      <c r="C95" s="0" t="s">
        <v>3461</v>
      </c>
      <c r="D95" s="0" t="s">
        <v>3517</v>
      </c>
      <c r="E95" s="0" t="s">
        <v>3518</v>
      </c>
      <c r="F95" s="0" t="s">
        <v>3306</v>
      </c>
      <c r="G95" s="0" t="s">
        <v>3519</v>
      </c>
    </row>
    <row customHeight="1" ht="11.25">
      <c r="A96" s="0" t="s">
        <v>16</v>
      </c>
      <c r="B96" s="0" t="s">
        <v>3460</v>
      </c>
      <c r="C96" s="0" t="s">
        <v>3461</v>
      </c>
      <c r="D96" s="0" t="s">
        <v>3520</v>
      </c>
      <c r="E96" s="0" t="s">
        <v>3521</v>
      </c>
      <c r="F96" s="0" t="s">
        <v>3306</v>
      </c>
      <c r="G96" s="0" t="s">
        <v>3522</v>
      </c>
    </row>
    <row customHeight="1" ht="11.25">
      <c r="A97" s="0" t="s">
        <v>16</v>
      </c>
      <c r="B97" s="0" t="s">
        <v>3460</v>
      </c>
      <c r="C97" s="0" t="s">
        <v>3461</v>
      </c>
      <c r="D97" s="0" t="s">
        <v>3523</v>
      </c>
      <c r="E97" s="0" t="s">
        <v>3524</v>
      </c>
      <c r="F97" s="0" t="s">
        <v>3306</v>
      </c>
      <c r="G97" s="0" t="s">
        <v>3525</v>
      </c>
    </row>
    <row customHeight="1" ht="11.25">
      <c r="A98" s="0" t="s">
        <v>16</v>
      </c>
      <c r="B98" s="0" t="s">
        <v>3526</v>
      </c>
      <c r="C98" s="0" t="s">
        <v>3527</v>
      </c>
      <c r="D98" s="0" t="s">
        <v>3528</v>
      </c>
      <c r="E98" s="0" t="s">
        <v>3529</v>
      </c>
      <c r="F98" s="0" t="s">
        <v>3306</v>
      </c>
      <c r="G98" s="0" t="s">
        <v>3530</v>
      </c>
    </row>
    <row customHeight="1" ht="11.25">
      <c r="A99" s="0" t="s">
        <v>16</v>
      </c>
      <c r="B99" s="0" t="s">
        <v>3526</v>
      </c>
      <c r="C99" s="0" t="s">
        <v>3527</v>
      </c>
      <c r="D99" s="0" t="s">
        <v>3531</v>
      </c>
      <c r="E99" s="0" t="s">
        <v>3532</v>
      </c>
      <c r="F99" s="0" t="s">
        <v>3306</v>
      </c>
      <c r="G99" s="0" t="s">
        <v>3533</v>
      </c>
    </row>
    <row customHeight="1" ht="11.25">
      <c r="A100" s="0" t="s">
        <v>16</v>
      </c>
      <c r="B100" s="0" t="s">
        <v>3526</v>
      </c>
      <c r="C100" s="0" t="s">
        <v>3527</v>
      </c>
      <c r="D100" s="0" t="s">
        <v>3534</v>
      </c>
      <c r="E100" s="0" t="s">
        <v>3535</v>
      </c>
      <c r="F100" s="0" t="s">
        <v>3306</v>
      </c>
      <c r="G100" s="0" t="s">
        <v>3536</v>
      </c>
    </row>
    <row customHeight="1" ht="11.25">
      <c r="A101" s="0" t="s">
        <v>16</v>
      </c>
      <c r="B101" s="0" t="s">
        <v>3526</v>
      </c>
      <c r="C101" s="0" t="s">
        <v>3527</v>
      </c>
      <c r="D101" s="0" t="s">
        <v>3537</v>
      </c>
      <c r="E101" s="0" t="s">
        <v>3538</v>
      </c>
      <c r="F101" s="0" t="s">
        <v>3306</v>
      </c>
      <c r="G101" s="0" t="s">
        <v>3539</v>
      </c>
    </row>
    <row customHeight="1" ht="11.25">
      <c r="A102" s="0" t="s">
        <v>16</v>
      </c>
      <c r="B102" s="0" t="s">
        <v>3526</v>
      </c>
      <c r="C102" s="0" t="s">
        <v>3527</v>
      </c>
      <c r="D102" s="0" t="s">
        <v>3540</v>
      </c>
      <c r="E102" s="0" t="s">
        <v>3541</v>
      </c>
      <c r="F102" s="0" t="s">
        <v>3306</v>
      </c>
      <c r="G102" s="0" t="s">
        <v>3542</v>
      </c>
    </row>
    <row customHeight="1" ht="11.25">
      <c r="A103" s="0" t="s">
        <v>16</v>
      </c>
      <c r="B103" s="0" t="s">
        <v>3526</v>
      </c>
      <c r="C103" s="0" t="s">
        <v>3527</v>
      </c>
      <c r="D103" s="0" t="s">
        <v>3543</v>
      </c>
      <c r="E103" s="0" t="s">
        <v>3544</v>
      </c>
      <c r="F103" s="0" t="s">
        <v>3306</v>
      </c>
      <c r="G103" s="0" t="s">
        <v>3545</v>
      </c>
    </row>
    <row customHeight="1" ht="11.25">
      <c r="A104" s="0" t="s">
        <v>16</v>
      </c>
      <c r="B104" s="0" t="s">
        <v>3526</v>
      </c>
      <c r="C104" s="0" t="s">
        <v>3527</v>
      </c>
      <c r="D104" s="0" t="s">
        <v>3546</v>
      </c>
      <c r="E104" s="0" t="s">
        <v>3547</v>
      </c>
      <c r="F104" s="0" t="s">
        <v>3306</v>
      </c>
      <c r="G104" s="0" t="s">
        <v>3548</v>
      </c>
    </row>
    <row customHeight="1" ht="11.25">
      <c r="A105" s="0" t="s">
        <v>16</v>
      </c>
      <c r="B105" s="0" t="s">
        <v>3526</v>
      </c>
      <c r="C105" s="0" t="s">
        <v>3527</v>
      </c>
      <c r="D105" s="0" t="s">
        <v>3549</v>
      </c>
      <c r="E105" s="0" t="s">
        <v>3550</v>
      </c>
      <c r="F105" s="0" t="s">
        <v>3306</v>
      </c>
      <c r="G105" s="0" t="s">
        <v>3551</v>
      </c>
    </row>
    <row customHeight="1" ht="11.25">
      <c r="A106" s="0" t="s">
        <v>16</v>
      </c>
      <c r="B106" s="0" t="s">
        <v>3526</v>
      </c>
      <c r="C106" s="0" t="s">
        <v>3527</v>
      </c>
      <c r="D106" s="0" t="s">
        <v>3552</v>
      </c>
      <c r="E106" s="0" t="s">
        <v>3553</v>
      </c>
      <c r="F106" s="0" t="s">
        <v>3306</v>
      </c>
      <c r="G106" s="0" t="s">
        <v>3554</v>
      </c>
    </row>
    <row customHeight="1" ht="11.25">
      <c r="A107" s="0" t="s">
        <v>16</v>
      </c>
      <c r="B107" s="0" t="s">
        <v>3526</v>
      </c>
      <c r="C107" s="0" t="s">
        <v>3527</v>
      </c>
      <c r="D107" s="0" t="s">
        <v>3555</v>
      </c>
      <c r="E107" s="0" t="s">
        <v>3556</v>
      </c>
      <c r="F107" s="0" t="s">
        <v>3306</v>
      </c>
      <c r="G107" s="0" t="s">
        <v>3557</v>
      </c>
    </row>
    <row customHeight="1" ht="11.25">
      <c r="A108" s="0" t="s">
        <v>16</v>
      </c>
      <c r="B108" s="0" t="s">
        <v>3526</v>
      </c>
      <c r="C108" s="0" t="s">
        <v>3527</v>
      </c>
      <c r="D108" s="0" t="s">
        <v>3558</v>
      </c>
      <c r="E108" s="0" t="s">
        <v>3559</v>
      </c>
      <c r="F108" s="0" t="s">
        <v>3306</v>
      </c>
      <c r="G108" s="0" t="s">
        <v>3560</v>
      </c>
    </row>
    <row customHeight="1" ht="11.25">
      <c r="A109" s="0" t="s">
        <v>16</v>
      </c>
      <c r="B109" s="0" t="s">
        <v>3526</v>
      </c>
      <c r="C109" s="0" t="s">
        <v>3527</v>
      </c>
      <c r="D109" s="0" t="s">
        <v>3526</v>
      </c>
      <c r="E109" s="0" t="s">
        <v>3527</v>
      </c>
      <c r="F109" s="0" t="s">
        <v>3303</v>
      </c>
      <c r="G109" s="0" t="s">
        <v>3561</v>
      </c>
    </row>
    <row customHeight="1" ht="11.25">
      <c r="A110" s="0" t="s">
        <v>16</v>
      </c>
      <c r="B110" s="0" t="s">
        <v>3526</v>
      </c>
      <c r="C110" s="0" t="s">
        <v>3527</v>
      </c>
      <c r="D110" s="0" t="s">
        <v>3562</v>
      </c>
      <c r="E110" s="0" t="s">
        <v>3563</v>
      </c>
      <c r="F110" s="0" t="s">
        <v>3306</v>
      </c>
      <c r="G110" s="0" t="s">
        <v>3564</v>
      </c>
    </row>
    <row customHeight="1" ht="11.25">
      <c r="A111" s="0" t="s">
        <v>16</v>
      </c>
      <c r="B111" s="0" t="s">
        <v>3526</v>
      </c>
      <c r="C111" s="0" t="s">
        <v>3527</v>
      </c>
      <c r="D111" s="0" t="s">
        <v>3565</v>
      </c>
      <c r="E111" s="0" t="s">
        <v>3566</v>
      </c>
      <c r="F111" s="0" t="s">
        <v>3306</v>
      </c>
      <c r="G111" s="0" t="s">
        <v>3567</v>
      </c>
    </row>
    <row customHeight="1" ht="11.25">
      <c r="A112" s="0" t="s">
        <v>16</v>
      </c>
      <c r="B112" s="0" t="s">
        <v>3526</v>
      </c>
      <c r="C112" s="0" t="s">
        <v>3527</v>
      </c>
      <c r="D112" s="0" t="s">
        <v>3568</v>
      </c>
      <c r="E112" s="0" t="s">
        <v>3569</v>
      </c>
      <c r="F112" s="0" t="s">
        <v>3306</v>
      </c>
      <c r="G112" s="0" t="s">
        <v>3570</v>
      </c>
    </row>
    <row customHeight="1" ht="11.25">
      <c r="A113" s="0" t="s">
        <v>16</v>
      </c>
      <c r="B113" s="0" t="s">
        <v>124</v>
      </c>
      <c r="C113" s="0" t="s">
        <v>3571</v>
      </c>
      <c r="D113" s="0" t="s">
        <v>125</v>
      </c>
      <c r="E113" s="0" t="s">
        <v>126</v>
      </c>
      <c r="F113" s="0" t="s">
        <v>3309</v>
      </c>
      <c r="G113" s="0" t="s">
        <v>123</v>
      </c>
    </row>
    <row customHeight="1" ht="11.25">
      <c r="A114" s="0" t="s">
        <v>16</v>
      </c>
      <c r="B114" s="0" t="s">
        <v>124</v>
      </c>
      <c r="C114" s="0" t="s">
        <v>3571</v>
      </c>
      <c r="D114" s="0" t="s">
        <v>3549</v>
      </c>
      <c r="E114" s="0" t="s">
        <v>3572</v>
      </c>
      <c r="F114" s="0" t="s">
        <v>3306</v>
      </c>
      <c r="G114" s="0" t="s">
        <v>3573</v>
      </c>
    </row>
    <row customHeight="1" ht="11.25">
      <c r="A115" s="0" t="s">
        <v>16</v>
      </c>
      <c r="B115" s="0" t="s">
        <v>124</v>
      </c>
      <c r="C115" s="0" t="s">
        <v>3571</v>
      </c>
      <c r="D115" s="0" t="s">
        <v>3574</v>
      </c>
      <c r="E115" s="0" t="s">
        <v>3575</v>
      </c>
      <c r="F115" s="0" t="s">
        <v>3306</v>
      </c>
      <c r="G115" s="0" t="s">
        <v>3576</v>
      </c>
    </row>
    <row customHeight="1" ht="11.25">
      <c r="A116" s="0" t="s">
        <v>16</v>
      </c>
      <c r="B116" s="0" t="s">
        <v>124</v>
      </c>
      <c r="C116" s="0" t="s">
        <v>3571</v>
      </c>
      <c r="D116" s="0" t="s">
        <v>3577</v>
      </c>
      <c r="E116" s="0" t="s">
        <v>3578</v>
      </c>
      <c r="F116" s="0" t="s">
        <v>3306</v>
      </c>
      <c r="G116" s="0" t="s">
        <v>3579</v>
      </c>
    </row>
    <row customHeight="1" ht="11.25">
      <c r="A117" s="0" t="s">
        <v>16</v>
      </c>
      <c r="B117" s="0" t="s">
        <v>124</v>
      </c>
      <c r="C117" s="0" t="s">
        <v>3571</v>
      </c>
      <c r="D117" s="0" t="s">
        <v>3580</v>
      </c>
      <c r="E117" s="0" t="s">
        <v>3581</v>
      </c>
      <c r="F117" s="0" t="s">
        <v>3306</v>
      </c>
      <c r="G117" s="0" t="s">
        <v>3582</v>
      </c>
    </row>
    <row customHeight="1" ht="11.25">
      <c r="A118" s="0" t="s">
        <v>16</v>
      </c>
      <c r="B118" s="0" t="s">
        <v>124</v>
      </c>
      <c r="C118" s="0" t="s">
        <v>3571</v>
      </c>
      <c r="D118" s="0" t="s">
        <v>3583</v>
      </c>
      <c r="E118" s="0" t="s">
        <v>3584</v>
      </c>
      <c r="F118" s="0" t="s">
        <v>3333</v>
      </c>
      <c r="G118" s="0" t="s">
        <v>3585</v>
      </c>
    </row>
    <row customHeight="1" ht="11.25">
      <c r="A119" s="0" t="s">
        <v>16</v>
      </c>
      <c r="B119" s="0" t="s">
        <v>124</v>
      </c>
      <c r="C119" s="0" t="s">
        <v>3571</v>
      </c>
      <c r="D119" s="0" t="s">
        <v>3586</v>
      </c>
      <c r="E119" s="0" t="s">
        <v>3587</v>
      </c>
      <c r="F119" s="0" t="s">
        <v>3306</v>
      </c>
      <c r="G119" s="0" t="s">
        <v>3588</v>
      </c>
    </row>
    <row customHeight="1" ht="11.25">
      <c r="A120" s="0" t="s">
        <v>16</v>
      </c>
      <c r="B120" s="0" t="s">
        <v>124</v>
      </c>
      <c r="C120" s="0" t="s">
        <v>3571</v>
      </c>
      <c r="D120" s="0" t="s">
        <v>3589</v>
      </c>
      <c r="E120" s="0" t="s">
        <v>3590</v>
      </c>
      <c r="F120" s="0" t="s">
        <v>3306</v>
      </c>
      <c r="G120" s="0" t="s">
        <v>3591</v>
      </c>
    </row>
    <row customHeight="1" ht="11.25">
      <c r="A121" s="0" t="s">
        <v>16</v>
      </c>
      <c r="B121" s="0" t="s">
        <v>124</v>
      </c>
      <c r="C121" s="0" t="s">
        <v>3571</v>
      </c>
      <c r="D121" s="0" t="s">
        <v>124</v>
      </c>
      <c r="E121" s="0" t="s">
        <v>3571</v>
      </c>
      <c r="F121" s="0" t="s">
        <v>3303</v>
      </c>
      <c r="G121" s="0" t="s">
        <v>3592</v>
      </c>
    </row>
    <row customHeight="1" ht="11.25">
      <c r="A122" s="0" t="s">
        <v>16</v>
      </c>
      <c r="B122" s="0" t="s">
        <v>124</v>
      </c>
      <c r="C122" s="0" t="s">
        <v>3571</v>
      </c>
      <c r="D122" s="0" t="s">
        <v>3593</v>
      </c>
      <c r="E122" s="0" t="s">
        <v>3594</v>
      </c>
      <c r="F122" s="0" t="s">
        <v>3306</v>
      </c>
      <c r="G122" s="0" t="s">
        <v>3595</v>
      </c>
    </row>
    <row customHeight="1" ht="11.25">
      <c r="A123" s="0" t="s">
        <v>16</v>
      </c>
      <c r="B123" s="0" t="s">
        <v>124</v>
      </c>
      <c r="C123" s="0" t="s">
        <v>3571</v>
      </c>
      <c r="D123" s="0" t="s">
        <v>3596</v>
      </c>
      <c r="E123" s="0" t="s">
        <v>3597</v>
      </c>
      <c r="F123" s="0" t="s">
        <v>3306</v>
      </c>
      <c r="G123" s="0" t="s">
        <v>3598</v>
      </c>
    </row>
    <row customHeight="1" ht="11.25">
      <c r="A124" s="0" t="s">
        <v>16</v>
      </c>
      <c r="B124" s="0" t="s">
        <v>124</v>
      </c>
      <c r="C124" s="0" t="s">
        <v>3571</v>
      </c>
      <c r="D124" s="0" t="s">
        <v>3599</v>
      </c>
      <c r="E124" s="0" t="s">
        <v>3600</v>
      </c>
      <c r="F124" s="0" t="s">
        <v>3306</v>
      </c>
      <c r="G124" s="0" t="s">
        <v>3601</v>
      </c>
    </row>
    <row customHeight="1" ht="11.25">
      <c r="A125" s="0" t="s">
        <v>16</v>
      </c>
      <c r="B125" s="0" t="s">
        <v>124</v>
      </c>
      <c r="C125" s="0" t="s">
        <v>3571</v>
      </c>
      <c r="D125" s="0" t="s">
        <v>3602</v>
      </c>
      <c r="E125" s="0" t="s">
        <v>3603</v>
      </c>
      <c r="F125" s="0" t="s">
        <v>3322</v>
      </c>
      <c r="G125" s="0" t="s">
        <v>3604</v>
      </c>
    </row>
    <row customHeight="1" ht="11.25">
      <c r="A126" s="0" t="s">
        <v>16</v>
      </c>
      <c r="B126" s="0" t="s">
        <v>124</v>
      </c>
      <c r="C126" s="0" t="s">
        <v>3571</v>
      </c>
      <c r="D126" s="0" t="s">
        <v>3605</v>
      </c>
      <c r="E126" s="0" t="s">
        <v>3606</v>
      </c>
      <c r="F126" s="0" t="s">
        <v>3322</v>
      </c>
      <c r="G126" s="0" t="s">
        <v>3607</v>
      </c>
    </row>
    <row customHeight="1" ht="11.25">
      <c r="A127" s="0" t="s">
        <v>16</v>
      </c>
      <c r="B127" s="0" t="s">
        <v>124</v>
      </c>
      <c r="C127" s="0" t="s">
        <v>3571</v>
      </c>
      <c r="D127" s="0" t="s">
        <v>3608</v>
      </c>
      <c r="E127" s="0" t="s">
        <v>3609</v>
      </c>
      <c r="F127" s="0" t="s">
        <v>3306</v>
      </c>
      <c r="G127" s="0" t="s">
        <v>3610</v>
      </c>
    </row>
    <row customHeight="1" ht="11.25">
      <c r="A128" s="0" t="s">
        <v>16</v>
      </c>
      <c r="B128" s="0" t="s">
        <v>124</v>
      </c>
      <c r="C128" s="0" t="s">
        <v>3571</v>
      </c>
      <c r="D128" s="0" t="s">
        <v>3611</v>
      </c>
      <c r="E128" s="0" t="s">
        <v>3612</v>
      </c>
      <c r="F128" s="0" t="s">
        <v>3306</v>
      </c>
      <c r="G128" s="0" t="s">
        <v>3613</v>
      </c>
    </row>
    <row customHeight="1" ht="11.25">
      <c r="A129" s="0" t="s">
        <v>16</v>
      </c>
      <c r="B129" s="0" t="s">
        <v>3614</v>
      </c>
      <c r="C129" s="0" t="s">
        <v>3615</v>
      </c>
      <c r="D129" s="0" t="s">
        <v>3614</v>
      </c>
      <c r="E129" s="0" t="s">
        <v>3615</v>
      </c>
      <c r="F129" s="0" t="s">
        <v>3616</v>
      </c>
      <c r="G129" s="0" t="s">
        <v>3617</v>
      </c>
    </row>
    <row customHeight="1" ht="11.25">
      <c r="A130" s="0" t="s">
        <v>16</v>
      </c>
      <c r="B130" s="0" t="s">
        <v>3618</v>
      </c>
      <c r="C130" s="0" t="s">
        <v>3619</v>
      </c>
      <c r="D130" s="0" t="s">
        <v>3620</v>
      </c>
      <c r="E130" s="0" t="s">
        <v>3621</v>
      </c>
      <c r="F130" s="0" t="s">
        <v>3306</v>
      </c>
      <c r="G130" s="0" t="s">
        <v>3622</v>
      </c>
    </row>
    <row customHeight="1" ht="11.25">
      <c r="A131" s="0" t="s">
        <v>16</v>
      </c>
      <c r="B131" s="0" t="s">
        <v>3618</v>
      </c>
      <c r="C131" s="0" t="s">
        <v>3619</v>
      </c>
      <c r="D131" s="0" t="s">
        <v>3623</v>
      </c>
      <c r="E131" s="0" t="s">
        <v>3624</v>
      </c>
      <c r="F131" s="0" t="s">
        <v>3306</v>
      </c>
      <c r="G131" s="0" t="s">
        <v>3625</v>
      </c>
    </row>
    <row customHeight="1" ht="11.25">
      <c r="A132" s="0" t="s">
        <v>16</v>
      </c>
      <c r="B132" s="0" t="s">
        <v>3618</v>
      </c>
      <c r="C132" s="0" t="s">
        <v>3619</v>
      </c>
      <c r="D132" s="0" t="s">
        <v>3626</v>
      </c>
      <c r="E132" s="0" t="s">
        <v>3627</v>
      </c>
      <c r="F132" s="0" t="s">
        <v>3306</v>
      </c>
      <c r="G132" s="0" t="s">
        <v>3628</v>
      </c>
    </row>
    <row customHeight="1" ht="11.25">
      <c r="A133" s="0" t="s">
        <v>16</v>
      </c>
      <c r="B133" s="0" t="s">
        <v>3618</v>
      </c>
      <c r="C133" s="0" t="s">
        <v>3619</v>
      </c>
      <c r="D133" s="0" t="s">
        <v>3629</v>
      </c>
      <c r="E133" s="0" t="s">
        <v>3630</v>
      </c>
      <c r="F133" s="0" t="s">
        <v>3306</v>
      </c>
      <c r="G133" s="0" t="s">
        <v>3631</v>
      </c>
    </row>
    <row customHeight="1" ht="11.25">
      <c r="A134" s="0" t="s">
        <v>16</v>
      </c>
      <c r="B134" s="0" t="s">
        <v>3618</v>
      </c>
      <c r="C134" s="0" t="s">
        <v>3619</v>
      </c>
      <c r="D134" s="0" t="s">
        <v>3632</v>
      </c>
      <c r="E134" s="0" t="s">
        <v>3633</v>
      </c>
      <c r="F134" s="0" t="s">
        <v>3306</v>
      </c>
      <c r="G134" s="0" t="s">
        <v>3634</v>
      </c>
    </row>
    <row customHeight="1" ht="11.25">
      <c r="A135" s="0" t="s">
        <v>16</v>
      </c>
      <c r="B135" s="0" t="s">
        <v>3618</v>
      </c>
      <c r="C135" s="0" t="s">
        <v>3619</v>
      </c>
      <c r="D135" s="0" t="s">
        <v>3635</v>
      </c>
      <c r="E135" s="0" t="s">
        <v>3636</v>
      </c>
      <c r="F135" s="0" t="s">
        <v>3306</v>
      </c>
      <c r="G135" s="0" t="s">
        <v>3637</v>
      </c>
    </row>
    <row customHeight="1" ht="11.25">
      <c r="A136" s="0" t="s">
        <v>16</v>
      </c>
      <c r="B136" s="0" t="s">
        <v>3618</v>
      </c>
      <c r="C136" s="0" t="s">
        <v>3619</v>
      </c>
      <c r="D136" s="0" t="s">
        <v>3618</v>
      </c>
      <c r="E136" s="0" t="s">
        <v>3619</v>
      </c>
      <c r="F136" s="0" t="s">
        <v>3303</v>
      </c>
      <c r="G136" s="0" t="s">
        <v>3638</v>
      </c>
    </row>
    <row customHeight="1" ht="11.25">
      <c r="A137" s="0" t="s">
        <v>16</v>
      </c>
      <c r="B137" s="0" t="s">
        <v>3618</v>
      </c>
      <c r="C137" s="0" t="s">
        <v>3619</v>
      </c>
      <c r="D137" s="0" t="s">
        <v>3639</v>
      </c>
      <c r="E137" s="0" t="s">
        <v>3640</v>
      </c>
      <c r="F137" s="0" t="s">
        <v>3322</v>
      </c>
      <c r="G137" s="0" t="s">
        <v>3641</v>
      </c>
    </row>
    <row customHeight="1" ht="11.25">
      <c r="A138" s="0" t="s">
        <v>16</v>
      </c>
      <c r="B138" s="0" t="s">
        <v>3618</v>
      </c>
      <c r="C138" s="0" t="s">
        <v>3619</v>
      </c>
      <c r="D138" s="0" t="s">
        <v>3642</v>
      </c>
      <c r="E138" s="0" t="s">
        <v>3643</v>
      </c>
      <c r="F138" s="0" t="s">
        <v>3306</v>
      </c>
      <c r="G138" s="0" t="s">
        <v>3644</v>
      </c>
    </row>
    <row customHeight="1" ht="11.25">
      <c r="A139" s="0" t="s">
        <v>16</v>
      </c>
      <c r="B139" s="0" t="s">
        <v>118</v>
      </c>
      <c r="C139" s="0" t="s">
        <v>3645</v>
      </c>
      <c r="D139" s="0" t="s">
        <v>3646</v>
      </c>
      <c r="E139" s="0" t="s">
        <v>3647</v>
      </c>
      <c r="F139" s="0" t="s">
        <v>3306</v>
      </c>
      <c r="G139" s="0" t="s">
        <v>3648</v>
      </c>
    </row>
    <row customHeight="1" ht="11.25">
      <c r="A140" s="0" t="s">
        <v>16</v>
      </c>
      <c r="B140" s="0" t="s">
        <v>118</v>
      </c>
      <c r="C140" s="0" t="s">
        <v>3645</v>
      </c>
      <c r="D140" s="0" t="s">
        <v>134</v>
      </c>
      <c r="E140" s="0" t="s">
        <v>135</v>
      </c>
      <c r="F140" s="0" t="s">
        <v>3309</v>
      </c>
      <c r="G140" s="0" t="s">
        <v>133</v>
      </c>
    </row>
    <row customHeight="1" ht="11.25">
      <c r="A141" s="0" t="s">
        <v>16</v>
      </c>
      <c r="B141" s="0" t="s">
        <v>118</v>
      </c>
      <c r="C141" s="0" t="s">
        <v>3645</v>
      </c>
      <c r="D141" s="0" t="s">
        <v>3649</v>
      </c>
      <c r="E141" s="0" t="s">
        <v>3650</v>
      </c>
      <c r="F141" s="0" t="s">
        <v>3333</v>
      </c>
      <c r="G141" s="0" t="s">
        <v>3651</v>
      </c>
    </row>
    <row customHeight="1" ht="11.25">
      <c r="A142" s="0" t="s">
        <v>16</v>
      </c>
      <c r="B142" s="0" t="s">
        <v>118</v>
      </c>
      <c r="C142" s="0" t="s">
        <v>3645</v>
      </c>
      <c r="D142" s="0" t="s">
        <v>3652</v>
      </c>
      <c r="E142" s="0" t="s">
        <v>3653</v>
      </c>
      <c r="F142" s="0" t="s">
        <v>3322</v>
      </c>
      <c r="G142" s="0" t="s">
        <v>3654</v>
      </c>
    </row>
    <row customHeight="1" ht="11.25">
      <c r="A143" s="0" t="s">
        <v>16</v>
      </c>
      <c r="B143" s="0" t="s">
        <v>118</v>
      </c>
      <c r="C143" s="0" t="s">
        <v>3645</v>
      </c>
      <c r="D143" s="0" t="s">
        <v>3655</v>
      </c>
      <c r="E143" s="0" t="s">
        <v>3656</v>
      </c>
      <c r="F143" s="0" t="s">
        <v>3322</v>
      </c>
      <c r="G143" s="0" t="s">
        <v>3657</v>
      </c>
    </row>
    <row customHeight="1" ht="11.25">
      <c r="A144" s="0" t="s">
        <v>16</v>
      </c>
      <c r="B144" s="0" t="s">
        <v>118</v>
      </c>
      <c r="C144" s="0" t="s">
        <v>3645</v>
      </c>
      <c r="D144" s="0" t="s">
        <v>119</v>
      </c>
      <c r="E144" s="0" t="s">
        <v>120</v>
      </c>
      <c r="F144" s="0" t="s">
        <v>3322</v>
      </c>
      <c r="G144" s="0" t="s">
        <v>117</v>
      </c>
    </row>
    <row customHeight="1" ht="11.25">
      <c r="A145" s="0" t="s">
        <v>16</v>
      </c>
      <c r="B145" s="0" t="s">
        <v>118</v>
      </c>
      <c r="C145" s="0" t="s">
        <v>3645</v>
      </c>
      <c r="D145" s="0" t="s">
        <v>118</v>
      </c>
      <c r="E145" s="0" t="s">
        <v>3645</v>
      </c>
      <c r="F145" s="0" t="s">
        <v>3303</v>
      </c>
      <c r="G145" s="0" t="s">
        <v>3658</v>
      </c>
    </row>
    <row customHeight="1" ht="11.25">
      <c r="A146" s="0" t="s">
        <v>16</v>
      </c>
      <c r="B146" s="0" t="s">
        <v>3659</v>
      </c>
      <c r="C146" s="0" t="s">
        <v>3660</v>
      </c>
      <c r="D146" s="0" t="s">
        <v>3661</v>
      </c>
      <c r="E146" s="0" t="s">
        <v>3662</v>
      </c>
      <c r="F146" s="0" t="s">
        <v>3306</v>
      </c>
      <c r="G146" s="0" t="s">
        <v>3663</v>
      </c>
    </row>
    <row customHeight="1" ht="11.25">
      <c r="A147" s="0" t="s">
        <v>16</v>
      </c>
      <c r="B147" s="0" t="s">
        <v>3659</v>
      </c>
      <c r="C147" s="0" t="s">
        <v>3660</v>
      </c>
      <c r="D147" s="0" t="s">
        <v>3664</v>
      </c>
      <c r="E147" s="0" t="s">
        <v>3665</v>
      </c>
      <c r="F147" s="0" t="s">
        <v>3306</v>
      </c>
      <c r="G147" s="0" t="s">
        <v>3666</v>
      </c>
    </row>
    <row customHeight="1" ht="11.25">
      <c r="A148" s="0" t="s">
        <v>16</v>
      </c>
      <c r="B148" s="0" t="s">
        <v>3659</v>
      </c>
      <c r="C148" s="0" t="s">
        <v>3660</v>
      </c>
      <c r="D148" s="0" t="s">
        <v>3667</v>
      </c>
      <c r="E148" s="0" t="s">
        <v>3668</v>
      </c>
      <c r="F148" s="0" t="s">
        <v>3306</v>
      </c>
      <c r="G148" s="0" t="s">
        <v>3669</v>
      </c>
    </row>
    <row customHeight="1" ht="11.25">
      <c r="A149" s="0" t="s">
        <v>16</v>
      </c>
      <c r="B149" s="0" t="s">
        <v>3659</v>
      </c>
      <c r="C149" s="0" t="s">
        <v>3660</v>
      </c>
      <c r="D149" s="0" t="s">
        <v>3670</v>
      </c>
      <c r="E149" s="0" t="s">
        <v>3671</v>
      </c>
      <c r="F149" s="0" t="s">
        <v>3306</v>
      </c>
      <c r="G149" s="0" t="s">
        <v>3672</v>
      </c>
    </row>
    <row customHeight="1" ht="11.25">
      <c r="A150" s="0" t="s">
        <v>16</v>
      </c>
      <c r="B150" s="0" t="s">
        <v>3659</v>
      </c>
      <c r="C150" s="0" t="s">
        <v>3660</v>
      </c>
      <c r="D150" s="0" t="s">
        <v>3673</v>
      </c>
      <c r="E150" s="0" t="s">
        <v>3674</v>
      </c>
      <c r="F150" s="0" t="s">
        <v>3306</v>
      </c>
      <c r="G150" s="0" t="s">
        <v>3675</v>
      </c>
    </row>
    <row customHeight="1" ht="11.25">
      <c r="A151" s="0" t="s">
        <v>16</v>
      </c>
      <c r="B151" s="0" t="s">
        <v>3659</v>
      </c>
      <c r="C151" s="0" t="s">
        <v>3660</v>
      </c>
      <c r="D151" s="0" t="s">
        <v>3676</v>
      </c>
      <c r="E151" s="0" t="s">
        <v>3677</v>
      </c>
      <c r="F151" s="0" t="s">
        <v>3306</v>
      </c>
      <c r="G151" s="0" t="s">
        <v>3678</v>
      </c>
    </row>
    <row customHeight="1" ht="11.25">
      <c r="A152" s="0" t="s">
        <v>16</v>
      </c>
      <c r="B152" s="0" t="s">
        <v>3659</v>
      </c>
      <c r="C152" s="0" t="s">
        <v>3660</v>
      </c>
      <c r="D152" s="0" t="s">
        <v>3679</v>
      </c>
      <c r="E152" s="0" t="s">
        <v>3680</v>
      </c>
      <c r="F152" s="0" t="s">
        <v>3306</v>
      </c>
      <c r="G152" s="0" t="s">
        <v>3681</v>
      </c>
    </row>
    <row customHeight="1" ht="11.25">
      <c r="A153" s="0" t="s">
        <v>16</v>
      </c>
      <c r="B153" s="0" t="s">
        <v>3659</v>
      </c>
      <c r="C153" s="0" t="s">
        <v>3660</v>
      </c>
      <c r="D153" s="0" t="s">
        <v>3682</v>
      </c>
      <c r="E153" s="0" t="s">
        <v>3683</v>
      </c>
      <c r="F153" s="0" t="s">
        <v>3322</v>
      </c>
      <c r="G153" s="0" t="s">
        <v>3684</v>
      </c>
    </row>
    <row customHeight="1" ht="11.25">
      <c r="A154" s="0" t="s">
        <v>16</v>
      </c>
      <c r="B154" s="0" t="s">
        <v>3659</v>
      </c>
      <c r="C154" s="0" t="s">
        <v>3660</v>
      </c>
      <c r="D154" s="0" t="s">
        <v>3659</v>
      </c>
      <c r="E154" s="0" t="s">
        <v>3660</v>
      </c>
      <c r="F154" s="0" t="s">
        <v>3303</v>
      </c>
      <c r="G154" s="0" t="s">
        <v>3685</v>
      </c>
    </row>
    <row customHeight="1" ht="11.25">
      <c r="A155" s="0" t="s">
        <v>16</v>
      </c>
      <c r="B155" s="0" t="s">
        <v>3659</v>
      </c>
      <c r="C155" s="0" t="s">
        <v>3660</v>
      </c>
      <c r="D155" s="0" t="s">
        <v>3686</v>
      </c>
      <c r="E155" s="0" t="s">
        <v>3687</v>
      </c>
      <c r="F155" s="0" t="s">
        <v>3306</v>
      </c>
      <c r="G155" s="0" t="s">
        <v>3688</v>
      </c>
    </row>
    <row customHeight="1" ht="11.25">
      <c r="A156" s="0" t="s">
        <v>16</v>
      </c>
      <c r="B156" s="0" t="s">
        <v>3659</v>
      </c>
      <c r="C156" s="0" t="s">
        <v>3660</v>
      </c>
      <c r="D156" s="0" t="s">
        <v>3689</v>
      </c>
      <c r="E156" s="0" t="s">
        <v>3690</v>
      </c>
      <c r="F156" s="0" t="s">
        <v>3306</v>
      </c>
      <c r="G156" s="0" t="s">
        <v>3691</v>
      </c>
    </row>
    <row customHeight="1" ht="11.25">
      <c r="A157" s="0" t="s">
        <v>16</v>
      </c>
      <c r="B157" s="0" t="s">
        <v>3659</v>
      </c>
      <c r="C157" s="0" t="s">
        <v>3660</v>
      </c>
      <c r="D157" s="0" t="s">
        <v>3692</v>
      </c>
      <c r="E157" s="0" t="s">
        <v>3693</v>
      </c>
      <c r="F157" s="0" t="s">
        <v>3306</v>
      </c>
      <c r="G157" s="0" t="s">
        <v>3694</v>
      </c>
    </row>
    <row customHeight="1" ht="11.25">
      <c r="A158" s="0" t="s">
        <v>16</v>
      </c>
      <c r="B158" s="0" t="s">
        <v>3695</v>
      </c>
      <c r="C158" s="0" t="s">
        <v>3696</v>
      </c>
      <c r="D158" s="0" t="s">
        <v>3697</v>
      </c>
      <c r="E158" s="0" t="s">
        <v>3698</v>
      </c>
      <c r="F158" s="0" t="s">
        <v>3306</v>
      </c>
      <c r="G158" s="0" t="s">
        <v>3699</v>
      </c>
    </row>
    <row customHeight="1" ht="11.25">
      <c r="A159" s="0" t="s">
        <v>16</v>
      </c>
      <c r="B159" s="0" t="s">
        <v>3695</v>
      </c>
      <c r="C159" s="0" t="s">
        <v>3696</v>
      </c>
      <c r="D159" s="0" t="s">
        <v>3700</v>
      </c>
      <c r="E159" s="0" t="s">
        <v>3701</v>
      </c>
      <c r="F159" s="0" t="s">
        <v>3333</v>
      </c>
      <c r="G159" s="0" t="s">
        <v>3702</v>
      </c>
    </row>
    <row customHeight="1" ht="11.25">
      <c r="A160" s="0" t="s">
        <v>16</v>
      </c>
      <c r="B160" s="0" t="s">
        <v>3695</v>
      </c>
      <c r="C160" s="0" t="s">
        <v>3696</v>
      </c>
      <c r="D160" s="0" t="s">
        <v>3703</v>
      </c>
      <c r="E160" s="0" t="s">
        <v>3704</v>
      </c>
      <c r="F160" s="0" t="s">
        <v>3306</v>
      </c>
      <c r="G160" s="0" t="s">
        <v>3705</v>
      </c>
    </row>
    <row customHeight="1" ht="11.25">
      <c r="A161" s="0" t="s">
        <v>16</v>
      </c>
      <c r="B161" s="0" t="s">
        <v>3695</v>
      </c>
      <c r="C161" s="0" t="s">
        <v>3696</v>
      </c>
      <c r="D161" s="0" t="s">
        <v>3695</v>
      </c>
      <c r="E161" s="0" t="s">
        <v>3696</v>
      </c>
      <c r="F161" s="0" t="s">
        <v>3303</v>
      </c>
      <c r="G161" s="0" t="s">
        <v>3706</v>
      </c>
    </row>
    <row customHeight="1" ht="11.25">
      <c r="A162" s="0" t="s">
        <v>16</v>
      </c>
      <c r="B162" s="0" t="s">
        <v>3695</v>
      </c>
      <c r="C162" s="0" t="s">
        <v>3696</v>
      </c>
      <c r="D162" s="0" t="s">
        <v>3707</v>
      </c>
      <c r="E162" s="0" t="s">
        <v>3708</v>
      </c>
      <c r="F162" s="0" t="s">
        <v>3306</v>
      </c>
      <c r="G162" s="0" t="s">
        <v>3709</v>
      </c>
    </row>
    <row customHeight="1" ht="11.25">
      <c r="A163" s="0" t="s">
        <v>16</v>
      </c>
      <c r="B163" s="0" t="s">
        <v>3695</v>
      </c>
      <c r="C163" s="0" t="s">
        <v>3696</v>
      </c>
      <c r="D163" s="0" t="s">
        <v>3710</v>
      </c>
      <c r="E163" s="0" t="s">
        <v>3711</v>
      </c>
      <c r="F163" s="0" t="s">
        <v>3306</v>
      </c>
      <c r="G163" s="0" t="s">
        <v>3712</v>
      </c>
    </row>
    <row customHeight="1" ht="11.25">
      <c r="A164" s="0" t="s">
        <v>16</v>
      </c>
      <c r="B164" s="0" t="s">
        <v>3695</v>
      </c>
      <c r="C164" s="0" t="s">
        <v>3696</v>
      </c>
      <c r="D164" s="0" t="s">
        <v>3713</v>
      </c>
      <c r="E164" s="0" t="s">
        <v>3714</v>
      </c>
      <c r="F164" s="0" t="s">
        <v>3306</v>
      </c>
      <c r="G164" s="0" t="s">
        <v>3715</v>
      </c>
    </row>
    <row customHeight="1" ht="11.25">
      <c r="A165" s="0" t="s">
        <v>16</v>
      </c>
      <c r="B165" s="0" t="s">
        <v>3716</v>
      </c>
      <c r="C165" s="0" t="s">
        <v>3717</v>
      </c>
      <c r="D165" s="0" t="s">
        <v>3718</v>
      </c>
      <c r="E165" s="0" t="s">
        <v>3719</v>
      </c>
      <c r="F165" s="0" t="s">
        <v>3306</v>
      </c>
      <c r="G165" s="0" t="s">
        <v>3720</v>
      </c>
    </row>
    <row customHeight="1" ht="11.25">
      <c r="A166" s="0" t="s">
        <v>16</v>
      </c>
      <c r="B166" s="0" t="s">
        <v>3716</v>
      </c>
      <c r="C166" s="0" t="s">
        <v>3717</v>
      </c>
      <c r="D166" s="0" t="s">
        <v>3721</v>
      </c>
      <c r="E166" s="0" t="s">
        <v>3722</v>
      </c>
      <c r="F166" s="0" t="s">
        <v>3306</v>
      </c>
      <c r="G166" s="0" t="s">
        <v>3723</v>
      </c>
    </row>
    <row customHeight="1" ht="11.25">
      <c r="A167" s="0" t="s">
        <v>16</v>
      </c>
      <c r="B167" s="0" t="s">
        <v>3716</v>
      </c>
      <c r="C167" s="0" t="s">
        <v>3717</v>
      </c>
      <c r="D167" s="0" t="s">
        <v>3724</v>
      </c>
      <c r="E167" s="0" t="s">
        <v>3725</v>
      </c>
      <c r="F167" s="0" t="s">
        <v>3306</v>
      </c>
      <c r="G167" s="0" t="s">
        <v>3726</v>
      </c>
    </row>
    <row customHeight="1" ht="11.25">
      <c r="A168" s="0" t="s">
        <v>16</v>
      </c>
      <c r="B168" s="0" t="s">
        <v>3716</v>
      </c>
      <c r="C168" s="0" t="s">
        <v>3717</v>
      </c>
      <c r="D168" s="0" t="s">
        <v>3727</v>
      </c>
      <c r="E168" s="0" t="s">
        <v>3728</v>
      </c>
      <c r="F168" s="0" t="s">
        <v>3306</v>
      </c>
      <c r="G168" s="0" t="s">
        <v>3729</v>
      </c>
    </row>
    <row customHeight="1" ht="11.25">
      <c r="A169" s="0" t="s">
        <v>16</v>
      </c>
      <c r="B169" s="0" t="s">
        <v>3716</v>
      </c>
      <c r="C169" s="0" t="s">
        <v>3717</v>
      </c>
      <c r="D169" s="0" t="s">
        <v>3730</v>
      </c>
      <c r="E169" s="0" t="s">
        <v>3731</v>
      </c>
      <c r="F169" s="0" t="s">
        <v>3306</v>
      </c>
      <c r="G169" s="0" t="s">
        <v>3732</v>
      </c>
    </row>
    <row customHeight="1" ht="11.25">
      <c r="A170" s="0" t="s">
        <v>16</v>
      </c>
      <c r="B170" s="0" t="s">
        <v>3716</v>
      </c>
      <c r="C170" s="0" t="s">
        <v>3717</v>
      </c>
      <c r="D170" s="0" t="s">
        <v>3733</v>
      </c>
      <c r="E170" s="0" t="s">
        <v>3734</v>
      </c>
      <c r="F170" s="0" t="s">
        <v>3306</v>
      </c>
      <c r="G170" s="0" t="s">
        <v>3735</v>
      </c>
    </row>
    <row customHeight="1" ht="11.25">
      <c r="A171" s="0" t="s">
        <v>16</v>
      </c>
      <c r="B171" s="0" t="s">
        <v>3716</v>
      </c>
      <c r="C171" s="0" t="s">
        <v>3717</v>
      </c>
      <c r="D171" s="0" t="s">
        <v>3736</v>
      </c>
      <c r="E171" s="0" t="s">
        <v>3737</v>
      </c>
      <c r="F171" s="0" t="s">
        <v>3306</v>
      </c>
      <c r="G171" s="0" t="s">
        <v>3738</v>
      </c>
    </row>
    <row customHeight="1" ht="11.25">
      <c r="A172" s="0" t="s">
        <v>16</v>
      </c>
      <c r="B172" s="0" t="s">
        <v>3716</v>
      </c>
      <c r="C172" s="0" t="s">
        <v>3717</v>
      </c>
      <c r="D172" s="0" t="s">
        <v>3739</v>
      </c>
      <c r="E172" s="0" t="s">
        <v>3740</v>
      </c>
      <c r="F172" s="0" t="s">
        <v>3306</v>
      </c>
      <c r="G172" s="0" t="s">
        <v>3741</v>
      </c>
    </row>
    <row customHeight="1" ht="11.25">
      <c r="A173" s="0" t="s">
        <v>16</v>
      </c>
      <c r="B173" s="0" t="s">
        <v>3716</v>
      </c>
      <c r="C173" s="0" t="s">
        <v>3717</v>
      </c>
      <c r="D173" s="0" t="s">
        <v>3742</v>
      </c>
      <c r="E173" s="0" t="s">
        <v>3743</v>
      </c>
      <c r="F173" s="0" t="s">
        <v>3306</v>
      </c>
      <c r="G173" s="0" t="s">
        <v>3744</v>
      </c>
    </row>
    <row customHeight="1" ht="11.25">
      <c r="A174" s="0" t="s">
        <v>16</v>
      </c>
      <c r="B174" s="0" t="s">
        <v>3716</v>
      </c>
      <c r="C174" s="0" t="s">
        <v>3717</v>
      </c>
      <c r="D174" s="0" t="s">
        <v>3745</v>
      </c>
      <c r="E174" s="0" t="s">
        <v>3746</v>
      </c>
      <c r="F174" s="0" t="s">
        <v>3306</v>
      </c>
      <c r="G174" s="0" t="s">
        <v>3747</v>
      </c>
    </row>
    <row customHeight="1" ht="11.25">
      <c r="A175" s="0" t="s">
        <v>16</v>
      </c>
      <c r="B175" s="0" t="s">
        <v>3716</v>
      </c>
      <c r="C175" s="0" t="s">
        <v>3717</v>
      </c>
      <c r="D175" s="0" t="s">
        <v>3748</v>
      </c>
      <c r="E175" s="0" t="s">
        <v>3749</v>
      </c>
      <c r="F175" s="0" t="s">
        <v>3306</v>
      </c>
      <c r="G175" s="0" t="s">
        <v>3750</v>
      </c>
    </row>
    <row customHeight="1" ht="11.25">
      <c r="A176" s="0" t="s">
        <v>16</v>
      </c>
      <c r="B176" s="0" t="s">
        <v>3716</v>
      </c>
      <c r="C176" s="0" t="s">
        <v>3717</v>
      </c>
      <c r="D176" s="0" t="s">
        <v>3751</v>
      </c>
      <c r="E176" s="0" t="s">
        <v>3752</v>
      </c>
      <c r="F176" s="0" t="s">
        <v>3306</v>
      </c>
      <c r="G176" s="0" t="s">
        <v>3753</v>
      </c>
    </row>
    <row customHeight="1" ht="11.25">
      <c r="A177" s="0" t="s">
        <v>16</v>
      </c>
      <c r="B177" s="0" t="s">
        <v>3716</v>
      </c>
      <c r="C177" s="0" t="s">
        <v>3717</v>
      </c>
      <c r="D177" s="0" t="s">
        <v>3754</v>
      </c>
      <c r="E177" s="0" t="s">
        <v>3755</v>
      </c>
      <c r="F177" s="0" t="s">
        <v>3306</v>
      </c>
      <c r="G177" s="0" t="s">
        <v>3756</v>
      </c>
    </row>
    <row customHeight="1" ht="11.25">
      <c r="A178" s="0" t="s">
        <v>16</v>
      </c>
      <c r="B178" s="0" t="s">
        <v>3716</v>
      </c>
      <c r="C178" s="0" t="s">
        <v>3717</v>
      </c>
      <c r="D178" s="0" t="s">
        <v>3757</v>
      </c>
      <c r="E178" s="0" t="s">
        <v>3758</v>
      </c>
      <c r="F178" s="0" t="s">
        <v>3306</v>
      </c>
      <c r="G178" s="0" t="s">
        <v>3759</v>
      </c>
    </row>
    <row customHeight="1" ht="11.25">
      <c r="A179" s="0" t="s">
        <v>16</v>
      </c>
      <c r="B179" s="0" t="s">
        <v>3716</v>
      </c>
      <c r="C179" s="0" t="s">
        <v>3717</v>
      </c>
      <c r="D179" s="0" t="s">
        <v>3760</v>
      </c>
      <c r="E179" s="0" t="s">
        <v>3761</v>
      </c>
      <c r="F179" s="0" t="s">
        <v>3306</v>
      </c>
      <c r="G179" s="0" t="s">
        <v>3762</v>
      </c>
    </row>
    <row customHeight="1" ht="11.25">
      <c r="A180" s="0" t="s">
        <v>16</v>
      </c>
      <c r="B180" s="0" t="s">
        <v>3716</v>
      </c>
      <c r="C180" s="0" t="s">
        <v>3717</v>
      </c>
      <c r="D180" s="0" t="s">
        <v>3763</v>
      </c>
      <c r="E180" s="0" t="s">
        <v>3764</v>
      </c>
      <c r="F180" s="0" t="s">
        <v>3306</v>
      </c>
      <c r="G180" s="0" t="s">
        <v>3765</v>
      </c>
    </row>
    <row customHeight="1" ht="11.25">
      <c r="A181" s="0" t="s">
        <v>16</v>
      </c>
      <c r="B181" s="0" t="s">
        <v>3716</v>
      </c>
      <c r="C181" s="0" t="s">
        <v>3717</v>
      </c>
      <c r="D181" s="0" t="s">
        <v>3716</v>
      </c>
      <c r="E181" s="0" t="s">
        <v>3717</v>
      </c>
      <c r="F181" s="0" t="s">
        <v>3303</v>
      </c>
      <c r="G181" s="0" t="s">
        <v>3766</v>
      </c>
    </row>
    <row customHeight="1" ht="11.25">
      <c r="A182" s="0" t="s">
        <v>16</v>
      </c>
      <c r="B182" s="0" t="s">
        <v>3716</v>
      </c>
      <c r="C182" s="0" t="s">
        <v>3717</v>
      </c>
      <c r="D182" s="0" t="s">
        <v>3767</v>
      </c>
      <c r="E182" s="0" t="s">
        <v>3768</v>
      </c>
      <c r="F182" s="0" t="s">
        <v>3306</v>
      </c>
      <c r="G182" s="0" t="s">
        <v>3769</v>
      </c>
    </row>
    <row customHeight="1" ht="11.25">
      <c r="A183" s="0" t="s">
        <v>16</v>
      </c>
      <c r="B183" s="0" t="s">
        <v>3716</v>
      </c>
      <c r="C183" s="0" t="s">
        <v>3717</v>
      </c>
      <c r="D183" s="0" t="s">
        <v>3770</v>
      </c>
      <c r="E183" s="0" t="s">
        <v>3771</v>
      </c>
      <c r="F183" s="0" t="s">
        <v>3306</v>
      </c>
      <c r="G183" s="0" t="s">
        <v>3772</v>
      </c>
    </row>
    <row customHeight="1" ht="11.25">
      <c r="A184" s="0" t="s">
        <v>16</v>
      </c>
      <c r="B184" s="0" t="s">
        <v>105</v>
      </c>
      <c r="C184" s="0" t="s">
        <v>106</v>
      </c>
      <c r="D184" s="0" t="s">
        <v>3773</v>
      </c>
      <c r="E184" s="0" t="s">
        <v>3774</v>
      </c>
      <c r="F184" s="0" t="s">
        <v>3306</v>
      </c>
      <c r="G184" s="0" t="s">
        <v>3775</v>
      </c>
    </row>
    <row customHeight="1" ht="11.25">
      <c r="A185" s="0" t="s">
        <v>16</v>
      </c>
      <c r="B185" s="0" t="s">
        <v>105</v>
      </c>
      <c r="C185" s="0" t="s">
        <v>106</v>
      </c>
      <c r="D185" s="0" t="s">
        <v>3776</v>
      </c>
      <c r="E185" s="0" t="s">
        <v>3777</v>
      </c>
      <c r="F185" s="0" t="s">
        <v>3306</v>
      </c>
      <c r="G185" s="0" t="s">
        <v>3778</v>
      </c>
    </row>
    <row customHeight="1" ht="11.25">
      <c r="A186" s="0" t="s">
        <v>16</v>
      </c>
      <c r="B186" s="0" t="s">
        <v>105</v>
      </c>
      <c r="C186" s="0" t="s">
        <v>106</v>
      </c>
      <c r="D186" s="0" t="s">
        <v>3779</v>
      </c>
      <c r="E186" s="0" t="s">
        <v>3780</v>
      </c>
      <c r="F186" s="0" t="s">
        <v>3306</v>
      </c>
      <c r="G186" s="0" t="s">
        <v>3781</v>
      </c>
    </row>
    <row customHeight="1" ht="11.25">
      <c r="A187" s="0" t="s">
        <v>16</v>
      </c>
      <c r="B187" s="0" t="s">
        <v>105</v>
      </c>
      <c r="C187" s="0" t="s">
        <v>106</v>
      </c>
      <c r="D187" s="0" t="s">
        <v>3782</v>
      </c>
      <c r="E187" s="0" t="s">
        <v>3783</v>
      </c>
      <c r="F187" s="0" t="s">
        <v>3306</v>
      </c>
      <c r="G187" s="0" t="s">
        <v>3784</v>
      </c>
    </row>
    <row customHeight="1" ht="11.25">
      <c r="A188" s="0" t="s">
        <v>16</v>
      </c>
      <c r="B188" s="0" t="s">
        <v>105</v>
      </c>
      <c r="C188" s="0" t="s">
        <v>106</v>
      </c>
      <c r="D188" s="0" t="s">
        <v>3785</v>
      </c>
      <c r="E188" s="0" t="s">
        <v>3786</v>
      </c>
      <c r="F188" s="0" t="s">
        <v>3306</v>
      </c>
      <c r="G188" s="0" t="s">
        <v>3787</v>
      </c>
    </row>
    <row customHeight="1" ht="11.25">
      <c r="A189" s="0" t="s">
        <v>16</v>
      </c>
      <c r="B189" s="0" t="s">
        <v>105</v>
      </c>
      <c r="C189" s="0" t="s">
        <v>106</v>
      </c>
      <c r="D189" s="0" t="s">
        <v>3788</v>
      </c>
      <c r="E189" s="0" t="s">
        <v>3789</v>
      </c>
      <c r="F189" s="0" t="s">
        <v>3306</v>
      </c>
      <c r="G189" s="0" t="s">
        <v>3790</v>
      </c>
    </row>
    <row customHeight="1" ht="11.25">
      <c r="A190" s="0" t="s">
        <v>16</v>
      </c>
      <c r="B190" s="0" t="s">
        <v>105</v>
      </c>
      <c r="C190" s="0" t="s">
        <v>106</v>
      </c>
      <c r="D190" s="0" t="s">
        <v>3791</v>
      </c>
      <c r="E190" s="0" t="s">
        <v>3792</v>
      </c>
      <c r="F190" s="0" t="s">
        <v>3306</v>
      </c>
      <c r="G190" s="0" t="s">
        <v>3793</v>
      </c>
    </row>
    <row customHeight="1" ht="11.25">
      <c r="A191" s="0" t="s">
        <v>16</v>
      </c>
      <c r="B191" s="0" t="s">
        <v>105</v>
      </c>
      <c r="C191" s="0" t="s">
        <v>106</v>
      </c>
      <c r="D191" s="0" t="s">
        <v>3794</v>
      </c>
      <c r="E191" s="0" t="s">
        <v>3795</v>
      </c>
      <c r="F191" s="0" t="s">
        <v>3306</v>
      </c>
      <c r="G191" s="0" t="s">
        <v>3796</v>
      </c>
    </row>
    <row customHeight="1" ht="11.25">
      <c r="A192" s="0" t="s">
        <v>16</v>
      </c>
      <c r="B192" s="0" t="s">
        <v>105</v>
      </c>
      <c r="C192" s="0" t="s">
        <v>106</v>
      </c>
      <c r="D192" s="0" t="s">
        <v>3797</v>
      </c>
      <c r="E192" s="0" t="s">
        <v>3798</v>
      </c>
      <c r="F192" s="0" t="s">
        <v>3306</v>
      </c>
      <c r="G192" s="0" t="s">
        <v>3799</v>
      </c>
    </row>
    <row customHeight="1" ht="11.25">
      <c r="A193" s="0" t="s">
        <v>16</v>
      </c>
      <c r="B193" s="0" t="s">
        <v>105</v>
      </c>
      <c r="C193" s="0" t="s">
        <v>106</v>
      </c>
      <c r="D193" s="0" t="s">
        <v>3800</v>
      </c>
      <c r="E193" s="0" t="s">
        <v>3801</v>
      </c>
      <c r="F193" s="0" t="s">
        <v>3306</v>
      </c>
      <c r="G193" s="0" t="s">
        <v>3802</v>
      </c>
    </row>
    <row customHeight="1" ht="11.25">
      <c r="A194" s="0" t="s">
        <v>16</v>
      </c>
      <c r="B194" s="0" t="s">
        <v>105</v>
      </c>
      <c r="C194" s="0" t="s">
        <v>106</v>
      </c>
      <c r="D194" s="0" t="s">
        <v>3803</v>
      </c>
      <c r="E194" s="0" t="s">
        <v>3804</v>
      </c>
      <c r="F194" s="0" t="s">
        <v>3306</v>
      </c>
      <c r="G194" s="0" t="s">
        <v>3805</v>
      </c>
    </row>
    <row customHeight="1" ht="11.25">
      <c r="A195" s="0" t="s">
        <v>16</v>
      </c>
      <c r="B195" s="0" t="s">
        <v>105</v>
      </c>
      <c r="C195" s="0" t="s">
        <v>106</v>
      </c>
      <c r="D195" s="0" t="s">
        <v>3806</v>
      </c>
      <c r="E195" s="0" t="s">
        <v>3807</v>
      </c>
      <c r="F195" s="0" t="s">
        <v>3306</v>
      </c>
      <c r="G195" s="0" t="s">
        <v>3808</v>
      </c>
    </row>
    <row customHeight="1" ht="11.25">
      <c r="A196" s="0" t="s">
        <v>16</v>
      </c>
      <c r="B196" s="0" t="s">
        <v>105</v>
      </c>
      <c r="C196" s="0" t="s">
        <v>106</v>
      </c>
      <c r="D196" s="0" t="s">
        <v>3809</v>
      </c>
      <c r="E196" s="0" t="s">
        <v>3810</v>
      </c>
      <c r="F196" s="0" t="s">
        <v>3306</v>
      </c>
      <c r="G196" s="0" t="s">
        <v>3811</v>
      </c>
    </row>
    <row customHeight="1" ht="11.25">
      <c r="A197" s="0" t="s">
        <v>16</v>
      </c>
      <c r="B197" s="0" t="s">
        <v>105</v>
      </c>
      <c r="C197" s="0" t="s">
        <v>106</v>
      </c>
      <c r="D197" s="0" t="s">
        <v>3812</v>
      </c>
      <c r="E197" s="0" t="s">
        <v>3813</v>
      </c>
      <c r="F197" s="0" t="s">
        <v>3306</v>
      </c>
      <c r="G197" s="0" t="s">
        <v>3814</v>
      </c>
    </row>
    <row customHeight="1" ht="11.25">
      <c r="A198" s="0" t="s">
        <v>16</v>
      </c>
      <c r="B198" s="0" t="s">
        <v>105</v>
      </c>
      <c r="C198" s="0" t="s">
        <v>106</v>
      </c>
      <c r="D198" s="0" t="s">
        <v>3815</v>
      </c>
      <c r="E198" s="0" t="s">
        <v>3816</v>
      </c>
      <c r="F198" s="0" t="s">
        <v>3306</v>
      </c>
      <c r="G198" s="0" t="s">
        <v>3817</v>
      </c>
    </row>
    <row customHeight="1" ht="11.25">
      <c r="A199" s="0" t="s">
        <v>16</v>
      </c>
      <c r="B199" s="0" t="s">
        <v>105</v>
      </c>
      <c r="C199" s="0" t="s">
        <v>106</v>
      </c>
      <c r="D199" s="0" t="s">
        <v>3818</v>
      </c>
      <c r="E199" s="0" t="s">
        <v>3819</v>
      </c>
      <c r="F199" s="0" t="s">
        <v>3306</v>
      </c>
      <c r="G199" s="0" t="s">
        <v>3820</v>
      </c>
    </row>
    <row customHeight="1" ht="11.25">
      <c r="A200" s="0" t="s">
        <v>16</v>
      </c>
      <c r="B200" s="0" t="s">
        <v>105</v>
      </c>
      <c r="C200" s="0" t="s">
        <v>106</v>
      </c>
      <c r="D200" s="0" t="s">
        <v>3821</v>
      </c>
      <c r="E200" s="0" t="s">
        <v>3822</v>
      </c>
      <c r="F200" s="0" t="s">
        <v>3306</v>
      </c>
      <c r="G200" s="0" t="s">
        <v>3823</v>
      </c>
    </row>
    <row customHeight="1" ht="11.25">
      <c r="A201" s="0" t="s">
        <v>16</v>
      </c>
      <c r="B201" s="0" t="s">
        <v>105</v>
      </c>
      <c r="C201" s="0" t="s">
        <v>106</v>
      </c>
      <c r="D201" s="0" t="s">
        <v>3824</v>
      </c>
      <c r="E201" s="0" t="s">
        <v>3825</v>
      </c>
      <c r="F201" s="0" t="s">
        <v>3306</v>
      </c>
      <c r="G201" s="0" t="s">
        <v>3826</v>
      </c>
    </row>
    <row customHeight="1" ht="11.25">
      <c r="A202" s="0" t="s">
        <v>16</v>
      </c>
      <c r="B202" s="0" t="s">
        <v>105</v>
      </c>
      <c r="C202" s="0" t="s">
        <v>106</v>
      </c>
      <c r="D202" s="0" t="s">
        <v>3827</v>
      </c>
      <c r="E202" s="0" t="s">
        <v>3828</v>
      </c>
      <c r="F202" s="0" t="s">
        <v>3306</v>
      </c>
      <c r="G202" s="0" t="s">
        <v>3829</v>
      </c>
    </row>
    <row customHeight="1" ht="11.25">
      <c r="A203" s="0" t="s">
        <v>16</v>
      </c>
      <c r="B203" s="0" t="s">
        <v>105</v>
      </c>
      <c r="C203" s="0" t="s">
        <v>106</v>
      </c>
      <c r="D203" s="0" t="s">
        <v>3830</v>
      </c>
      <c r="E203" s="0" t="s">
        <v>3831</v>
      </c>
      <c r="F203" s="0" t="s">
        <v>3306</v>
      </c>
      <c r="G203" s="0" t="s">
        <v>3832</v>
      </c>
    </row>
    <row customHeight="1" ht="11.25">
      <c r="A204" s="0" t="s">
        <v>16</v>
      </c>
      <c r="B204" s="0" t="s">
        <v>105</v>
      </c>
      <c r="C204" s="0" t="s">
        <v>106</v>
      </c>
      <c r="D204" s="0" t="s">
        <v>3833</v>
      </c>
      <c r="E204" s="0" t="s">
        <v>3834</v>
      </c>
      <c r="F204" s="0" t="s">
        <v>3322</v>
      </c>
      <c r="G204" s="0" t="s">
        <v>3835</v>
      </c>
    </row>
    <row customHeight="1" ht="11.25">
      <c r="A205" s="0" t="s">
        <v>16</v>
      </c>
      <c r="B205" s="0" t="s">
        <v>105</v>
      </c>
      <c r="C205" s="0" t="s">
        <v>106</v>
      </c>
      <c r="D205" s="0" t="s">
        <v>3836</v>
      </c>
      <c r="E205" s="0" t="s">
        <v>3837</v>
      </c>
      <c r="F205" s="0" t="s">
        <v>3306</v>
      </c>
      <c r="G205" s="0" t="s">
        <v>3838</v>
      </c>
    </row>
    <row customHeight="1" ht="11.25">
      <c r="A206" s="0" t="s">
        <v>16</v>
      </c>
      <c r="B206" s="0" t="s">
        <v>105</v>
      </c>
      <c r="C206" s="0" t="s">
        <v>106</v>
      </c>
      <c r="D206" s="0" t="s">
        <v>3839</v>
      </c>
      <c r="E206" s="0" t="s">
        <v>3840</v>
      </c>
      <c r="F206" s="0" t="s">
        <v>3306</v>
      </c>
      <c r="G206" s="0" t="s">
        <v>3841</v>
      </c>
    </row>
    <row customHeight="1" ht="11.25">
      <c r="A207" s="0" t="s">
        <v>16</v>
      </c>
      <c r="B207" s="0" t="s">
        <v>105</v>
      </c>
      <c r="C207" s="0" t="s">
        <v>106</v>
      </c>
      <c r="D207" s="0" t="s">
        <v>3842</v>
      </c>
      <c r="E207" s="0" t="s">
        <v>3843</v>
      </c>
      <c r="F207" s="0" t="s">
        <v>3306</v>
      </c>
      <c r="G207" s="0" t="s">
        <v>3844</v>
      </c>
    </row>
    <row customHeight="1" ht="11.25">
      <c r="A208" s="0" t="s">
        <v>16</v>
      </c>
      <c r="B208" s="0" t="s">
        <v>105</v>
      </c>
      <c r="C208" s="0" t="s">
        <v>106</v>
      </c>
      <c r="D208" s="0" t="s">
        <v>3845</v>
      </c>
      <c r="E208" s="0" t="s">
        <v>3846</v>
      </c>
      <c r="F208" s="0" t="s">
        <v>3306</v>
      </c>
      <c r="G208" s="0" t="s">
        <v>3847</v>
      </c>
    </row>
    <row customHeight="1" ht="11.25">
      <c r="A209" s="0" t="s">
        <v>16</v>
      </c>
      <c r="B209" s="0" t="s">
        <v>105</v>
      </c>
      <c r="C209" s="0" t="s">
        <v>106</v>
      </c>
      <c r="D209" s="0" t="s">
        <v>3848</v>
      </c>
      <c r="E209" s="0" t="s">
        <v>3849</v>
      </c>
      <c r="F209" s="0" t="s">
        <v>3306</v>
      </c>
      <c r="G209" s="0" t="s">
        <v>3850</v>
      </c>
    </row>
    <row customHeight="1" ht="11.25">
      <c r="A210" s="0" t="s">
        <v>16</v>
      </c>
      <c r="B210" s="0" t="s">
        <v>105</v>
      </c>
      <c r="C210" s="0" t="s">
        <v>106</v>
      </c>
      <c r="D210" s="0" t="s">
        <v>105</v>
      </c>
      <c r="E210" s="0" t="s">
        <v>106</v>
      </c>
      <c r="F210" s="0" t="s">
        <v>3303</v>
      </c>
      <c r="G210" s="0" t="s">
        <v>104</v>
      </c>
    </row>
    <row customHeight="1" ht="11.25">
      <c r="A211" s="0" t="s">
        <v>16</v>
      </c>
      <c r="B211" s="0" t="s">
        <v>105</v>
      </c>
      <c r="C211" s="0" t="s">
        <v>106</v>
      </c>
      <c r="D211" s="0" t="s">
        <v>3851</v>
      </c>
      <c r="E211" s="0" t="s">
        <v>3852</v>
      </c>
      <c r="F211" s="0" t="s">
        <v>3306</v>
      </c>
      <c r="G211" s="0" t="s">
        <v>3853</v>
      </c>
    </row>
    <row customHeight="1" ht="11.25">
      <c r="A212" s="0" t="s">
        <v>16</v>
      </c>
      <c r="B212" s="0" t="s">
        <v>3854</v>
      </c>
      <c r="C212" s="0" t="s">
        <v>3855</v>
      </c>
      <c r="D212" s="0" t="s">
        <v>3856</v>
      </c>
      <c r="E212" s="0" t="s">
        <v>3857</v>
      </c>
      <c r="F212" s="0" t="s">
        <v>3306</v>
      </c>
      <c r="G212" s="0" t="s">
        <v>3858</v>
      </c>
    </row>
    <row customHeight="1" ht="11.25">
      <c r="A213" s="0" t="s">
        <v>16</v>
      </c>
      <c r="B213" s="0" t="s">
        <v>3854</v>
      </c>
      <c r="C213" s="0" t="s">
        <v>3855</v>
      </c>
      <c r="D213" s="0" t="s">
        <v>3859</v>
      </c>
      <c r="E213" s="0" t="s">
        <v>3860</v>
      </c>
      <c r="F213" s="0" t="s">
        <v>3306</v>
      </c>
      <c r="G213" s="0" t="s">
        <v>3861</v>
      </c>
    </row>
    <row customHeight="1" ht="11.25">
      <c r="A214" s="0" t="s">
        <v>16</v>
      </c>
      <c r="B214" s="0" t="s">
        <v>3854</v>
      </c>
      <c r="C214" s="0" t="s">
        <v>3855</v>
      </c>
      <c r="D214" s="0" t="s">
        <v>3862</v>
      </c>
      <c r="E214" s="0" t="s">
        <v>3863</v>
      </c>
      <c r="F214" s="0" t="s">
        <v>3306</v>
      </c>
      <c r="G214" s="0" t="s">
        <v>3864</v>
      </c>
    </row>
    <row customHeight="1" ht="11.25">
      <c r="A215" s="0" t="s">
        <v>16</v>
      </c>
      <c r="B215" s="0" t="s">
        <v>3854</v>
      </c>
      <c r="C215" s="0" t="s">
        <v>3855</v>
      </c>
      <c r="D215" s="0" t="s">
        <v>3865</v>
      </c>
      <c r="E215" s="0" t="s">
        <v>3866</v>
      </c>
      <c r="F215" s="0" t="s">
        <v>3306</v>
      </c>
      <c r="G215" s="0" t="s">
        <v>3867</v>
      </c>
    </row>
    <row customHeight="1" ht="11.25">
      <c r="A216" s="0" t="s">
        <v>16</v>
      </c>
      <c r="B216" s="0" t="s">
        <v>3854</v>
      </c>
      <c r="C216" s="0" t="s">
        <v>3855</v>
      </c>
      <c r="D216" s="0" t="s">
        <v>3868</v>
      </c>
      <c r="E216" s="0" t="s">
        <v>3869</v>
      </c>
      <c r="F216" s="0" t="s">
        <v>3306</v>
      </c>
      <c r="G216" s="0" t="s">
        <v>3870</v>
      </c>
    </row>
    <row customHeight="1" ht="11.25">
      <c r="A217" s="0" t="s">
        <v>16</v>
      </c>
      <c r="B217" s="0" t="s">
        <v>3854</v>
      </c>
      <c r="C217" s="0" t="s">
        <v>3855</v>
      </c>
      <c r="D217" s="0" t="s">
        <v>3871</v>
      </c>
      <c r="E217" s="0" t="s">
        <v>3872</v>
      </c>
      <c r="F217" s="0" t="s">
        <v>3306</v>
      </c>
      <c r="G217" s="0" t="s">
        <v>3873</v>
      </c>
    </row>
    <row customHeight="1" ht="11.25">
      <c r="A218" s="0" t="s">
        <v>16</v>
      </c>
      <c r="B218" s="0" t="s">
        <v>3854</v>
      </c>
      <c r="C218" s="0" t="s">
        <v>3855</v>
      </c>
      <c r="D218" s="0" t="s">
        <v>3874</v>
      </c>
      <c r="E218" s="0" t="s">
        <v>3875</v>
      </c>
      <c r="F218" s="0" t="s">
        <v>3306</v>
      </c>
      <c r="G218" s="0" t="s">
        <v>3876</v>
      </c>
    </row>
    <row customHeight="1" ht="11.25">
      <c r="A219" s="0" t="s">
        <v>16</v>
      </c>
      <c r="B219" s="0" t="s">
        <v>3854</v>
      </c>
      <c r="C219" s="0" t="s">
        <v>3855</v>
      </c>
      <c r="D219" s="0" t="s">
        <v>3877</v>
      </c>
      <c r="E219" s="0" t="s">
        <v>3878</v>
      </c>
      <c r="F219" s="0" t="s">
        <v>3306</v>
      </c>
      <c r="G219" s="0" t="s">
        <v>3879</v>
      </c>
    </row>
    <row customHeight="1" ht="11.25">
      <c r="A220" s="0" t="s">
        <v>16</v>
      </c>
      <c r="B220" s="0" t="s">
        <v>3854</v>
      </c>
      <c r="C220" s="0" t="s">
        <v>3855</v>
      </c>
      <c r="D220" s="0" t="s">
        <v>3880</v>
      </c>
      <c r="E220" s="0" t="s">
        <v>3881</v>
      </c>
      <c r="F220" s="0" t="s">
        <v>3306</v>
      </c>
      <c r="G220" s="0" t="s">
        <v>3882</v>
      </c>
    </row>
    <row customHeight="1" ht="11.25">
      <c r="A221" s="0" t="s">
        <v>16</v>
      </c>
      <c r="B221" s="0" t="s">
        <v>3854</v>
      </c>
      <c r="C221" s="0" t="s">
        <v>3855</v>
      </c>
      <c r="D221" s="0" t="s">
        <v>3883</v>
      </c>
      <c r="E221" s="0" t="s">
        <v>3884</v>
      </c>
      <c r="F221" s="0" t="s">
        <v>3306</v>
      </c>
      <c r="G221" s="0" t="s">
        <v>3885</v>
      </c>
    </row>
    <row customHeight="1" ht="11.25">
      <c r="A222" s="0" t="s">
        <v>16</v>
      </c>
      <c r="B222" s="0" t="s">
        <v>3854</v>
      </c>
      <c r="C222" s="0" t="s">
        <v>3855</v>
      </c>
      <c r="D222" s="0" t="s">
        <v>3886</v>
      </c>
      <c r="E222" s="0" t="s">
        <v>3887</v>
      </c>
      <c r="F222" s="0" t="s">
        <v>3306</v>
      </c>
      <c r="G222" s="0" t="s">
        <v>3888</v>
      </c>
    </row>
    <row customHeight="1" ht="11.25">
      <c r="A223" s="0" t="s">
        <v>16</v>
      </c>
      <c r="B223" s="0" t="s">
        <v>3854</v>
      </c>
      <c r="C223" s="0" t="s">
        <v>3855</v>
      </c>
      <c r="D223" s="0" t="s">
        <v>3889</v>
      </c>
      <c r="E223" s="0" t="s">
        <v>3890</v>
      </c>
      <c r="F223" s="0" t="s">
        <v>3306</v>
      </c>
      <c r="G223" s="0" t="s">
        <v>3891</v>
      </c>
    </row>
    <row customHeight="1" ht="11.25">
      <c r="A224" s="0" t="s">
        <v>16</v>
      </c>
      <c r="B224" s="0" t="s">
        <v>3854</v>
      </c>
      <c r="C224" s="0" t="s">
        <v>3855</v>
      </c>
      <c r="D224" s="0" t="s">
        <v>3892</v>
      </c>
      <c r="E224" s="0" t="s">
        <v>3893</v>
      </c>
      <c r="F224" s="0" t="s">
        <v>3322</v>
      </c>
      <c r="G224" s="0" t="s">
        <v>3894</v>
      </c>
    </row>
    <row customHeight="1" ht="11.25">
      <c r="A225" s="0" t="s">
        <v>16</v>
      </c>
      <c r="B225" s="0" t="s">
        <v>3854</v>
      </c>
      <c r="C225" s="0" t="s">
        <v>3855</v>
      </c>
      <c r="D225" s="0" t="s">
        <v>3895</v>
      </c>
      <c r="E225" s="0" t="s">
        <v>3896</v>
      </c>
      <c r="F225" s="0" t="s">
        <v>3322</v>
      </c>
      <c r="G225" s="0" t="s">
        <v>3897</v>
      </c>
    </row>
    <row customHeight="1" ht="11.25">
      <c r="A226" s="0" t="s">
        <v>16</v>
      </c>
      <c r="B226" s="0" t="s">
        <v>3854</v>
      </c>
      <c r="C226" s="0" t="s">
        <v>3855</v>
      </c>
      <c r="D226" s="0" t="s">
        <v>3898</v>
      </c>
      <c r="E226" s="0" t="s">
        <v>3899</v>
      </c>
      <c r="F226" s="0" t="s">
        <v>3322</v>
      </c>
      <c r="G226" s="0" t="s">
        <v>3900</v>
      </c>
    </row>
    <row customHeight="1" ht="11.25">
      <c r="A227" s="0" t="s">
        <v>16</v>
      </c>
      <c r="B227" s="0" t="s">
        <v>3854</v>
      </c>
      <c r="C227" s="0" t="s">
        <v>3855</v>
      </c>
      <c r="D227" s="0" t="s">
        <v>3901</v>
      </c>
      <c r="E227" s="0" t="s">
        <v>3902</v>
      </c>
      <c r="F227" s="0" t="s">
        <v>3306</v>
      </c>
      <c r="G227" s="0" t="s">
        <v>3903</v>
      </c>
    </row>
    <row customHeight="1" ht="11.25">
      <c r="A228" s="0" t="s">
        <v>16</v>
      </c>
      <c r="B228" s="0" t="s">
        <v>3854</v>
      </c>
      <c r="C228" s="0" t="s">
        <v>3855</v>
      </c>
      <c r="D228" s="0" t="s">
        <v>3904</v>
      </c>
      <c r="E228" s="0" t="s">
        <v>3905</v>
      </c>
      <c r="F228" s="0" t="s">
        <v>3306</v>
      </c>
      <c r="G228" s="0" t="s">
        <v>3906</v>
      </c>
    </row>
    <row customHeight="1" ht="11.25">
      <c r="A229" s="0" t="s">
        <v>16</v>
      </c>
      <c r="B229" s="0" t="s">
        <v>3854</v>
      </c>
      <c r="C229" s="0" t="s">
        <v>3855</v>
      </c>
      <c r="D229" s="0" t="s">
        <v>3907</v>
      </c>
      <c r="E229" s="0" t="s">
        <v>3908</v>
      </c>
      <c r="F229" s="0" t="s">
        <v>3306</v>
      </c>
      <c r="G229" s="0" t="s">
        <v>3909</v>
      </c>
    </row>
    <row customHeight="1" ht="11.25">
      <c r="A230" s="0" t="s">
        <v>16</v>
      </c>
      <c r="B230" s="0" t="s">
        <v>3854</v>
      </c>
      <c r="C230" s="0" t="s">
        <v>3855</v>
      </c>
      <c r="D230" s="0" t="s">
        <v>3910</v>
      </c>
      <c r="E230" s="0" t="s">
        <v>3911</v>
      </c>
      <c r="F230" s="0" t="s">
        <v>3306</v>
      </c>
      <c r="G230" s="0" t="s">
        <v>3912</v>
      </c>
    </row>
    <row customHeight="1" ht="11.25">
      <c r="A231" s="0" t="s">
        <v>16</v>
      </c>
      <c r="B231" s="0" t="s">
        <v>3854</v>
      </c>
      <c r="C231" s="0" t="s">
        <v>3855</v>
      </c>
      <c r="D231" s="0" t="s">
        <v>3913</v>
      </c>
      <c r="E231" s="0" t="s">
        <v>3914</v>
      </c>
      <c r="F231" s="0" t="s">
        <v>3306</v>
      </c>
      <c r="G231" s="0" t="s">
        <v>3915</v>
      </c>
    </row>
    <row customHeight="1" ht="11.25">
      <c r="A232" s="0" t="s">
        <v>16</v>
      </c>
      <c r="B232" s="0" t="s">
        <v>3854</v>
      </c>
      <c r="C232" s="0" t="s">
        <v>3855</v>
      </c>
      <c r="D232" s="0" t="s">
        <v>3854</v>
      </c>
      <c r="E232" s="0" t="s">
        <v>3855</v>
      </c>
      <c r="F232" s="0" t="s">
        <v>3303</v>
      </c>
      <c r="G232" s="0" t="s">
        <v>3916</v>
      </c>
    </row>
    <row customHeight="1" ht="11.25">
      <c r="A233" s="0" t="s">
        <v>16</v>
      </c>
      <c r="B233" s="0" t="s">
        <v>3917</v>
      </c>
      <c r="C233" s="0" t="s">
        <v>3918</v>
      </c>
      <c r="D233" s="0" t="s">
        <v>3919</v>
      </c>
      <c r="E233" s="0" t="s">
        <v>3920</v>
      </c>
      <c r="F233" s="0" t="s">
        <v>3306</v>
      </c>
      <c r="G233" s="0" t="s">
        <v>3921</v>
      </c>
    </row>
    <row customHeight="1" ht="11.25">
      <c r="A234" s="0" t="s">
        <v>16</v>
      </c>
      <c r="B234" s="0" t="s">
        <v>3917</v>
      </c>
      <c r="C234" s="0" t="s">
        <v>3918</v>
      </c>
      <c r="D234" s="0" t="s">
        <v>3922</v>
      </c>
      <c r="E234" s="0" t="s">
        <v>3923</v>
      </c>
      <c r="F234" s="0" t="s">
        <v>3306</v>
      </c>
      <c r="G234" s="0" t="s">
        <v>3924</v>
      </c>
    </row>
    <row customHeight="1" ht="11.25">
      <c r="A235" s="0" t="s">
        <v>16</v>
      </c>
      <c r="B235" s="0" t="s">
        <v>3917</v>
      </c>
      <c r="C235" s="0" t="s">
        <v>3918</v>
      </c>
      <c r="D235" s="0" t="s">
        <v>3925</v>
      </c>
      <c r="E235" s="0" t="s">
        <v>3926</v>
      </c>
      <c r="F235" s="0" t="s">
        <v>3333</v>
      </c>
      <c r="G235" s="0" t="s">
        <v>3927</v>
      </c>
    </row>
    <row customHeight="1" ht="11.25">
      <c r="A236" s="0" t="s">
        <v>16</v>
      </c>
      <c r="B236" s="0" t="s">
        <v>3917</v>
      </c>
      <c r="C236" s="0" t="s">
        <v>3918</v>
      </c>
      <c r="D236" s="0" t="s">
        <v>3928</v>
      </c>
      <c r="E236" s="0" t="s">
        <v>3929</v>
      </c>
      <c r="F236" s="0" t="s">
        <v>3306</v>
      </c>
      <c r="G236" s="0" t="s">
        <v>3930</v>
      </c>
    </row>
    <row customHeight="1" ht="11.25">
      <c r="A237" s="0" t="s">
        <v>16</v>
      </c>
      <c r="B237" s="0" t="s">
        <v>3917</v>
      </c>
      <c r="C237" s="0" t="s">
        <v>3918</v>
      </c>
      <c r="D237" s="0" t="s">
        <v>3931</v>
      </c>
      <c r="E237" s="0" t="s">
        <v>3932</v>
      </c>
      <c r="F237" s="0" t="s">
        <v>3306</v>
      </c>
      <c r="G237" s="0" t="s">
        <v>3933</v>
      </c>
    </row>
    <row customHeight="1" ht="11.25">
      <c r="A238" s="0" t="s">
        <v>16</v>
      </c>
      <c r="B238" s="0" t="s">
        <v>3917</v>
      </c>
      <c r="C238" s="0" t="s">
        <v>3918</v>
      </c>
      <c r="D238" s="0" t="s">
        <v>3934</v>
      </c>
      <c r="E238" s="0" t="s">
        <v>3935</v>
      </c>
      <c r="F238" s="0" t="s">
        <v>3306</v>
      </c>
      <c r="G238" s="0" t="s">
        <v>3936</v>
      </c>
    </row>
    <row customHeight="1" ht="11.25">
      <c r="A239" s="0" t="s">
        <v>16</v>
      </c>
      <c r="B239" s="0" t="s">
        <v>3917</v>
      </c>
      <c r="C239" s="0" t="s">
        <v>3918</v>
      </c>
      <c r="D239" s="0" t="s">
        <v>3917</v>
      </c>
      <c r="E239" s="0" t="s">
        <v>3918</v>
      </c>
      <c r="F239" s="0" t="s">
        <v>3303</v>
      </c>
      <c r="G239" s="0" t="s">
        <v>3937</v>
      </c>
    </row>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73F0D-2809-C995-AA6E-47671C6D7F9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51" width="9.140625"/>
    <col min="2" max="2" style="13551" width="84.28125" customWidth="1"/>
    <col min="3" max="3" style="13551" width="9.140625"/>
  </cols>
  <sheetData>
    <row customHeight="1" ht="11.25">
      <c r="A1" s="936" t="s">
        <v>3966</v>
      </c>
      <c r="B1" s="936" t="s">
        <v>3967</v>
      </c>
      <c r="C1" s="936" t="s">
        <v>1459</v>
      </c>
    </row>
    <row customHeight="1" ht="11.25">
      <c r="A2" s="936">
        <v>4189678</v>
      </c>
      <c r="B2" s="936" t="s">
        <v>3968</v>
      </c>
      <c r="C2" s="936" t="s">
        <v>3969</v>
      </c>
    </row>
    <row customHeight="1" ht="11.25">
      <c r="A3" s="936">
        <v>4190415</v>
      </c>
      <c r="B3" s="936" t="s">
        <v>3970</v>
      </c>
      <c r="C3" s="936" t="s">
        <v>3969</v>
      </c>
    </row>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9086E-6F87-EBF5-736A-CAF6F269352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56" width="38.421875" customWidth="1"/>
    <col min="2" max="5" style="13556" width="9.140625"/>
  </cols>
  <sheetData>
    <row customHeight="1" ht="15">
      <c r="A1" s="271" t="s">
        <v>3971</v>
      </c>
      <c r="B1" s="271" t="s">
        <v>3972</v>
      </c>
      <c r="C1" s="271"/>
      <c r="D1" s="271"/>
      <c r="E1" s="271"/>
    </row>
    <row customHeight="1" ht="15">
      <c r="A2" s="271"/>
      <c r="B2" s="271"/>
      <c r="C2" s="271"/>
      <c r="D2" s="271"/>
      <c r="E2" s="271"/>
    </row>
    <row customHeight="1" ht="15">
      <c r="A3" s="271"/>
      <c r="B3" s="271"/>
      <c r="C3" s="271"/>
      <c r="D3" s="271"/>
      <c r="E3" s="271"/>
    </row>
    <row customHeight="1" ht="15">
      <c r="A4" s="271"/>
      <c r="B4" s="271"/>
      <c r="C4" s="271"/>
      <c r="D4" s="271"/>
      <c r="E4" s="271"/>
    </row>
    <row customHeight="1" ht="15">
      <c r="A5" s="271"/>
      <c r="B5" s="271"/>
      <c r="C5" s="271"/>
      <c r="D5" s="271"/>
      <c r="E5" s="271"/>
    </row>
    <row customHeight="1" ht="15">
      <c r="A6" s="271"/>
      <c r="B6" s="271"/>
      <c r="C6" s="271"/>
      <c r="D6" s="271"/>
      <c r="E6" s="271"/>
    </row>
    <row customHeight="1" ht="15">
      <c r="A7" s="271"/>
      <c r="B7" s="271"/>
      <c r="C7" s="271"/>
      <c r="D7" s="271"/>
      <c r="E7" s="271"/>
    </row>
    <row customHeight="1" ht="15">
      <c r="A8" s="271"/>
      <c r="B8" s="271"/>
      <c r="C8" s="271"/>
      <c r="D8" s="271"/>
      <c r="E8" s="271"/>
    </row>
  </sheetData>
  <sheetProtection formatColumns="0" formatRows="0"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80061-C50D-8791-9229-D18BAB2B2B46}" mc:Ignorable="x14ac xr xr2 xr3">
  <sheetPr>
    <tabColor rgb="FFFFCC99"/>
  </sheetPr>
  <dimension ref="A1:B15"/>
  <sheetViews>
    <sheetView topLeftCell="A1" workbookViewId="0">
      <selection activeCell="A1" sqref="A1"/>
    </sheetView>
  </sheetViews>
  <sheetFormatPr customHeight="1" defaultRowHeight="11.25"/>
  <sheetData>
    <row customHeight="1" ht="11.25">
      <c r="A1" s="0" t="s">
        <v>3973</v>
      </c>
      <c r="B1" s="0" t="b">
        <v>1</v>
      </c>
    </row>
    <row customHeight="1" ht="11.25">
      <c r="A2" s="0" t="s">
        <v>3974</v>
      </c>
      <c r="B2" s="0" t="b">
        <v>0</v>
      </c>
    </row>
    <row customHeight="1" ht="11.25">
      <c r="A3" s="0" t="s">
        <v>3975</v>
      </c>
      <c r="B3" s="0" t="b">
        <v>1</v>
      </c>
    </row>
    <row customHeight="1" ht="11.25">
      <c r="A4" s="0" t="s">
        <v>3976</v>
      </c>
      <c r="B4" s="0" t="b">
        <v>0</v>
      </c>
    </row>
    <row customHeight="1" ht="11.25">
      <c r="A5" s="0" t="s">
        <v>3977</v>
      </c>
      <c r="B5" s="0" t="b">
        <v>0</v>
      </c>
    </row>
    <row customHeight="1" ht="11.25">
      <c r="A6" s="0" t="s">
        <v>3978</v>
      </c>
      <c r="B6" s="0" t="b">
        <v>0</v>
      </c>
    </row>
    <row customHeight="1" ht="11.25">
      <c r="A7" s="0" t="s">
        <v>3979</v>
      </c>
      <c r="B7" s="0" t="b">
        <v>0</v>
      </c>
    </row>
    <row customHeight="1" ht="11.25">
      <c r="A8" s="0" t="s">
        <v>3980</v>
      </c>
      <c r="B8" s="0" t="b">
        <v>0</v>
      </c>
    </row>
    <row customHeight="1" ht="11.25">
      <c r="A9" s="0" t="s">
        <v>3981</v>
      </c>
      <c r="B9" s="0" t="b">
        <v>0</v>
      </c>
    </row>
    <row customHeight="1" ht="11.25">
      <c r="A10" s="0" t="s">
        <v>3982</v>
      </c>
      <c r="B10" s="0" t="b">
        <v>1</v>
      </c>
    </row>
    <row customHeight="1" ht="11.25">
      <c r="A11" s="0" t="s">
        <v>3983</v>
      </c>
      <c r="B11" s="0" t="b">
        <v>0</v>
      </c>
    </row>
    <row customHeight="1" ht="11.25">
      <c r="A12" s="0" t="s">
        <v>3984</v>
      </c>
      <c r="B12" s="0" t="b">
        <v>0</v>
      </c>
    </row>
    <row customHeight="1" ht="11.25">
      <c r="A13" s="0" t="s">
        <v>3985</v>
      </c>
      <c r="B13" s="0" t="b">
        <v>0</v>
      </c>
    </row>
    <row customHeight="1" ht="11.25">
      <c r="A14" s="0" t="s">
        <v>3986</v>
      </c>
      <c r="B14" s="0" t="b">
        <v>0</v>
      </c>
    </row>
    <row customHeight="1" ht="11.25">
      <c r="A15" s="0" t="s">
        <v>3987</v>
      </c>
      <c r="B15" s="0" t="b">
        <v>1</v>
      </c>
    </row>
  </sheetData>
  <sheetProtection autoFilter="0" sort="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47783-A791-B191-6F1E-F55080DC8E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88" width="9.140625"/>
  </cols>
  <sheetData>
    <row customHeight="1" ht="12.75">
      <c r="A1" s="174"/>
    </row>
  </sheetData>
  <sheetProtection autoFilter="0" sort="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EA5EA-734E-2A51-8A71-D88C4063616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365" width="36.28125" customWidth="1"/>
    <col min="2" max="2" style="10365" width="21.140625" customWidth="1"/>
  </cols>
  <sheetData>
    <row customHeight="1" ht="11.25">
      <c r="A1" s="178" t="s">
        <v>3988</v>
      </c>
      <c r="B1" s="178" t="s">
        <v>3989</v>
      </c>
    </row>
    <row customHeight="1" ht="11.25">
      <c r="A2" s="175" t="s">
        <v>3990</v>
      </c>
      <c r="B2" s="175" t="s">
        <v>3991</v>
      </c>
    </row>
    <row customHeight="1" ht="11.25">
      <c r="A3" s="175" t="s">
        <v>3992</v>
      </c>
      <c r="B3" s="175" t="s">
        <v>3993</v>
      </c>
    </row>
    <row customHeight="1" ht="11.25">
      <c r="A4" s="175" t="s">
        <v>3994</v>
      </c>
      <c r="B4" s="175" t="s">
        <v>3995</v>
      </c>
    </row>
    <row customHeight="1" ht="11.25">
      <c r="A5" s="175" t="s">
        <v>3996</v>
      </c>
      <c r="B5" s="175" t="s">
        <v>3997</v>
      </c>
    </row>
    <row customHeight="1" ht="11.25">
      <c r="A6" s="175" t="s">
        <v>3998</v>
      </c>
      <c r="B6" s="175" t="s">
        <v>3999</v>
      </c>
    </row>
    <row customHeight="1" ht="11.25">
      <c r="A7" s="175" t="s">
        <v>4000</v>
      </c>
      <c r="B7" s="175" t="s">
        <v>4001</v>
      </c>
    </row>
    <row customHeight="1" ht="11.25">
      <c r="A8" s="175" t="s">
        <v>4002</v>
      </c>
      <c r="B8" s="175" t="s">
        <v>4003</v>
      </c>
    </row>
    <row customHeight="1" ht="11.25">
      <c r="A9" s="175" t="s">
        <v>4004</v>
      </c>
      <c r="B9" s="175" t="s">
        <v>4005</v>
      </c>
    </row>
    <row customHeight="1" ht="11.25">
      <c r="A10" s="175" t="s">
        <v>4006</v>
      </c>
      <c r="B10" s="175" t="s">
        <v>4007</v>
      </c>
    </row>
    <row customHeight="1" ht="11.25">
      <c r="A11" s="175" t="s">
        <v>4008</v>
      </c>
      <c r="B11" s="175" t="s">
        <v>4009</v>
      </c>
    </row>
    <row customHeight="1" ht="11.25">
      <c r="A12" s="175" t="s">
        <v>4010</v>
      </c>
      <c r="B12" s="175" t="s">
        <v>4011</v>
      </c>
    </row>
    <row customHeight="1" ht="11.25">
      <c r="A13" s="175" t="s">
        <v>4012</v>
      </c>
      <c r="B13" s="175" t="s">
        <v>4013</v>
      </c>
    </row>
    <row customHeight="1" ht="11.25">
      <c r="A14" s="175" t="s">
        <v>4014</v>
      </c>
      <c r="B14" s="175" t="s">
        <v>4015</v>
      </c>
    </row>
    <row customHeight="1" ht="11.25">
      <c r="A15" s="175" t="s">
        <v>4016</v>
      </c>
      <c r="B15" s="175" t="s">
        <v>4017</v>
      </c>
    </row>
    <row customHeight="1" ht="11.25">
      <c r="A16" s="175" t="s">
        <v>4018</v>
      </c>
      <c r="B16" s="175" t="s">
        <v>4019</v>
      </c>
    </row>
    <row customHeight="1" ht="11.25">
      <c r="A17" s="175" t="s">
        <v>4020</v>
      </c>
      <c r="B17" s="175" t="s">
        <v>4021</v>
      </c>
    </row>
    <row customHeight="1" ht="11.25">
      <c r="A18" s="175" t="s">
        <v>4022</v>
      </c>
      <c r="B18" s="175" t="s">
        <v>4023</v>
      </c>
    </row>
    <row customHeight="1" ht="11.25">
      <c r="A19" s="175" t="s">
        <v>4024</v>
      </c>
      <c r="B19" s="175" t="s">
        <v>4025</v>
      </c>
    </row>
    <row customHeight="1" ht="11.25">
      <c r="A20" s="175" t="s">
        <v>4026</v>
      </c>
      <c r="B20" s="175" t="s">
        <v>4027</v>
      </c>
    </row>
    <row customHeight="1" ht="11.25">
      <c r="A21" s="175" t="s">
        <v>4028</v>
      </c>
      <c r="B21" s="175" t="s">
        <v>4029</v>
      </c>
    </row>
    <row customHeight="1" ht="11.25">
      <c r="A22" s="175" t="s">
        <v>4030</v>
      </c>
      <c r="B22" s="175" t="s">
        <v>4031</v>
      </c>
    </row>
    <row customHeight="1" ht="11.25">
      <c r="A23" s="175" t="s">
        <v>4032</v>
      </c>
      <c r="B23" s="175" t="s">
        <v>4033</v>
      </c>
    </row>
    <row customHeight="1" ht="11.25">
      <c r="A24" s="175" t="s">
        <v>4034</v>
      </c>
      <c r="B24" s="175" t="s">
        <v>4035</v>
      </c>
    </row>
    <row customHeight="1" ht="11.25">
      <c r="A25" s="175" t="s">
        <v>4036</v>
      </c>
      <c r="B25" s="175" t="s">
        <v>4037</v>
      </c>
    </row>
    <row customHeight="1" ht="11.25">
      <c r="A26" s="175" t="s">
        <v>4038</v>
      </c>
      <c r="B26" s="175" t="s">
        <v>4039</v>
      </c>
    </row>
    <row customHeight="1" ht="11.25">
      <c r="A27" s="175" t="s">
        <v>4040</v>
      </c>
      <c r="B27" s="175" t="s">
        <v>4041</v>
      </c>
    </row>
    <row customHeight="1" ht="11.25">
      <c r="A28" s="175" t="s">
        <v>4042</v>
      </c>
      <c r="B28" s="175" t="s">
        <v>4043</v>
      </c>
    </row>
    <row customHeight="1" ht="11.25">
      <c r="A29" s="175" t="s">
        <v>4044</v>
      </c>
      <c r="B29" s="175" t="s">
        <v>4045</v>
      </c>
    </row>
    <row customHeight="1" ht="11.25">
      <c r="A30" s="175" t="s">
        <v>4046</v>
      </c>
      <c r="B30" s="175" t="s">
        <v>4047</v>
      </c>
    </row>
    <row customHeight="1" ht="11.25">
      <c r="A31" s="175" t="s">
        <v>4048</v>
      </c>
      <c r="B31" s="175" t="s">
        <v>4049</v>
      </c>
    </row>
    <row customHeight="1" ht="11.25">
      <c r="A32" s="175" t="s">
        <v>4050</v>
      </c>
      <c r="B32" s="175" t="s">
        <v>4051</v>
      </c>
    </row>
    <row customHeight="1" ht="11.25">
      <c r="A33" s="175" t="s">
        <v>4052</v>
      </c>
      <c r="B33" s="175" t="s">
        <v>4053</v>
      </c>
    </row>
    <row customHeight="1" ht="11.25">
      <c r="A34" s="175" t="s">
        <v>4054</v>
      </c>
      <c r="B34" s="175" t="s">
        <v>4055</v>
      </c>
    </row>
    <row customHeight="1" ht="11.25">
      <c r="A35" s="175" t="s">
        <v>4056</v>
      </c>
      <c r="B35" s="175" t="s">
        <v>4057</v>
      </c>
    </row>
    <row customHeight="1" ht="11.25">
      <c r="A36" s="175" t="s">
        <v>4058</v>
      </c>
      <c r="B36" s="175" t="s">
        <v>4059</v>
      </c>
    </row>
    <row customHeight="1" ht="11.25">
      <c r="A37" s="175" t="s">
        <v>4060</v>
      </c>
      <c r="B37" s="175" t="s">
        <v>4061</v>
      </c>
    </row>
    <row customHeight="1" ht="11.25">
      <c r="A38" s="175" t="s">
        <v>4062</v>
      </c>
      <c r="B38" s="175" t="s">
        <v>4063</v>
      </c>
    </row>
    <row customHeight="1" ht="11.25">
      <c r="A39" s="175" t="s">
        <v>4064</v>
      </c>
      <c r="B39" s="175" t="s">
        <v>4065</v>
      </c>
    </row>
    <row customHeight="1" ht="11.25">
      <c r="A40" s="175" t="s">
        <v>4066</v>
      </c>
      <c r="B40" s="175" t="s">
        <v>4067</v>
      </c>
    </row>
    <row customHeight="1" ht="11.25">
      <c r="A41" s="175" t="s">
        <v>4068</v>
      </c>
      <c r="B41" s="175" t="s">
        <v>4069</v>
      </c>
    </row>
    <row customHeight="1" ht="11.25">
      <c r="A42" s="175" t="s">
        <v>4070</v>
      </c>
      <c r="B42" s="175" t="s">
        <v>4071</v>
      </c>
    </row>
    <row customHeight="1" ht="11.25">
      <c r="A43" s="175" t="s">
        <v>4072</v>
      </c>
      <c r="B43" s="175" t="s">
        <v>4073</v>
      </c>
    </row>
    <row customHeight="1" ht="11.25">
      <c r="A44" s="175" t="s">
        <v>4074</v>
      </c>
      <c r="B44" s="175" t="s">
        <v>4075</v>
      </c>
    </row>
    <row customHeight="1" ht="11.25">
      <c r="A45" s="175" t="s">
        <v>4076</v>
      </c>
      <c r="B45" s="175" t="s">
        <v>4077</v>
      </c>
    </row>
    <row customHeight="1" ht="11.25">
      <c r="A46" s="175" t="s">
        <v>4078</v>
      </c>
      <c r="B46" s="175" t="s">
        <v>4079</v>
      </c>
    </row>
    <row customHeight="1" ht="11.25">
      <c r="A47" s="175" t="s">
        <v>4080</v>
      </c>
      <c r="B47" s="175" t="s">
        <v>4081</v>
      </c>
    </row>
    <row customHeight="1" ht="11.25">
      <c r="A48" s="175" t="s">
        <v>4082</v>
      </c>
      <c r="B48" s="175" t="s">
        <v>4083</v>
      </c>
    </row>
    <row customHeight="1" ht="11.25">
      <c r="A49" s="175" t="s">
        <v>4084</v>
      </c>
      <c r="B49" s="175" t="s">
        <v>4085</v>
      </c>
    </row>
    <row customHeight="1" ht="11.25">
      <c r="A50" s="175" t="s">
        <v>4086</v>
      </c>
      <c r="B50" s="175" t="s">
        <v>4087</v>
      </c>
    </row>
    <row customHeight="1" ht="11.25">
      <c r="A51" s="175" t="s">
        <v>4088</v>
      </c>
      <c r="B51" s="175" t="s">
        <v>4089</v>
      </c>
    </row>
    <row customHeight="1" ht="11.25">
      <c r="A52" s="175" t="s">
        <v>4090</v>
      </c>
      <c r="B52" s="175" t="s">
        <v>4091</v>
      </c>
    </row>
    <row customHeight="1" ht="11.25">
      <c r="A53" s="175" t="s">
        <v>4092</v>
      </c>
      <c r="B53" s="175" t="s">
        <v>4093</v>
      </c>
    </row>
    <row customHeight="1" ht="11.25">
      <c r="A54" s="175" t="s">
        <v>4094</v>
      </c>
      <c r="B54" s="175" t="s">
        <v>4095</v>
      </c>
    </row>
    <row customHeight="1" ht="11.25">
      <c r="A55" s="175" t="s">
        <v>4096</v>
      </c>
      <c r="B55" s="175" t="s">
        <v>4097</v>
      </c>
    </row>
    <row customHeight="1" ht="11.25">
      <c r="A56" s="175" t="s">
        <v>4098</v>
      </c>
      <c r="B56" s="175" t="s">
        <v>4099</v>
      </c>
    </row>
    <row customHeight="1" ht="11.25">
      <c r="A57" s="175" t="s">
        <v>4100</v>
      </c>
      <c r="B57" s="175" t="s">
        <v>4101</v>
      </c>
    </row>
    <row customHeight="1" ht="11.25">
      <c r="A58" s="175" t="s">
        <v>4102</v>
      </c>
      <c r="B58" s="175" t="s">
        <v>4103</v>
      </c>
    </row>
    <row customHeight="1" ht="11.25">
      <c r="A59" s="175" t="s">
        <v>4104</v>
      </c>
      <c r="B59" s="175" t="s">
        <v>4105</v>
      </c>
    </row>
    <row customHeight="1" ht="11.25">
      <c r="A60" s="175" t="s">
        <v>4106</v>
      </c>
      <c r="B60" s="175" t="s">
        <v>4107</v>
      </c>
    </row>
    <row customHeight="1" ht="11.25">
      <c r="A61" s="175"/>
      <c r="B61" s="175" t="s">
        <v>4108</v>
      </c>
    </row>
    <row customHeight="1" ht="11.25">
      <c r="A62" s="175"/>
      <c r="B62" s="175" t="s">
        <v>4109</v>
      </c>
    </row>
    <row customHeight="1" ht="11.25">
      <c r="A63" s="175"/>
      <c r="B63" s="175" t="s">
        <v>4110</v>
      </c>
    </row>
    <row customHeight="1" ht="11.25">
      <c r="A64" s="175"/>
      <c r="B64" s="175" t="s">
        <v>4111</v>
      </c>
    </row>
    <row customHeight="1" ht="11.25">
      <c r="A65" s="175"/>
      <c r="B65" s="175" t="s">
        <v>4112</v>
      </c>
    </row>
    <row customHeight="1" ht="11.25">
      <c r="A66" s="175"/>
      <c r="B66" s="175" t="s">
        <v>4113</v>
      </c>
    </row>
    <row customHeight="1" ht="11.25">
      <c r="A67" s="175"/>
      <c r="B67" s="175" t="s">
        <v>4114</v>
      </c>
    </row>
    <row customHeight="1" ht="11.25">
      <c r="A68" s="175"/>
      <c r="B68" s="175" t="s">
        <v>4115</v>
      </c>
    </row>
    <row customHeight="1" ht="11.25">
      <c r="A69" s="175"/>
      <c r="B69" s="175" t="s">
        <v>4116</v>
      </c>
    </row>
    <row customHeight="1" ht="11.25">
      <c r="A70" s="175"/>
      <c r="B70" s="175" t="s">
        <v>4117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autoFilter="0" sort="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55012-9DFB-6E93-A96F-BA24E4DEA87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365" width="3.7109375" customWidth="1"/>
    <col min="2" max="2" style="10365" width="90.7109375" customWidth="1"/>
    <col min="3" max="4" style="10365" width="9.140625"/>
  </cols>
  <sheetData>
    <row customHeight="1" ht="11.25">
      <c r="B1" s="204" t="s">
        <v>4118</v>
      </c>
    </row>
    <row customHeight="1" ht="90">
      <c r="B2" s="205" t="s">
        <v>4119</v>
      </c>
    </row>
    <row customHeight="1" ht="67.5">
      <c r="B3" s="205" t="s">
        <v>4120</v>
      </c>
    </row>
    <row customHeight="1" ht="33.75">
      <c r="B4" s="205" t="s">
        <v>4121</v>
      </c>
    </row>
    <row customHeight="1" ht="11.25">
      <c r="B5" s="205" t="s">
        <v>4122</v>
      </c>
    </row>
    <row customHeight="1" ht="22.5">
      <c r="B6" s="205" t="s">
        <v>4123</v>
      </c>
    </row>
    <row customHeight="1" ht="22.5">
      <c r="B7" s="205" t="s">
        <v>4124</v>
      </c>
    </row>
    <row customHeight="1" ht="22.5">
      <c r="B8" s="205" t="s">
        <v>4125</v>
      </c>
    </row>
    <row customHeight="1" ht="22.5">
      <c r="B9" s="205" t="s">
        <v>4126</v>
      </c>
    </row>
    <row customHeight="1" ht="56.25">
      <c r="B10" s="205" t="s">
        <v>4127</v>
      </c>
    </row>
    <row customHeight="1" ht="12.75">
      <c r="B11" s="267" t="s">
        <v>4128</v>
      </c>
    </row>
    <row customHeight="1" ht="11.25">
      <c r="B12" s="204" t="s">
        <v>4129</v>
      </c>
    </row>
    <row customHeight="1" ht="22.5">
      <c r="B13" s="205" t="s">
        <v>4130</v>
      </c>
    </row>
    <row customHeight="1" ht="67.5">
      <c r="B14" s="205" t="s">
        <v>4131</v>
      </c>
    </row>
    <row customHeight="1" ht="22.5">
      <c r="B15" s="205" t="s">
        <v>4132</v>
      </c>
    </row>
    <row customHeight="1" ht="11.25">
      <c r="B16" s="204" t="s">
        <v>4133</v>
      </c>
      <c r="D16" s="211"/>
    </row>
    <row customHeight="1" ht="33.75">
      <c r="B17" s="205" t="s">
        <v>4134</v>
      </c>
    </row>
    <row customHeight="1" ht="33.75">
      <c r="B18" s="205" t="s">
        <v>4135</v>
      </c>
    </row>
    <row customHeight="1" ht="11.25">
      <c r="B19" s="205" t="s">
        <v>4136</v>
      </c>
    </row>
    <row customHeight="1" ht="33.75">
      <c r="B20" s="205" t="s">
        <v>4137</v>
      </c>
    </row>
    <row customHeight="1" ht="11.25">
      <c r="B21" s="204" t="s">
        <v>4138</v>
      </c>
    </row>
    <row customHeight="1" ht="11.25">
      <c r="B22" s="205" t="s">
        <v>4139</v>
      </c>
    </row>
    <row r="24" customHeight="1" ht="22.5">
      <c r="B24" s="269" t="s">
        <v>4140</v>
      </c>
    </row>
    <row r="26" customHeight="1" ht="11.25">
      <c r="B26" s="204" t="s">
        <v>4141</v>
      </c>
    </row>
    <row customHeight="1" ht="22.5">
      <c r="B27" s="268" t="s">
        <v>481</v>
      </c>
    </row>
    <row customHeight="1" ht="56.25">
      <c r="B28" s="268" t="s">
        <v>4142</v>
      </c>
    </row>
    <row customHeight="1" ht="11.25">
      <c r="B29" s="318" t="s">
        <v>4143</v>
      </c>
    </row>
    <row customHeight="1" ht="22.5">
      <c r="B30" s="268" t="s">
        <v>4144</v>
      </c>
    </row>
    <row r="32" customHeight="1" ht="11.25">
      <c r="A32" s="296"/>
      <c r="B32" s="297" t="s">
        <v>4145</v>
      </c>
    </row>
    <row customHeight="1" ht="14.25">
      <c r="A33" s="298">
        <v>1</v>
      </c>
      <c r="B33" s="299" t="s">
        <v>4146</v>
      </c>
    </row>
    <row customHeight="1" ht="14.25">
      <c r="A34" s="298">
        <v>2</v>
      </c>
      <c r="B34" s="299" t="s">
        <v>4147</v>
      </c>
    </row>
    <row customHeight="1" ht="11.25">
      <c r="B35" s="297" t="s">
        <v>4148</v>
      </c>
    </row>
    <row customHeight="1" ht="11.25">
      <c r="B36" s="299" t="s">
        <v>4149</v>
      </c>
    </row>
  </sheetData>
  <sheetProtection autoFilter="0" sort="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2508</vt:i4>
      </vt:variant>
    </vt:vector>
  </HeadingPairs>
  <TitlesOfParts>
    <vt:vector size="259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B_FHD_diff_51111</vt:lpstr>
      <vt:lpstr>B_FHD_diff_51111111111111111111</vt:lpstr>
      <vt:lpstr>B_FHD_diff_511111111111111111111</vt:lpstr>
      <vt:lpstr>B_FHD_diff_5111111111111111111111</vt:lpstr>
      <vt:lpstr>B_FHD_diff_51111111111111111111111</vt:lpstr>
      <vt:lpstr>B_FHD_diff_511111111111111111111111</vt:lpstr>
      <vt:lpstr>B_FHD_diff_5111111111111111111111111</vt:lpstr>
      <vt:lpstr>B_FHD_diff_51111111111111111111111111</vt:lpstr>
      <vt:lpstr>B_FHD_diff_511111111111111111111111111</vt:lpstr>
      <vt:lpstr>B_FHD_diff_5111111111111111111111111111</vt:lpstr>
      <vt:lpstr>B_FHD_diff_51111111111111111111111111111</vt:lpstr>
      <vt:lpstr>B_FHD_diff_511111111111111111111111111111</vt:lpstr>
      <vt:lpstr>B_FHD_diff_5111111111111111111111111111111</vt:lpstr>
      <vt:lpstr>B_FHD_diff_51111111111111111111111111111111</vt:lpstr>
      <vt:lpstr>B_FHD_diff_5111111111111111111111111111111111111111111</vt:lpstr>
      <vt:lpstr>B_FHD_diff_51111111111111111111111111111111111111111111</vt:lpstr>
      <vt:lpstr>B_FHD_diff_511111111111111111111111111111111111111111111</vt:lpstr>
      <vt:lpstr>B_FHD_diff_5111111111111111111111111111111111111111111111</vt:lpstr>
      <vt:lpstr>B_FHD_diff_51111111111111111111111111111111111111111111111</vt:lpstr>
      <vt:lpstr>B_FHD_diff_511111111111111111111111111111111111111111111111</vt:lpstr>
      <vt:lpstr>B_FHD_diff_5111111111111111111111111111111111111111111111111</vt:lpstr>
      <vt:lpstr>B_FHD_diff_51111111111111111111111111111111111111111111111111</vt:lpstr>
      <vt:lpstr>B_FHD_diff_511111111111111111111111111111111111111111111111111</vt:lpstr>
      <vt:lpstr>B_FHD_diff_5111111111111111111111111111111111111111111111111111</vt:lpstr>
      <vt:lpstr>B_FHD_FLAG_DIFFERENTIATION</vt:lpstr>
      <vt:lpstr>B_FHD_FLAG_INDEX_1</vt:lpstr>
      <vt:lpstr>B_FHD_FLAG_INDEX_2</vt:lpstr>
      <vt:lpstr>B_FHD_TKO_DATA_TOP80_ACTIVITY</vt:lpstr>
      <vt:lpstr>B_FHD_TKO_diff_1</vt:lpstr>
      <vt:lpstr>B_FHD_TKO_diff_51111</vt:lpstr>
      <vt:lpstr>B_FHD_TKO_diff_51111111111111111111</vt:lpstr>
      <vt:lpstr>B_FHD_TKO_diff_511111111111111111111</vt:lpstr>
      <vt:lpstr>B_FHD_TKO_diff_5111111111111111111111</vt:lpstr>
      <vt:lpstr>B_FHD_TKO_diff_51111111111111111111111</vt:lpstr>
      <vt:lpstr>B_FHD_TKO_diff_511111111111111111111111</vt:lpstr>
      <vt:lpstr>B_FHD_TKO_diff_5111111111111111111111111</vt:lpstr>
      <vt:lpstr>B_FHD_TKO_diff_51111111111111111111111111</vt:lpstr>
      <vt:lpstr>B_FHD_TKO_diff_511111111111111111111111111</vt:lpstr>
      <vt:lpstr>B_FHD_TKO_diff_5111111111111111111111111111</vt:lpstr>
      <vt:lpstr>B_FHD_TKO_diff_51111111111111111111111111111</vt:lpstr>
      <vt:lpstr>B_FHD_TKO_diff_511111111111111111111111111111</vt:lpstr>
      <vt:lpstr>B_FHD_TKO_diff_5111111111111111111111111111111</vt:lpstr>
      <vt:lpstr>B_FHD_TKO_diff_51111111111111111111111111111111</vt:lpstr>
      <vt:lpstr>B_FHD_TKO_diff_511111111111111111111111111111111</vt:lpstr>
      <vt:lpstr>B_FHD_TKO_diff_5111111111111111111111111111111111</vt:lpstr>
      <vt:lpstr>B_FHD_TKO_diff_51111111111111111111111111111111111</vt:lpstr>
      <vt:lpstr>B_FHD_TKO_diff_511111111111111111111111111111111111</vt:lpstr>
      <vt:lpstr>B_FHD_TKO_diff_5111111111111111111111111111111111111</vt:lpstr>
      <vt:lpstr>B_FHD_TKO_diff_51111111111111111111111111111111111111</vt:lpstr>
      <vt:lpstr>B_FHD_TKO_diff_511111111111111111111111111111111111111</vt:lpstr>
      <vt:lpstr>B_FHD_TKO_diff_5111111111111111111111111111111111111111</vt:lpstr>
      <vt:lpstr>B_FHD_TKO_diff_51111111111111111111111111111111111111111</vt:lpstr>
      <vt:lpstr>B_FHD_TKO_diff_511111111111111111111111111111111111111111</vt:lpstr>
      <vt:lpstr>B_FHD_TKO_diff_5111111111111111111111111111111111111111111</vt:lpstr>
      <vt:lpstr>B_FHD_TKO_diff_51111111111111111111111111111111111111111111</vt:lpstr>
      <vt:lpstr>B_FHD_TKO_diff_511111111111111111111111111111111111111111111</vt:lpstr>
      <vt:lpstr>B_FHD_TKO_diff_5111111111111111111111111111111111111111111111</vt:lpstr>
      <vt:lpstr>B_FHD_TKO_diff_51111111111111111111111111111111111111111111111</vt:lpstr>
      <vt:lpstr>B_FHD_TKO_diff_511111111111111111111111111111111111111111111111</vt:lpstr>
      <vt:lpstr>B_FHD_TKO_diff_5111111111111111111111111111111111111111111111111</vt:lpstr>
      <vt:lpstr>B_FHD_TKO_diff_51111111111111111111111111111111111111111111111111</vt:lpstr>
      <vt:lpstr>B_FHD_TKO_diff_511111111111111111111111111111111111111111111111111</vt:lpstr>
      <vt:lpstr>B_FHD_TKO_diff_5111111111111111111111111111111111111111111111111111</vt:lpstr>
      <vt:lpstr>B_FHD_TKO_FLAG_DIFFERENTIATION</vt:lpstr>
      <vt:lpstr>B_FHD_TKO_TRANS_DATA_TOP80_ACTIVITY</vt:lpstr>
      <vt:lpstr>B_FHD_TKO_TRANS_diff_1</vt:lpstr>
      <vt:lpstr>B_FHD_TKO_TRANS_diff_51111</vt:lpstr>
      <vt:lpstr>B_FHD_TKO_TRANS_diff_51111111111111111111</vt:lpstr>
      <vt:lpstr>B_FHD_TKO_TRANS_diff_511111111111111111111</vt:lpstr>
      <vt:lpstr>B_FHD_TKO_TRANS_diff_5111111111111111111111</vt:lpstr>
      <vt:lpstr>B_FHD_TKO_TRANS_diff_51111111111111111111111</vt:lpstr>
      <vt:lpstr>B_FHD_TKO_TRANS_diff_511111111111111111111111</vt:lpstr>
      <vt:lpstr>B_FHD_TKO_TRANS_diff_5111111111111111111111111</vt:lpstr>
      <vt:lpstr>B_FHD_TKO_TRANS_diff_51111111111111111111111111</vt:lpstr>
      <vt:lpstr>B_FHD_TKO_TRANS_diff_511111111111111111111111111</vt:lpstr>
      <vt:lpstr>B_FHD_TKO_TRANS_diff_5111111111111111111111111111</vt:lpstr>
      <vt:lpstr>B_FHD_TKO_TRANS_diff_51111111111111111111111111111</vt:lpstr>
      <vt:lpstr>B_FHD_TKO_TRANS_diff_511111111111111111111111111111</vt:lpstr>
      <vt:lpstr>B_FHD_TKO_TRANS_diff_5111111111111111111111111111111</vt:lpstr>
      <vt:lpstr>B_FHD_TKO_TRANS_diff_51111111111111111111111111111111</vt:lpstr>
      <vt:lpstr>B_FHD_TKO_TRANS_diff_511111111111111111111111111111111</vt:lpstr>
      <vt:lpstr>B_FHD_TKO_TRANS_diff_5111111111111111111111111111111111</vt:lpstr>
      <vt:lpstr>B_FHD_TKO_TRANS_diff_51111111111111111111111111111111111</vt:lpstr>
      <vt:lpstr>B_FHD_TKO_TRANS_diff_511111111111111111111111111111111111</vt:lpstr>
      <vt:lpstr>B_FHD_TKO_TRANS_diff_5111111111111111111111111111111111111</vt:lpstr>
      <vt:lpstr>B_FHD_TKO_TRANS_diff_51111111111111111111111111111111111111</vt:lpstr>
      <vt:lpstr>B_FHD_TKO_TRANS_diff_511111111111111111111111111111111111111</vt:lpstr>
      <vt:lpstr>B_FHD_TKO_TRANS_diff_5111111111111111111111111111111111111111</vt:lpstr>
      <vt:lpstr>B_FHD_TKO_TRANS_diff_51111111111111111111111111111111111111111</vt:lpstr>
      <vt:lpstr>B_FHD_TKO_TRANS_diff_511111111111111111111111111111111111111111</vt:lpstr>
      <vt:lpstr>B_FHD_TKO_TRANS_diff_5111111111111111111111111111111111111111111</vt:lpstr>
      <vt:lpstr>B_FHD_TKO_TRANS_diff_51111111111111111111111111111111111111111111</vt:lpstr>
      <vt:lpstr>B_FHD_TKO_TRANS_diff_511111111111111111111111111111111111111111111</vt:lpstr>
      <vt:lpstr>B_FHD_TKO_TRANS_diff_5111111111111111111111111111111111111111111111</vt:lpstr>
      <vt:lpstr>B_FHD_TKO_TRANS_diff_51111111111111111111111111111111111111111111111</vt:lpstr>
      <vt:lpstr>B_FHD_TKO_TRANS_diff_511111111111111111111111111111111111111111111111</vt:lpstr>
      <vt:lpstr>B_FHD_TKO_TRANS_diff_5111111111111111111111111111111111111111111111111</vt:lpstr>
      <vt:lpstr>B_FHD_TKO_TRANS_diff_51111111111111111111111111111111111111111111111111</vt:lpstr>
      <vt:lpstr>B_FHD_TKO_TRANS_diff_511111111111111111111111111111111111111111111111111</vt:lpstr>
      <vt:lpstr>B_FHD_TKO_TRANS_diff_5111111111111111111111111111111111111111111111111111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B_FHD20_diff_51111</vt:lpstr>
      <vt:lpstr>B_FHD20_diff_51111111111111111111</vt:lpstr>
      <vt:lpstr>B_FHD20_diff_511111111111111111111</vt:lpstr>
      <vt:lpstr>B_FHD20_diff_5111111111111111111111</vt:lpstr>
      <vt:lpstr>B_FHD20_diff_51111111111111111111111</vt:lpstr>
      <vt:lpstr>B_FHD20_diff_511111111111111111111111</vt:lpstr>
      <vt:lpstr>B_FHD20_diff_5111111111111111111111111</vt:lpstr>
      <vt:lpstr>B_FHD20_diff_51111111111111111111111111</vt:lpstr>
      <vt:lpstr>B_FHD20_diff_511111111111111111111111111</vt:lpstr>
      <vt:lpstr>B_FHD20_diff_5111111111111111111111111111</vt:lpstr>
      <vt:lpstr>B_FHD20_diff_51111111111111111111111111111</vt:lpstr>
      <vt:lpstr>B_FHD20_diff_511111111111111111111111111111</vt:lpstr>
      <vt:lpstr>B_FHD20_diff_5111111111111111111111111111111</vt:lpstr>
      <vt:lpstr>B_FHD20_diff_51111111111111111111111111111111</vt:lpstr>
      <vt:lpstr>B_FHD20_diff_511111111111111111111111111111111</vt:lpstr>
      <vt:lpstr>B_FHD20_diff_5111111111111111111111111111111111</vt:lpstr>
      <vt:lpstr>B_FHD20_diff_51111111111111111111111111111111111</vt:lpstr>
      <vt:lpstr>B_FHD20_diff_511111111111111111111111111111111111</vt:lpstr>
      <vt:lpstr>B_FHD20_diff_5111111111111111111111111111111111111</vt:lpstr>
      <vt:lpstr>B_FHD20_diff_51111111111111111111111111111111111111</vt:lpstr>
      <vt:lpstr>B_FHD20_diff_511111111111111111111111111111111111111</vt:lpstr>
      <vt:lpstr>B_FHD20_diff_5111111111111111111111111111111111111111</vt:lpstr>
      <vt:lpstr>B_FHD20_diff_51111111111111111111111111111111111111111</vt:lpstr>
      <vt:lpstr>B_FHD20_diff_511111111111111111111111111111111111111111</vt:lpstr>
      <vt:lpstr>B_FHD20_diff_5111111111111111111111111111111111111111111</vt:lpstr>
      <vt:lpstr>B_FHD20_diff_51111111111111111111111111111111111111111111</vt:lpstr>
      <vt:lpstr>B_FHD20_diff_511111111111111111111111111111111111111111111</vt:lpstr>
      <vt:lpstr>B_FHD20_diff_5111111111111111111111111111111111111111111111</vt:lpstr>
      <vt:lpstr>B_FHD20_diff_51111111111111111111111111111111111111111111111</vt:lpstr>
      <vt:lpstr>B_FHD20_diff_511111111111111111111111111111111111111111111111</vt:lpstr>
      <vt:lpstr>B_FHD20_diff_5111111111111111111111111111111111111111111111111</vt:lpstr>
      <vt:lpstr>B_FHD20_diff_51111111111111111111111111111111111111111111111111</vt:lpstr>
      <vt:lpstr>B_FHD20_diff_511111111111111111111111111111111111111111111111111</vt:lpstr>
      <vt:lpstr>B_FHD20_diff_5111111111111111111111111111111111111111111111111111</vt:lpstr>
      <vt:lpstr>B_FHD20_FLAG_FHD</vt:lpstr>
      <vt:lpstr>B_FHD20_NUMBER_COLUMN_MARKER</vt:lpstr>
      <vt:lpstr>B_FHD20_PART_COLUMN_MARKER</vt:lpstr>
      <vt:lpstr>B_KNE_diff_1</vt:lpstr>
      <vt:lpstr>B_KNE_diff_51111</vt:lpstr>
      <vt:lpstr>B_KNE_diff_51111111111111111111</vt:lpstr>
      <vt:lpstr>B_KNE_diff_511111111111111111111</vt:lpstr>
      <vt:lpstr>B_KNE_diff_5111111111111111111111</vt:lpstr>
      <vt:lpstr>B_KNE_diff_51111111111111111111111</vt:lpstr>
      <vt:lpstr>B_KNE_diff_511111111111111111111111</vt:lpstr>
      <vt:lpstr>B_KNE_diff_5111111111111111111111111</vt:lpstr>
      <vt:lpstr>B_KNE_diff_51111111111111111111111111</vt:lpstr>
      <vt:lpstr>B_KNE_diff_511111111111111111111111111</vt:lpstr>
      <vt:lpstr>B_KNE_diff_5111111111111111111111111111</vt:lpstr>
      <vt:lpstr>B_KNE_diff_51111111111111111111111111111</vt:lpstr>
      <vt:lpstr>B_KNE_diff_511111111111111111111111111111</vt:lpstr>
      <vt:lpstr>B_KNE_diff_5111111111111111111111111111111</vt:lpstr>
      <vt:lpstr>B_KNE_diff_51111111111111111111111111111111</vt:lpstr>
      <vt:lpstr>B_KNE_diff_511111111111111111111111111111111</vt:lpstr>
      <vt:lpstr>B_KNE_diff_5111111111111111111111111111111111</vt:lpstr>
      <vt:lpstr>B_KNE_diff_51111111111111111111111111111111111</vt:lpstr>
      <vt:lpstr>B_KNE_diff_511111111111111111111111111111111111</vt:lpstr>
      <vt:lpstr>B_KNE_diff_5111111111111111111111111111111111111</vt:lpstr>
      <vt:lpstr>B_KNE_diff_51111111111111111111111111111111111111</vt:lpstr>
      <vt:lpstr>B_KNE_diff_511111111111111111111111111111111111111</vt:lpstr>
      <vt:lpstr>B_KNE_diff_5111111111111111111111111111111111111111</vt:lpstr>
      <vt:lpstr>B_KNE_diff_51111111111111111111111111111111111111111</vt:lpstr>
      <vt:lpstr>B_KNE_diff_511111111111111111111111111111111111111111</vt:lpstr>
      <vt:lpstr>B_KNE_diff_5111111111111111111111111111111111111111111</vt:lpstr>
      <vt:lpstr>B_KNE_diff_51111111111111111111111111111111111111111111</vt:lpstr>
      <vt:lpstr>B_KNE_diff_511111111111111111111111111111111111111111111</vt:lpstr>
      <vt:lpstr>B_KNE_diff_5111111111111111111111111111111111111111111111</vt:lpstr>
      <vt:lpstr>B_KNE_diff_51111111111111111111111111111111111111111111111</vt:lpstr>
      <vt:lpstr>B_KNE_diff_511111111111111111111111111111111111111111111111</vt:lpstr>
      <vt:lpstr>B_KNE_diff_5111111111111111111111111111111111111111111111111</vt:lpstr>
      <vt:lpstr>B_KNE_diff_51111111111111111111111111111111111111111111111111</vt:lpstr>
      <vt:lpstr>B_KNE_diff_511111111111111111111111111111111111111111111111111</vt:lpstr>
      <vt:lpstr>B_KNE_diff_5111111111111111111111111111111111111111111111111111</vt:lpstr>
      <vt:lpstr>B_OTEP_diff_1</vt:lpstr>
      <vt:lpstr>B_OTEP_diff_51111</vt:lpstr>
      <vt:lpstr>B_OTEP_diff_51111111111111111111</vt:lpstr>
      <vt:lpstr>B_OTEP_diff_511111111111111111111</vt:lpstr>
      <vt:lpstr>B_OTEP_diff_5111111111111111111111</vt:lpstr>
      <vt:lpstr>B_OTEP_diff_51111111111111111111111</vt:lpstr>
      <vt:lpstr>B_OTEP_diff_511111111111111111111111</vt:lpstr>
      <vt:lpstr>B_OTEP_diff_5111111111111111111111111</vt:lpstr>
      <vt:lpstr>B_OTEP_diff_51111111111111111111111111</vt:lpstr>
      <vt:lpstr>B_OTEP_diff_511111111111111111111111111</vt:lpstr>
      <vt:lpstr>B_OTEP_diff_5111111111111111111111111111</vt:lpstr>
      <vt:lpstr>B_OTEP_diff_51111111111111111111111111111</vt:lpstr>
      <vt:lpstr>B_OTEP_diff_511111111111111111111111111111</vt:lpstr>
      <vt:lpstr>B_OTEP_diff_5111111111111111111111111111111</vt:lpstr>
      <vt:lpstr>B_OTEP_diff_51111111111111111111111111111111</vt:lpstr>
      <vt:lpstr>B_OTEP_diff_511111111111111111111111111111111</vt:lpstr>
      <vt:lpstr>B_OTEP_diff_5111111111111111111111111111111111</vt:lpstr>
      <vt:lpstr>B_OTEP_diff_51111111111111111111111111111111111</vt:lpstr>
      <vt:lpstr>B_OTEP_diff_511111111111111111111111111111111111</vt:lpstr>
      <vt:lpstr>B_OTEP_diff_5111111111111111111111111111111111111</vt:lpstr>
      <vt:lpstr>B_OTEP_diff_51111111111111111111111111111111111111</vt:lpstr>
      <vt:lpstr>B_OTEP_diff_511111111111111111111111111111111111111</vt:lpstr>
      <vt:lpstr>B_OTEP_diff_5111111111111111111111111111111111111111</vt:lpstr>
      <vt:lpstr>B_OTEP_diff_51111111111111111111111111111111111111111</vt:lpstr>
      <vt:lpstr>B_OTEP_diff_511111111111111111111111111111111111111111</vt:lpstr>
      <vt:lpstr>B_OTEP_diff_5111111111111111111111111111111111111111111</vt:lpstr>
      <vt:lpstr>B_OTEP_diff_51111111111111111111111111111111111111111111</vt:lpstr>
      <vt:lpstr>B_OTEP_diff_511111111111111111111111111111111111111111111</vt:lpstr>
      <vt:lpstr>B_OTEP_diff_5111111111111111111111111111111111111111111111</vt:lpstr>
      <vt:lpstr>B_OTEP_diff_51111111111111111111111111111111111111111111111</vt:lpstr>
      <vt:lpstr>B_OTEP_diff_511111111111111111111111111111111111111111111111</vt:lpstr>
      <vt:lpstr>B_OTEP_diff_5111111111111111111111111111111111111111111111111</vt:lpstr>
      <vt:lpstr>B_OTEP_diff_51111111111111111111111111111111111111111111111111</vt:lpstr>
      <vt:lpstr>B_OTEP_diff_511111111111111111111111111111111111111111111111111</vt:lpstr>
      <vt:lpstr>B_OTEP_diff_5111111111111111111111111111111111111111111111111111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Q_Limit_diff_51111</vt:lpstr>
      <vt:lpstr>Q_Limit_diff_51111111111111111111</vt:lpstr>
      <vt:lpstr>Q_Limit_diff_511111111111111111111</vt:lpstr>
      <vt:lpstr>Q_Limit_diff_5111111111111111111111</vt:lpstr>
      <vt:lpstr>Q_Limit_diff_51111111111111111111111</vt:lpstr>
      <vt:lpstr>Q_Limit_diff_511111111111111111111111</vt:lpstr>
      <vt:lpstr>Q_Limit_diff_5111111111111111111111111</vt:lpstr>
      <vt:lpstr>Q_Limit_diff_51111111111111111111111111</vt:lpstr>
      <vt:lpstr>Q_Limit_diff_511111111111111111111111111</vt:lpstr>
      <vt:lpstr>Q_Limit_diff_5111111111111111111111111111</vt:lpstr>
      <vt:lpstr>Q_Limit_diff_51111111111111111111111111111</vt:lpstr>
      <vt:lpstr>Q_Limit_diff_511111111111111111111111111111</vt:lpstr>
      <vt:lpstr>Q_Limit_diff_5111111111111111111111111111111</vt:lpstr>
      <vt:lpstr>Q_Limit_diff_51111111111111111111111111111111</vt:lpstr>
      <vt:lpstr>Q_Limit_diff_511111111111111111111111111111111</vt:lpstr>
      <vt:lpstr>Q_Limit_diff_5111111111111111111111111111111111</vt:lpstr>
      <vt:lpstr>Q_Limit_diff_51111111111111111111111111111111111</vt:lpstr>
      <vt:lpstr>Q_Limit_diff_511111111111111111111111111111111111</vt:lpstr>
      <vt:lpstr>Q_Limit_diff_5111111111111111111111111111111111111</vt:lpstr>
      <vt:lpstr>Q_Limit_diff_51111111111111111111111111111111111111</vt:lpstr>
      <vt:lpstr>Q_Limit_diff_511111111111111111111111111111111111111</vt:lpstr>
      <vt:lpstr>Q_Limit_diff_5111111111111111111111111111111111111111</vt:lpstr>
      <vt:lpstr>Q_Limit_diff_51111111111111111111111111111111111111111</vt:lpstr>
      <vt:lpstr>Q_Limit_diff_511111111111111111111111111111111111111111</vt:lpstr>
      <vt:lpstr>Q_Limit_diff_5111111111111111111111111111111111111111111</vt:lpstr>
      <vt:lpstr>Q_Limit_diff_51111111111111111111111111111111111111111111</vt:lpstr>
      <vt:lpstr>Q_Limit_diff_511111111111111111111111111111111111111111111</vt:lpstr>
      <vt:lpstr>Q_Limit_diff_5111111111111111111111111111111111111111111111</vt:lpstr>
      <vt:lpstr>Q_Limit_diff_51111111111111111111111111111111111111111111111</vt:lpstr>
      <vt:lpstr>Q_Limit_diff_511111111111111111111111111111111111111111111111</vt:lpstr>
      <vt:lpstr>Q_Limit_diff_5111111111111111111111111111111111111111111111111</vt:lpstr>
      <vt:lpstr>Q_Limit_diff_51111111111111111111111111111111111111111111111111</vt:lpstr>
      <vt:lpstr>Q_Limit_diff_511111111111111111111111111111111111111111111111111</vt:lpstr>
      <vt:lpstr>Q_Limit_diff_5111111111111111111111111111111111111111111111111111</vt:lpstr>
      <vt:lpstr>Q_LIMIT_p3</vt:lpstr>
      <vt:lpstr>Q_LIMIT_p4</vt:lpstr>
      <vt:lpstr>Q_PH_diff_1</vt:lpstr>
      <vt:lpstr>Q_PH_diff_51111</vt:lpstr>
      <vt:lpstr>Q_PH_diff_51111111111111111111</vt:lpstr>
      <vt:lpstr>Q_PH_diff_511111111111111111111</vt:lpstr>
      <vt:lpstr>Q_PH_diff_5111111111111111111111</vt:lpstr>
      <vt:lpstr>Q_PH_diff_51111111111111111111111</vt:lpstr>
      <vt:lpstr>Q_PH_diff_511111111111111111111111</vt:lpstr>
      <vt:lpstr>Q_PH_diff_5111111111111111111111111</vt:lpstr>
      <vt:lpstr>Q_PH_diff_51111111111111111111111111</vt:lpstr>
      <vt:lpstr>Q_PH_diff_511111111111111111111111111</vt:lpstr>
      <vt:lpstr>Q_PH_diff_5111111111111111111111111111</vt:lpstr>
      <vt:lpstr>Q_PH_diff_51111111111111111111111111111</vt:lpstr>
      <vt:lpstr>Q_PH_diff_511111111111111111111111111111</vt:lpstr>
      <vt:lpstr>Q_PH_diff_5111111111111111111111111111111</vt:lpstr>
      <vt:lpstr>Q_PH_diff_51111111111111111111111111111111</vt:lpstr>
      <vt:lpstr>Q_PH_diff_511111111111111111111111111111111</vt:lpstr>
      <vt:lpstr>Q_PH_diff_5111111111111111111111111111111111</vt:lpstr>
      <vt:lpstr>Q_PH_diff_51111111111111111111111111111111111</vt:lpstr>
      <vt:lpstr>Q_PH_diff_511111111111111111111111111111111111</vt:lpstr>
      <vt:lpstr>Q_PH_diff_5111111111111111111111111111111111111</vt:lpstr>
      <vt:lpstr>Q_PH_diff_51111111111111111111111111111111111111</vt:lpstr>
      <vt:lpstr>Q_PH_diff_511111111111111111111111111111111111111</vt:lpstr>
      <vt:lpstr>Q_PH_diff_5111111111111111111111111111111111111111</vt:lpstr>
      <vt:lpstr>Q_PH_diff_51111111111111111111111111111111111111111</vt:lpstr>
      <vt:lpstr>Q_PH_diff_511111111111111111111111111111111111111111</vt:lpstr>
      <vt:lpstr>Q_PH_diff_5111111111111111111111111111111111111111111</vt:lpstr>
      <vt:lpstr>Q_PH_diff_51111111111111111111111111111111111111111111</vt:lpstr>
      <vt:lpstr>Q_PH_diff_511111111111111111111111111111111111111111111</vt:lpstr>
      <vt:lpstr>Q_PH_diff_5111111111111111111111111111111111111111111111</vt:lpstr>
      <vt:lpstr>Q_PH_diff_51111111111111111111111111111111111111111111111</vt:lpstr>
      <vt:lpstr>Q_PH_diff_511111111111111111111111111111111111111111111111</vt:lpstr>
      <vt:lpstr>Q_PH_diff_5111111111111111111111111111111111111111111111111</vt:lpstr>
      <vt:lpstr>Q_PH_diff_51111111111111111111111111111111111111111111111111</vt:lpstr>
      <vt:lpstr>Q_PH_diff_511111111111111111111111111111111111111111111111111</vt:lpstr>
      <vt:lpstr>Q_PH_diff_5111111111111111111111111111111111111111111111111111</vt:lpstr>
      <vt:lpstr>Q_TP_COUNT_REFUSAL</vt:lpstr>
      <vt:lpstr>Q_TP_diff_1</vt:lpstr>
      <vt:lpstr>Q_TP_diff_51111</vt:lpstr>
      <vt:lpstr>Q_TP_diff_51111111111111111111</vt:lpstr>
      <vt:lpstr>Q_TP_diff_511111111111111111111</vt:lpstr>
      <vt:lpstr>Q_TP_diff_5111111111111111111111</vt:lpstr>
      <vt:lpstr>Q_TP_diff_51111111111111111111111</vt:lpstr>
      <vt:lpstr>Q_TP_diff_511111111111111111111111</vt:lpstr>
      <vt:lpstr>Q_TP_diff_5111111111111111111111111</vt:lpstr>
      <vt:lpstr>Q_TP_diff_51111111111111111111111111</vt:lpstr>
      <vt:lpstr>Q_TP_diff_511111111111111111111111111</vt:lpstr>
      <vt:lpstr>Q_TP_diff_5111111111111111111111111111</vt:lpstr>
      <vt:lpstr>Q_TP_diff_51111111111111111111111111111</vt:lpstr>
      <vt:lpstr>Q_TP_diff_511111111111111111111111111111</vt:lpstr>
      <vt:lpstr>Q_TP_diff_5111111111111111111111111111111</vt:lpstr>
      <vt:lpstr>Q_TP_diff_51111111111111111111111111111111</vt:lpstr>
      <vt:lpstr>Q_TP_diff_511111111111111111111111111111111</vt:lpstr>
      <vt:lpstr>Q_TP_diff_5111111111111111111111111111111111</vt:lpstr>
      <vt:lpstr>Q_TP_diff_51111111111111111111111111111111111</vt:lpstr>
      <vt:lpstr>Q_TP_diff_511111111111111111111111111111111111</vt:lpstr>
      <vt:lpstr>Q_TP_diff_5111111111111111111111111111111111111</vt:lpstr>
      <vt:lpstr>Q_TP_diff_51111111111111111111111111111111111111</vt:lpstr>
      <vt:lpstr>Q_TP_diff_511111111111111111111111111111111111111</vt:lpstr>
      <vt:lpstr>Q_TP_diff_5111111111111111111111111111111111111111</vt:lpstr>
      <vt:lpstr>Q_TP_diff_51111111111111111111111111111111111111111</vt:lpstr>
      <vt:lpstr>Q_TP_diff_511111111111111111111111111111111111111111</vt:lpstr>
      <vt:lpstr>Q_TP_diff_5111111111111111111111111111111111111111111</vt:lpstr>
      <vt:lpstr>Q_TP_diff_51111111111111111111111111111111111111111111</vt:lpstr>
      <vt:lpstr>Q_TP_diff_511111111111111111111111111111111111111111111</vt:lpstr>
      <vt:lpstr>Q_TP_diff_5111111111111111111111111111111111111111111111</vt:lpstr>
      <vt:lpstr>Q_TP_diff_51111111111111111111111111111111111111111111111</vt:lpstr>
      <vt:lpstr>Q_TP_diff_511111111111111111111111111111111111111111111111</vt:lpstr>
      <vt:lpstr>Q_TP_diff_5111111111111111111111111111111111111111111111111</vt:lpstr>
      <vt:lpstr>Q_TP_diff_51111111111111111111111111111111111111111111111111</vt:lpstr>
      <vt:lpstr>Q_TP_diff_511111111111111111111111111111111111111111111111111</vt:lpstr>
      <vt:lpstr>Q_TP_diff_5111111111111111111111111111111111111111111111111111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2024-04-23T18:07:29Z</dcterms:modified>
</cp:coreProperties>
</file>

<file path=docProps/custom.xml><?xml version="1.0" encoding="utf-8"?>
<Properties xmlns="http://schemas.openxmlformats.org/officeDocument/2006/custom-properties" xmlns:vt="http://schemas.openxmlformats.org/officeDocument/2006/docPropsVTypes"/>
</file>